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codeName="{8C4F1C90-05EB-6A55-5F09-09C24B55AC0B}"/>
  <workbookPr codeName="ThisWorkbook" defaultThemeVersion="124226"/>
  <bookViews>
    <workbookView xWindow="240" yWindow="180" windowWidth="15150" windowHeight="6555" firstSheet="22" activeTab="1"/>
  </bookViews>
  <sheets>
    <sheet name="Convenciones" sheetId="15" r:id="rId1"/>
    <sheet name="Macroeconomicos" sheetId="1" r:id="rId2"/>
    <sheet name="Historicos" sheetId="9" r:id="rId3"/>
    <sheet name="Datos Generales" sheetId="13" r:id="rId4"/>
    <sheet name="Supuestos de Operacion" sheetId="6" r:id="rId5"/>
    <sheet name="Proyecto Sogamoso" sheetId="14" r:id="rId6"/>
    <sheet name="Operacion Comercial" sheetId="5" r:id="rId7"/>
    <sheet name="Otros Costos y Gastos" sheetId="16" r:id="rId8"/>
    <sheet name="Activos fijos" sheetId="17" r:id="rId9"/>
    <sheet name="Amortizaciones" sheetId="25" r:id="rId10"/>
    <sheet name="Financiacion" sheetId="18" r:id="rId11"/>
    <sheet name="Renta" sheetId="19" r:id="rId12"/>
    <sheet name="CREE" sheetId="20" r:id="rId13"/>
    <sheet name="P&amp;G" sheetId="21" r:id="rId14"/>
    <sheet name="Balance General" sheetId="22" r:id="rId15"/>
    <sheet name="Flujo de efectivo" sheetId="23" r:id="rId16"/>
    <sheet name="Capital Empleado" sheetId="24" r:id="rId17"/>
    <sheet name="WACC" sheetId="4" r:id="rId18"/>
    <sheet name="DCF Valuation Empresa" sheetId="26" r:id="rId19"/>
    <sheet name="MPODE Costo marginal" sheetId="3" r:id="rId20"/>
    <sheet name="Generacion Hidro por Planta" sheetId="7" r:id="rId21"/>
    <sheet name="Generacion Termica por Planta" sheetId="8" r:id="rId22"/>
    <sheet name="Proyeccion Jet A1" sheetId="10" r:id="rId23"/>
    <sheet name="Proyeccion Gas Cusiana" sheetId="11" r:id="rId24"/>
    <sheet name="Proyeccion Gas GNL" sheetId="12" r:id="rId25"/>
    <sheet name="Calculo Beta" sheetId="29" r:id="rId26"/>
  </sheets>
  <externalReferences>
    <externalReference r:id="rId27"/>
    <externalReference r:id="rId28"/>
    <externalReference r:id="rId29"/>
  </externalReferences>
  <definedNames>
    <definedName name="Anticipo_renta">'Datos Generales'!$I$13</definedName>
    <definedName name="Año_2013">'Datos Generales'!$C$6</definedName>
    <definedName name="Año_Inicio_Sogamoso">'Datos Generales'!$C$10</definedName>
    <definedName name="Año_Perpetuidad">'Datos Generales'!$P$21</definedName>
    <definedName name="APORTES">'Flujo de efectivo'!$E$11:$O$11</definedName>
    <definedName name="APR">'Datos Generales'!$I$14</definedName>
    <definedName name="Calderas_Cere">'Datos Generales'!$F$5</definedName>
    <definedName name="Capital" localSheetId="3">Convenciones!$B$31</definedName>
    <definedName name="Capital" localSheetId="5">[1]CCPP!$B$27</definedName>
    <definedName name="Capital">[2]CCPP!$B$27</definedName>
    <definedName name="Componente_Fijo_TGI">'Supuestos de Operacion'!$H$9</definedName>
    <definedName name="Control">'Flujo de efectivo'!$A$39</definedName>
    <definedName name="Costo_marginal_maximo">'Supuestos de Operacion'!$M$12</definedName>
    <definedName name="Costo_marginal_minimo">'Supuestos de Operacion'!$M$11</definedName>
    <definedName name="Creditos">'Flujo de efectivo'!$E$12:$O$12</definedName>
    <definedName name="Deficit_Caja">'Flujo de efectivo'!$E$33:$O$33</definedName>
    <definedName name="Dep_contable_Equipos">'Datos Generales'!$D$34</definedName>
    <definedName name="Deprec._Fiscal_Inmuebles">'Datos Generales'!$D$37</definedName>
    <definedName name="Deprec_Contable_Inmuebles">'Datos Generales'!$D$32</definedName>
    <definedName name="Deprec_Contable_Plantas_Generacion">'Datos Generales'!$D$33</definedName>
    <definedName name="Deprec_Fiscal_Equipos">'Datos Generales'!$D$39</definedName>
    <definedName name="Deprec_Fiscal_Plantas_Generacion">'Datos Generales'!$D$38</definedName>
    <definedName name="Dias" localSheetId="5">[1]Datos!$B$13</definedName>
    <definedName name="Dias">[2]Datos!$B$13</definedName>
    <definedName name="Dias_año">'Supuestos de Operacion'!$M$5</definedName>
    <definedName name="Dias_Caja">'Datos Generales'!$I$8</definedName>
    <definedName name="Dias_CxC">'Datos Generales'!$I$5</definedName>
    <definedName name="Dias_CxP">'Datos Generales'!$I$7</definedName>
    <definedName name="Dias_Generacion_Niño_Gas">'Supuestos de Operacion'!$C$12</definedName>
    <definedName name="Dias_Generacion_Niño_Jet_Fuel">'Supuestos de Operacion'!$H$3</definedName>
    <definedName name="Dias_Importac_Jet">'Supuestos de Operacion'!$H$5</definedName>
    <definedName name="Dias_mes">'Supuestos de Operacion'!$M$3</definedName>
    <definedName name="Escenario_Combustible">'Supuestos de Operacion'!$C$5</definedName>
    <definedName name="Estructura_Deuda_Sogamoso">'Datos Generales'!$C$15</definedName>
    <definedName name="Estructura_Fra_Wacc">'Supuestos de Operacion'!$H$11</definedName>
    <definedName name="Fecha_Final_Contrato_TGI">'Supuestos de Operacion'!$H$8</definedName>
    <definedName name="Fecha_precio_accion">'Datos Generales'!$F$6</definedName>
    <definedName name="G">'Datos Generales'!$F$7</definedName>
    <definedName name="GMF">'Datos Generales'!$I$9</definedName>
    <definedName name="GW_a_KW">'Datos Generales'!$C$14</definedName>
    <definedName name="Horas_dia">'Supuestos de Operacion'!$M$6</definedName>
    <definedName name="Horas_por_prueba">'Supuestos de Operacion'!$C$8</definedName>
    <definedName name="HTML_CodePage" hidden="1">1252</definedName>
    <definedName name="HTML_Control" localSheetId="3" hidden="1">{"'Sheet1'!$A$1:$G$85"}</definedName>
    <definedName name="HTML_Control" localSheetId="5" hidden="1">{"'Sheet1'!$A$1:$G$85"}</definedName>
    <definedName name="HTML_Control" hidden="1">{"'Sheet1'!$A$1:$G$85"}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Impto_Patrimonio">'Datos Generales'!$I$10</definedName>
    <definedName name="Incremento_salarial">'Supuestos de Operacion'!$M$9</definedName>
    <definedName name="Inventario_minimo">'Datos Generales'!$I$6</definedName>
    <definedName name="Limite_reserva_legal">'Datos Generales'!$D$64</definedName>
    <definedName name="M">'Datos Generales'!$C$12</definedName>
    <definedName name="Mes_año">'Supuestos de Operacion'!$M$4</definedName>
    <definedName name="Mes_inicio_Sogamoso">'Datos Generales'!$C$11</definedName>
    <definedName name="Meses_Proyectados_Año_Base">'Datos Generales'!$C$9</definedName>
    <definedName name="MW_a_KW">'Datos Generales'!$C$13</definedName>
    <definedName name="Nombre_Empresa">'Datos Generales'!$C$5</definedName>
    <definedName name="Opcion_Beta">'Supuestos de Operacion'!$H$10</definedName>
    <definedName name="OYM_FIJO_REF_INTERNAL">'Supuestos de Operacion'!$C$11</definedName>
    <definedName name="OYM_PROYECTADO">'Supuestos de Operacion'!$C$9</definedName>
    <definedName name="OYM_VARIABLE_REF_INTERNAL">'Supuestos de Operacion'!$C$10</definedName>
    <definedName name="Part_Mcdo_Regulado">'Supuestos de Operacion'!$M$8</definedName>
    <definedName name="Payout_ratio">'Datos Generales'!$I$15</definedName>
    <definedName name="PB_PE_en_Niño">'Supuestos de Operacion'!$M$10</definedName>
    <definedName name="Periodo_Gracia_Deuda">'Datos Generales'!$F$8</definedName>
    <definedName name="Perpetuidad_Termocentro">'Supuestos de Operacion'!$C$4</definedName>
    <definedName name="Plazo_Creditos">'Datos Generales'!$F$9</definedName>
    <definedName name="Pruebas_Termocentro">'Supuestos de Operacion'!$C$7</definedName>
    <definedName name="PSS">'Supuestos de Operacion'!$C$3</definedName>
    <definedName name="Reposicion_Activos">'Datos Generales'!$F$14</definedName>
    <definedName name="Rescisión_contrato_TGI">'Supuestos de Operacion'!$H$7</definedName>
    <definedName name="Reserva_legal">'Datos Generales'!$D$63</definedName>
    <definedName name="Spread_colocacion">'Datos Generales'!$F$12</definedName>
    <definedName name="Spread_deuda_CP">'Datos Generales'!$F$11</definedName>
    <definedName name="TablaArchivo" localSheetId="12">#REF!</definedName>
    <definedName name="TablaArchivo" localSheetId="20">'[3]Partir Archivo'!#REF!</definedName>
    <definedName name="TablaArchivo" localSheetId="7">#REF!</definedName>
    <definedName name="TablaArchivo" localSheetId="24">#REF!</definedName>
    <definedName name="TablaArchivo">#REF!</definedName>
    <definedName name="TablaDestino" localSheetId="12">#REF!</definedName>
    <definedName name="TablaDestino" localSheetId="20">'[3]Partir Archivo'!#REF!</definedName>
    <definedName name="TablaDestino" localSheetId="7">#REF!</definedName>
    <definedName name="TablaDestino" localSheetId="24">#REF!</definedName>
    <definedName name="TablaDestino">#REF!</definedName>
    <definedName name="TablaUbicación" localSheetId="12">#REF!</definedName>
    <definedName name="TablaUbicación" localSheetId="20">'[3]Partir Archivo'!#REF!</definedName>
    <definedName name="TablaUbicación" localSheetId="7">#REF!</definedName>
    <definedName name="TablaUbicación" localSheetId="24">#REF!</definedName>
    <definedName name="TablaUbicación">#REF!</definedName>
    <definedName name="Tasa_CREE">'Datos Generales'!$I$12</definedName>
    <definedName name="Tasa_interes_creditos">'Datos Generales'!$F$10</definedName>
    <definedName name="Tasa_renta">'Datos Generales'!$I$11</definedName>
    <definedName name="Tasa_seguro_y_vigilancia">'Datos Generales'!$F$13</definedName>
    <definedName name="Tipo_combustible">'Supuestos de Operacion'!$C$6</definedName>
    <definedName name="TOP_Cusiana">'Supuestos de Operacion'!$H$6</definedName>
    <definedName name="Vigencia_Contratato_Gas">'Supuestos de Operacion'!$H$4</definedName>
    <definedName name="Δ_compra_bolsa">'Supuestos de Operacion'!$M$7</definedName>
  </definedNames>
  <calcPr calcId="144525"/>
</workbook>
</file>

<file path=xl/calcChain.xml><?xml version="1.0" encoding="utf-8"?>
<calcChain xmlns="http://schemas.openxmlformats.org/spreadsheetml/2006/main">
  <c r="E6" i="4" l="1"/>
  <c r="O43" i="6" l="1"/>
  <c r="O108" i="6" s="1"/>
  <c r="E60" i="13" l="1"/>
  <c r="F60" i="13" s="1"/>
  <c r="G60" i="13" s="1"/>
  <c r="H60" i="13" s="1"/>
  <c r="I60" i="13" s="1"/>
  <c r="J60" i="13" s="1"/>
  <c r="K60" i="13" s="1"/>
  <c r="L60" i="13" s="1"/>
  <c r="M60" i="13" s="1"/>
  <c r="N60" i="13" s="1"/>
  <c r="O60" i="13" s="1"/>
  <c r="P60" i="13" s="1"/>
  <c r="E13" i="4"/>
  <c r="F54" i="13" l="1"/>
  <c r="E54" i="13"/>
  <c r="D54" i="13"/>
  <c r="G55" i="13"/>
  <c r="F55" i="13"/>
  <c r="E55" i="13"/>
  <c r="D55" i="13"/>
  <c r="J55" i="13" l="1"/>
  <c r="I55" i="13"/>
  <c r="H55" i="13"/>
  <c r="P59" i="13"/>
  <c r="O59" i="13"/>
  <c r="N59" i="13"/>
  <c r="M59" i="13"/>
  <c r="L59" i="13"/>
  <c r="K59" i="13"/>
  <c r="J59" i="13"/>
  <c r="P119" i="3" l="1"/>
  <c r="L119" i="3"/>
  <c r="K119" i="3"/>
  <c r="J119" i="3"/>
  <c r="I119" i="3"/>
  <c r="H119" i="3"/>
  <c r="G119" i="3"/>
  <c r="F119" i="3"/>
  <c r="E119" i="3"/>
  <c r="D119" i="3"/>
  <c r="C119" i="3"/>
  <c r="O16" i="16" l="1"/>
  <c r="N16" i="16"/>
  <c r="M16" i="16"/>
  <c r="L16" i="16"/>
  <c r="K16" i="16"/>
  <c r="J16" i="16"/>
  <c r="I16" i="16"/>
  <c r="H16" i="16"/>
  <c r="G16" i="16"/>
  <c r="F16" i="16"/>
  <c r="E16" i="16"/>
  <c r="N9" i="16"/>
  <c r="M9" i="16"/>
  <c r="L9" i="16"/>
  <c r="K9" i="16"/>
  <c r="J9" i="16"/>
  <c r="I9" i="16"/>
  <c r="H9" i="16"/>
  <c r="G9" i="16"/>
  <c r="F9" i="16"/>
  <c r="E9" i="16"/>
  <c r="G74" i="6"/>
  <c r="H74" i="6"/>
  <c r="I74" i="6"/>
  <c r="J74" i="6"/>
  <c r="K74" i="6"/>
  <c r="L74" i="6"/>
  <c r="M74" i="6"/>
  <c r="N74" i="6"/>
  <c r="E34" i="5"/>
  <c r="M57" i="13" l="1"/>
  <c r="L57" i="13"/>
  <c r="K57" i="13"/>
  <c r="P56" i="13"/>
  <c r="O56" i="13"/>
  <c r="N56" i="13"/>
  <c r="M56" i="13"/>
  <c r="L56" i="13"/>
  <c r="K56" i="13"/>
  <c r="J56" i="13"/>
  <c r="I56" i="13"/>
  <c r="H56" i="13"/>
  <c r="G56" i="13"/>
  <c r="P55" i="13"/>
  <c r="O55" i="13"/>
  <c r="N55" i="13"/>
  <c r="M55" i="13"/>
  <c r="L55" i="13"/>
  <c r="K55" i="13"/>
  <c r="P54" i="13"/>
  <c r="O54" i="13"/>
  <c r="N54" i="13"/>
  <c r="M54" i="13"/>
  <c r="L54" i="13"/>
  <c r="K54" i="13"/>
  <c r="J54" i="13"/>
  <c r="I54" i="13"/>
  <c r="H54" i="13"/>
  <c r="G54" i="13"/>
  <c r="P57" i="13"/>
  <c r="O57" i="13"/>
  <c r="N57" i="13"/>
  <c r="O13" i="22"/>
  <c r="N13" i="22"/>
  <c r="M13" i="22"/>
  <c r="L13" i="22"/>
  <c r="K13" i="22"/>
  <c r="J13" i="22"/>
  <c r="I13" i="22"/>
  <c r="H13" i="22"/>
  <c r="G13" i="22"/>
  <c r="F13" i="22"/>
  <c r="F38" i="22"/>
  <c r="K47" i="13"/>
  <c r="J47" i="13"/>
  <c r="I47" i="13"/>
  <c r="H47" i="13"/>
  <c r="G47" i="13"/>
  <c r="F47" i="13"/>
  <c r="E47" i="13"/>
  <c r="D47" i="13"/>
  <c r="K46" i="13"/>
  <c r="J46" i="13"/>
  <c r="I46" i="13"/>
  <c r="H46" i="13"/>
  <c r="G46" i="13"/>
  <c r="F46" i="13"/>
  <c r="E46" i="13"/>
  <c r="D46" i="13"/>
  <c r="E25" i="26"/>
  <c r="D25" i="26"/>
  <c r="C73" i="1" l="1"/>
  <c r="C158" i="6" s="1"/>
  <c r="J49" i="9"/>
  <c r="J48" i="9"/>
  <c r="J46" i="9"/>
  <c r="J45" i="9"/>
  <c r="F47" i="9"/>
  <c r="E47" i="9"/>
  <c r="D47" i="9"/>
  <c r="C47" i="9"/>
  <c r="F50" i="9"/>
  <c r="F51" i="9" s="1"/>
  <c r="E50" i="9"/>
  <c r="D50" i="9"/>
  <c r="C50" i="9"/>
  <c r="I50" i="9"/>
  <c r="H50" i="9"/>
  <c r="G50" i="9"/>
  <c r="I47" i="9"/>
  <c r="H47" i="9"/>
  <c r="G47" i="9"/>
  <c r="I51" i="9" l="1"/>
  <c r="H51" i="9"/>
  <c r="G51" i="9"/>
  <c r="J50" i="9"/>
  <c r="J47" i="9"/>
  <c r="C51" i="9"/>
  <c r="D51" i="9"/>
  <c r="E51" i="9"/>
  <c r="N43" i="6"/>
  <c r="N108" i="6" s="1"/>
  <c r="M43" i="6"/>
  <c r="M108" i="6" s="1"/>
  <c r="L43" i="6"/>
  <c r="L108" i="6" s="1"/>
  <c r="K43" i="6"/>
  <c r="K108" i="6" s="1"/>
  <c r="J43" i="6"/>
  <c r="J108" i="6" s="1"/>
  <c r="I43" i="6"/>
  <c r="I108" i="6" s="1"/>
  <c r="H43" i="6"/>
  <c r="H108" i="6" s="1"/>
  <c r="G43" i="6"/>
  <c r="G108" i="6" s="1"/>
  <c r="F43" i="6"/>
  <c r="F107" i="6" s="1"/>
  <c r="E43" i="6"/>
  <c r="E107" i="6" s="1"/>
  <c r="E38" i="6"/>
  <c r="F106" i="6"/>
  <c r="E106" i="6"/>
  <c r="E134" i="6" s="1"/>
  <c r="D61" i="1"/>
  <c r="F94" i="6" s="1"/>
  <c r="J51" i="9" l="1"/>
  <c r="C61" i="1"/>
  <c r="E94" i="6" s="1"/>
  <c r="D56" i="1"/>
  <c r="E56" i="1" s="1"/>
  <c r="F56" i="1" s="1"/>
  <c r="G56" i="1" s="1"/>
  <c r="H56" i="1" s="1"/>
  <c r="I56" i="1" s="1"/>
  <c r="J56" i="1" s="1"/>
  <c r="K56" i="1" s="1"/>
  <c r="L56" i="1" s="1"/>
  <c r="M56" i="1" s="1"/>
  <c r="C51" i="1"/>
  <c r="E70" i="6" l="1"/>
  <c r="E69" i="6"/>
  <c r="E63" i="6"/>
  <c r="E62" i="6"/>
  <c r="E56" i="6"/>
  <c r="E55" i="6"/>
  <c r="H87" i="9" l="1"/>
  <c r="O20" i="4" s="1"/>
  <c r="C8" i="9"/>
  <c r="D8" i="9" s="1"/>
  <c r="E33" i="1" l="1"/>
  <c r="F33" i="1" s="1"/>
  <c r="G33" i="1" s="1"/>
  <c r="H33" i="1" s="1"/>
  <c r="I33" i="1" s="1"/>
  <c r="J33" i="1" s="1"/>
  <c r="K33" i="1" s="1"/>
  <c r="L33" i="1" s="1"/>
  <c r="M33" i="1" s="1"/>
  <c r="N33" i="1" s="1"/>
  <c r="O33" i="1" s="1"/>
  <c r="E32" i="1"/>
  <c r="F32" i="1" s="1"/>
  <c r="G32" i="1" s="1"/>
  <c r="H32" i="1" s="1"/>
  <c r="I32" i="1" s="1"/>
  <c r="E31" i="1"/>
  <c r="F31" i="1" s="1"/>
  <c r="G31" i="1" s="1"/>
  <c r="H31" i="1" s="1"/>
  <c r="I31" i="1" s="1"/>
  <c r="J31" i="1" s="1"/>
  <c r="D28" i="1"/>
  <c r="E28" i="1" s="1"/>
  <c r="F28" i="1" s="1"/>
  <c r="D27" i="1"/>
  <c r="E27" i="1" s="1"/>
  <c r="D26" i="1"/>
  <c r="E26" i="1" s="1"/>
  <c r="F26" i="1" l="1"/>
  <c r="E27" i="6"/>
  <c r="F27" i="1"/>
  <c r="E28" i="6"/>
  <c r="F21" i="1"/>
  <c r="G28" i="1"/>
  <c r="H28" i="1" s="1"/>
  <c r="I28" i="1" s="1"/>
  <c r="J28" i="1" s="1"/>
  <c r="K28" i="1" s="1"/>
  <c r="L28" i="1" s="1"/>
  <c r="M28" i="1" s="1"/>
  <c r="N28" i="1" s="1"/>
  <c r="O28" i="1" s="1"/>
  <c r="M63" i="3"/>
  <c r="M65" i="3"/>
  <c r="M79" i="3"/>
  <c r="M35" i="3"/>
  <c r="M26" i="3"/>
  <c r="M52" i="3"/>
  <c r="N52" i="3" s="1"/>
  <c r="M30" i="3"/>
  <c r="M73" i="3"/>
  <c r="M56" i="3"/>
  <c r="M43" i="3"/>
  <c r="M106" i="3"/>
  <c r="M49" i="3"/>
  <c r="M23" i="3"/>
  <c r="M25" i="3"/>
  <c r="M28" i="3"/>
  <c r="M90" i="3"/>
  <c r="M76" i="3"/>
  <c r="M44" i="3"/>
  <c r="M75" i="3"/>
  <c r="M19" i="3"/>
  <c r="M101" i="3"/>
  <c r="M59" i="3"/>
  <c r="M39" i="3"/>
  <c r="M84" i="3"/>
  <c r="M117" i="3"/>
  <c r="M83" i="3"/>
  <c r="M46" i="3"/>
  <c r="M103" i="3"/>
  <c r="M22" i="3"/>
  <c r="M77" i="3"/>
  <c r="M33" i="3"/>
  <c r="M91" i="3"/>
  <c r="M107" i="3"/>
  <c r="M31" i="3"/>
  <c r="M97" i="3"/>
  <c r="M80" i="3"/>
  <c r="M37" i="3"/>
  <c r="M112" i="3"/>
  <c r="M105" i="3"/>
  <c r="M99" i="3"/>
  <c r="M36" i="3"/>
  <c r="M71" i="3"/>
  <c r="M78" i="3"/>
  <c r="M58" i="3"/>
  <c r="M96" i="3"/>
  <c r="M88" i="3"/>
  <c r="M57" i="3"/>
  <c r="M20" i="3"/>
  <c r="M61" i="3"/>
  <c r="M64" i="3"/>
  <c r="M29" i="3"/>
  <c r="M102" i="3"/>
  <c r="M24" i="3"/>
  <c r="M42" i="3"/>
  <c r="M100" i="3"/>
  <c r="M95" i="3"/>
  <c r="M21" i="3"/>
  <c r="M68" i="3"/>
  <c r="M108" i="3"/>
  <c r="M74" i="3"/>
  <c r="M82" i="3"/>
  <c r="M109" i="3"/>
  <c r="M53" i="3"/>
  <c r="M34" i="3"/>
  <c r="M47" i="3"/>
  <c r="M41" i="3"/>
  <c r="M89" i="3"/>
  <c r="M69" i="3"/>
  <c r="M38" i="3"/>
  <c r="M116" i="3"/>
  <c r="M70" i="3"/>
  <c r="M94" i="3"/>
  <c r="M40" i="3"/>
  <c r="M54" i="3"/>
  <c r="M72" i="3"/>
  <c r="M27" i="3"/>
  <c r="M85" i="3"/>
  <c r="M92" i="3"/>
  <c r="M51" i="3"/>
  <c r="M115" i="3"/>
  <c r="M62" i="3"/>
  <c r="M32" i="3"/>
  <c r="M118" i="3"/>
  <c r="M110" i="3"/>
  <c r="M87" i="3"/>
  <c r="M60" i="3"/>
  <c r="M50" i="3"/>
  <c r="M104" i="3"/>
  <c r="M67" i="3"/>
  <c r="M48" i="3"/>
  <c r="M66" i="3"/>
  <c r="M113" i="3"/>
  <c r="M45" i="3"/>
  <c r="M114" i="3"/>
  <c r="M98" i="3"/>
  <c r="M86" i="3"/>
  <c r="M111" i="3"/>
  <c r="M93" i="3"/>
  <c r="M81" i="3"/>
  <c r="M55" i="3"/>
  <c r="CX15" i="3"/>
  <c r="CX14" i="3"/>
  <c r="CX13" i="3"/>
  <c r="CX12" i="3"/>
  <c r="CX11" i="3"/>
  <c r="CX10" i="3"/>
  <c r="CX9" i="3"/>
  <c r="CX8" i="3"/>
  <c r="CX7" i="3"/>
  <c r="CX6" i="3"/>
  <c r="CX5" i="3"/>
  <c r="N114" i="3" l="1"/>
  <c r="N48" i="3"/>
  <c r="N60" i="3"/>
  <c r="N32" i="3"/>
  <c r="N92" i="3"/>
  <c r="N54" i="3"/>
  <c r="N116" i="3"/>
  <c r="N41" i="3"/>
  <c r="N109" i="3"/>
  <c r="N68" i="3"/>
  <c r="N42" i="3"/>
  <c r="N64" i="3"/>
  <c r="N88" i="3"/>
  <c r="N71" i="3"/>
  <c r="N112" i="3"/>
  <c r="N31" i="3"/>
  <c r="N77" i="3"/>
  <c r="N83" i="3"/>
  <c r="N59" i="3"/>
  <c r="N44" i="3"/>
  <c r="N25" i="3"/>
  <c r="N43" i="3"/>
  <c r="N65" i="3"/>
  <c r="N93" i="3"/>
  <c r="N111" i="3"/>
  <c r="N45" i="3"/>
  <c r="N67" i="3"/>
  <c r="N87" i="3"/>
  <c r="N62" i="3"/>
  <c r="N85" i="3"/>
  <c r="N40" i="3"/>
  <c r="N38" i="3"/>
  <c r="N47" i="3"/>
  <c r="N82" i="3"/>
  <c r="N21" i="3"/>
  <c r="N24" i="3"/>
  <c r="N61" i="3"/>
  <c r="N96" i="3"/>
  <c r="N36" i="3"/>
  <c r="N37" i="3"/>
  <c r="N107" i="3"/>
  <c r="N22" i="3"/>
  <c r="N117" i="3"/>
  <c r="N101" i="3"/>
  <c r="N76" i="3"/>
  <c r="N23" i="3"/>
  <c r="N56" i="3"/>
  <c r="N26" i="3"/>
  <c r="N63" i="3"/>
  <c r="N55" i="3"/>
  <c r="N86" i="3"/>
  <c r="N113" i="3"/>
  <c r="N104" i="3"/>
  <c r="N110" i="3"/>
  <c r="N115" i="3"/>
  <c r="N27" i="3"/>
  <c r="N94" i="3"/>
  <c r="N69" i="3"/>
  <c r="N34" i="3"/>
  <c r="N74" i="3"/>
  <c r="N95" i="3"/>
  <c r="N102" i="3"/>
  <c r="N20" i="3"/>
  <c r="N58" i="3"/>
  <c r="N99" i="3"/>
  <c r="N80" i="3"/>
  <c r="N91" i="3"/>
  <c r="N103" i="3"/>
  <c r="N84" i="3"/>
  <c r="N19" i="3"/>
  <c r="M119" i="3"/>
  <c r="N90" i="3"/>
  <c r="N49" i="3"/>
  <c r="N73" i="3"/>
  <c r="N35" i="3"/>
  <c r="N81" i="3"/>
  <c r="N98" i="3"/>
  <c r="N66" i="3"/>
  <c r="N50" i="3"/>
  <c r="N118" i="3"/>
  <c r="N51" i="3"/>
  <c r="N72" i="3"/>
  <c r="N70" i="3"/>
  <c r="N89" i="3"/>
  <c r="N53" i="3"/>
  <c r="N108" i="3"/>
  <c r="N100" i="3"/>
  <c r="N29" i="3"/>
  <c r="N57" i="3"/>
  <c r="N78" i="3"/>
  <c r="N105" i="3"/>
  <c r="N97" i="3"/>
  <c r="N33" i="3"/>
  <c r="N46" i="3"/>
  <c r="N39" i="3"/>
  <c r="N75" i="3"/>
  <c r="N28" i="3"/>
  <c r="N106" i="3"/>
  <c r="N30" i="3"/>
  <c r="N79" i="3"/>
  <c r="G27" i="1"/>
  <c r="F28" i="6"/>
  <c r="G26" i="1"/>
  <c r="F27" i="6"/>
  <c r="E12" i="4"/>
  <c r="N119" i="3" l="1"/>
  <c r="H26" i="1"/>
  <c r="G27" i="6"/>
  <c r="H27" i="1"/>
  <c r="G28" i="6"/>
  <c r="I27" i="1" l="1"/>
  <c r="I28" i="6" s="1"/>
  <c r="H28" i="6"/>
  <c r="I26" i="1"/>
  <c r="H27" i="6"/>
  <c r="H82" i="9"/>
  <c r="H90" i="9"/>
  <c r="M1223" i="29"/>
  <c r="I1223" i="29"/>
  <c r="G1223" i="29"/>
  <c r="M1222" i="29"/>
  <c r="I1222" i="29"/>
  <c r="G1222" i="29"/>
  <c r="M1221" i="29"/>
  <c r="I1221" i="29"/>
  <c r="G1221" i="29"/>
  <c r="M1220" i="29"/>
  <c r="I1220" i="29"/>
  <c r="G1220" i="29"/>
  <c r="M1219" i="29"/>
  <c r="I1219" i="29"/>
  <c r="G1219" i="29"/>
  <c r="M1218" i="29"/>
  <c r="I1218" i="29"/>
  <c r="G1218" i="29"/>
  <c r="M1217" i="29"/>
  <c r="I1217" i="29"/>
  <c r="G1217" i="29"/>
  <c r="M1216" i="29"/>
  <c r="I1216" i="29"/>
  <c r="G1216" i="29"/>
  <c r="M1215" i="29"/>
  <c r="I1215" i="29"/>
  <c r="G1215" i="29"/>
  <c r="M1214" i="29"/>
  <c r="I1214" i="29"/>
  <c r="G1214" i="29"/>
  <c r="M1213" i="29"/>
  <c r="I1213" i="29"/>
  <c r="G1213" i="29"/>
  <c r="M1212" i="29"/>
  <c r="I1212" i="29"/>
  <c r="G1212" i="29"/>
  <c r="M1211" i="29"/>
  <c r="I1211" i="29"/>
  <c r="G1211" i="29"/>
  <c r="M1210" i="29"/>
  <c r="I1210" i="29"/>
  <c r="G1210" i="29"/>
  <c r="M1209" i="29"/>
  <c r="I1209" i="29"/>
  <c r="G1209" i="29"/>
  <c r="M1208" i="29"/>
  <c r="I1208" i="29"/>
  <c r="G1208" i="29"/>
  <c r="M1207" i="29"/>
  <c r="I1207" i="29"/>
  <c r="G1207" i="29"/>
  <c r="M1206" i="29"/>
  <c r="I1206" i="29"/>
  <c r="G1206" i="29"/>
  <c r="M1205" i="29"/>
  <c r="I1205" i="29"/>
  <c r="G1205" i="29"/>
  <c r="M1204" i="29"/>
  <c r="I1204" i="29"/>
  <c r="G1204" i="29"/>
  <c r="M1203" i="29"/>
  <c r="I1203" i="29"/>
  <c r="G1203" i="29"/>
  <c r="M1202" i="29"/>
  <c r="I1202" i="29"/>
  <c r="G1202" i="29"/>
  <c r="M1201" i="29"/>
  <c r="I1201" i="29"/>
  <c r="G1201" i="29"/>
  <c r="M1200" i="29"/>
  <c r="I1200" i="29"/>
  <c r="G1200" i="29"/>
  <c r="M1199" i="29"/>
  <c r="I1199" i="29"/>
  <c r="G1199" i="29"/>
  <c r="M1198" i="29"/>
  <c r="I1198" i="29"/>
  <c r="G1198" i="29"/>
  <c r="M1197" i="29"/>
  <c r="I1197" i="29"/>
  <c r="G1197" i="29"/>
  <c r="M1196" i="29"/>
  <c r="I1196" i="29"/>
  <c r="G1196" i="29"/>
  <c r="M1195" i="29"/>
  <c r="I1195" i="29"/>
  <c r="G1195" i="29"/>
  <c r="M1194" i="29"/>
  <c r="I1194" i="29"/>
  <c r="G1194" i="29"/>
  <c r="M1193" i="29"/>
  <c r="I1193" i="29"/>
  <c r="G1193" i="29"/>
  <c r="M1192" i="29"/>
  <c r="I1192" i="29"/>
  <c r="G1192" i="29"/>
  <c r="M1191" i="29"/>
  <c r="I1191" i="29"/>
  <c r="G1191" i="29"/>
  <c r="M1190" i="29"/>
  <c r="I1190" i="29"/>
  <c r="G1190" i="29"/>
  <c r="M1189" i="29"/>
  <c r="I1189" i="29"/>
  <c r="G1189" i="29"/>
  <c r="M1188" i="29"/>
  <c r="I1188" i="29"/>
  <c r="G1188" i="29"/>
  <c r="M1187" i="29"/>
  <c r="I1187" i="29"/>
  <c r="G1187" i="29"/>
  <c r="M1186" i="29"/>
  <c r="I1186" i="29"/>
  <c r="G1186" i="29"/>
  <c r="M1185" i="29"/>
  <c r="I1185" i="29"/>
  <c r="G1185" i="29"/>
  <c r="M1184" i="29"/>
  <c r="I1184" i="29"/>
  <c r="G1184" i="29"/>
  <c r="M1183" i="29"/>
  <c r="I1183" i="29"/>
  <c r="G1183" i="29"/>
  <c r="M1182" i="29"/>
  <c r="I1182" i="29"/>
  <c r="G1182" i="29"/>
  <c r="M1181" i="29"/>
  <c r="I1181" i="29"/>
  <c r="G1181" i="29"/>
  <c r="M1180" i="29"/>
  <c r="I1180" i="29"/>
  <c r="G1180" i="29"/>
  <c r="M1179" i="29"/>
  <c r="I1179" i="29"/>
  <c r="G1179" i="29"/>
  <c r="M1178" i="29"/>
  <c r="I1178" i="29"/>
  <c r="G1178" i="29"/>
  <c r="M1177" i="29"/>
  <c r="I1177" i="29"/>
  <c r="G1177" i="29"/>
  <c r="M1176" i="29"/>
  <c r="I1176" i="29"/>
  <c r="G1176" i="29"/>
  <c r="M1175" i="29"/>
  <c r="I1175" i="29"/>
  <c r="G1175" i="29"/>
  <c r="M1174" i="29"/>
  <c r="I1174" i="29"/>
  <c r="G1174" i="29"/>
  <c r="M1173" i="29"/>
  <c r="I1173" i="29"/>
  <c r="G1173" i="29"/>
  <c r="M1172" i="29"/>
  <c r="I1172" i="29"/>
  <c r="G1172" i="29"/>
  <c r="M1171" i="29"/>
  <c r="I1171" i="29"/>
  <c r="G1171" i="29"/>
  <c r="M1170" i="29"/>
  <c r="I1170" i="29"/>
  <c r="G1170" i="29"/>
  <c r="M1169" i="29"/>
  <c r="I1169" i="29"/>
  <c r="G1169" i="29"/>
  <c r="M1168" i="29"/>
  <c r="I1168" i="29"/>
  <c r="G1168" i="29"/>
  <c r="M1167" i="29"/>
  <c r="I1167" i="29"/>
  <c r="G1167" i="29"/>
  <c r="M1166" i="29"/>
  <c r="I1166" i="29"/>
  <c r="G1166" i="29"/>
  <c r="M1165" i="29"/>
  <c r="I1165" i="29"/>
  <c r="G1165" i="29"/>
  <c r="M1164" i="29"/>
  <c r="I1164" i="29"/>
  <c r="G1164" i="29"/>
  <c r="M1163" i="29"/>
  <c r="I1163" i="29"/>
  <c r="G1163" i="29"/>
  <c r="M1162" i="29"/>
  <c r="I1162" i="29"/>
  <c r="G1162" i="29"/>
  <c r="M1161" i="29"/>
  <c r="I1161" i="29"/>
  <c r="G1161" i="29"/>
  <c r="M1160" i="29"/>
  <c r="I1160" i="29"/>
  <c r="G1160" i="29"/>
  <c r="M1159" i="29"/>
  <c r="I1159" i="29"/>
  <c r="G1159" i="29"/>
  <c r="M1158" i="29"/>
  <c r="I1158" i="29"/>
  <c r="G1158" i="29"/>
  <c r="M1157" i="29"/>
  <c r="I1157" i="29"/>
  <c r="G1157" i="29"/>
  <c r="M1156" i="29"/>
  <c r="I1156" i="29"/>
  <c r="G1156" i="29"/>
  <c r="M1155" i="29"/>
  <c r="I1155" i="29"/>
  <c r="G1155" i="29"/>
  <c r="M1154" i="29"/>
  <c r="I1154" i="29"/>
  <c r="G1154" i="29"/>
  <c r="M1153" i="29"/>
  <c r="I1153" i="29"/>
  <c r="G1153" i="29"/>
  <c r="M1152" i="29"/>
  <c r="I1152" i="29"/>
  <c r="G1152" i="29"/>
  <c r="M1151" i="29"/>
  <c r="I1151" i="29"/>
  <c r="G1151" i="29"/>
  <c r="M1150" i="29"/>
  <c r="I1150" i="29"/>
  <c r="G1150" i="29"/>
  <c r="M1149" i="29"/>
  <c r="I1149" i="29"/>
  <c r="G1149" i="29"/>
  <c r="M1148" i="29"/>
  <c r="I1148" i="29"/>
  <c r="G1148" i="29"/>
  <c r="M1147" i="29"/>
  <c r="I1147" i="29"/>
  <c r="G1147" i="29"/>
  <c r="M1146" i="29"/>
  <c r="I1146" i="29"/>
  <c r="G1146" i="29"/>
  <c r="M1145" i="29"/>
  <c r="I1145" i="29"/>
  <c r="G1145" i="29"/>
  <c r="M1144" i="29"/>
  <c r="I1144" i="29"/>
  <c r="G1144" i="29"/>
  <c r="M1143" i="29"/>
  <c r="I1143" i="29"/>
  <c r="G1143" i="29"/>
  <c r="M1142" i="29"/>
  <c r="I1142" i="29"/>
  <c r="G1142" i="29"/>
  <c r="M1141" i="29"/>
  <c r="I1141" i="29"/>
  <c r="G1141" i="29"/>
  <c r="M1140" i="29"/>
  <c r="I1140" i="29"/>
  <c r="G1140" i="29"/>
  <c r="M1139" i="29"/>
  <c r="I1139" i="29"/>
  <c r="G1139" i="29"/>
  <c r="M1138" i="29"/>
  <c r="I1138" i="29"/>
  <c r="G1138" i="29"/>
  <c r="M1137" i="29"/>
  <c r="I1137" i="29"/>
  <c r="G1137" i="29"/>
  <c r="M1136" i="29"/>
  <c r="I1136" i="29"/>
  <c r="G1136" i="29"/>
  <c r="M1135" i="29"/>
  <c r="I1135" i="29"/>
  <c r="G1135" i="29"/>
  <c r="M1134" i="29"/>
  <c r="I1134" i="29"/>
  <c r="G1134" i="29"/>
  <c r="M1133" i="29"/>
  <c r="I1133" i="29"/>
  <c r="G1133" i="29"/>
  <c r="M1132" i="29"/>
  <c r="I1132" i="29"/>
  <c r="G1132" i="29"/>
  <c r="M1131" i="29"/>
  <c r="I1131" i="29"/>
  <c r="G1131" i="29"/>
  <c r="M1130" i="29"/>
  <c r="I1130" i="29"/>
  <c r="G1130" i="29"/>
  <c r="M1129" i="29"/>
  <c r="I1129" i="29"/>
  <c r="G1129" i="29"/>
  <c r="M1128" i="29"/>
  <c r="I1128" i="29"/>
  <c r="G1128" i="29"/>
  <c r="M1127" i="29"/>
  <c r="I1127" i="29"/>
  <c r="G1127" i="29"/>
  <c r="M1126" i="29"/>
  <c r="I1126" i="29"/>
  <c r="G1126" i="29"/>
  <c r="M1125" i="29"/>
  <c r="I1125" i="29"/>
  <c r="G1125" i="29"/>
  <c r="M1124" i="29"/>
  <c r="I1124" i="29"/>
  <c r="G1124" i="29"/>
  <c r="M1123" i="29"/>
  <c r="I1123" i="29"/>
  <c r="G1123" i="29"/>
  <c r="M1122" i="29"/>
  <c r="I1122" i="29"/>
  <c r="G1122" i="29"/>
  <c r="M1121" i="29"/>
  <c r="I1121" i="29"/>
  <c r="G1121" i="29"/>
  <c r="M1120" i="29"/>
  <c r="I1120" i="29"/>
  <c r="G1120" i="29"/>
  <c r="M1119" i="29"/>
  <c r="I1119" i="29"/>
  <c r="G1119" i="29"/>
  <c r="M1118" i="29"/>
  <c r="I1118" i="29"/>
  <c r="G1118" i="29"/>
  <c r="M1117" i="29"/>
  <c r="I1117" i="29"/>
  <c r="G1117" i="29"/>
  <c r="M1116" i="29"/>
  <c r="I1116" i="29"/>
  <c r="G1116" i="29"/>
  <c r="M1115" i="29"/>
  <c r="I1115" i="29"/>
  <c r="G1115" i="29"/>
  <c r="M1114" i="29"/>
  <c r="I1114" i="29"/>
  <c r="G1114" i="29"/>
  <c r="M1113" i="29"/>
  <c r="I1113" i="29"/>
  <c r="G1113" i="29"/>
  <c r="M1112" i="29"/>
  <c r="I1112" i="29"/>
  <c r="G1112" i="29"/>
  <c r="M1111" i="29"/>
  <c r="I1111" i="29"/>
  <c r="G1111" i="29"/>
  <c r="M1110" i="29"/>
  <c r="I1110" i="29"/>
  <c r="G1110" i="29"/>
  <c r="M1109" i="29"/>
  <c r="I1109" i="29"/>
  <c r="G1109" i="29"/>
  <c r="M1108" i="29"/>
  <c r="I1108" i="29"/>
  <c r="G1108" i="29"/>
  <c r="M1107" i="29"/>
  <c r="I1107" i="29"/>
  <c r="G1107" i="29"/>
  <c r="M1106" i="29"/>
  <c r="I1106" i="29"/>
  <c r="G1106" i="29"/>
  <c r="M1105" i="29"/>
  <c r="I1105" i="29"/>
  <c r="G1105" i="29"/>
  <c r="M1104" i="29"/>
  <c r="I1104" i="29"/>
  <c r="G1104" i="29"/>
  <c r="M1103" i="29"/>
  <c r="I1103" i="29"/>
  <c r="G1103" i="29"/>
  <c r="M1102" i="29"/>
  <c r="I1102" i="29"/>
  <c r="G1102" i="29"/>
  <c r="M1101" i="29"/>
  <c r="I1101" i="29"/>
  <c r="G1101" i="29"/>
  <c r="M1100" i="29"/>
  <c r="I1100" i="29"/>
  <c r="G1100" i="29"/>
  <c r="M1099" i="29"/>
  <c r="I1099" i="29"/>
  <c r="G1099" i="29"/>
  <c r="M1098" i="29"/>
  <c r="I1098" i="29"/>
  <c r="G1098" i="29"/>
  <c r="M1097" i="29"/>
  <c r="I1097" i="29"/>
  <c r="G1097" i="29"/>
  <c r="M1096" i="29"/>
  <c r="I1096" i="29"/>
  <c r="G1096" i="29"/>
  <c r="M1095" i="29"/>
  <c r="I1095" i="29"/>
  <c r="G1095" i="29"/>
  <c r="M1094" i="29"/>
  <c r="I1094" i="29"/>
  <c r="G1094" i="29"/>
  <c r="M1093" i="29"/>
  <c r="I1093" i="29"/>
  <c r="G1093" i="29"/>
  <c r="M1092" i="29"/>
  <c r="I1092" i="29"/>
  <c r="G1092" i="29"/>
  <c r="M1091" i="29"/>
  <c r="I1091" i="29"/>
  <c r="G1091" i="29"/>
  <c r="M1090" i="29"/>
  <c r="I1090" i="29"/>
  <c r="G1090" i="29"/>
  <c r="M1089" i="29"/>
  <c r="I1089" i="29"/>
  <c r="G1089" i="29"/>
  <c r="M1088" i="29"/>
  <c r="I1088" i="29"/>
  <c r="G1088" i="29"/>
  <c r="M1087" i="29"/>
  <c r="I1087" i="29"/>
  <c r="G1087" i="29"/>
  <c r="M1086" i="29"/>
  <c r="I1086" i="29"/>
  <c r="G1086" i="29"/>
  <c r="M1085" i="29"/>
  <c r="I1085" i="29"/>
  <c r="G1085" i="29"/>
  <c r="M1084" i="29"/>
  <c r="I1084" i="29"/>
  <c r="G1084" i="29"/>
  <c r="M1083" i="29"/>
  <c r="I1083" i="29"/>
  <c r="G1083" i="29"/>
  <c r="M1082" i="29"/>
  <c r="I1082" i="29"/>
  <c r="G1082" i="29"/>
  <c r="M1081" i="29"/>
  <c r="I1081" i="29"/>
  <c r="G1081" i="29"/>
  <c r="M1080" i="29"/>
  <c r="I1080" i="29"/>
  <c r="G1080" i="29"/>
  <c r="M1079" i="29"/>
  <c r="I1079" i="29"/>
  <c r="G1079" i="29"/>
  <c r="M1078" i="29"/>
  <c r="I1078" i="29"/>
  <c r="G1078" i="29"/>
  <c r="M1077" i="29"/>
  <c r="I1077" i="29"/>
  <c r="G1077" i="29"/>
  <c r="M1076" i="29"/>
  <c r="I1076" i="29"/>
  <c r="G1076" i="29"/>
  <c r="M1075" i="29"/>
  <c r="I1075" i="29"/>
  <c r="G1075" i="29"/>
  <c r="M1074" i="29"/>
  <c r="I1074" i="29"/>
  <c r="G1074" i="29"/>
  <c r="M1073" i="29"/>
  <c r="I1073" i="29"/>
  <c r="G1073" i="29"/>
  <c r="M1072" i="29"/>
  <c r="I1072" i="29"/>
  <c r="G1072" i="29"/>
  <c r="M1071" i="29"/>
  <c r="I1071" i="29"/>
  <c r="G1071" i="29"/>
  <c r="M1070" i="29"/>
  <c r="I1070" i="29"/>
  <c r="G1070" i="29"/>
  <c r="M1069" i="29"/>
  <c r="I1069" i="29"/>
  <c r="G1069" i="29"/>
  <c r="M1068" i="29"/>
  <c r="I1068" i="29"/>
  <c r="G1068" i="29"/>
  <c r="M1067" i="29"/>
  <c r="I1067" i="29"/>
  <c r="G1067" i="29"/>
  <c r="M1066" i="29"/>
  <c r="I1066" i="29"/>
  <c r="G1066" i="29"/>
  <c r="M1065" i="29"/>
  <c r="I1065" i="29"/>
  <c r="G1065" i="29"/>
  <c r="M1064" i="29"/>
  <c r="I1064" i="29"/>
  <c r="G1064" i="29"/>
  <c r="M1063" i="29"/>
  <c r="I1063" i="29"/>
  <c r="G1063" i="29"/>
  <c r="M1062" i="29"/>
  <c r="I1062" i="29"/>
  <c r="G1062" i="29"/>
  <c r="M1061" i="29"/>
  <c r="I1061" i="29"/>
  <c r="G1061" i="29"/>
  <c r="M1060" i="29"/>
  <c r="I1060" i="29"/>
  <c r="G1060" i="29"/>
  <c r="M1059" i="29"/>
  <c r="I1059" i="29"/>
  <c r="G1059" i="29"/>
  <c r="M1058" i="29"/>
  <c r="I1058" i="29"/>
  <c r="G1058" i="29"/>
  <c r="M1057" i="29"/>
  <c r="I1057" i="29"/>
  <c r="G1057" i="29"/>
  <c r="M1056" i="29"/>
  <c r="I1056" i="29"/>
  <c r="G1056" i="29"/>
  <c r="M1055" i="29"/>
  <c r="I1055" i="29"/>
  <c r="G1055" i="29"/>
  <c r="M1054" i="29"/>
  <c r="I1054" i="29"/>
  <c r="G1054" i="29"/>
  <c r="M1053" i="29"/>
  <c r="I1053" i="29"/>
  <c r="G1053" i="29"/>
  <c r="M1052" i="29"/>
  <c r="I1052" i="29"/>
  <c r="G1052" i="29"/>
  <c r="M1051" i="29"/>
  <c r="I1051" i="29"/>
  <c r="G1051" i="29"/>
  <c r="M1050" i="29"/>
  <c r="I1050" i="29"/>
  <c r="G1050" i="29"/>
  <c r="M1049" i="29"/>
  <c r="I1049" i="29"/>
  <c r="G1049" i="29"/>
  <c r="M1048" i="29"/>
  <c r="I1048" i="29"/>
  <c r="G1048" i="29"/>
  <c r="M1047" i="29"/>
  <c r="I1047" i="29"/>
  <c r="G1047" i="29"/>
  <c r="M1046" i="29"/>
  <c r="I1046" i="29"/>
  <c r="G1046" i="29"/>
  <c r="M1045" i="29"/>
  <c r="I1045" i="29"/>
  <c r="G1045" i="29"/>
  <c r="M1044" i="29"/>
  <c r="I1044" i="29"/>
  <c r="G1044" i="29"/>
  <c r="M1043" i="29"/>
  <c r="I1043" i="29"/>
  <c r="G1043" i="29"/>
  <c r="M1042" i="29"/>
  <c r="I1042" i="29"/>
  <c r="G1042" i="29"/>
  <c r="M1041" i="29"/>
  <c r="I1041" i="29"/>
  <c r="G1041" i="29"/>
  <c r="M1040" i="29"/>
  <c r="I1040" i="29"/>
  <c r="G1040" i="29"/>
  <c r="M1039" i="29"/>
  <c r="I1039" i="29"/>
  <c r="G1039" i="29"/>
  <c r="M1038" i="29"/>
  <c r="I1038" i="29"/>
  <c r="G1038" i="29"/>
  <c r="M1037" i="29"/>
  <c r="I1037" i="29"/>
  <c r="G1037" i="29"/>
  <c r="M1036" i="29"/>
  <c r="I1036" i="29"/>
  <c r="G1036" i="29"/>
  <c r="M1035" i="29"/>
  <c r="I1035" i="29"/>
  <c r="G1035" i="29"/>
  <c r="M1034" i="29"/>
  <c r="I1034" i="29"/>
  <c r="G1034" i="29"/>
  <c r="M1033" i="29"/>
  <c r="I1033" i="29"/>
  <c r="G1033" i="29"/>
  <c r="M1032" i="29"/>
  <c r="I1032" i="29"/>
  <c r="G1032" i="29"/>
  <c r="M1031" i="29"/>
  <c r="I1031" i="29"/>
  <c r="G1031" i="29"/>
  <c r="M1030" i="29"/>
  <c r="I1030" i="29"/>
  <c r="G1030" i="29"/>
  <c r="M1029" i="29"/>
  <c r="I1029" i="29"/>
  <c r="G1029" i="29"/>
  <c r="M1028" i="29"/>
  <c r="I1028" i="29"/>
  <c r="G1028" i="29"/>
  <c r="M1027" i="29"/>
  <c r="I1027" i="29"/>
  <c r="G1027" i="29"/>
  <c r="M1026" i="29"/>
  <c r="I1026" i="29"/>
  <c r="G1026" i="29"/>
  <c r="M1025" i="29"/>
  <c r="I1025" i="29"/>
  <c r="G1025" i="29"/>
  <c r="M1024" i="29"/>
  <c r="I1024" i="29"/>
  <c r="G1024" i="29"/>
  <c r="M1023" i="29"/>
  <c r="I1023" i="29"/>
  <c r="G1023" i="29"/>
  <c r="M1022" i="29"/>
  <c r="I1022" i="29"/>
  <c r="G1022" i="29"/>
  <c r="M1021" i="29"/>
  <c r="I1021" i="29"/>
  <c r="G1021" i="29"/>
  <c r="M1020" i="29"/>
  <c r="I1020" i="29"/>
  <c r="G1020" i="29"/>
  <c r="M1019" i="29"/>
  <c r="I1019" i="29"/>
  <c r="G1019" i="29"/>
  <c r="M1018" i="29"/>
  <c r="I1018" i="29"/>
  <c r="G1018" i="29"/>
  <c r="M1017" i="29"/>
  <c r="I1017" i="29"/>
  <c r="G1017" i="29"/>
  <c r="M1016" i="29"/>
  <c r="I1016" i="29"/>
  <c r="G1016" i="29"/>
  <c r="M1015" i="29"/>
  <c r="I1015" i="29"/>
  <c r="G1015" i="29"/>
  <c r="M1014" i="29"/>
  <c r="I1014" i="29"/>
  <c r="G1014" i="29"/>
  <c r="M1013" i="29"/>
  <c r="I1013" i="29"/>
  <c r="G1013" i="29"/>
  <c r="M1012" i="29"/>
  <c r="I1012" i="29"/>
  <c r="G1012" i="29"/>
  <c r="M1011" i="29"/>
  <c r="I1011" i="29"/>
  <c r="G1011" i="29"/>
  <c r="M1010" i="29"/>
  <c r="I1010" i="29"/>
  <c r="G1010" i="29"/>
  <c r="M1009" i="29"/>
  <c r="I1009" i="29"/>
  <c r="G1009" i="29"/>
  <c r="M1008" i="29"/>
  <c r="I1008" i="29"/>
  <c r="G1008" i="29"/>
  <c r="M1007" i="29"/>
  <c r="I1007" i="29"/>
  <c r="G1007" i="29"/>
  <c r="M1006" i="29"/>
  <c r="I1006" i="29"/>
  <c r="G1006" i="29"/>
  <c r="M1005" i="29"/>
  <c r="I1005" i="29"/>
  <c r="G1005" i="29"/>
  <c r="M1004" i="29"/>
  <c r="I1004" i="29"/>
  <c r="G1004" i="29"/>
  <c r="M1003" i="29"/>
  <c r="I1003" i="29"/>
  <c r="G1003" i="29"/>
  <c r="M1002" i="29"/>
  <c r="I1002" i="29"/>
  <c r="G1002" i="29"/>
  <c r="M1001" i="29"/>
  <c r="I1001" i="29"/>
  <c r="G1001" i="29"/>
  <c r="M1000" i="29"/>
  <c r="I1000" i="29"/>
  <c r="G1000" i="29"/>
  <c r="M999" i="29"/>
  <c r="I999" i="29"/>
  <c r="G999" i="29"/>
  <c r="M998" i="29"/>
  <c r="I998" i="29"/>
  <c r="G998" i="29"/>
  <c r="M997" i="29"/>
  <c r="I997" i="29"/>
  <c r="G997" i="29"/>
  <c r="M996" i="29"/>
  <c r="I996" i="29"/>
  <c r="G996" i="29"/>
  <c r="M995" i="29"/>
  <c r="I995" i="29"/>
  <c r="G995" i="29"/>
  <c r="M994" i="29"/>
  <c r="I994" i="29"/>
  <c r="G994" i="29"/>
  <c r="M993" i="29"/>
  <c r="I993" i="29"/>
  <c r="G993" i="29"/>
  <c r="M992" i="29"/>
  <c r="I992" i="29"/>
  <c r="G992" i="29"/>
  <c r="M991" i="29"/>
  <c r="I991" i="29"/>
  <c r="G991" i="29"/>
  <c r="M990" i="29"/>
  <c r="I990" i="29"/>
  <c r="G990" i="29"/>
  <c r="M989" i="29"/>
  <c r="I989" i="29"/>
  <c r="G989" i="29"/>
  <c r="M988" i="29"/>
  <c r="I988" i="29"/>
  <c r="G988" i="29"/>
  <c r="M987" i="29"/>
  <c r="I987" i="29"/>
  <c r="G987" i="29"/>
  <c r="M986" i="29"/>
  <c r="I986" i="29"/>
  <c r="G986" i="29"/>
  <c r="M985" i="29"/>
  <c r="I985" i="29"/>
  <c r="G985" i="29"/>
  <c r="M984" i="29"/>
  <c r="I984" i="29"/>
  <c r="G984" i="29"/>
  <c r="M983" i="29"/>
  <c r="I983" i="29"/>
  <c r="G983" i="29"/>
  <c r="M982" i="29"/>
  <c r="I982" i="29"/>
  <c r="G982" i="29"/>
  <c r="M981" i="29"/>
  <c r="I981" i="29"/>
  <c r="G981" i="29"/>
  <c r="M980" i="29"/>
  <c r="I980" i="29"/>
  <c r="G980" i="29"/>
  <c r="M979" i="29"/>
  <c r="I979" i="29"/>
  <c r="G979" i="29"/>
  <c r="M978" i="29"/>
  <c r="I978" i="29"/>
  <c r="G978" i="29"/>
  <c r="M977" i="29"/>
  <c r="I977" i="29"/>
  <c r="G977" i="29"/>
  <c r="M976" i="29"/>
  <c r="I976" i="29"/>
  <c r="G976" i="29"/>
  <c r="M975" i="29"/>
  <c r="I975" i="29"/>
  <c r="G975" i="29"/>
  <c r="M974" i="29"/>
  <c r="I974" i="29"/>
  <c r="G974" i="29"/>
  <c r="M973" i="29"/>
  <c r="I973" i="29"/>
  <c r="G973" i="29"/>
  <c r="M972" i="29"/>
  <c r="I972" i="29"/>
  <c r="G972" i="29"/>
  <c r="M971" i="29"/>
  <c r="I971" i="29"/>
  <c r="G971" i="29"/>
  <c r="M970" i="29"/>
  <c r="I970" i="29"/>
  <c r="G970" i="29"/>
  <c r="M969" i="29"/>
  <c r="I969" i="29"/>
  <c r="G969" i="29"/>
  <c r="M968" i="29"/>
  <c r="I968" i="29"/>
  <c r="G968" i="29"/>
  <c r="M967" i="29"/>
  <c r="I967" i="29"/>
  <c r="G967" i="29"/>
  <c r="M966" i="29"/>
  <c r="I966" i="29"/>
  <c r="G966" i="29"/>
  <c r="M965" i="29"/>
  <c r="I965" i="29"/>
  <c r="G965" i="29"/>
  <c r="M964" i="29"/>
  <c r="I964" i="29"/>
  <c r="G964" i="29"/>
  <c r="M963" i="29"/>
  <c r="I963" i="29"/>
  <c r="G963" i="29"/>
  <c r="M962" i="29"/>
  <c r="I962" i="29"/>
  <c r="G962" i="29"/>
  <c r="M961" i="29"/>
  <c r="I961" i="29"/>
  <c r="G961" i="29"/>
  <c r="M960" i="29"/>
  <c r="I960" i="29"/>
  <c r="G960" i="29"/>
  <c r="M959" i="29"/>
  <c r="I959" i="29"/>
  <c r="G959" i="29"/>
  <c r="M958" i="29"/>
  <c r="I958" i="29"/>
  <c r="G958" i="29"/>
  <c r="M957" i="29"/>
  <c r="I957" i="29"/>
  <c r="G957" i="29"/>
  <c r="M956" i="29"/>
  <c r="I956" i="29"/>
  <c r="G956" i="29"/>
  <c r="M955" i="29"/>
  <c r="I955" i="29"/>
  <c r="G955" i="29"/>
  <c r="M954" i="29"/>
  <c r="I954" i="29"/>
  <c r="G954" i="29"/>
  <c r="M953" i="29"/>
  <c r="I953" i="29"/>
  <c r="G953" i="29"/>
  <c r="M952" i="29"/>
  <c r="I952" i="29"/>
  <c r="G952" i="29"/>
  <c r="M951" i="29"/>
  <c r="I951" i="29"/>
  <c r="G951" i="29"/>
  <c r="M950" i="29"/>
  <c r="I950" i="29"/>
  <c r="G950" i="29"/>
  <c r="M949" i="29"/>
  <c r="I949" i="29"/>
  <c r="G949" i="29"/>
  <c r="M948" i="29"/>
  <c r="I948" i="29"/>
  <c r="G948" i="29"/>
  <c r="M947" i="29"/>
  <c r="I947" i="29"/>
  <c r="G947" i="29"/>
  <c r="M946" i="29"/>
  <c r="I946" i="29"/>
  <c r="G946" i="29"/>
  <c r="M945" i="29"/>
  <c r="I945" i="29"/>
  <c r="G945" i="29"/>
  <c r="M944" i="29"/>
  <c r="I944" i="29"/>
  <c r="G944" i="29"/>
  <c r="M943" i="29"/>
  <c r="I943" i="29"/>
  <c r="G943" i="29"/>
  <c r="M942" i="29"/>
  <c r="I942" i="29"/>
  <c r="G942" i="29"/>
  <c r="M941" i="29"/>
  <c r="I941" i="29"/>
  <c r="G941" i="29"/>
  <c r="M940" i="29"/>
  <c r="I940" i="29"/>
  <c r="G940" i="29"/>
  <c r="M939" i="29"/>
  <c r="I939" i="29"/>
  <c r="G939" i="29"/>
  <c r="M938" i="29"/>
  <c r="I938" i="29"/>
  <c r="G938" i="29"/>
  <c r="M937" i="29"/>
  <c r="I937" i="29"/>
  <c r="G937" i="29"/>
  <c r="M936" i="29"/>
  <c r="I936" i="29"/>
  <c r="G936" i="29"/>
  <c r="M935" i="29"/>
  <c r="I935" i="29"/>
  <c r="G935" i="29"/>
  <c r="M934" i="29"/>
  <c r="I934" i="29"/>
  <c r="G934" i="29"/>
  <c r="M933" i="29"/>
  <c r="I933" i="29"/>
  <c r="G933" i="29"/>
  <c r="M932" i="29"/>
  <c r="I932" i="29"/>
  <c r="G932" i="29"/>
  <c r="M931" i="29"/>
  <c r="I931" i="29"/>
  <c r="G931" i="29"/>
  <c r="M930" i="29"/>
  <c r="I930" i="29"/>
  <c r="G930" i="29"/>
  <c r="M929" i="29"/>
  <c r="I929" i="29"/>
  <c r="G929" i="29"/>
  <c r="M928" i="29"/>
  <c r="I928" i="29"/>
  <c r="G928" i="29"/>
  <c r="M927" i="29"/>
  <c r="I927" i="29"/>
  <c r="G927" i="29"/>
  <c r="M926" i="29"/>
  <c r="I926" i="29"/>
  <c r="G926" i="29"/>
  <c r="M925" i="29"/>
  <c r="I925" i="29"/>
  <c r="G925" i="29"/>
  <c r="M924" i="29"/>
  <c r="I924" i="29"/>
  <c r="G924" i="29"/>
  <c r="M923" i="29"/>
  <c r="I923" i="29"/>
  <c r="G923" i="29"/>
  <c r="M922" i="29"/>
  <c r="I922" i="29"/>
  <c r="G922" i="29"/>
  <c r="M921" i="29"/>
  <c r="I921" i="29"/>
  <c r="G921" i="29"/>
  <c r="M920" i="29"/>
  <c r="I920" i="29"/>
  <c r="G920" i="29"/>
  <c r="M919" i="29"/>
  <c r="I919" i="29"/>
  <c r="G919" i="29"/>
  <c r="M918" i="29"/>
  <c r="I918" i="29"/>
  <c r="G918" i="29"/>
  <c r="M917" i="29"/>
  <c r="I917" i="29"/>
  <c r="G917" i="29"/>
  <c r="M916" i="29"/>
  <c r="I916" i="29"/>
  <c r="G916" i="29"/>
  <c r="M915" i="29"/>
  <c r="I915" i="29"/>
  <c r="G915" i="29"/>
  <c r="M914" i="29"/>
  <c r="I914" i="29"/>
  <c r="G914" i="29"/>
  <c r="M913" i="29"/>
  <c r="I913" i="29"/>
  <c r="G913" i="29"/>
  <c r="M912" i="29"/>
  <c r="I912" i="29"/>
  <c r="G912" i="29"/>
  <c r="M911" i="29"/>
  <c r="I911" i="29"/>
  <c r="G911" i="29"/>
  <c r="M910" i="29"/>
  <c r="I910" i="29"/>
  <c r="G910" i="29"/>
  <c r="M909" i="29"/>
  <c r="I909" i="29"/>
  <c r="G909" i="29"/>
  <c r="M908" i="29"/>
  <c r="I908" i="29"/>
  <c r="G908" i="29"/>
  <c r="M907" i="29"/>
  <c r="I907" i="29"/>
  <c r="G907" i="29"/>
  <c r="M906" i="29"/>
  <c r="I906" i="29"/>
  <c r="G906" i="29"/>
  <c r="M905" i="29"/>
  <c r="I905" i="29"/>
  <c r="G905" i="29"/>
  <c r="M904" i="29"/>
  <c r="I904" i="29"/>
  <c r="G904" i="29"/>
  <c r="M903" i="29"/>
  <c r="I903" i="29"/>
  <c r="G903" i="29"/>
  <c r="M902" i="29"/>
  <c r="I902" i="29"/>
  <c r="G902" i="29"/>
  <c r="M901" i="29"/>
  <c r="I901" i="29"/>
  <c r="G901" i="29"/>
  <c r="M900" i="29"/>
  <c r="I900" i="29"/>
  <c r="G900" i="29"/>
  <c r="M899" i="29"/>
  <c r="I899" i="29"/>
  <c r="G899" i="29"/>
  <c r="M898" i="29"/>
  <c r="I898" i="29"/>
  <c r="G898" i="29"/>
  <c r="M897" i="29"/>
  <c r="I897" i="29"/>
  <c r="G897" i="29"/>
  <c r="M896" i="29"/>
  <c r="I896" i="29"/>
  <c r="G896" i="29"/>
  <c r="M895" i="29"/>
  <c r="I895" i="29"/>
  <c r="G895" i="29"/>
  <c r="M894" i="29"/>
  <c r="I894" i="29"/>
  <c r="G894" i="29"/>
  <c r="M893" i="29"/>
  <c r="I893" i="29"/>
  <c r="G893" i="29"/>
  <c r="M892" i="29"/>
  <c r="I892" i="29"/>
  <c r="G892" i="29"/>
  <c r="M891" i="29"/>
  <c r="I891" i="29"/>
  <c r="G891" i="29"/>
  <c r="M890" i="29"/>
  <c r="I890" i="29"/>
  <c r="G890" i="29"/>
  <c r="M889" i="29"/>
  <c r="I889" i="29"/>
  <c r="G889" i="29"/>
  <c r="M888" i="29"/>
  <c r="I888" i="29"/>
  <c r="G888" i="29"/>
  <c r="M887" i="29"/>
  <c r="I887" i="29"/>
  <c r="G887" i="29"/>
  <c r="M886" i="29"/>
  <c r="I886" i="29"/>
  <c r="G886" i="29"/>
  <c r="M885" i="29"/>
  <c r="I885" i="29"/>
  <c r="G885" i="29"/>
  <c r="M884" i="29"/>
  <c r="I884" i="29"/>
  <c r="G884" i="29"/>
  <c r="M883" i="29"/>
  <c r="I883" i="29"/>
  <c r="G883" i="29"/>
  <c r="M882" i="29"/>
  <c r="I882" i="29"/>
  <c r="G882" i="29"/>
  <c r="M881" i="29"/>
  <c r="I881" i="29"/>
  <c r="G881" i="29"/>
  <c r="M880" i="29"/>
  <c r="I880" i="29"/>
  <c r="G880" i="29"/>
  <c r="M879" i="29"/>
  <c r="I879" i="29"/>
  <c r="G879" i="29"/>
  <c r="M878" i="29"/>
  <c r="I878" i="29"/>
  <c r="G878" i="29"/>
  <c r="M877" i="29"/>
  <c r="I877" i="29"/>
  <c r="G877" i="29"/>
  <c r="M876" i="29"/>
  <c r="I876" i="29"/>
  <c r="G876" i="29"/>
  <c r="M875" i="29"/>
  <c r="I875" i="29"/>
  <c r="G875" i="29"/>
  <c r="M874" i="29"/>
  <c r="I874" i="29"/>
  <c r="G874" i="29"/>
  <c r="M873" i="29"/>
  <c r="I873" i="29"/>
  <c r="G873" i="29"/>
  <c r="M872" i="29"/>
  <c r="I872" i="29"/>
  <c r="G872" i="29"/>
  <c r="M871" i="29"/>
  <c r="I871" i="29"/>
  <c r="G871" i="29"/>
  <c r="M870" i="29"/>
  <c r="I870" i="29"/>
  <c r="G870" i="29"/>
  <c r="M869" i="29"/>
  <c r="I869" i="29"/>
  <c r="G869" i="29"/>
  <c r="M868" i="29"/>
  <c r="I868" i="29"/>
  <c r="G868" i="29"/>
  <c r="M867" i="29"/>
  <c r="I867" i="29"/>
  <c r="G867" i="29"/>
  <c r="M866" i="29"/>
  <c r="I866" i="29"/>
  <c r="G866" i="29"/>
  <c r="M865" i="29"/>
  <c r="I865" i="29"/>
  <c r="G865" i="29"/>
  <c r="M864" i="29"/>
  <c r="I864" i="29"/>
  <c r="G864" i="29"/>
  <c r="M863" i="29"/>
  <c r="I863" i="29"/>
  <c r="G863" i="29"/>
  <c r="M862" i="29"/>
  <c r="I862" i="29"/>
  <c r="G862" i="29"/>
  <c r="M861" i="29"/>
  <c r="I861" i="29"/>
  <c r="G861" i="29"/>
  <c r="M860" i="29"/>
  <c r="I860" i="29"/>
  <c r="G860" i="29"/>
  <c r="M859" i="29"/>
  <c r="I859" i="29"/>
  <c r="G859" i="29"/>
  <c r="M858" i="29"/>
  <c r="I858" i="29"/>
  <c r="G858" i="29"/>
  <c r="M857" i="29"/>
  <c r="I857" i="29"/>
  <c r="G857" i="29"/>
  <c r="M856" i="29"/>
  <c r="I856" i="29"/>
  <c r="G856" i="29"/>
  <c r="M855" i="29"/>
  <c r="I855" i="29"/>
  <c r="G855" i="29"/>
  <c r="M854" i="29"/>
  <c r="I854" i="29"/>
  <c r="G854" i="29"/>
  <c r="M853" i="29"/>
  <c r="I853" i="29"/>
  <c r="G853" i="29"/>
  <c r="M852" i="29"/>
  <c r="I852" i="29"/>
  <c r="G852" i="29"/>
  <c r="M851" i="29"/>
  <c r="I851" i="29"/>
  <c r="G851" i="29"/>
  <c r="M850" i="29"/>
  <c r="I850" i="29"/>
  <c r="G850" i="29"/>
  <c r="M849" i="29"/>
  <c r="I849" i="29"/>
  <c r="G849" i="29"/>
  <c r="M848" i="29"/>
  <c r="I848" i="29"/>
  <c r="G848" i="29"/>
  <c r="M847" i="29"/>
  <c r="I847" i="29"/>
  <c r="G847" i="29"/>
  <c r="M846" i="29"/>
  <c r="I846" i="29"/>
  <c r="G846" i="29"/>
  <c r="M845" i="29"/>
  <c r="I845" i="29"/>
  <c r="G845" i="29"/>
  <c r="M844" i="29"/>
  <c r="I844" i="29"/>
  <c r="G844" i="29"/>
  <c r="M843" i="29"/>
  <c r="I843" i="29"/>
  <c r="G843" i="29"/>
  <c r="M842" i="29"/>
  <c r="I842" i="29"/>
  <c r="G842" i="29"/>
  <c r="M841" i="29"/>
  <c r="I841" i="29"/>
  <c r="G841" i="29"/>
  <c r="M840" i="29"/>
  <c r="I840" i="29"/>
  <c r="G840" i="29"/>
  <c r="M839" i="29"/>
  <c r="I839" i="29"/>
  <c r="G839" i="29"/>
  <c r="M838" i="29"/>
  <c r="I838" i="29"/>
  <c r="G838" i="29"/>
  <c r="M837" i="29"/>
  <c r="I837" i="29"/>
  <c r="G837" i="29"/>
  <c r="M836" i="29"/>
  <c r="I836" i="29"/>
  <c r="G836" i="29"/>
  <c r="M835" i="29"/>
  <c r="I835" i="29"/>
  <c r="G835" i="29"/>
  <c r="M834" i="29"/>
  <c r="I834" i="29"/>
  <c r="G834" i="29"/>
  <c r="M833" i="29"/>
  <c r="I833" i="29"/>
  <c r="G833" i="29"/>
  <c r="M832" i="29"/>
  <c r="I832" i="29"/>
  <c r="G832" i="29"/>
  <c r="M831" i="29"/>
  <c r="I831" i="29"/>
  <c r="G831" i="29"/>
  <c r="M830" i="29"/>
  <c r="I830" i="29"/>
  <c r="G830" i="29"/>
  <c r="M829" i="29"/>
  <c r="I829" i="29"/>
  <c r="G829" i="29"/>
  <c r="M828" i="29"/>
  <c r="I828" i="29"/>
  <c r="G828" i="29"/>
  <c r="M827" i="29"/>
  <c r="I827" i="29"/>
  <c r="G827" i="29"/>
  <c r="M826" i="29"/>
  <c r="I826" i="29"/>
  <c r="G826" i="29"/>
  <c r="M825" i="29"/>
  <c r="I825" i="29"/>
  <c r="G825" i="29"/>
  <c r="M824" i="29"/>
  <c r="I824" i="29"/>
  <c r="G824" i="29"/>
  <c r="M823" i="29"/>
  <c r="I823" i="29"/>
  <c r="G823" i="29"/>
  <c r="M822" i="29"/>
  <c r="I822" i="29"/>
  <c r="G822" i="29"/>
  <c r="M821" i="29"/>
  <c r="I821" i="29"/>
  <c r="G821" i="29"/>
  <c r="M820" i="29"/>
  <c r="I820" i="29"/>
  <c r="G820" i="29"/>
  <c r="M819" i="29"/>
  <c r="I819" i="29"/>
  <c r="G819" i="29"/>
  <c r="M818" i="29"/>
  <c r="I818" i="29"/>
  <c r="G818" i="29"/>
  <c r="M817" i="29"/>
  <c r="I817" i="29"/>
  <c r="G817" i="29"/>
  <c r="M816" i="29"/>
  <c r="I816" i="29"/>
  <c r="G816" i="29"/>
  <c r="M815" i="29"/>
  <c r="I815" i="29"/>
  <c r="G815" i="29"/>
  <c r="M814" i="29"/>
  <c r="I814" i="29"/>
  <c r="G814" i="29"/>
  <c r="M813" i="29"/>
  <c r="I813" i="29"/>
  <c r="G813" i="29"/>
  <c r="M812" i="29"/>
  <c r="I812" i="29"/>
  <c r="G812" i="29"/>
  <c r="M811" i="29"/>
  <c r="I811" i="29"/>
  <c r="G811" i="29"/>
  <c r="M810" i="29"/>
  <c r="I810" i="29"/>
  <c r="G810" i="29"/>
  <c r="M809" i="29"/>
  <c r="I809" i="29"/>
  <c r="G809" i="29"/>
  <c r="M808" i="29"/>
  <c r="I808" i="29"/>
  <c r="G808" i="29"/>
  <c r="M807" i="29"/>
  <c r="I807" i="29"/>
  <c r="G807" i="29"/>
  <c r="M806" i="29"/>
  <c r="I806" i="29"/>
  <c r="G806" i="29"/>
  <c r="M805" i="29"/>
  <c r="I805" i="29"/>
  <c r="G805" i="29"/>
  <c r="M804" i="29"/>
  <c r="I804" i="29"/>
  <c r="G804" i="29"/>
  <c r="M803" i="29"/>
  <c r="I803" i="29"/>
  <c r="G803" i="29"/>
  <c r="M802" i="29"/>
  <c r="I802" i="29"/>
  <c r="G802" i="29"/>
  <c r="M801" i="29"/>
  <c r="I801" i="29"/>
  <c r="G801" i="29"/>
  <c r="M800" i="29"/>
  <c r="I800" i="29"/>
  <c r="G800" i="29"/>
  <c r="M799" i="29"/>
  <c r="I799" i="29"/>
  <c r="G799" i="29"/>
  <c r="M798" i="29"/>
  <c r="I798" i="29"/>
  <c r="G798" i="29"/>
  <c r="M797" i="29"/>
  <c r="I797" i="29"/>
  <c r="G797" i="29"/>
  <c r="M796" i="29"/>
  <c r="I796" i="29"/>
  <c r="G796" i="29"/>
  <c r="M795" i="29"/>
  <c r="I795" i="29"/>
  <c r="G795" i="29"/>
  <c r="M794" i="29"/>
  <c r="I794" i="29"/>
  <c r="G794" i="29"/>
  <c r="M793" i="29"/>
  <c r="I793" i="29"/>
  <c r="G793" i="29"/>
  <c r="M792" i="29"/>
  <c r="I792" i="29"/>
  <c r="G792" i="29"/>
  <c r="M791" i="29"/>
  <c r="I791" i="29"/>
  <c r="G791" i="29"/>
  <c r="M790" i="29"/>
  <c r="I790" i="29"/>
  <c r="G790" i="29"/>
  <c r="M789" i="29"/>
  <c r="I789" i="29"/>
  <c r="G789" i="29"/>
  <c r="M788" i="29"/>
  <c r="I788" i="29"/>
  <c r="G788" i="29"/>
  <c r="M787" i="29"/>
  <c r="I787" i="29"/>
  <c r="G787" i="29"/>
  <c r="M786" i="29"/>
  <c r="I786" i="29"/>
  <c r="G786" i="29"/>
  <c r="M785" i="29"/>
  <c r="I785" i="29"/>
  <c r="G785" i="29"/>
  <c r="M784" i="29"/>
  <c r="I784" i="29"/>
  <c r="G784" i="29"/>
  <c r="M783" i="29"/>
  <c r="I783" i="29"/>
  <c r="G783" i="29"/>
  <c r="M782" i="29"/>
  <c r="I782" i="29"/>
  <c r="G782" i="29"/>
  <c r="M781" i="29"/>
  <c r="I781" i="29"/>
  <c r="G781" i="29"/>
  <c r="M780" i="29"/>
  <c r="I780" i="29"/>
  <c r="G780" i="29"/>
  <c r="M779" i="29"/>
  <c r="I779" i="29"/>
  <c r="G779" i="29"/>
  <c r="M778" i="29"/>
  <c r="I778" i="29"/>
  <c r="G778" i="29"/>
  <c r="M777" i="29"/>
  <c r="I777" i="29"/>
  <c r="G777" i="29"/>
  <c r="M776" i="29"/>
  <c r="I776" i="29"/>
  <c r="G776" i="29"/>
  <c r="M775" i="29"/>
  <c r="I775" i="29"/>
  <c r="G775" i="29"/>
  <c r="M774" i="29"/>
  <c r="I774" i="29"/>
  <c r="G774" i="29"/>
  <c r="M773" i="29"/>
  <c r="I773" i="29"/>
  <c r="G773" i="29"/>
  <c r="M772" i="29"/>
  <c r="I772" i="29"/>
  <c r="G772" i="29"/>
  <c r="M771" i="29"/>
  <c r="I771" i="29"/>
  <c r="G771" i="29"/>
  <c r="M770" i="29"/>
  <c r="I770" i="29"/>
  <c r="G770" i="29"/>
  <c r="M769" i="29"/>
  <c r="I769" i="29"/>
  <c r="G769" i="29"/>
  <c r="M768" i="29"/>
  <c r="I768" i="29"/>
  <c r="G768" i="29"/>
  <c r="M767" i="29"/>
  <c r="I767" i="29"/>
  <c r="G767" i="29"/>
  <c r="M766" i="29"/>
  <c r="I766" i="29"/>
  <c r="G766" i="29"/>
  <c r="M765" i="29"/>
  <c r="I765" i="29"/>
  <c r="G765" i="29"/>
  <c r="M764" i="29"/>
  <c r="I764" i="29"/>
  <c r="G764" i="29"/>
  <c r="M763" i="29"/>
  <c r="I763" i="29"/>
  <c r="G763" i="29"/>
  <c r="M762" i="29"/>
  <c r="I762" i="29"/>
  <c r="G762" i="29"/>
  <c r="M761" i="29"/>
  <c r="I761" i="29"/>
  <c r="G761" i="29"/>
  <c r="M760" i="29"/>
  <c r="I760" i="29"/>
  <c r="G760" i="29"/>
  <c r="M759" i="29"/>
  <c r="I759" i="29"/>
  <c r="G759" i="29"/>
  <c r="M758" i="29"/>
  <c r="I758" i="29"/>
  <c r="G758" i="29"/>
  <c r="M757" i="29"/>
  <c r="I757" i="29"/>
  <c r="G757" i="29"/>
  <c r="M756" i="29"/>
  <c r="I756" i="29"/>
  <c r="G756" i="29"/>
  <c r="M755" i="29"/>
  <c r="I755" i="29"/>
  <c r="G755" i="29"/>
  <c r="M754" i="29"/>
  <c r="I754" i="29"/>
  <c r="G754" i="29"/>
  <c r="M753" i="29"/>
  <c r="I753" i="29"/>
  <c r="G753" i="29"/>
  <c r="M752" i="29"/>
  <c r="I752" i="29"/>
  <c r="G752" i="29"/>
  <c r="M751" i="29"/>
  <c r="I751" i="29"/>
  <c r="G751" i="29"/>
  <c r="M750" i="29"/>
  <c r="I750" i="29"/>
  <c r="G750" i="29"/>
  <c r="M749" i="29"/>
  <c r="I749" i="29"/>
  <c r="G749" i="29"/>
  <c r="M748" i="29"/>
  <c r="I748" i="29"/>
  <c r="G748" i="29"/>
  <c r="M747" i="29"/>
  <c r="I747" i="29"/>
  <c r="G747" i="29"/>
  <c r="M746" i="29"/>
  <c r="I746" i="29"/>
  <c r="G746" i="29"/>
  <c r="M745" i="29"/>
  <c r="I745" i="29"/>
  <c r="G745" i="29"/>
  <c r="M744" i="29"/>
  <c r="I744" i="29"/>
  <c r="G744" i="29"/>
  <c r="M743" i="29"/>
  <c r="I743" i="29"/>
  <c r="G743" i="29"/>
  <c r="M742" i="29"/>
  <c r="I742" i="29"/>
  <c r="G742" i="29"/>
  <c r="M741" i="29"/>
  <c r="I741" i="29"/>
  <c r="G741" i="29"/>
  <c r="M740" i="29"/>
  <c r="I740" i="29"/>
  <c r="G740" i="29"/>
  <c r="M739" i="29"/>
  <c r="I739" i="29"/>
  <c r="G739" i="29"/>
  <c r="M738" i="29"/>
  <c r="I738" i="29"/>
  <c r="G738" i="29"/>
  <c r="M737" i="29"/>
  <c r="I737" i="29"/>
  <c r="G737" i="29"/>
  <c r="M736" i="29"/>
  <c r="I736" i="29"/>
  <c r="G736" i="29"/>
  <c r="M735" i="29"/>
  <c r="I735" i="29"/>
  <c r="G735" i="29"/>
  <c r="M734" i="29"/>
  <c r="I734" i="29"/>
  <c r="G734" i="29"/>
  <c r="M733" i="29"/>
  <c r="I733" i="29"/>
  <c r="G733" i="29"/>
  <c r="M732" i="29"/>
  <c r="I732" i="29"/>
  <c r="G732" i="29"/>
  <c r="M731" i="29"/>
  <c r="I731" i="29"/>
  <c r="G731" i="29"/>
  <c r="M730" i="29"/>
  <c r="I730" i="29"/>
  <c r="G730" i="29"/>
  <c r="M729" i="29"/>
  <c r="I729" i="29"/>
  <c r="G729" i="29"/>
  <c r="M728" i="29"/>
  <c r="I728" i="29"/>
  <c r="G728" i="29"/>
  <c r="M727" i="29"/>
  <c r="I727" i="29"/>
  <c r="G727" i="29"/>
  <c r="M726" i="29"/>
  <c r="I726" i="29"/>
  <c r="G726" i="29"/>
  <c r="M725" i="29"/>
  <c r="I725" i="29"/>
  <c r="G725" i="29"/>
  <c r="M724" i="29"/>
  <c r="I724" i="29"/>
  <c r="G724" i="29"/>
  <c r="M723" i="29"/>
  <c r="I723" i="29"/>
  <c r="G723" i="29"/>
  <c r="M722" i="29"/>
  <c r="I722" i="29"/>
  <c r="G722" i="29"/>
  <c r="M721" i="29"/>
  <c r="I721" i="29"/>
  <c r="G721" i="29"/>
  <c r="M720" i="29"/>
  <c r="I720" i="29"/>
  <c r="G720" i="29"/>
  <c r="M719" i="29"/>
  <c r="I719" i="29"/>
  <c r="G719" i="29"/>
  <c r="M718" i="29"/>
  <c r="I718" i="29"/>
  <c r="G718" i="29"/>
  <c r="M717" i="29"/>
  <c r="I717" i="29"/>
  <c r="G717" i="29"/>
  <c r="M716" i="29"/>
  <c r="I716" i="29"/>
  <c r="G716" i="29"/>
  <c r="M715" i="29"/>
  <c r="I715" i="29"/>
  <c r="G715" i="29"/>
  <c r="M714" i="29"/>
  <c r="I714" i="29"/>
  <c r="G714" i="29"/>
  <c r="M713" i="29"/>
  <c r="I713" i="29"/>
  <c r="G713" i="29"/>
  <c r="M712" i="29"/>
  <c r="I712" i="29"/>
  <c r="G712" i="29"/>
  <c r="M711" i="29"/>
  <c r="I711" i="29"/>
  <c r="G711" i="29"/>
  <c r="M710" i="29"/>
  <c r="I710" i="29"/>
  <c r="G710" i="29"/>
  <c r="M709" i="29"/>
  <c r="I709" i="29"/>
  <c r="G709" i="29"/>
  <c r="M708" i="29"/>
  <c r="I708" i="29"/>
  <c r="G708" i="29"/>
  <c r="M707" i="29"/>
  <c r="I707" i="29"/>
  <c r="G707" i="29"/>
  <c r="M706" i="29"/>
  <c r="I706" i="29"/>
  <c r="G706" i="29"/>
  <c r="M705" i="29"/>
  <c r="I705" i="29"/>
  <c r="G705" i="29"/>
  <c r="M704" i="29"/>
  <c r="I704" i="29"/>
  <c r="G704" i="29"/>
  <c r="M703" i="29"/>
  <c r="I703" i="29"/>
  <c r="G703" i="29"/>
  <c r="M702" i="29"/>
  <c r="I702" i="29"/>
  <c r="G702" i="29"/>
  <c r="M701" i="29"/>
  <c r="I701" i="29"/>
  <c r="G701" i="29"/>
  <c r="M700" i="29"/>
  <c r="I700" i="29"/>
  <c r="G700" i="29"/>
  <c r="M699" i="29"/>
  <c r="I699" i="29"/>
  <c r="G699" i="29"/>
  <c r="M698" i="29"/>
  <c r="I698" i="29"/>
  <c r="G698" i="29"/>
  <c r="M697" i="29"/>
  <c r="I697" i="29"/>
  <c r="G697" i="29"/>
  <c r="M696" i="29"/>
  <c r="I696" i="29"/>
  <c r="G696" i="29"/>
  <c r="M695" i="29"/>
  <c r="I695" i="29"/>
  <c r="G695" i="29"/>
  <c r="M694" i="29"/>
  <c r="I694" i="29"/>
  <c r="G694" i="29"/>
  <c r="M693" i="29"/>
  <c r="I693" i="29"/>
  <c r="G693" i="29"/>
  <c r="M692" i="29"/>
  <c r="I692" i="29"/>
  <c r="G692" i="29"/>
  <c r="M691" i="29"/>
  <c r="I691" i="29"/>
  <c r="G691" i="29"/>
  <c r="M690" i="29"/>
  <c r="I690" i="29"/>
  <c r="G690" i="29"/>
  <c r="M689" i="29"/>
  <c r="I689" i="29"/>
  <c r="G689" i="29"/>
  <c r="M688" i="29"/>
  <c r="I688" i="29"/>
  <c r="G688" i="29"/>
  <c r="M687" i="29"/>
  <c r="I687" i="29"/>
  <c r="G687" i="29"/>
  <c r="M686" i="29"/>
  <c r="I686" i="29"/>
  <c r="G686" i="29"/>
  <c r="M685" i="29"/>
  <c r="I685" i="29"/>
  <c r="G685" i="29"/>
  <c r="M684" i="29"/>
  <c r="I684" i="29"/>
  <c r="G684" i="29"/>
  <c r="M683" i="29"/>
  <c r="I683" i="29"/>
  <c r="G683" i="29"/>
  <c r="M682" i="29"/>
  <c r="I682" i="29"/>
  <c r="G682" i="29"/>
  <c r="M681" i="29"/>
  <c r="I681" i="29"/>
  <c r="G681" i="29"/>
  <c r="M680" i="29"/>
  <c r="I680" i="29"/>
  <c r="G680" i="29"/>
  <c r="M679" i="29"/>
  <c r="I679" i="29"/>
  <c r="G679" i="29"/>
  <c r="M678" i="29"/>
  <c r="I678" i="29"/>
  <c r="G678" i="29"/>
  <c r="M677" i="29"/>
  <c r="I677" i="29"/>
  <c r="G677" i="29"/>
  <c r="M676" i="29"/>
  <c r="I676" i="29"/>
  <c r="G676" i="29"/>
  <c r="M675" i="29"/>
  <c r="I675" i="29"/>
  <c r="G675" i="29"/>
  <c r="M674" i="29"/>
  <c r="I674" i="29"/>
  <c r="G674" i="29"/>
  <c r="M673" i="29"/>
  <c r="I673" i="29"/>
  <c r="G673" i="29"/>
  <c r="M672" i="29"/>
  <c r="I672" i="29"/>
  <c r="G672" i="29"/>
  <c r="M671" i="29"/>
  <c r="I671" i="29"/>
  <c r="G671" i="29"/>
  <c r="M670" i="29"/>
  <c r="I670" i="29"/>
  <c r="G670" i="29"/>
  <c r="M669" i="29"/>
  <c r="I669" i="29"/>
  <c r="G669" i="29"/>
  <c r="M668" i="29"/>
  <c r="I668" i="29"/>
  <c r="G668" i="29"/>
  <c r="M667" i="29"/>
  <c r="I667" i="29"/>
  <c r="G667" i="29"/>
  <c r="M666" i="29"/>
  <c r="I666" i="29"/>
  <c r="G666" i="29"/>
  <c r="M665" i="29"/>
  <c r="I665" i="29"/>
  <c r="G665" i="29"/>
  <c r="M664" i="29"/>
  <c r="I664" i="29"/>
  <c r="G664" i="29"/>
  <c r="M663" i="29"/>
  <c r="I663" i="29"/>
  <c r="G663" i="29"/>
  <c r="M662" i="29"/>
  <c r="I662" i="29"/>
  <c r="G662" i="29"/>
  <c r="M661" i="29"/>
  <c r="I661" i="29"/>
  <c r="G661" i="29"/>
  <c r="M660" i="29"/>
  <c r="I660" i="29"/>
  <c r="G660" i="29"/>
  <c r="M659" i="29"/>
  <c r="I659" i="29"/>
  <c r="G659" i="29"/>
  <c r="M658" i="29"/>
  <c r="I658" i="29"/>
  <c r="G658" i="29"/>
  <c r="M657" i="29"/>
  <c r="I657" i="29"/>
  <c r="G657" i="29"/>
  <c r="M656" i="29"/>
  <c r="I656" i="29"/>
  <c r="G656" i="29"/>
  <c r="M655" i="29"/>
  <c r="I655" i="29"/>
  <c r="G655" i="29"/>
  <c r="M654" i="29"/>
  <c r="I654" i="29"/>
  <c r="G654" i="29"/>
  <c r="M653" i="29"/>
  <c r="I653" i="29"/>
  <c r="G653" i="29"/>
  <c r="M652" i="29"/>
  <c r="I652" i="29"/>
  <c r="G652" i="29"/>
  <c r="M651" i="29"/>
  <c r="I651" i="29"/>
  <c r="G651" i="29"/>
  <c r="M650" i="29"/>
  <c r="I650" i="29"/>
  <c r="G650" i="29"/>
  <c r="M649" i="29"/>
  <c r="I649" i="29"/>
  <c r="G649" i="29"/>
  <c r="M648" i="29"/>
  <c r="I648" i="29"/>
  <c r="G648" i="29"/>
  <c r="M647" i="29"/>
  <c r="I647" i="29"/>
  <c r="G647" i="29"/>
  <c r="M646" i="29"/>
  <c r="I646" i="29"/>
  <c r="G646" i="29"/>
  <c r="M645" i="29"/>
  <c r="I645" i="29"/>
  <c r="G645" i="29"/>
  <c r="M644" i="29"/>
  <c r="I644" i="29"/>
  <c r="G644" i="29"/>
  <c r="M643" i="29"/>
  <c r="I643" i="29"/>
  <c r="G643" i="29"/>
  <c r="M642" i="29"/>
  <c r="I642" i="29"/>
  <c r="G642" i="29"/>
  <c r="M641" i="29"/>
  <c r="I641" i="29"/>
  <c r="G641" i="29"/>
  <c r="M640" i="29"/>
  <c r="I640" i="29"/>
  <c r="G640" i="29"/>
  <c r="M639" i="29"/>
  <c r="I639" i="29"/>
  <c r="G639" i="29"/>
  <c r="M638" i="29"/>
  <c r="I638" i="29"/>
  <c r="G638" i="29"/>
  <c r="M637" i="29"/>
  <c r="I637" i="29"/>
  <c r="G637" i="29"/>
  <c r="M636" i="29"/>
  <c r="I636" i="29"/>
  <c r="G636" i="29"/>
  <c r="M635" i="29"/>
  <c r="I635" i="29"/>
  <c r="G635" i="29"/>
  <c r="M634" i="29"/>
  <c r="I634" i="29"/>
  <c r="G634" i="29"/>
  <c r="M633" i="29"/>
  <c r="I633" i="29"/>
  <c r="G633" i="29"/>
  <c r="M632" i="29"/>
  <c r="I632" i="29"/>
  <c r="G632" i="29"/>
  <c r="M631" i="29"/>
  <c r="I631" i="29"/>
  <c r="G631" i="29"/>
  <c r="M630" i="29"/>
  <c r="I630" i="29"/>
  <c r="G630" i="29"/>
  <c r="M629" i="29"/>
  <c r="I629" i="29"/>
  <c r="G629" i="29"/>
  <c r="M628" i="29"/>
  <c r="I628" i="29"/>
  <c r="G628" i="29"/>
  <c r="M627" i="29"/>
  <c r="I627" i="29"/>
  <c r="G627" i="29"/>
  <c r="M626" i="29"/>
  <c r="I626" i="29"/>
  <c r="G626" i="29"/>
  <c r="M625" i="29"/>
  <c r="I625" i="29"/>
  <c r="G625" i="29"/>
  <c r="M624" i="29"/>
  <c r="I624" i="29"/>
  <c r="G624" i="29"/>
  <c r="M623" i="29"/>
  <c r="I623" i="29"/>
  <c r="G623" i="29"/>
  <c r="M622" i="29"/>
  <c r="I622" i="29"/>
  <c r="G622" i="29"/>
  <c r="M621" i="29"/>
  <c r="I621" i="29"/>
  <c r="G621" i="29"/>
  <c r="M620" i="29"/>
  <c r="I620" i="29"/>
  <c r="G620" i="29"/>
  <c r="M619" i="29"/>
  <c r="I619" i="29"/>
  <c r="G619" i="29"/>
  <c r="M618" i="29"/>
  <c r="I618" i="29"/>
  <c r="G618" i="29"/>
  <c r="M617" i="29"/>
  <c r="I617" i="29"/>
  <c r="G617" i="29"/>
  <c r="M616" i="29"/>
  <c r="I616" i="29"/>
  <c r="G616" i="29"/>
  <c r="M615" i="29"/>
  <c r="I615" i="29"/>
  <c r="G615" i="29"/>
  <c r="M614" i="29"/>
  <c r="I614" i="29"/>
  <c r="G614" i="29"/>
  <c r="M613" i="29"/>
  <c r="I613" i="29"/>
  <c r="G613" i="29"/>
  <c r="M612" i="29"/>
  <c r="I612" i="29"/>
  <c r="G612" i="29"/>
  <c r="M611" i="29"/>
  <c r="I611" i="29"/>
  <c r="G611" i="29"/>
  <c r="M610" i="29"/>
  <c r="I610" i="29"/>
  <c r="G610" i="29"/>
  <c r="M609" i="29"/>
  <c r="I609" i="29"/>
  <c r="G609" i="29"/>
  <c r="M608" i="29"/>
  <c r="I608" i="29"/>
  <c r="G608" i="29"/>
  <c r="M607" i="29"/>
  <c r="I607" i="29"/>
  <c r="G607" i="29"/>
  <c r="M606" i="29"/>
  <c r="I606" i="29"/>
  <c r="G606" i="29"/>
  <c r="M605" i="29"/>
  <c r="I605" i="29"/>
  <c r="G605" i="29"/>
  <c r="M604" i="29"/>
  <c r="I604" i="29"/>
  <c r="G604" i="29"/>
  <c r="M603" i="29"/>
  <c r="I603" i="29"/>
  <c r="G603" i="29"/>
  <c r="M602" i="29"/>
  <c r="I602" i="29"/>
  <c r="G602" i="29"/>
  <c r="M601" i="29"/>
  <c r="I601" i="29"/>
  <c r="G601" i="29"/>
  <c r="M600" i="29"/>
  <c r="I600" i="29"/>
  <c r="G600" i="29"/>
  <c r="M599" i="29"/>
  <c r="I599" i="29"/>
  <c r="G599" i="29"/>
  <c r="M598" i="29"/>
  <c r="I598" i="29"/>
  <c r="G598" i="29"/>
  <c r="M597" i="29"/>
  <c r="I597" i="29"/>
  <c r="G597" i="29"/>
  <c r="M596" i="29"/>
  <c r="I596" i="29"/>
  <c r="G596" i="29"/>
  <c r="M595" i="29"/>
  <c r="I595" i="29"/>
  <c r="G595" i="29"/>
  <c r="M594" i="29"/>
  <c r="I594" i="29"/>
  <c r="G594" i="29"/>
  <c r="M593" i="29"/>
  <c r="I593" i="29"/>
  <c r="G593" i="29"/>
  <c r="M592" i="29"/>
  <c r="I592" i="29"/>
  <c r="G592" i="29"/>
  <c r="M591" i="29"/>
  <c r="I591" i="29"/>
  <c r="G591" i="29"/>
  <c r="M590" i="29"/>
  <c r="I590" i="29"/>
  <c r="G590" i="29"/>
  <c r="M589" i="29"/>
  <c r="I589" i="29"/>
  <c r="G589" i="29"/>
  <c r="M588" i="29"/>
  <c r="I588" i="29"/>
  <c r="G588" i="29"/>
  <c r="M587" i="29"/>
  <c r="I587" i="29"/>
  <c r="G587" i="29"/>
  <c r="M586" i="29"/>
  <c r="I586" i="29"/>
  <c r="G586" i="29"/>
  <c r="M585" i="29"/>
  <c r="I585" i="29"/>
  <c r="G585" i="29"/>
  <c r="M584" i="29"/>
  <c r="I584" i="29"/>
  <c r="G584" i="29"/>
  <c r="M583" i="29"/>
  <c r="I583" i="29"/>
  <c r="G583" i="29"/>
  <c r="M582" i="29"/>
  <c r="I582" i="29"/>
  <c r="G582" i="29"/>
  <c r="M581" i="29"/>
  <c r="I581" i="29"/>
  <c r="G581" i="29"/>
  <c r="M580" i="29"/>
  <c r="I580" i="29"/>
  <c r="G580" i="29"/>
  <c r="M579" i="29"/>
  <c r="I579" i="29"/>
  <c r="G579" i="29"/>
  <c r="M578" i="29"/>
  <c r="I578" i="29"/>
  <c r="G578" i="29"/>
  <c r="M577" i="29"/>
  <c r="I577" i="29"/>
  <c r="G577" i="29"/>
  <c r="M576" i="29"/>
  <c r="I576" i="29"/>
  <c r="G576" i="29"/>
  <c r="M575" i="29"/>
  <c r="I575" i="29"/>
  <c r="G575" i="29"/>
  <c r="M574" i="29"/>
  <c r="I574" i="29"/>
  <c r="G574" i="29"/>
  <c r="M573" i="29"/>
  <c r="I573" i="29"/>
  <c r="G573" i="29"/>
  <c r="M572" i="29"/>
  <c r="I572" i="29"/>
  <c r="G572" i="29"/>
  <c r="M571" i="29"/>
  <c r="I571" i="29"/>
  <c r="G571" i="29"/>
  <c r="M570" i="29"/>
  <c r="I570" i="29"/>
  <c r="G570" i="29"/>
  <c r="M569" i="29"/>
  <c r="I569" i="29"/>
  <c r="G569" i="29"/>
  <c r="M568" i="29"/>
  <c r="I568" i="29"/>
  <c r="G568" i="29"/>
  <c r="M567" i="29"/>
  <c r="I567" i="29"/>
  <c r="G567" i="29"/>
  <c r="M566" i="29"/>
  <c r="I566" i="29"/>
  <c r="G566" i="29"/>
  <c r="M565" i="29"/>
  <c r="I565" i="29"/>
  <c r="G565" i="29"/>
  <c r="M564" i="29"/>
  <c r="I564" i="29"/>
  <c r="G564" i="29"/>
  <c r="M563" i="29"/>
  <c r="I563" i="29"/>
  <c r="G563" i="29"/>
  <c r="M562" i="29"/>
  <c r="I562" i="29"/>
  <c r="G562" i="29"/>
  <c r="M561" i="29"/>
  <c r="I561" i="29"/>
  <c r="G561" i="29"/>
  <c r="M560" i="29"/>
  <c r="I560" i="29"/>
  <c r="G560" i="29"/>
  <c r="M559" i="29"/>
  <c r="I559" i="29"/>
  <c r="G559" i="29"/>
  <c r="M558" i="29"/>
  <c r="I558" i="29"/>
  <c r="G558" i="29"/>
  <c r="M557" i="29"/>
  <c r="I557" i="29"/>
  <c r="G557" i="29"/>
  <c r="M556" i="29"/>
  <c r="I556" i="29"/>
  <c r="G556" i="29"/>
  <c r="M555" i="29"/>
  <c r="I555" i="29"/>
  <c r="G555" i="29"/>
  <c r="M554" i="29"/>
  <c r="I554" i="29"/>
  <c r="G554" i="29"/>
  <c r="M553" i="29"/>
  <c r="I553" i="29"/>
  <c r="G553" i="29"/>
  <c r="M552" i="29"/>
  <c r="I552" i="29"/>
  <c r="G552" i="29"/>
  <c r="M551" i="29"/>
  <c r="I551" i="29"/>
  <c r="G551" i="29"/>
  <c r="M550" i="29"/>
  <c r="I550" i="29"/>
  <c r="G550" i="29"/>
  <c r="M549" i="29"/>
  <c r="I549" i="29"/>
  <c r="G549" i="29"/>
  <c r="M548" i="29"/>
  <c r="I548" i="29"/>
  <c r="G548" i="29"/>
  <c r="M547" i="29"/>
  <c r="I547" i="29"/>
  <c r="G547" i="29"/>
  <c r="M546" i="29"/>
  <c r="I546" i="29"/>
  <c r="G546" i="29"/>
  <c r="M545" i="29"/>
  <c r="I545" i="29"/>
  <c r="G545" i="29"/>
  <c r="M544" i="29"/>
  <c r="I544" i="29"/>
  <c r="G544" i="29"/>
  <c r="M543" i="29"/>
  <c r="I543" i="29"/>
  <c r="G543" i="29"/>
  <c r="M542" i="29"/>
  <c r="I542" i="29"/>
  <c r="G542" i="29"/>
  <c r="M541" i="29"/>
  <c r="I541" i="29"/>
  <c r="G541" i="29"/>
  <c r="M540" i="29"/>
  <c r="I540" i="29"/>
  <c r="G540" i="29"/>
  <c r="M539" i="29"/>
  <c r="I539" i="29"/>
  <c r="G539" i="29"/>
  <c r="M538" i="29"/>
  <c r="I538" i="29"/>
  <c r="G538" i="29"/>
  <c r="M537" i="29"/>
  <c r="I537" i="29"/>
  <c r="G537" i="29"/>
  <c r="M536" i="29"/>
  <c r="I536" i="29"/>
  <c r="G536" i="29"/>
  <c r="M535" i="29"/>
  <c r="I535" i="29"/>
  <c r="G535" i="29"/>
  <c r="M534" i="29"/>
  <c r="I534" i="29"/>
  <c r="G534" i="29"/>
  <c r="M533" i="29"/>
  <c r="I533" i="29"/>
  <c r="G533" i="29"/>
  <c r="M532" i="29"/>
  <c r="I532" i="29"/>
  <c r="G532" i="29"/>
  <c r="M531" i="29"/>
  <c r="I531" i="29"/>
  <c r="G531" i="29"/>
  <c r="M530" i="29"/>
  <c r="I530" i="29"/>
  <c r="G530" i="29"/>
  <c r="M529" i="29"/>
  <c r="I529" i="29"/>
  <c r="G529" i="29"/>
  <c r="M528" i="29"/>
  <c r="I528" i="29"/>
  <c r="G528" i="29"/>
  <c r="M527" i="29"/>
  <c r="I527" i="29"/>
  <c r="G527" i="29"/>
  <c r="M526" i="29"/>
  <c r="I526" i="29"/>
  <c r="G526" i="29"/>
  <c r="M525" i="29"/>
  <c r="I525" i="29"/>
  <c r="G525" i="29"/>
  <c r="M524" i="29"/>
  <c r="I524" i="29"/>
  <c r="G524" i="29"/>
  <c r="M523" i="29"/>
  <c r="I523" i="29"/>
  <c r="G523" i="29"/>
  <c r="M522" i="29"/>
  <c r="I522" i="29"/>
  <c r="G522" i="29"/>
  <c r="M521" i="29"/>
  <c r="I521" i="29"/>
  <c r="G521" i="29"/>
  <c r="M520" i="29"/>
  <c r="I520" i="29"/>
  <c r="G520" i="29"/>
  <c r="M519" i="29"/>
  <c r="I519" i="29"/>
  <c r="G519" i="29"/>
  <c r="M518" i="29"/>
  <c r="I518" i="29"/>
  <c r="G518" i="29"/>
  <c r="M517" i="29"/>
  <c r="I517" i="29"/>
  <c r="G517" i="29"/>
  <c r="M516" i="29"/>
  <c r="I516" i="29"/>
  <c r="G516" i="29"/>
  <c r="M515" i="29"/>
  <c r="I515" i="29"/>
  <c r="G515" i="29"/>
  <c r="M514" i="29"/>
  <c r="I514" i="29"/>
  <c r="G514" i="29"/>
  <c r="M513" i="29"/>
  <c r="I513" i="29"/>
  <c r="G513" i="29"/>
  <c r="M512" i="29"/>
  <c r="I512" i="29"/>
  <c r="G512" i="29"/>
  <c r="M511" i="29"/>
  <c r="I511" i="29"/>
  <c r="G511" i="29"/>
  <c r="M510" i="29"/>
  <c r="I510" i="29"/>
  <c r="G510" i="29"/>
  <c r="M509" i="29"/>
  <c r="I509" i="29"/>
  <c r="G509" i="29"/>
  <c r="M508" i="29"/>
  <c r="I508" i="29"/>
  <c r="G508" i="29"/>
  <c r="M507" i="29"/>
  <c r="I507" i="29"/>
  <c r="G507" i="29"/>
  <c r="M506" i="29"/>
  <c r="I506" i="29"/>
  <c r="G506" i="29"/>
  <c r="M505" i="29"/>
  <c r="I505" i="29"/>
  <c r="G505" i="29"/>
  <c r="M504" i="29"/>
  <c r="I504" i="29"/>
  <c r="G504" i="29"/>
  <c r="M503" i="29"/>
  <c r="I503" i="29"/>
  <c r="G503" i="29"/>
  <c r="M502" i="29"/>
  <c r="I502" i="29"/>
  <c r="G502" i="29"/>
  <c r="M501" i="29"/>
  <c r="I501" i="29"/>
  <c r="G501" i="29"/>
  <c r="M500" i="29"/>
  <c r="I500" i="29"/>
  <c r="G500" i="29"/>
  <c r="M499" i="29"/>
  <c r="I499" i="29"/>
  <c r="G499" i="29"/>
  <c r="M498" i="29"/>
  <c r="I498" i="29"/>
  <c r="G498" i="29"/>
  <c r="M497" i="29"/>
  <c r="I497" i="29"/>
  <c r="G497" i="29"/>
  <c r="M496" i="29"/>
  <c r="I496" i="29"/>
  <c r="G496" i="29"/>
  <c r="M495" i="29"/>
  <c r="I495" i="29"/>
  <c r="G495" i="29"/>
  <c r="M494" i="29"/>
  <c r="I494" i="29"/>
  <c r="G494" i="29"/>
  <c r="M493" i="29"/>
  <c r="I493" i="29"/>
  <c r="G493" i="29"/>
  <c r="M492" i="29"/>
  <c r="I492" i="29"/>
  <c r="G492" i="29"/>
  <c r="M491" i="29"/>
  <c r="I491" i="29"/>
  <c r="G491" i="29"/>
  <c r="M490" i="29"/>
  <c r="I490" i="29"/>
  <c r="G490" i="29"/>
  <c r="M489" i="29"/>
  <c r="I489" i="29"/>
  <c r="G489" i="29"/>
  <c r="M488" i="29"/>
  <c r="I488" i="29"/>
  <c r="G488" i="29"/>
  <c r="M487" i="29"/>
  <c r="I487" i="29"/>
  <c r="G487" i="29"/>
  <c r="M486" i="29"/>
  <c r="I486" i="29"/>
  <c r="G486" i="29"/>
  <c r="M485" i="29"/>
  <c r="I485" i="29"/>
  <c r="G485" i="29"/>
  <c r="M484" i="29"/>
  <c r="I484" i="29"/>
  <c r="G484" i="29"/>
  <c r="M483" i="29"/>
  <c r="I483" i="29"/>
  <c r="G483" i="29"/>
  <c r="M482" i="29"/>
  <c r="I482" i="29"/>
  <c r="G482" i="29"/>
  <c r="M481" i="29"/>
  <c r="I481" i="29"/>
  <c r="G481" i="29"/>
  <c r="M480" i="29"/>
  <c r="I480" i="29"/>
  <c r="G480" i="29"/>
  <c r="M479" i="29"/>
  <c r="I479" i="29"/>
  <c r="G479" i="29"/>
  <c r="M478" i="29"/>
  <c r="I478" i="29"/>
  <c r="G478" i="29"/>
  <c r="M477" i="29"/>
  <c r="I477" i="29"/>
  <c r="G477" i="29"/>
  <c r="M476" i="29"/>
  <c r="I476" i="29"/>
  <c r="G476" i="29"/>
  <c r="M475" i="29"/>
  <c r="I475" i="29"/>
  <c r="G475" i="29"/>
  <c r="M474" i="29"/>
  <c r="I474" i="29"/>
  <c r="G474" i="29"/>
  <c r="M473" i="29"/>
  <c r="I473" i="29"/>
  <c r="G473" i="29"/>
  <c r="M472" i="29"/>
  <c r="I472" i="29"/>
  <c r="G472" i="29"/>
  <c r="M471" i="29"/>
  <c r="I471" i="29"/>
  <c r="G471" i="29"/>
  <c r="M470" i="29"/>
  <c r="I470" i="29"/>
  <c r="G470" i="29"/>
  <c r="M469" i="29"/>
  <c r="I469" i="29"/>
  <c r="G469" i="29"/>
  <c r="M468" i="29"/>
  <c r="I468" i="29"/>
  <c r="G468" i="29"/>
  <c r="M467" i="29"/>
  <c r="I467" i="29"/>
  <c r="G467" i="29"/>
  <c r="M466" i="29"/>
  <c r="I466" i="29"/>
  <c r="G466" i="29"/>
  <c r="M465" i="29"/>
  <c r="I465" i="29"/>
  <c r="G465" i="29"/>
  <c r="M464" i="29"/>
  <c r="I464" i="29"/>
  <c r="G464" i="29"/>
  <c r="M463" i="29"/>
  <c r="I463" i="29"/>
  <c r="G463" i="29"/>
  <c r="M462" i="29"/>
  <c r="I462" i="29"/>
  <c r="G462" i="29"/>
  <c r="M461" i="29"/>
  <c r="I461" i="29"/>
  <c r="G461" i="29"/>
  <c r="M460" i="29"/>
  <c r="I460" i="29"/>
  <c r="G460" i="29"/>
  <c r="M459" i="29"/>
  <c r="I459" i="29"/>
  <c r="G459" i="29"/>
  <c r="M458" i="29"/>
  <c r="I458" i="29"/>
  <c r="G458" i="29"/>
  <c r="M457" i="29"/>
  <c r="I457" i="29"/>
  <c r="G457" i="29"/>
  <c r="M456" i="29"/>
  <c r="I456" i="29"/>
  <c r="G456" i="29"/>
  <c r="M455" i="29"/>
  <c r="I455" i="29"/>
  <c r="G455" i="29"/>
  <c r="M454" i="29"/>
  <c r="I454" i="29"/>
  <c r="G454" i="29"/>
  <c r="M453" i="29"/>
  <c r="I453" i="29"/>
  <c r="G453" i="29"/>
  <c r="M452" i="29"/>
  <c r="I452" i="29"/>
  <c r="G452" i="29"/>
  <c r="M451" i="29"/>
  <c r="I451" i="29"/>
  <c r="G451" i="29"/>
  <c r="M450" i="29"/>
  <c r="I450" i="29"/>
  <c r="G450" i="29"/>
  <c r="M449" i="29"/>
  <c r="I449" i="29"/>
  <c r="G449" i="29"/>
  <c r="M448" i="29"/>
  <c r="I448" i="29"/>
  <c r="G448" i="29"/>
  <c r="M447" i="29"/>
  <c r="I447" i="29"/>
  <c r="G447" i="29"/>
  <c r="M446" i="29"/>
  <c r="I446" i="29"/>
  <c r="G446" i="29"/>
  <c r="M445" i="29"/>
  <c r="I445" i="29"/>
  <c r="G445" i="29"/>
  <c r="M444" i="29"/>
  <c r="I444" i="29"/>
  <c r="G444" i="29"/>
  <c r="M443" i="29"/>
  <c r="I443" i="29"/>
  <c r="G443" i="29"/>
  <c r="M442" i="29"/>
  <c r="I442" i="29"/>
  <c r="G442" i="29"/>
  <c r="M441" i="29"/>
  <c r="I441" i="29"/>
  <c r="G441" i="29"/>
  <c r="M440" i="29"/>
  <c r="I440" i="29"/>
  <c r="G440" i="29"/>
  <c r="M439" i="29"/>
  <c r="I439" i="29"/>
  <c r="G439" i="29"/>
  <c r="M438" i="29"/>
  <c r="I438" i="29"/>
  <c r="G438" i="29"/>
  <c r="M437" i="29"/>
  <c r="I437" i="29"/>
  <c r="G437" i="29"/>
  <c r="M436" i="29"/>
  <c r="I436" i="29"/>
  <c r="G436" i="29"/>
  <c r="M435" i="29"/>
  <c r="I435" i="29"/>
  <c r="G435" i="29"/>
  <c r="M434" i="29"/>
  <c r="I434" i="29"/>
  <c r="G434" i="29"/>
  <c r="M433" i="29"/>
  <c r="I433" i="29"/>
  <c r="G433" i="29"/>
  <c r="M432" i="29"/>
  <c r="I432" i="29"/>
  <c r="G432" i="29"/>
  <c r="M431" i="29"/>
  <c r="I431" i="29"/>
  <c r="G431" i="29"/>
  <c r="M430" i="29"/>
  <c r="I430" i="29"/>
  <c r="G430" i="29"/>
  <c r="M429" i="29"/>
  <c r="I429" i="29"/>
  <c r="G429" i="29"/>
  <c r="M428" i="29"/>
  <c r="I428" i="29"/>
  <c r="G428" i="29"/>
  <c r="M427" i="29"/>
  <c r="I427" i="29"/>
  <c r="G427" i="29"/>
  <c r="M426" i="29"/>
  <c r="I426" i="29"/>
  <c r="G426" i="29"/>
  <c r="M425" i="29"/>
  <c r="I425" i="29"/>
  <c r="G425" i="29"/>
  <c r="M424" i="29"/>
  <c r="I424" i="29"/>
  <c r="G424" i="29"/>
  <c r="M423" i="29"/>
  <c r="I423" i="29"/>
  <c r="G423" i="29"/>
  <c r="M422" i="29"/>
  <c r="I422" i="29"/>
  <c r="G422" i="29"/>
  <c r="M421" i="29"/>
  <c r="I421" i="29"/>
  <c r="G421" i="29"/>
  <c r="M420" i="29"/>
  <c r="I420" i="29"/>
  <c r="G420" i="29"/>
  <c r="M419" i="29"/>
  <c r="I419" i="29"/>
  <c r="G419" i="29"/>
  <c r="M418" i="29"/>
  <c r="I418" i="29"/>
  <c r="G418" i="29"/>
  <c r="M417" i="29"/>
  <c r="I417" i="29"/>
  <c r="G417" i="29"/>
  <c r="M416" i="29"/>
  <c r="I416" i="29"/>
  <c r="G416" i="29"/>
  <c r="M415" i="29"/>
  <c r="I415" i="29"/>
  <c r="G415" i="29"/>
  <c r="M414" i="29"/>
  <c r="I414" i="29"/>
  <c r="G414" i="29"/>
  <c r="M413" i="29"/>
  <c r="I413" i="29"/>
  <c r="G413" i="29"/>
  <c r="M412" i="29"/>
  <c r="I412" i="29"/>
  <c r="G412" i="29"/>
  <c r="M411" i="29"/>
  <c r="I411" i="29"/>
  <c r="G411" i="29"/>
  <c r="M410" i="29"/>
  <c r="I410" i="29"/>
  <c r="G410" i="29"/>
  <c r="M409" i="29"/>
  <c r="I409" i="29"/>
  <c r="G409" i="29"/>
  <c r="M408" i="29"/>
  <c r="I408" i="29"/>
  <c r="G408" i="29"/>
  <c r="M407" i="29"/>
  <c r="I407" i="29"/>
  <c r="G407" i="29"/>
  <c r="M406" i="29"/>
  <c r="I406" i="29"/>
  <c r="G406" i="29"/>
  <c r="M405" i="29"/>
  <c r="I405" i="29"/>
  <c r="G405" i="29"/>
  <c r="M404" i="29"/>
  <c r="I404" i="29"/>
  <c r="G404" i="29"/>
  <c r="M403" i="29"/>
  <c r="I403" i="29"/>
  <c r="G403" i="29"/>
  <c r="M402" i="29"/>
  <c r="I402" i="29"/>
  <c r="G402" i="29"/>
  <c r="M401" i="29"/>
  <c r="I401" i="29"/>
  <c r="G401" i="29"/>
  <c r="M400" i="29"/>
  <c r="I400" i="29"/>
  <c r="G400" i="29"/>
  <c r="M399" i="29"/>
  <c r="I399" i="29"/>
  <c r="G399" i="29"/>
  <c r="M398" i="29"/>
  <c r="I398" i="29"/>
  <c r="G398" i="29"/>
  <c r="M397" i="29"/>
  <c r="I397" i="29"/>
  <c r="G397" i="29"/>
  <c r="M396" i="29"/>
  <c r="I396" i="29"/>
  <c r="G396" i="29"/>
  <c r="M395" i="29"/>
  <c r="I395" i="29"/>
  <c r="G395" i="29"/>
  <c r="M394" i="29"/>
  <c r="I394" i="29"/>
  <c r="G394" i="29"/>
  <c r="M393" i="29"/>
  <c r="I393" i="29"/>
  <c r="G393" i="29"/>
  <c r="M392" i="29"/>
  <c r="I392" i="29"/>
  <c r="G392" i="29"/>
  <c r="M391" i="29"/>
  <c r="I391" i="29"/>
  <c r="G391" i="29"/>
  <c r="M390" i="29"/>
  <c r="I390" i="29"/>
  <c r="G390" i="29"/>
  <c r="M389" i="29"/>
  <c r="I389" i="29"/>
  <c r="G389" i="29"/>
  <c r="M388" i="29"/>
  <c r="I388" i="29"/>
  <c r="G388" i="29"/>
  <c r="M387" i="29"/>
  <c r="I387" i="29"/>
  <c r="G387" i="29"/>
  <c r="M386" i="29"/>
  <c r="I386" i="29"/>
  <c r="G386" i="29"/>
  <c r="M385" i="29"/>
  <c r="I385" i="29"/>
  <c r="G385" i="29"/>
  <c r="M384" i="29"/>
  <c r="I384" i="29"/>
  <c r="G384" i="29"/>
  <c r="M383" i="29"/>
  <c r="I383" i="29"/>
  <c r="G383" i="29"/>
  <c r="M382" i="29"/>
  <c r="I382" i="29"/>
  <c r="G382" i="29"/>
  <c r="M381" i="29"/>
  <c r="I381" i="29"/>
  <c r="G381" i="29"/>
  <c r="M380" i="29"/>
  <c r="I380" i="29"/>
  <c r="G380" i="29"/>
  <c r="M379" i="29"/>
  <c r="I379" i="29"/>
  <c r="G379" i="29"/>
  <c r="M378" i="29"/>
  <c r="I378" i="29"/>
  <c r="G378" i="29"/>
  <c r="M377" i="29"/>
  <c r="I377" i="29"/>
  <c r="G377" i="29"/>
  <c r="M376" i="29"/>
  <c r="I376" i="29"/>
  <c r="G376" i="29"/>
  <c r="M375" i="29"/>
  <c r="I375" i="29"/>
  <c r="G375" i="29"/>
  <c r="M374" i="29"/>
  <c r="I374" i="29"/>
  <c r="G374" i="29"/>
  <c r="M373" i="29"/>
  <c r="I373" i="29"/>
  <c r="G373" i="29"/>
  <c r="M372" i="29"/>
  <c r="I372" i="29"/>
  <c r="G372" i="29"/>
  <c r="M371" i="29"/>
  <c r="I371" i="29"/>
  <c r="G371" i="29"/>
  <c r="M370" i="29"/>
  <c r="I370" i="29"/>
  <c r="G370" i="29"/>
  <c r="M369" i="29"/>
  <c r="I369" i="29"/>
  <c r="G369" i="29"/>
  <c r="M368" i="29"/>
  <c r="I368" i="29"/>
  <c r="G368" i="29"/>
  <c r="M367" i="29"/>
  <c r="I367" i="29"/>
  <c r="G367" i="29"/>
  <c r="M366" i="29"/>
  <c r="I366" i="29"/>
  <c r="G366" i="29"/>
  <c r="M365" i="29"/>
  <c r="I365" i="29"/>
  <c r="G365" i="29"/>
  <c r="M364" i="29"/>
  <c r="I364" i="29"/>
  <c r="G364" i="29"/>
  <c r="M363" i="29"/>
  <c r="I363" i="29"/>
  <c r="G363" i="29"/>
  <c r="M362" i="29"/>
  <c r="I362" i="29"/>
  <c r="G362" i="29"/>
  <c r="M361" i="29"/>
  <c r="I361" i="29"/>
  <c r="G361" i="29"/>
  <c r="M360" i="29"/>
  <c r="I360" i="29"/>
  <c r="G360" i="29"/>
  <c r="M359" i="29"/>
  <c r="I359" i="29"/>
  <c r="G359" i="29"/>
  <c r="M358" i="29"/>
  <c r="I358" i="29"/>
  <c r="G358" i="29"/>
  <c r="M357" i="29"/>
  <c r="I357" i="29"/>
  <c r="G357" i="29"/>
  <c r="M356" i="29"/>
  <c r="I356" i="29"/>
  <c r="G356" i="29"/>
  <c r="M355" i="29"/>
  <c r="I355" i="29"/>
  <c r="G355" i="29"/>
  <c r="M354" i="29"/>
  <c r="I354" i="29"/>
  <c r="G354" i="29"/>
  <c r="M353" i="29"/>
  <c r="I353" i="29"/>
  <c r="G353" i="29"/>
  <c r="M352" i="29"/>
  <c r="I352" i="29"/>
  <c r="G352" i="29"/>
  <c r="M351" i="29"/>
  <c r="I351" i="29"/>
  <c r="G351" i="29"/>
  <c r="M350" i="29"/>
  <c r="I350" i="29"/>
  <c r="G350" i="29"/>
  <c r="M349" i="29"/>
  <c r="I349" i="29"/>
  <c r="G349" i="29"/>
  <c r="M348" i="29"/>
  <c r="I348" i="29"/>
  <c r="G348" i="29"/>
  <c r="M347" i="29"/>
  <c r="I347" i="29"/>
  <c r="G347" i="29"/>
  <c r="M346" i="29"/>
  <c r="I346" i="29"/>
  <c r="G346" i="29"/>
  <c r="M345" i="29"/>
  <c r="I345" i="29"/>
  <c r="G345" i="29"/>
  <c r="M344" i="29"/>
  <c r="I344" i="29"/>
  <c r="G344" i="29"/>
  <c r="M343" i="29"/>
  <c r="I343" i="29"/>
  <c r="G343" i="29"/>
  <c r="M342" i="29"/>
  <c r="I342" i="29"/>
  <c r="G342" i="29"/>
  <c r="M341" i="29"/>
  <c r="I341" i="29"/>
  <c r="G341" i="29"/>
  <c r="M340" i="29"/>
  <c r="I340" i="29"/>
  <c r="G340" i="29"/>
  <c r="M339" i="29"/>
  <c r="I339" i="29"/>
  <c r="G339" i="29"/>
  <c r="M338" i="29"/>
  <c r="I338" i="29"/>
  <c r="G338" i="29"/>
  <c r="M337" i="29"/>
  <c r="I337" i="29"/>
  <c r="G337" i="29"/>
  <c r="M336" i="29"/>
  <c r="I336" i="29"/>
  <c r="G336" i="29"/>
  <c r="M335" i="29"/>
  <c r="I335" i="29"/>
  <c r="G335" i="29"/>
  <c r="M334" i="29"/>
  <c r="I334" i="29"/>
  <c r="G334" i="29"/>
  <c r="M333" i="29"/>
  <c r="I333" i="29"/>
  <c r="G333" i="29"/>
  <c r="M332" i="29"/>
  <c r="I332" i="29"/>
  <c r="G332" i="29"/>
  <c r="M331" i="29"/>
  <c r="I331" i="29"/>
  <c r="G331" i="29"/>
  <c r="M330" i="29"/>
  <c r="I330" i="29"/>
  <c r="G330" i="29"/>
  <c r="M329" i="29"/>
  <c r="I329" i="29"/>
  <c r="G329" i="29"/>
  <c r="M328" i="29"/>
  <c r="I328" i="29"/>
  <c r="G328" i="29"/>
  <c r="M327" i="29"/>
  <c r="I327" i="29"/>
  <c r="G327" i="29"/>
  <c r="M326" i="29"/>
  <c r="I326" i="29"/>
  <c r="G326" i="29"/>
  <c r="M325" i="29"/>
  <c r="I325" i="29"/>
  <c r="G325" i="29"/>
  <c r="M324" i="29"/>
  <c r="I324" i="29"/>
  <c r="G324" i="29"/>
  <c r="M323" i="29"/>
  <c r="I323" i="29"/>
  <c r="G323" i="29"/>
  <c r="M322" i="29"/>
  <c r="I322" i="29"/>
  <c r="G322" i="29"/>
  <c r="M321" i="29"/>
  <c r="I321" i="29"/>
  <c r="G321" i="29"/>
  <c r="M320" i="29"/>
  <c r="I320" i="29"/>
  <c r="G320" i="29"/>
  <c r="M319" i="29"/>
  <c r="I319" i="29"/>
  <c r="G319" i="29"/>
  <c r="M318" i="29"/>
  <c r="I318" i="29"/>
  <c r="G318" i="29"/>
  <c r="M317" i="29"/>
  <c r="I317" i="29"/>
  <c r="G317" i="29"/>
  <c r="M316" i="29"/>
  <c r="I316" i="29"/>
  <c r="G316" i="29"/>
  <c r="M315" i="29"/>
  <c r="I315" i="29"/>
  <c r="G315" i="29"/>
  <c r="M314" i="29"/>
  <c r="I314" i="29"/>
  <c r="G314" i="29"/>
  <c r="M313" i="29"/>
  <c r="I313" i="29"/>
  <c r="G313" i="29"/>
  <c r="M312" i="29"/>
  <c r="I312" i="29"/>
  <c r="G312" i="29"/>
  <c r="M311" i="29"/>
  <c r="I311" i="29"/>
  <c r="G311" i="29"/>
  <c r="M310" i="29"/>
  <c r="I310" i="29"/>
  <c r="G310" i="29"/>
  <c r="M309" i="29"/>
  <c r="I309" i="29"/>
  <c r="G309" i="29"/>
  <c r="M308" i="29"/>
  <c r="I308" i="29"/>
  <c r="G308" i="29"/>
  <c r="M307" i="29"/>
  <c r="I307" i="29"/>
  <c r="G307" i="29"/>
  <c r="M306" i="29"/>
  <c r="I306" i="29"/>
  <c r="G306" i="29"/>
  <c r="M305" i="29"/>
  <c r="I305" i="29"/>
  <c r="G305" i="29"/>
  <c r="M304" i="29"/>
  <c r="I304" i="29"/>
  <c r="G304" i="29"/>
  <c r="M303" i="29"/>
  <c r="I303" i="29"/>
  <c r="G303" i="29"/>
  <c r="M302" i="29"/>
  <c r="I302" i="29"/>
  <c r="G302" i="29"/>
  <c r="M301" i="29"/>
  <c r="I301" i="29"/>
  <c r="G301" i="29"/>
  <c r="M300" i="29"/>
  <c r="I300" i="29"/>
  <c r="G300" i="29"/>
  <c r="M299" i="29"/>
  <c r="I299" i="29"/>
  <c r="G299" i="29"/>
  <c r="M298" i="29"/>
  <c r="I298" i="29"/>
  <c r="G298" i="29"/>
  <c r="M297" i="29"/>
  <c r="I297" i="29"/>
  <c r="G297" i="29"/>
  <c r="M296" i="29"/>
  <c r="I296" i="29"/>
  <c r="G296" i="29"/>
  <c r="M295" i="29"/>
  <c r="I295" i="29"/>
  <c r="G295" i="29"/>
  <c r="M294" i="29"/>
  <c r="I294" i="29"/>
  <c r="G294" i="29"/>
  <c r="M293" i="29"/>
  <c r="I293" i="29"/>
  <c r="G293" i="29"/>
  <c r="M292" i="29"/>
  <c r="I292" i="29"/>
  <c r="G292" i="29"/>
  <c r="M291" i="29"/>
  <c r="I291" i="29"/>
  <c r="G291" i="29"/>
  <c r="M290" i="29"/>
  <c r="I290" i="29"/>
  <c r="G290" i="29"/>
  <c r="M289" i="29"/>
  <c r="I289" i="29"/>
  <c r="G289" i="29"/>
  <c r="M288" i="29"/>
  <c r="I288" i="29"/>
  <c r="G288" i="29"/>
  <c r="M287" i="29"/>
  <c r="I287" i="29"/>
  <c r="G287" i="29"/>
  <c r="M286" i="29"/>
  <c r="I286" i="29"/>
  <c r="G286" i="29"/>
  <c r="M285" i="29"/>
  <c r="I285" i="29"/>
  <c r="G285" i="29"/>
  <c r="M284" i="29"/>
  <c r="I284" i="29"/>
  <c r="G284" i="29"/>
  <c r="M283" i="29"/>
  <c r="I283" i="29"/>
  <c r="G283" i="29"/>
  <c r="M282" i="29"/>
  <c r="I282" i="29"/>
  <c r="G282" i="29"/>
  <c r="M281" i="29"/>
  <c r="I281" i="29"/>
  <c r="G281" i="29"/>
  <c r="M280" i="29"/>
  <c r="I280" i="29"/>
  <c r="G280" i="29"/>
  <c r="M279" i="29"/>
  <c r="I279" i="29"/>
  <c r="G279" i="29"/>
  <c r="M278" i="29"/>
  <c r="I278" i="29"/>
  <c r="G278" i="29"/>
  <c r="M277" i="29"/>
  <c r="I277" i="29"/>
  <c r="G277" i="29"/>
  <c r="M276" i="29"/>
  <c r="I276" i="29"/>
  <c r="G276" i="29"/>
  <c r="M275" i="29"/>
  <c r="I275" i="29"/>
  <c r="G275" i="29"/>
  <c r="M274" i="29"/>
  <c r="I274" i="29"/>
  <c r="G274" i="29"/>
  <c r="M273" i="29"/>
  <c r="I273" i="29"/>
  <c r="G273" i="29"/>
  <c r="M272" i="29"/>
  <c r="I272" i="29"/>
  <c r="G272" i="29"/>
  <c r="M271" i="29"/>
  <c r="I271" i="29"/>
  <c r="G271" i="29"/>
  <c r="M270" i="29"/>
  <c r="I270" i="29"/>
  <c r="G270" i="29"/>
  <c r="M269" i="29"/>
  <c r="I269" i="29"/>
  <c r="G269" i="29"/>
  <c r="M268" i="29"/>
  <c r="I268" i="29"/>
  <c r="G268" i="29"/>
  <c r="M267" i="29"/>
  <c r="I267" i="29"/>
  <c r="G267" i="29"/>
  <c r="M266" i="29"/>
  <c r="I266" i="29"/>
  <c r="G266" i="29"/>
  <c r="M265" i="29"/>
  <c r="I265" i="29"/>
  <c r="G265" i="29"/>
  <c r="M264" i="29"/>
  <c r="I264" i="29"/>
  <c r="G264" i="29"/>
  <c r="M263" i="29"/>
  <c r="I263" i="29"/>
  <c r="G263" i="29"/>
  <c r="M262" i="29"/>
  <c r="I262" i="29"/>
  <c r="G262" i="29"/>
  <c r="M261" i="29"/>
  <c r="I261" i="29"/>
  <c r="G261" i="29"/>
  <c r="M260" i="29"/>
  <c r="I260" i="29"/>
  <c r="G260" i="29"/>
  <c r="M259" i="29"/>
  <c r="I259" i="29"/>
  <c r="G259" i="29"/>
  <c r="M258" i="29"/>
  <c r="I258" i="29"/>
  <c r="G258" i="29"/>
  <c r="M257" i="29"/>
  <c r="I257" i="29"/>
  <c r="G257" i="29"/>
  <c r="M256" i="29"/>
  <c r="I256" i="29"/>
  <c r="G256" i="29"/>
  <c r="M255" i="29"/>
  <c r="I255" i="29"/>
  <c r="G255" i="29"/>
  <c r="M254" i="29"/>
  <c r="I254" i="29"/>
  <c r="G254" i="29"/>
  <c r="M253" i="29"/>
  <c r="I253" i="29"/>
  <c r="G253" i="29"/>
  <c r="M252" i="29"/>
  <c r="I252" i="29"/>
  <c r="G252" i="29"/>
  <c r="M251" i="29"/>
  <c r="I251" i="29"/>
  <c r="G251" i="29"/>
  <c r="M250" i="29"/>
  <c r="I250" i="29"/>
  <c r="G250" i="29"/>
  <c r="M249" i="29"/>
  <c r="I249" i="29"/>
  <c r="G249" i="29"/>
  <c r="M248" i="29"/>
  <c r="I248" i="29"/>
  <c r="G248" i="29"/>
  <c r="M247" i="29"/>
  <c r="I247" i="29"/>
  <c r="G247" i="29"/>
  <c r="M246" i="29"/>
  <c r="I246" i="29"/>
  <c r="G246" i="29"/>
  <c r="M245" i="29"/>
  <c r="I245" i="29"/>
  <c r="G245" i="29"/>
  <c r="M244" i="29"/>
  <c r="I244" i="29"/>
  <c r="G244" i="29"/>
  <c r="M243" i="29"/>
  <c r="I243" i="29"/>
  <c r="G243" i="29"/>
  <c r="M242" i="29"/>
  <c r="I242" i="29"/>
  <c r="G242" i="29"/>
  <c r="M241" i="29"/>
  <c r="I241" i="29"/>
  <c r="G241" i="29"/>
  <c r="M240" i="29"/>
  <c r="I240" i="29"/>
  <c r="G240" i="29"/>
  <c r="M239" i="29"/>
  <c r="I239" i="29"/>
  <c r="G239" i="29"/>
  <c r="M238" i="29"/>
  <c r="I238" i="29"/>
  <c r="G238" i="29"/>
  <c r="M237" i="29"/>
  <c r="I237" i="29"/>
  <c r="G237" i="29"/>
  <c r="M236" i="29"/>
  <c r="I236" i="29"/>
  <c r="G236" i="29"/>
  <c r="M235" i="29"/>
  <c r="I235" i="29"/>
  <c r="G235" i="29"/>
  <c r="M234" i="29"/>
  <c r="I234" i="29"/>
  <c r="G234" i="29"/>
  <c r="M233" i="29"/>
  <c r="I233" i="29"/>
  <c r="G233" i="29"/>
  <c r="M232" i="29"/>
  <c r="I232" i="29"/>
  <c r="G232" i="29"/>
  <c r="M231" i="29"/>
  <c r="I231" i="29"/>
  <c r="G231" i="29"/>
  <c r="M230" i="29"/>
  <c r="I230" i="29"/>
  <c r="G230" i="29"/>
  <c r="M229" i="29"/>
  <c r="I229" i="29"/>
  <c r="G229" i="29"/>
  <c r="M228" i="29"/>
  <c r="I228" i="29"/>
  <c r="G228" i="29"/>
  <c r="M227" i="29"/>
  <c r="I227" i="29"/>
  <c r="G227" i="29"/>
  <c r="M226" i="29"/>
  <c r="I226" i="29"/>
  <c r="G226" i="29"/>
  <c r="M225" i="29"/>
  <c r="I225" i="29"/>
  <c r="G225" i="29"/>
  <c r="M224" i="29"/>
  <c r="I224" i="29"/>
  <c r="G224" i="29"/>
  <c r="M223" i="29"/>
  <c r="I223" i="29"/>
  <c r="G223" i="29"/>
  <c r="M222" i="29"/>
  <c r="I222" i="29"/>
  <c r="G222" i="29"/>
  <c r="M221" i="29"/>
  <c r="I221" i="29"/>
  <c r="G221" i="29"/>
  <c r="M220" i="29"/>
  <c r="I220" i="29"/>
  <c r="G220" i="29"/>
  <c r="M219" i="29"/>
  <c r="I219" i="29"/>
  <c r="G219" i="29"/>
  <c r="M218" i="29"/>
  <c r="I218" i="29"/>
  <c r="G218" i="29"/>
  <c r="M217" i="29"/>
  <c r="I217" i="29"/>
  <c r="G217" i="29"/>
  <c r="M216" i="29"/>
  <c r="I216" i="29"/>
  <c r="G216" i="29"/>
  <c r="M215" i="29"/>
  <c r="I215" i="29"/>
  <c r="G215" i="29"/>
  <c r="M214" i="29"/>
  <c r="I214" i="29"/>
  <c r="G214" i="29"/>
  <c r="M213" i="29"/>
  <c r="I213" i="29"/>
  <c r="G213" i="29"/>
  <c r="M212" i="29"/>
  <c r="I212" i="29"/>
  <c r="G212" i="29"/>
  <c r="M211" i="29"/>
  <c r="I211" i="29"/>
  <c r="G211" i="29"/>
  <c r="M210" i="29"/>
  <c r="I210" i="29"/>
  <c r="G210" i="29"/>
  <c r="M209" i="29"/>
  <c r="I209" i="29"/>
  <c r="G209" i="29"/>
  <c r="M208" i="29"/>
  <c r="I208" i="29"/>
  <c r="G208" i="29"/>
  <c r="M207" i="29"/>
  <c r="I207" i="29"/>
  <c r="G207" i="29"/>
  <c r="M206" i="29"/>
  <c r="I206" i="29"/>
  <c r="G206" i="29"/>
  <c r="M205" i="29"/>
  <c r="I205" i="29"/>
  <c r="G205" i="29"/>
  <c r="M204" i="29"/>
  <c r="I204" i="29"/>
  <c r="G204" i="29"/>
  <c r="M203" i="29"/>
  <c r="I203" i="29"/>
  <c r="G203" i="29"/>
  <c r="M202" i="29"/>
  <c r="I202" i="29"/>
  <c r="G202" i="29"/>
  <c r="M201" i="29"/>
  <c r="I201" i="29"/>
  <c r="G201" i="29"/>
  <c r="M200" i="29"/>
  <c r="I200" i="29"/>
  <c r="G200" i="29"/>
  <c r="M199" i="29"/>
  <c r="I199" i="29"/>
  <c r="G199" i="29"/>
  <c r="M198" i="29"/>
  <c r="I198" i="29"/>
  <c r="G198" i="29"/>
  <c r="M197" i="29"/>
  <c r="I197" i="29"/>
  <c r="G197" i="29"/>
  <c r="M196" i="29"/>
  <c r="I196" i="29"/>
  <c r="G196" i="29"/>
  <c r="M195" i="29"/>
  <c r="I195" i="29"/>
  <c r="G195" i="29"/>
  <c r="M194" i="29"/>
  <c r="I194" i="29"/>
  <c r="G194" i="29"/>
  <c r="M193" i="29"/>
  <c r="I193" i="29"/>
  <c r="G193" i="29"/>
  <c r="M192" i="29"/>
  <c r="I192" i="29"/>
  <c r="G192" i="29"/>
  <c r="M191" i="29"/>
  <c r="I191" i="29"/>
  <c r="G191" i="29"/>
  <c r="M190" i="29"/>
  <c r="I190" i="29"/>
  <c r="G190" i="29"/>
  <c r="M189" i="29"/>
  <c r="I189" i="29"/>
  <c r="G189" i="29"/>
  <c r="M188" i="29"/>
  <c r="I188" i="29"/>
  <c r="G188" i="29"/>
  <c r="M187" i="29"/>
  <c r="I187" i="29"/>
  <c r="G187" i="29"/>
  <c r="M186" i="29"/>
  <c r="I186" i="29"/>
  <c r="G186" i="29"/>
  <c r="M185" i="29"/>
  <c r="I185" i="29"/>
  <c r="G185" i="29"/>
  <c r="M184" i="29"/>
  <c r="I184" i="29"/>
  <c r="G184" i="29"/>
  <c r="M183" i="29"/>
  <c r="I183" i="29"/>
  <c r="G183" i="29"/>
  <c r="M182" i="29"/>
  <c r="I182" i="29"/>
  <c r="G182" i="29"/>
  <c r="M181" i="29"/>
  <c r="I181" i="29"/>
  <c r="G181" i="29"/>
  <c r="M180" i="29"/>
  <c r="I180" i="29"/>
  <c r="G180" i="29"/>
  <c r="M179" i="29"/>
  <c r="I179" i="29"/>
  <c r="G179" i="29"/>
  <c r="M178" i="29"/>
  <c r="I178" i="29"/>
  <c r="G178" i="29"/>
  <c r="M177" i="29"/>
  <c r="I177" i="29"/>
  <c r="G177" i="29"/>
  <c r="M176" i="29"/>
  <c r="I176" i="29"/>
  <c r="G176" i="29"/>
  <c r="M175" i="29"/>
  <c r="I175" i="29"/>
  <c r="G175" i="29"/>
  <c r="M174" i="29"/>
  <c r="I174" i="29"/>
  <c r="G174" i="29"/>
  <c r="M173" i="29"/>
  <c r="I173" i="29"/>
  <c r="G173" i="29"/>
  <c r="M172" i="29"/>
  <c r="I172" i="29"/>
  <c r="G172" i="29"/>
  <c r="M171" i="29"/>
  <c r="I171" i="29"/>
  <c r="G171" i="29"/>
  <c r="M170" i="29"/>
  <c r="I170" i="29"/>
  <c r="G170" i="29"/>
  <c r="M169" i="29"/>
  <c r="I169" i="29"/>
  <c r="G169" i="29"/>
  <c r="M168" i="29"/>
  <c r="I168" i="29"/>
  <c r="G168" i="29"/>
  <c r="M167" i="29"/>
  <c r="I167" i="29"/>
  <c r="G167" i="29"/>
  <c r="M166" i="29"/>
  <c r="I166" i="29"/>
  <c r="G166" i="29"/>
  <c r="M165" i="29"/>
  <c r="I165" i="29"/>
  <c r="G165" i="29"/>
  <c r="M164" i="29"/>
  <c r="I164" i="29"/>
  <c r="G164" i="29"/>
  <c r="M163" i="29"/>
  <c r="I163" i="29"/>
  <c r="G163" i="29"/>
  <c r="M162" i="29"/>
  <c r="I162" i="29"/>
  <c r="G162" i="29"/>
  <c r="M161" i="29"/>
  <c r="I161" i="29"/>
  <c r="G161" i="29"/>
  <c r="M160" i="29"/>
  <c r="I160" i="29"/>
  <c r="G160" i="29"/>
  <c r="M159" i="29"/>
  <c r="I159" i="29"/>
  <c r="G159" i="29"/>
  <c r="M158" i="29"/>
  <c r="I158" i="29"/>
  <c r="G158" i="29"/>
  <c r="M157" i="29"/>
  <c r="I157" i="29"/>
  <c r="G157" i="29"/>
  <c r="M156" i="29"/>
  <c r="I156" i="29"/>
  <c r="G156" i="29"/>
  <c r="M155" i="29"/>
  <c r="I155" i="29"/>
  <c r="G155" i="29"/>
  <c r="M154" i="29"/>
  <c r="I154" i="29"/>
  <c r="G154" i="29"/>
  <c r="M153" i="29"/>
  <c r="I153" i="29"/>
  <c r="G153" i="29"/>
  <c r="M152" i="29"/>
  <c r="I152" i="29"/>
  <c r="G152" i="29"/>
  <c r="M151" i="29"/>
  <c r="I151" i="29"/>
  <c r="G151" i="29"/>
  <c r="M150" i="29"/>
  <c r="I150" i="29"/>
  <c r="G150" i="29"/>
  <c r="M149" i="29"/>
  <c r="I149" i="29"/>
  <c r="G149" i="29"/>
  <c r="M148" i="29"/>
  <c r="I148" i="29"/>
  <c r="G148" i="29"/>
  <c r="M147" i="29"/>
  <c r="I147" i="29"/>
  <c r="G147" i="29"/>
  <c r="M146" i="29"/>
  <c r="I146" i="29"/>
  <c r="G146" i="29"/>
  <c r="M145" i="29"/>
  <c r="I145" i="29"/>
  <c r="G145" i="29"/>
  <c r="M144" i="29"/>
  <c r="I144" i="29"/>
  <c r="G144" i="29"/>
  <c r="M143" i="29"/>
  <c r="I143" i="29"/>
  <c r="G143" i="29"/>
  <c r="M142" i="29"/>
  <c r="I142" i="29"/>
  <c r="G142" i="29"/>
  <c r="M141" i="29"/>
  <c r="I141" i="29"/>
  <c r="G141" i="29"/>
  <c r="M140" i="29"/>
  <c r="I140" i="29"/>
  <c r="G140" i="29"/>
  <c r="M139" i="29"/>
  <c r="I139" i="29"/>
  <c r="G139" i="29"/>
  <c r="M138" i="29"/>
  <c r="I138" i="29"/>
  <c r="G138" i="29"/>
  <c r="M137" i="29"/>
  <c r="I137" i="29"/>
  <c r="G137" i="29"/>
  <c r="M136" i="29"/>
  <c r="I136" i="29"/>
  <c r="G136" i="29"/>
  <c r="M135" i="29"/>
  <c r="I135" i="29"/>
  <c r="G135" i="29"/>
  <c r="M134" i="29"/>
  <c r="I134" i="29"/>
  <c r="G134" i="29"/>
  <c r="M133" i="29"/>
  <c r="I133" i="29"/>
  <c r="G133" i="29"/>
  <c r="M132" i="29"/>
  <c r="I132" i="29"/>
  <c r="G132" i="29"/>
  <c r="M131" i="29"/>
  <c r="I131" i="29"/>
  <c r="G131" i="29"/>
  <c r="M130" i="29"/>
  <c r="I130" i="29"/>
  <c r="G130" i="29"/>
  <c r="M129" i="29"/>
  <c r="I129" i="29"/>
  <c r="G129" i="29"/>
  <c r="M128" i="29"/>
  <c r="I128" i="29"/>
  <c r="G128" i="29"/>
  <c r="M127" i="29"/>
  <c r="I127" i="29"/>
  <c r="G127" i="29"/>
  <c r="M126" i="29"/>
  <c r="I126" i="29"/>
  <c r="G126" i="29"/>
  <c r="M125" i="29"/>
  <c r="I125" i="29"/>
  <c r="G125" i="29"/>
  <c r="M124" i="29"/>
  <c r="I124" i="29"/>
  <c r="G124" i="29"/>
  <c r="M123" i="29"/>
  <c r="I123" i="29"/>
  <c r="G123" i="29"/>
  <c r="M122" i="29"/>
  <c r="I122" i="29"/>
  <c r="G122" i="29"/>
  <c r="M121" i="29"/>
  <c r="I121" i="29"/>
  <c r="G121" i="29"/>
  <c r="M120" i="29"/>
  <c r="I120" i="29"/>
  <c r="G120" i="29"/>
  <c r="M119" i="29"/>
  <c r="I119" i="29"/>
  <c r="G119" i="29"/>
  <c r="M118" i="29"/>
  <c r="I118" i="29"/>
  <c r="G118" i="29"/>
  <c r="M117" i="29"/>
  <c r="I117" i="29"/>
  <c r="G117" i="29"/>
  <c r="M116" i="29"/>
  <c r="I116" i="29"/>
  <c r="G116" i="29"/>
  <c r="M115" i="29"/>
  <c r="I115" i="29"/>
  <c r="G115" i="29"/>
  <c r="M114" i="29"/>
  <c r="I114" i="29"/>
  <c r="G114" i="29"/>
  <c r="M113" i="29"/>
  <c r="I113" i="29"/>
  <c r="G113" i="29"/>
  <c r="M112" i="29"/>
  <c r="I112" i="29"/>
  <c r="G112" i="29"/>
  <c r="M111" i="29"/>
  <c r="I111" i="29"/>
  <c r="G111" i="29"/>
  <c r="M110" i="29"/>
  <c r="I110" i="29"/>
  <c r="G110" i="29"/>
  <c r="M109" i="29"/>
  <c r="I109" i="29"/>
  <c r="G109" i="29"/>
  <c r="M108" i="29"/>
  <c r="I108" i="29"/>
  <c r="G108" i="29"/>
  <c r="M107" i="29"/>
  <c r="I107" i="29"/>
  <c r="G107" i="29"/>
  <c r="M106" i="29"/>
  <c r="I106" i="29"/>
  <c r="G106" i="29"/>
  <c r="M105" i="29"/>
  <c r="I105" i="29"/>
  <c r="G105" i="29"/>
  <c r="M104" i="29"/>
  <c r="I104" i="29"/>
  <c r="G104" i="29"/>
  <c r="M103" i="29"/>
  <c r="I103" i="29"/>
  <c r="G103" i="29"/>
  <c r="M102" i="29"/>
  <c r="I102" i="29"/>
  <c r="G102" i="29"/>
  <c r="M101" i="29"/>
  <c r="I101" i="29"/>
  <c r="G101" i="29"/>
  <c r="M100" i="29"/>
  <c r="I100" i="29"/>
  <c r="G100" i="29"/>
  <c r="M99" i="29"/>
  <c r="I99" i="29"/>
  <c r="G99" i="29"/>
  <c r="M98" i="29"/>
  <c r="I98" i="29"/>
  <c r="G98" i="29"/>
  <c r="M97" i="29"/>
  <c r="I97" i="29"/>
  <c r="G97" i="29"/>
  <c r="M96" i="29"/>
  <c r="I96" i="29"/>
  <c r="G96" i="29"/>
  <c r="M95" i="29"/>
  <c r="I95" i="29"/>
  <c r="G95" i="29"/>
  <c r="M94" i="29"/>
  <c r="I94" i="29"/>
  <c r="G94" i="29"/>
  <c r="M93" i="29"/>
  <c r="I93" i="29"/>
  <c r="G93" i="29"/>
  <c r="M92" i="29"/>
  <c r="I92" i="29"/>
  <c r="G92" i="29"/>
  <c r="M91" i="29"/>
  <c r="I91" i="29"/>
  <c r="G91" i="29"/>
  <c r="M90" i="29"/>
  <c r="I90" i="29"/>
  <c r="G90" i="29"/>
  <c r="M89" i="29"/>
  <c r="I89" i="29"/>
  <c r="G89" i="29"/>
  <c r="M88" i="29"/>
  <c r="I88" i="29"/>
  <c r="G88" i="29"/>
  <c r="M87" i="29"/>
  <c r="I87" i="29"/>
  <c r="G87" i="29"/>
  <c r="M86" i="29"/>
  <c r="I86" i="29"/>
  <c r="G86" i="29"/>
  <c r="M85" i="29"/>
  <c r="I85" i="29"/>
  <c r="G85" i="29"/>
  <c r="M84" i="29"/>
  <c r="I84" i="29"/>
  <c r="G84" i="29"/>
  <c r="M83" i="29"/>
  <c r="I83" i="29"/>
  <c r="G83" i="29"/>
  <c r="M82" i="29"/>
  <c r="I82" i="29"/>
  <c r="G82" i="29"/>
  <c r="M81" i="29"/>
  <c r="I81" i="29"/>
  <c r="G81" i="29"/>
  <c r="M80" i="29"/>
  <c r="I80" i="29"/>
  <c r="G80" i="29"/>
  <c r="M79" i="29"/>
  <c r="I79" i="29"/>
  <c r="G79" i="29"/>
  <c r="M78" i="29"/>
  <c r="I78" i="29"/>
  <c r="G78" i="29"/>
  <c r="M77" i="29"/>
  <c r="I77" i="29"/>
  <c r="G77" i="29"/>
  <c r="M76" i="29"/>
  <c r="I76" i="29"/>
  <c r="G76" i="29"/>
  <c r="M75" i="29"/>
  <c r="I75" i="29"/>
  <c r="G75" i="29"/>
  <c r="M74" i="29"/>
  <c r="I74" i="29"/>
  <c r="G74" i="29"/>
  <c r="M73" i="29"/>
  <c r="I73" i="29"/>
  <c r="G73" i="29"/>
  <c r="M72" i="29"/>
  <c r="I72" i="29"/>
  <c r="G72" i="29"/>
  <c r="M71" i="29"/>
  <c r="I71" i="29"/>
  <c r="G71" i="29"/>
  <c r="M70" i="29"/>
  <c r="I70" i="29"/>
  <c r="G70" i="29"/>
  <c r="M69" i="29"/>
  <c r="I69" i="29"/>
  <c r="G69" i="29"/>
  <c r="M68" i="29"/>
  <c r="I68" i="29"/>
  <c r="G68" i="29"/>
  <c r="M67" i="29"/>
  <c r="I67" i="29"/>
  <c r="G67" i="29"/>
  <c r="M66" i="29"/>
  <c r="I66" i="29"/>
  <c r="G66" i="29"/>
  <c r="M65" i="29"/>
  <c r="I65" i="29"/>
  <c r="G65" i="29"/>
  <c r="M64" i="29"/>
  <c r="I64" i="29"/>
  <c r="G64" i="29"/>
  <c r="M63" i="29"/>
  <c r="I63" i="29"/>
  <c r="G63" i="29"/>
  <c r="M62" i="29"/>
  <c r="I62" i="29"/>
  <c r="G62" i="29"/>
  <c r="M61" i="29"/>
  <c r="I61" i="29"/>
  <c r="G61" i="29"/>
  <c r="M60" i="29"/>
  <c r="I60" i="29"/>
  <c r="G60" i="29"/>
  <c r="M59" i="29"/>
  <c r="I59" i="29"/>
  <c r="G59" i="29"/>
  <c r="M58" i="29"/>
  <c r="I58" i="29"/>
  <c r="G58" i="29"/>
  <c r="M57" i="29"/>
  <c r="I57" i="29"/>
  <c r="G57" i="29"/>
  <c r="M56" i="29"/>
  <c r="I56" i="29"/>
  <c r="G56" i="29"/>
  <c r="M55" i="29"/>
  <c r="I55" i="29"/>
  <c r="G55" i="29"/>
  <c r="M54" i="29"/>
  <c r="I54" i="29"/>
  <c r="G54" i="29"/>
  <c r="M53" i="29"/>
  <c r="I53" i="29"/>
  <c r="G53" i="29"/>
  <c r="M52" i="29"/>
  <c r="I52" i="29"/>
  <c r="G52" i="29"/>
  <c r="M51" i="29"/>
  <c r="I51" i="29"/>
  <c r="G51" i="29"/>
  <c r="M50" i="29"/>
  <c r="I50" i="29"/>
  <c r="G50" i="29"/>
  <c r="M49" i="29"/>
  <c r="I49" i="29"/>
  <c r="G49" i="29"/>
  <c r="M48" i="29"/>
  <c r="I48" i="29"/>
  <c r="G48" i="29"/>
  <c r="M47" i="29"/>
  <c r="I47" i="29"/>
  <c r="G47" i="29"/>
  <c r="M46" i="29"/>
  <c r="I46" i="29"/>
  <c r="G46" i="29"/>
  <c r="M45" i="29"/>
  <c r="I45" i="29"/>
  <c r="G45" i="29"/>
  <c r="M44" i="29"/>
  <c r="I44" i="29"/>
  <c r="G44" i="29"/>
  <c r="M43" i="29"/>
  <c r="I43" i="29"/>
  <c r="G43" i="29"/>
  <c r="M42" i="29"/>
  <c r="I42" i="29"/>
  <c r="G42" i="29"/>
  <c r="M41" i="29"/>
  <c r="I41" i="29"/>
  <c r="G41" i="29"/>
  <c r="M40" i="29"/>
  <c r="I40" i="29"/>
  <c r="G40" i="29"/>
  <c r="M39" i="29"/>
  <c r="I39" i="29"/>
  <c r="G39" i="29"/>
  <c r="M38" i="29"/>
  <c r="I38" i="29"/>
  <c r="G38" i="29"/>
  <c r="M37" i="29"/>
  <c r="I37" i="29"/>
  <c r="G37" i="29"/>
  <c r="M36" i="29"/>
  <c r="I36" i="29"/>
  <c r="G36" i="29"/>
  <c r="M35" i="29"/>
  <c r="I35" i="29"/>
  <c r="G35" i="29"/>
  <c r="M34" i="29"/>
  <c r="I34" i="29"/>
  <c r="G34" i="29"/>
  <c r="M33" i="29"/>
  <c r="I33" i="29"/>
  <c r="G33" i="29"/>
  <c r="M32" i="29"/>
  <c r="I32" i="29"/>
  <c r="G32" i="29"/>
  <c r="M31" i="29"/>
  <c r="I31" i="29"/>
  <c r="G31" i="29"/>
  <c r="M30" i="29"/>
  <c r="I30" i="29"/>
  <c r="G30" i="29"/>
  <c r="M29" i="29"/>
  <c r="I29" i="29"/>
  <c r="G29" i="29"/>
  <c r="M28" i="29"/>
  <c r="I28" i="29"/>
  <c r="G28" i="29"/>
  <c r="M27" i="29"/>
  <c r="I27" i="29"/>
  <c r="G27" i="29"/>
  <c r="M26" i="29"/>
  <c r="I26" i="29"/>
  <c r="G26" i="29"/>
  <c r="M25" i="29"/>
  <c r="I25" i="29"/>
  <c r="G25" i="29"/>
  <c r="M24" i="29"/>
  <c r="I24" i="29"/>
  <c r="G24" i="29"/>
  <c r="M23" i="29"/>
  <c r="I23" i="29"/>
  <c r="G23" i="29"/>
  <c r="M22" i="29"/>
  <c r="I22" i="29"/>
  <c r="G22" i="29"/>
  <c r="M21" i="29"/>
  <c r="I21" i="29"/>
  <c r="G21" i="29"/>
  <c r="M20" i="29"/>
  <c r="I20" i="29"/>
  <c r="G20" i="29"/>
  <c r="M19" i="29"/>
  <c r="I19" i="29"/>
  <c r="G19" i="29"/>
  <c r="M18" i="29"/>
  <c r="I18" i="29"/>
  <c r="G18" i="29"/>
  <c r="M17" i="29"/>
  <c r="I17" i="29"/>
  <c r="G17" i="29"/>
  <c r="M16" i="29"/>
  <c r="I16" i="29"/>
  <c r="G16" i="29"/>
  <c r="M15" i="29"/>
  <c r="I15" i="29"/>
  <c r="G15" i="29"/>
  <c r="M14" i="29"/>
  <c r="I14" i="29"/>
  <c r="G14" i="29"/>
  <c r="M13" i="29"/>
  <c r="I13" i="29"/>
  <c r="G13" i="29"/>
  <c r="M12" i="29"/>
  <c r="I12" i="29"/>
  <c r="G12" i="29"/>
  <c r="M11" i="29"/>
  <c r="I11" i="29"/>
  <c r="G11" i="29"/>
  <c r="M10" i="29"/>
  <c r="I10" i="29"/>
  <c r="G10" i="29"/>
  <c r="M9" i="29"/>
  <c r="I9" i="29"/>
  <c r="G9" i="29"/>
  <c r="M8" i="29"/>
  <c r="I8" i="29"/>
  <c r="G8" i="29"/>
  <c r="M7" i="29"/>
  <c r="I7" i="29"/>
  <c r="G7" i="29"/>
  <c r="M6" i="29"/>
  <c r="I6" i="29"/>
  <c r="G6" i="29"/>
  <c r="M5" i="29"/>
  <c r="I5" i="29"/>
  <c r="G5" i="29"/>
  <c r="M4" i="29"/>
  <c r="I4" i="29"/>
  <c r="G4" i="29"/>
  <c r="M3" i="29"/>
  <c r="I3" i="29"/>
  <c r="G3" i="29"/>
  <c r="J3" i="29" l="1"/>
  <c r="N3" i="29"/>
  <c r="J26" i="1"/>
  <c r="I27" i="6"/>
  <c r="N69" i="4"/>
  <c r="N70" i="4"/>
  <c r="J27" i="6" l="1"/>
  <c r="CX127" i="3"/>
  <c r="CX128" i="3"/>
  <c r="CX259" i="3" l="1"/>
  <c r="CW259" i="3"/>
  <c r="CV259" i="3"/>
  <c r="CU259" i="3"/>
  <c r="CT259" i="3"/>
  <c r="CS259" i="3"/>
  <c r="CR259" i="3"/>
  <c r="CQ259" i="3"/>
  <c r="CP259" i="3"/>
  <c r="CO259" i="3"/>
  <c r="CN259" i="3"/>
  <c r="CM259" i="3"/>
  <c r="CL259" i="3"/>
  <c r="CK259" i="3"/>
  <c r="CJ259" i="3"/>
  <c r="CI259" i="3"/>
  <c r="CH259" i="3"/>
  <c r="CG259" i="3"/>
  <c r="CF259" i="3"/>
  <c r="CE259" i="3"/>
  <c r="CD259" i="3"/>
  <c r="CC259" i="3"/>
  <c r="CB259" i="3"/>
  <c r="CA259" i="3"/>
  <c r="BZ259" i="3"/>
  <c r="BY259" i="3"/>
  <c r="BX259" i="3"/>
  <c r="BW259" i="3"/>
  <c r="BV259" i="3"/>
  <c r="BU259" i="3"/>
  <c r="BT259" i="3"/>
  <c r="BS259" i="3"/>
  <c r="BR259" i="3"/>
  <c r="BQ259" i="3"/>
  <c r="BP259" i="3"/>
  <c r="BO259" i="3"/>
  <c r="BN259" i="3"/>
  <c r="BM259" i="3"/>
  <c r="BL259" i="3"/>
  <c r="BK259" i="3"/>
  <c r="BJ259" i="3"/>
  <c r="BI259" i="3"/>
  <c r="BH259" i="3"/>
  <c r="BG259" i="3"/>
  <c r="BF259" i="3"/>
  <c r="BE259" i="3"/>
  <c r="BD259" i="3"/>
  <c r="BC259" i="3"/>
  <c r="BB259" i="3"/>
  <c r="BA259" i="3"/>
  <c r="AZ259" i="3"/>
  <c r="AY259" i="3"/>
  <c r="AX259" i="3"/>
  <c r="AW259" i="3"/>
  <c r="AV259" i="3"/>
  <c r="AU259" i="3"/>
  <c r="AT259" i="3"/>
  <c r="AS259" i="3"/>
  <c r="AR259" i="3"/>
  <c r="AQ259" i="3"/>
  <c r="AP259" i="3"/>
  <c r="AO259" i="3"/>
  <c r="AN259" i="3"/>
  <c r="AM259" i="3"/>
  <c r="AL259" i="3"/>
  <c r="AK259" i="3"/>
  <c r="AJ259" i="3"/>
  <c r="AI259" i="3"/>
  <c r="AH259" i="3"/>
  <c r="AG259" i="3"/>
  <c r="AF259" i="3"/>
  <c r="AE259" i="3"/>
  <c r="AD259" i="3"/>
  <c r="AC259" i="3"/>
  <c r="AB259" i="3"/>
  <c r="AA259" i="3"/>
  <c r="Z259" i="3"/>
  <c r="Y259" i="3"/>
  <c r="X259" i="3"/>
  <c r="W259" i="3"/>
  <c r="V259" i="3"/>
  <c r="U259" i="3"/>
  <c r="T259" i="3"/>
  <c r="S259" i="3"/>
  <c r="R259" i="3"/>
  <c r="Q259" i="3"/>
  <c r="P259" i="3"/>
  <c r="O259" i="3"/>
  <c r="N259" i="3"/>
  <c r="M259" i="3"/>
  <c r="L259" i="3"/>
  <c r="K259" i="3"/>
  <c r="J259" i="3"/>
  <c r="I259" i="3"/>
  <c r="H259" i="3"/>
  <c r="G259" i="3"/>
  <c r="F259" i="3"/>
  <c r="E259" i="3"/>
  <c r="D259" i="3"/>
  <c r="C259" i="3"/>
  <c r="B259" i="3"/>
  <c r="CX252" i="3"/>
  <c r="CW252" i="3"/>
  <c r="CV252" i="3"/>
  <c r="CU252" i="3"/>
  <c r="CT252" i="3"/>
  <c r="CS252" i="3"/>
  <c r="CR252" i="3"/>
  <c r="CQ252" i="3"/>
  <c r="CP252" i="3"/>
  <c r="CO252" i="3"/>
  <c r="CN252" i="3"/>
  <c r="CM252" i="3"/>
  <c r="CL252" i="3"/>
  <c r="CK252" i="3"/>
  <c r="CJ252" i="3"/>
  <c r="CI252" i="3"/>
  <c r="CH252" i="3"/>
  <c r="CG252" i="3"/>
  <c r="CF252" i="3"/>
  <c r="CE252" i="3"/>
  <c r="CD252" i="3"/>
  <c r="CC252" i="3"/>
  <c r="CB252" i="3"/>
  <c r="CA252" i="3"/>
  <c r="BZ252" i="3"/>
  <c r="BY252" i="3"/>
  <c r="BX252" i="3"/>
  <c r="BW252" i="3"/>
  <c r="BV252" i="3"/>
  <c r="BU252" i="3"/>
  <c r="BT252" i="3"/>
  <c r="BS252" i="3"/>
  <c r="BR252" i="3"/>
  <c r="BQ252" i="3"/>
  <c r="BP252" i="3"/>
  <c r="BO252" i="3"/>
  <c r="BN252" i="3"/>
  <c r="BM252" i="3"/>
  <c r="BL252" i="3"/>
  <c r="BK252" i="3"/>
  <c r="BJ252" i="3"/>
  <c r="BI252" i="3"/>
  <c r="BH252" i="3"/>
  <c r="BG252" i="3"/>
  <c r="BF252" i="3"/>
  <c r="BE252" i="3"/>
  <c r="BD252" i="3"/>
  <c r="BC252" i="3"/>
  <c r="BB252" i="3"/>
  <c r="BA252" i="3"/>
  <c r="AZ252" i="3"/>
  <c r="AY252" i="3"/>
  <c r="AX252" i="3"/>
  <c r="AW252" i="3"/>
  <c r="AV252" i="3"/>
  <c r="AU252" i="3"/>
  <c r="AT252" i="3"/>
  <c r="AS252" i="3"/>
  <c r="AR252" i="3"/>
  <c r="AQ252" i="3"/>
  <c r="AP252" i="3"/>
  <c r="AO252" i="3"/>
  <c r="AN252" i="3"/>
  <c r="AM252" i="3"/>
  <c r="AL252" i="3"/>
  <c r="AK252" i="3"/>
  <c r="AJ252" i="3"/>
  <c r="AI252" i="3"/>
  <c r="AH252" i="3"/>
  <c r="AG252" i="3"/>
  <c r="AF252" i="3"/>
  <c r="AE252" i="3"/>
  <c r="AD252" i="3"/>
  <c r="AC252" i="3"/>
  <c r="AB252" i="3"/>
  <c r="AA252" i="3"/>
  <c r="Z252" i="3"/>
  <c r="Y252" i="3"/>
  <c r="X252" i="3"/>
  <c r="W252" i="3"/>
  <c r="V252" i="3"/>
  <c r="U252" i="3"/>
  <c r="T252" i="3"/>
  <c r="S252" i="3"/>
  <c r="R252" i="3"/>
  <c r="Q252" i="3"/>
  <c r="P252" i="3"/>
  <c r="O252" i="3"/>
  <c r="N252" i="3"/>
  <c r="M252" i="3"/>
  <c r="L252" i="3"/>
  <c r="K252" i="3"/>
  <c r="J252" i="3"/>
  <c r="I252" i="3"/>
  <c r="H252" i="3"/>
  <c r="G252" i="3"/>
  <c r="F252" i="3"/>
  <c r="E252" i="3"/>
  <c r="D252" i="3"/>
  <c r="C252" i="3"/>
  <c r="B252" i="3"/>
  <c r="CX239" i="3"/>
  <c r="CW239" i="3"/>
  <c r="CV239" i="3"/>
  <c r="CU239" i="3"/>
  <c r="CT239" i="3"/>
  <c r="CS239" i="3"/>
  <c r="CR239" i="3"/>
  <c r="CQ239" i="3"/>
  <c r="CP239" i="3"/>
  <c r="CO239" i="3"/>
  <c r="CN239" i="3"/>
  <c r="CM239" i="3"/>
  <c r="CL239" i="3"/>
  <c r="CK239" i="3"/>
  <c r="CJ239" i="3"/>
  <c r="CI239" i="3"/>
  <c r="CH239" i="3"/>
  <c r="CG239" i="3"/>
  <c r="CF239" i="3"/>
  <c r="CE239" i="3"/>
  <c r="CD239" i="3"/>
  <c r="CC239" i="3"/>
  <c r="CB239" i="3"/>
  <c r="CA239" i="3"/>
  <c r="BZ239" i="3"/>
  <c r="BY239" i="3"/>
  <c r="BX239" i="3"/>
  <c r="BW239" i="3"/>
  <c r="BV239" i="3"/>
  <c r="BU239" i="3"/>
  <c r="BT239" i="3"/>
  <c r="BS239" i="3"/>
  <c r="BR239" i="3"/>
  <c r="BQ239" i="3"/>
  <c r="BP239" i="3"/>
  <c r="BO239" i="3"/>
  <c r="BN239" i="3"/>
  <c r="BM239" i="3"/>
  <c r="BL239" i="3"/>
  <c r="BK239" i="3"/>
  <c r="BJ239" i="3"/>
  <c r="BI239" i="3"/>
  <c r="BH239" i="3"/>
  <c r="BG239" i="3"/>
  <c r="BF239" i="3"/>
  <c r="BE239" i="3"/>
  <c r="BD239" i="3"/>
  <c r="BC239" i="3"/>
  <c r="BB239" i="3"/>
  <c r="BA239" i="3"/>
  <c r="AZ239" i="3"/>
  <c r="AY239" i="3"/>
  <c r="AX239" i="3"/>
  <c r="AW239" i="3"/>
  <c r="AV239" i="3"/>
  <c r="AU239" i="3"/>
  <c r="AT239" i="3"/>
  <c r="AS239" i="3"/>
  <c r="AR239" i="3"/>
  <c r="AQ239" i="3"/>
  <c r="AP239" i="3"/>
  <c r="AO239" i="3"/>
  <c r="AN239" i="3"/>
  <c r="AM239" i="3"/>
  <c r="AL239" i="3"/>
  <c r="AK239" i="3"/>
  <c r="AJ239" i="3"/>
  <c r="AI239" i="3"/>
  <c r="AH239" i="3"/>
  <c r="AG239" i="3"/>
  <c r="AF239" i="3"/>
  <c r="AE239" i="3"/>
  <c r="AD239" i="3"/>
  <c r="AC239" i="3"/>
  <c r="AB239" i="3"/>
  <c r="AA239" i="3"/>
  <c r="Z239" i="3"/>
  <c r="Y239" i="3"/>
  <c r="X239" i="3"/>
  <c r="W239" i="3"/>
  <c r="V239" i="3"/>
  <c r="U239" i="3"/>
  <c r="T239" i="3"/>
  <c r="S239" i="3"/>
  <c r="R239" i="3"/>
  <c r="Q239" i="3"/>
  <c r="P239" i="3"/>
  <c r="O239" i="3"/>
  <c r="N239" i="3"/>
  <c r="M239" i="3"/>
  <c r="L239" i="3"/>
  <c r="K239" i="3"/>
  <c r="J239" i="3"/>
  <c r="I239" i="3"/>
  <c r="H239" i="3"/>
  <c r="G239" i="3"/>
  <c r="F239" i="3"/>
  <c r="E239" i="3"/>
  <c r="D239" i="3"/>
  <c r="C239" i="3"/>
  <c r="B239" i="3"/>
  <c r="CX226" i="3"/>
  <c r="CW226" i="3"/>
  <c r="CV226" i="3"/>
  <c r="CU226" i="3"/>
  <c r="CT226" i="3"/>
  <c r="CS226" i="3"/>
  <c r="CR226" i="3"/>
  <c r="CQ226" i="3"/>
  <c r="CP226" i="3"/>
  <c r="CO226" i="3"/>
  <c r="CN226" i="3"/>
  <c r="CM226" i="3"/>
  <c r="CL226" i="3"/>
  <c r="CK226" i="3"/>
  <c r="CJ226" i="3"/>
  <c r="CI226" i="3"/>
  <c r="CH226" i="3"/>
  <c r="CG226" i="3"/>
  <c r="CF226" i="3"/>
  <c r="CE226" i="3"/>
  <c r="CD226" i="3"/>
  <c r="CC226" i="3"/>
  <c r="CB226" i="3"/>
  <c r="CA226" i="3"/>
  <c r="BZ226" i="3"/>
  <c r="BY226" i="3"/>
  <c r="BX226" i="3"/>
  <c r="BW226" i="3"/>
  <c r="BV226" i="3"/>
  <c r="BU226" i="3"/>
  <c r="BT226" i="3"/>
  <c r="BS226" i="3"/>
  <c r="BR226" i="3"/>
  <c r="BQ226" i="3"/>
  <c r="BP226" i="3"/>
  <c r="BO226" i="3"/>
  <c r="BN226" i="3"/>
  <c r="BM226" i="3"/>
  <c r="BL226" i="3"/>
  <c r="BK226" i="3"/>
  <c r="BJ226" i="3"/>
  <c r="BI226" i="3"/>
  <c r="BH226" i="3"/>
  <c r="BG226" i="3"/>
  <c r="BF226" i="3"/>
  <c r="BE226" i="3"/>
  <c r="BD226" i="3"/>
  <c r="BC226" i="3"/>
  <c r="BB226" i="3"/>
  <c r="BA226" i="3"/>
  <c r="AZ226" i="3"/>
  <c r="AY226" i="3"/>
  <c r="AX226" i="3"/>
  <c r="AW226" i="3"/>
  <c r="AV226" i="3"/>
  <c r="AU226" i="3"/>
  <c r="AT226" i="3"/>
  <c r="AS226" i="3"/>
  <c r="AR226" i="3"/>
  <c r="AQ226" i="3"/>
  <c r="AP226" i="3"/>
  <c r="AO226" i="3"/>
  <c r="AN226" i="3"/>
  <c r="AM226" i="3"/>
  <c r="AL226" i="3"/>
  <c r="AK226" i="3"/>
  <c r="AJ226" i="3"/>
  <c r="AI226" i="3"/>
  <c r="AH226" i="3"/>
  <c r="AG226" i="3"/>
  <c r="AF226" i="3"/>
  <c r="AE226" i="3"/>
  <c r="AD226" i="3"/>
  <c r="AC226" i="3"/>
  <c r="AB226" i="3"/>
  <c r="AA226" i="3"/>
  <c r="Z226" i="3"/>
  <c r="Y226" i="3"/>
  <c r="X226" i="3"/>
  <c r="W226" i="3"/>
  <c r="V226" i="3"/>
  <c r="U226" i="3"/>
  <c r="T226" i="3"/>
  <c r="S226" i="3"/>
  <c r="R226" i="3"/>
  <c r="Q226" i="3"/>
  <c r="P226" i="3"/>
  <c r="O226" i="3"/>
  <c r="N226" i="3"/>
  <c r="M226" i="3"/>
  <c r="L226" i="3"/>
  <c r="K226" i="3"/>
  <c r="J226" i="3"/>
  <c r="I226" i="3"/>
  <c r="H226" i="3"/>
  <c r="G226" i="3"/>
  <c r="F226" i="3"/>
  <c r="E226" i="3"/>
  <c r="D226" i="3"/>
  <c r="C226" i="3"/>
  <c r="B226" i="3"/>
  <c r="CX213" i="3"/>
  <c r="CW213" i="3"/>
  <c r="CV213" i="3"/>
  <c r="CU213" i="3"/>
  <c r="CT213" i="3"/>
  <c r="CS213" i="3"/>
  <c r="CR213" i="3"/>
  <c r="CQ213" i="3"/>
  <c r="CP213" i="3"/>
  <c r="CO213" i="3"/>
  <c r="CN213" i="3"/>
  <c r="CM213" i="3"/>
  <c r="CL213" i="3"/>
  <c r="CK213" i="3"/>
  <c r="CJ213" i="3"/>
  <c r="CI213" i="3"/>
  <c r="CH213" i="3"/>
  <c r="CG213" i="3"/>
  <c r="CF213" i="3"/>
  <c r="CE213" i="3"/>
  <c r="CD213" i="3"/>
  <c r="CC213" i="3"/>
  <c r="CB213" i="3"/>
  <c r="CA213" i="3"/>
  <c r="BZ213" i="3"/>
  <c r="BY213" i="3"/>
  <c r="BX213" i="3"/>
  <c r="BW213" i="3"/>
  <c r="BV213" i="3"/>
  <c r="BU213" i="3"/>
  <c r="BT213" i="3"/>
  <c r="BS213" i="3"/>
  <c r="BR213" i="3"/>
  <c r="BQ213" i="3"/>
  <c r="BP213" i="3"/>
  <c r="BO213" i="3"/>
  <c r="BN213" i="3"/>
  <c r="BM213" i="3"/>
  <c r="BL213" i="3"/>
  <c r="BK213" i="3"/>
  <c r="BJ213" i="3"/>
  <c r="BI213" i="3"/>
  <c r="BH213" i="3"/>
  <c r="BG213" i="3"/>
  <c r="BF213" i="3"/>
  <c r="BE213" i="3"/>
  <c r="BD213" i="3"/>
  <c r="BC213" i="3"/>
  <c r="BB213" i="3"/>
  <c r="BA213" i="3"/>
  <c r="AZ213" i="3"/>
  <c r="AY213" i="3"/>
  <c r="AX213" i="3"/>
  <c r="AW213" i="3"/>
  <c r="AV213" i="3"/>
  <c r="AU213" i="3"/>
  <c r="AT213" i="3"/>
  <c r="AS213" i="3"/>
  <c r="AR213" i="3"/>
  <c r="AQ213" i="3"/>
  <c r="AP213" i="3"/>
  <c r="AO213" i="3"/>
  <c r="AN213" i="3"/>
  <c r="AM213" i="3"/>
  <c r="AL213" i="3"/>
  <c r="AK213" i="3"/>
  <c r="AJ213" i="3"/>
  <c r="AI213" i="3"/>
  <c r="AH213" i="3"/>
  <c r="AG213" i="3"/>
  <c r="AF213" i="3"/>
  <c r="AE213" i="3"/>
  <c r="AD213" i="3"/>
  <c r="AC213" i="3"/>
  <c r="AB213" i="3"/>
  <c r="AA213" i="3"/>
  <c r="Z213" i="3"/>
  <c r="Y213" i="3"/>
  <c r="X213" i="3"/>
  <c r="W213" i="3"/>
  <c r="V213" i="3"/>
  <c r="U213" i="3"/>
  <c r="T213" i="3"/>
  <c r="S213" i="3"/>
  <c r="R213" i="3"/>
  <c r="Q213" i="3"/>
  <c r="P213" i="3"/>
  <c r="O213" i="3"/>
  <c r="N213" i="3"/>
  <c r="M213" i="3"/>
  <c r="L213" i="3"/>
  <c r="K213" i="3"/>
  <c r="J213" i="3"/>
  <c r="I213" i="3"/>
  <c r="H213" i="3"/>
  <c r="G213" i="3"/>
  <c r="F213" i="3"/>
  <c r="E213" i="3"/>
  <c r="D213" i="3"/>
  <c r="C213" i="3"/>
  <c r="B213" i="3"/>
  <c r="CX200" i="3"/>
  <c r="CW200" i="3"/>
  <c r="CV200" i="3"/>
  <c r="CU200" i="3"/>
  <c r="CT200" i="3"/>
  <c r="CS200" i="3"/>
  <c r="CR200" i="3"/>
  <c r="CQ200" i="3"/>
  <c r="CP200" i="3"/>
  <c r="CO200" i="3"/>
  <c r="CN200" i="3"/>
  <c r="CM200" i="3"/>
  <c r="CL200" i="3"/>
  <c r="CK200" i="3"/>
  <c r="CJ200" i="3"/>
  <c r="CI200" i="3"/>
  <c r="CH200" i="3"/>
  <c r="CG200" i="3"/>
  <c r="CF200" i="3"/>
  <c r="CE200" i="3"/>
  <c r="CD200" i="3"/>
  <c r="CC200" i="3"/>
  <c r="CB200" i="3"/>
  <c r="CA200" i="3"/>
  <c r="BZ200" i="3"/>
  <c r="BY200" i="3"/>
  <c r="BX200" i="3"/>
  <c r="BW200" i="3"/>
  <c r="BV200" i="3"/>
  <c r="BU200" i="3"/>
  <c r="BT200" i="3"/>
  <c r="BS200" i="3"/>
  <c r="BR200" i="3"/>
  <c r="BQ200" i="3"/>
  <c r="BP200" i="3"/>
  <c r="BO200" i="3"/>
  <c r="BN200" i="3"/>
  <c r="BM200" i="3"/>
  <c r="BL200" i="3"/>
  <c r="BK200" i="3"/>
  <c r="BJ200" i="3"/>
  <c r="BI200" i="3"/>
  <c r="BH200" i="3"/>
  <c r="BG200" i="3"/>
  <c r="BF200" i="3"/>
  <c r="BE200" i="3"/>
  <c r="BD200" i="3"/>
  <c r="BC200" i="3"/>
  <c r="BB200" i="3"/>
  <c r="BA200" i="3"/>
  <c r="AZ200" i="3"/>
  <c r="AY200" i="3"/>
  <c r="AX200" i="3"/>
  <c r="AW200" i="3"/>
  <c r="AV200" i="3"/>
  <c r="AU200" i="3"/>
  <c r="AT200" i="3"/>
  <c r="AS200" i="3"/>
  <c r="AR200" i="3"/>
  <c r="AQ200" i="3"/>
  <c r="AP200" i="3"/>
  <c r="AO200" i="3"/>
  <c r="AN200" i="3"/>
  <c r="AM200" i="3"/>
  <c r="AL200" i="3"/>
  <c r="AK200" i="3"/>
  <c r="AJ200" i="3"/>
  <c r="AI200" i="3"/>
  <c r="AH200" i="3"/>
  <c r="AG200" i="3"/>
  <c r="AF200" i="3"/>
  <c r="AE200" i="3"/>
  <c r="AD200" i="3"/>
  <c r="AC200" i="3"/>
  <c r="AB200" i="3"/>
  <c r="AA200" i="3"/>
  <c r="Z200" i="3"/>
  <c r="Y200" i="3"/>
  <c r="X200" i="3"/>
  <c r="W200" i="3"/>
  <c r="V200" i="3"/>
  <c r="U200" i="3"/>
  <c r="T200" i="3"/>
  <c r="S200" i="3"/>
  <c r="R200" i="3"/>
  <c r="Q200" i="3"/>
  <c r="P200" i="3"/>
  <c r="O200" i="3"/>
  <c r="N200" i="3"/>
  <c r="M200" i="3"/>
  <c r="L200" i="3"/>
  <c r="K200" i="3"/>
  <c r="J200" i="3"/>
  <c r="I200" i="3"/>
  <c r="H200" i="3"/>
  <c r="G200" i="3"/>
  <c r="F200" i="3"/>
  <c r="E200" i="3"/>
  <c r="D200" i="3"/>
  <c r="C200" i="3"/>
  <c r="B200" i="3"/>
  <c r="CX187" i="3"/>
  <c r="CW187" i="3"/>
  <c r="CV187" i="3"/>
  <c r="CU187" i="3"/>
  <c r="CT187" i="3"/>
  <c r="CS187" i="3"/>
  <c r="CR187" i="3"/>
  <c r="CQ187" i="3"/>
  <c r="CP187" i="3"/>
  <c r="CO187" i="3"/>
  <c r="CN187" i="3"/>
  <c r="CM187" i="3"/>
  <c r="CL187" i="3"/>
  <c r="CK187" i="3"/>
  <c r="CJ187" i="3"/>
  <c r="CI187" i="3"/>
  <c r="CH187" i="3"/>
  <c r="CG187" i="3"/>
  <c r="CF187" i="3"/>
  <c r="CE187" i="3"/>
  <c r="CD187" i="3"/>
  <c r="CC187" i="3"/>
  <c r="CB187" i="3"/>
  <c r="CA187" i="3"/>
  <c r="BZ187" i="3"/>
  <c r="BY187" i="3"/>
  <c r="BX187" i="3"/>
  <c r="BW187" i="3"/>
  <c r="BV187" i="3"/>
  <c r="BU187" i="3"/>
  <c r="BT187" i="3"/>
  <c r="BS187" i="3"/>
  <c r="BR187" i="3"/>
  <c r="BQ187" i="3"/>
  <c r="BP187" i="3"/>
  <c r="BO187" i="3"/>
  <c r="BN187" i="3"/>
  <c r="BM187" i="3"/>
  <c r="BL187" i="3"/>
  <c r="BK187" i="3"/>
  <c r="BJ187" i="3"/>
  <c r="BI187" i="3"/>
  <c r="BH187" i="3"/>
  <c r="BG187" i="3"/>
  <c r="BF187" i="3"/>
  <c r="BE187" i="3"/>
  <c r="BD187" i="3"/>
  <c r="BC187" i="3"/>
  <c r="BB187" i="3"/>
  <c r="BA187" i="3"/>
  <c r="AZ187" i="3"/>
  <c r="AY187" i="3"/>
  <c r="AX187" i="3"/>
  <c r="AW187" i="3"/>
  <c r="AV187" i="3"/>
  <c r="AU187" i="3"/>
  <c r="AT187" i="3"/>
  <c r="AS187" i="3"/>
  <c r="AR187" i="3"/>
  <c r="AQ187" i="3"/>
  <c r="AP187" i="3"/>
  <c r="AO187" i="3"/>
  <c r="AN187" i="3"/>
  <c r="AM187" i="3"/>
  <c r="AL187" i="3"/>
  <c r="AK187" i="3"/>
  <c r="AJ187" i="3"/>
  <c r="AI187" i="3"/>
  <c r="AH187" i="3"/>
  <c r="AG187" i="3"/>
  <c r="AF187" i="3"/>
  <c r="AE187" i="3"/>
  <c r="AD187" i="3"/>
  <c r="AC187" i="3"/>
  <c r="AB187" i="3"/>
  <c r="AA187" i="3"/>
  <c r="Z187" i="3"/>
  <c r="Y187" i="3"/>
  <c r="X187" i="3"/>
  <c r="W187" i="3"/>
  <c r="V187" i="3"/>
  <c r="U187" i="3"/>
  <c r="T187" i="3"/>
  <c r="S187" i="3"/>
  <c r="R187" i="3"/>
  <c r="Q187" i="3"/>
  <c r="P187" i="3"/>
  <c r="O187" i="3"/>
  <c r="N187" i="3"/>
  <c r="M187" i="3"/>
  <c r="L187" i="3"/>
  <c r="K187" i="3"/>
  <c r="J187" i="3"/>
  <c r="I187" i="3"/>
  <c r="H187" i="3"/>
  <c r="G187" i="3"/>
  <c r="F187" i="3"/>
  <c r="E187" i="3"/>
  <c r="D187" i="3"/>
  <c r="C187" i="3"/>
  <c r="B187" i="3"/>
  <c r="CX174" i="3"/>
  <c r="CW174" i="3"/>
  <c r="CV174" i="3"/>
  <c r="CU174" i="3"/>
  <c r="CT174" i="3"/>
  <c r="CS174" i="3"/>
  <c r="CR174" i="3"/>
  <c r="CQ174" i="3"/>
  <c r="CP174" i="3"/>
  <c r="CO174" i="3"/>
  <c r="CN174" i="3"/>
  <c r="CM174" i="3"/>
  <c r="CL174" i="3"/>
  <c r="CK174" i="3"/>
  <c r="CJ174" i="3"/>
  <c r="CI174" i="3"/>
  <c r="CH174" i="3"/>
  <c r="CG174" i="3"/>
  <c r="CF174" i="3"/>
  <c r="CE174" i="3"/>
  <c r="CD174" i="3"/>
  <c r="CC174" i="3"/>
  <c r="CB174" i="3"/>
  <c r="CA174" i="3"/>
  <c r="BZ174" i="3"/>
  <c r="BY174" i="3"/>
  <c r="BX174" i="3"/>
  <c r="BW174" i="3"/>
  <c r="BV174" i="3"/>
  <c r="BU174" i="3"/>
  <c r="BT174" i="3"/>
  <c r="BS174" i="3"/>
  <c r="BR174" i="3"/>
  <c r="BQ174" i="3"/>
  <c r="BP174" i="3"/>
  <c r="BO174" i="3"/>
  <c r="BN174" i="3"/>
  <c r="BM174" i="3"/>
  <c r="BL174" i="3"/>
  <c r="BK174" i="3"/>
  <c r="BJ174" i="3"/>
  <c r="BI174" i="3"/>
  <c r="BH174" i="3"/>
  <c r="BG174" i="3"/>
  <c r="BF174" i="3"/>
  <c r="BE174" i="3"/>
  <c r="BD174" i="3"/>
  <c r="BC174" i="3"/>
  <c r="BB174" i="3"/>
  <c r="BA174" i="3"/>
  <c r="AZ174" i="3"/>
  <c r="AY174" i="3"/>
  <c r="AX174" i="3"/>
  <c r="AW174" i="3"/>
  <c r="AV174" i="3"/>
  <c r="AU174" i="3"/>
  <c r="AT174" i="3"/>
  <c r="AS174" i="3"/>
  <c r="AR174" i="3"/>
  <c r="AQ174" i="3"/>
  <c r="AP174" i="3"/>
  <c r="AO174" i="3"/>
  <c r="AN174" i="3"/>
  <c r="AM174" i="3"/>
  <c r="AL174" i="3"/>
  <c r="AK174" i="3"/>
  <c r="AJ174" i="3"/>
  <c r="AI174" i="3"/>
  <c r="AH174" i="3"/>
  <c r="AG174" i="3"/>
  <c r="AF174" i="3"/>
  <c r="AE174" i="3"/>
  <c r="AD174" i="3"/>
  <c r="AC174" i="3"/>
  <c r="AB174" i="3"/>
  <c r="AA174" i="3"/>
  <c r="Z174" i="3"/>
  <c r="Y174" i="3"/>
  <c r="X174" i="3"/>
  <c r="W174" i="3"/>
  <c r="V174" i="3"/>
  <c r="U174" i="3"/>
  <c r="T174" i="3"/>
  <c r="S174" i="3"/>
  <c r="R174" i="3"/>
  <c r="Q174" i="3"/>
  <c r="P174" i="3"/>
  <c r="O174" i="3"/>
  <c r="N174" i="3"/>
  <c r="M174" i="3"/>
  <c r="L174" i="3"/>
  <c r="K174" i="3"/>
  <c r="J174" i="3"/>
  <c r="I174" i="3"/>
  <c r="H174" i="3"/>
  <c r="G174" i="3"/>
  <c r="F174" i="3"/>
  <c r="E174" i="3"/>
  <c r="D174" i="3"/>
  <c r="C174" i="3"/>
  <c r="B174" i="3"/>
  <c r="CX161" i="3"/>
  <c r="CW161" i="3"/>
  <c r="CV161" i="3"/>
  <c r="CU161" i="3"/>
  <c r="CT161" i="3"/>
  <c r="CS161" i="3"/>
  <c r="CR161" i="3"/>
  <c r="CQ161" i="3"/>
  <c r="CP161" i="3"/>
  <c r="CO161" i="3"/>
  <c r="CN161" i="3"/>
  <c r="CM161" i="3"/>
  <c r="CL161" i="3"/>
  <c r="CK161" i="3"/>
  <c r="CJ161" i="3"/>
  <c r="CI161" i="3"/>
  <c r="CH161" i="3"/>
  <c r="CG161" i="3"/>
  <c r="CF161" i="3"/>
  <c r="CE161" i="3"/>
  <c r="CD161" i="3"/>
  <c r="CC161" i="3"/>
  <c r="CB161" i="3"/>
  <c r="CA161" i="3"/>
  <c r="BZ161" i="3"/>
  <c r="BY161" i="3"/>
  <c r="BX161" i="3"/>
  <c r="BW161" i="3"/>
  <c r="BV161" i="3"/>
  <c r="BU161" i="3"/>
  <c r="BT161" i="3"/>
  <c r="BS161" i="3"/>
  <c r="BR161" i="3"/>
  <c r="BQ161" i="3"/>
  <c r="BP161" i="3"/>
  <c r="BO161" i="3"/>
  <c r="BN161" i="3"/>
  <c r="BM161" i="3"/>
  <c r="BL161" i="3"/>
  <c r="BK161" i="3"/>
  <c r="BJ161" i="3"/>
  <c r="BI161" i="3"/>
  <c r="BH161" i="3"/>
  <c r="BG161" i="3"/>
  <c r="BF161" i="3"/>
  <c r="BE161" i="3"/>
  <c r="BD161" i="3"/>
  <c r="BC161" i="3"/>
  <c r="BB161" i="3"/>
  <c r="BA161" i="3"/>
  <c r="AZ161" i="3"/>
  <c r="AY161" i="3"/>
  <c r="AX161" i="3"/>
  <c r="AW161" i="3"/>
  <c r="AV161" i="3"/>
  <c r="AU161" i="3"/>
  <c r="AT161" i="3"/>
  <c r="AS161" i="3"/>
  <c r="AR161" i="3"/>
  <c r="AQ161" i="3"/>
  <c r="AP161" i="3"/>
  <c r="AO161" i="3"/>
  <c r="AN161" i="3"/>
  <c r="AM161" i="3"/>
  <c r="AL161" i="3"/>
  <c r="AK161" i="3"/>
  <c r="AJ161" i="3"/>
  <c r="AI161" i="3"/>
  <c r="AH161" i="3"/>
  <c r="AG161" i="3"/>
  <c r="AF161" i="3"/>
  <c r="AE161" i="3"/>
  <c r="AD161" i="3"/>
  <c r="AC161" i="3"/>
  <c r="AB161" i="3"/>
  <c r="AA161" i="3"/>
  <c r="Z161" i="3"/>
  <c r="Y161" i="3"/>
  <c r="X161" i="3"/>
  <c r="W161" i="3"/>
  <c r="V161" i="3"/>
  <c r="U161" i="3"/>
  <c r="T161" i="3"/>
  <c r="S161" i="3"/>
  <c r="R161" i="3"/>
  <c r="Q161" i="3"/>
  <c r="P161" i="3"/>
  <c r="O161" i="3"/>
  <c r="N161" i="3"/>
  <c r="M161" i="3"/>
  <c r="L161" i="3"/>
  <c r="K161" i="3"/>
  <c r="J161" i="3"/>
  <c r="I161" i="3"/>
  <c r="H161" i="3"/>
  <c r="G161" i="3"/>
  <c r="F161" i="3"/>
  <c r="E161" i="3"/>
  <c r="D161" i="3"/>
  <c r="C161" i="3"/>
  <c r="B161" i="3"/>
  <c r="CX148" i="3"/>
  <c r="CW148" i="3"/>
  <c r="CV148" i="3"/>
  <c r="CU148" i="3"/>
  <c r="CT148" i="3"/>
  <c r="CS148" i="3"/>
  <c r="CR148" i="3"/>
  <c r="CQ148" i="3"/>
  <c r="CP148" i="3"/>
  <c r="CO148" i="3"/>
  <c r="CN148" i="3"/>
  <c r="CM148" i="3"/>
  <c r="CL148" i="3"/>
  <c r="CK148" i="3"/>
  <c r="CJ148" i="3"/>
  <c r="CI148" i="3"/>
  <c r="CH148" i="3"/>
  <c r="CG148" i="3"/>
  <c r="CF148" i="3"/>
  <c r="CE148" i="3"/>
  <c r="CD148" i="3"/>
  <c r="CC148" i="3"/>
  <c r="CB148" i="3"/>
  <c r="CA148" i="3"/>
  <c r="BZ148" i="3"/>
  <c r="BY148" i="3"/>
  <c r="BX148" i="3"/>
  <c r="BW148" i="3"/>
  <c r="BV148" i="3"/>
  <c r="BU148" i="3"/>
  <c r="BT148" i="3"/>
  <c r="BS148" i="3"/>
  <c r="BR148" i="3"/>
  <c r="BQ148" i="3"/>
  <c r="BP148" i="3"/>
  <c r="BO148" i="3"/>
  <c r="BN148" i="3"/>
  <c r="BM148" i="3"/>
  <c r="BL148" i="3"/>
  <c r="BK148" i="3"/>
  <c r="BJ148" i="3"/>
  <c r="BI148" i="3"/>
  <c r="BH148" i="3"/>
  <c r="BG148" i="3"/>
  <c r="BF148" i="3"/>
  <c r="BE148" i="3"/>
  <c r="BD148" i="3"/>
  <c r="BC148" i="3"/>
  <c r="BB148" i="3"/>
  <c r="BA148" i="3"/>
  <c r="AZ148" i="3"/>
  <c r="AY148" i="3"/>
  <c r="AX148" i="3"/>
  <c r="AW148" i="3"/>
  <c r="AV148" i="3"/>
  <c r="AU148" i="3"/>
  <c r="AT148" i="3"/>
  <c r="AS148" i="3"/>
  <c r="AR148" i="3"/>
  <c r="AQ148" i="3"/>
  <c r="AP148" i="3"/>
  <c r="AO148" i="3"/>
  <c r="AN148" i="3"/>
  <c r="AM148" i="3"/>
  <c r="AL148" i="3"/>
  <c r="AK148" i="3"/>
  <c r="AJ148" i="3"/>
  <c r="AI148" i="3"/>
  <c r="AH148" i="3"/>
  <c r="AG148" i="3"/>
  <c r="AF148" i="3"/>
  <c r="AE148" i="3"/>
  <c r="AD148" i="3"/>
  <c r="AC148" i="3"/>
  <c r="AB148" i="3"/>
  <c r="AA148" i="3"/>
  <c r="Z148" i="3"/>
  <c r="Y148" i="3"/>
  <c r="X148" i="3"/>
  <c r="W148" i="3"/>
  <c r="V148" i="3"/>
  <c r="U148" i="3"/>
  <c r="T148" i="3"/>
  <c r="S148" i="3"/>
  <c r="R148" i="3"/>
  <c r="Q148" i="3"/>
  <c r="P148" i="3"/>
  <c r="O148" i="3"/>
  <c r="N148" i="3"/>
  <c r="M148" i="3"/>
  <c r="L148" i="3"/>
  <c r="K148" i="3"/>
  <c r="J148" i="3"/>
  <c r="I148" i="3"/>
  <c r="H148" i="3"/>
  <c r="G148" i="3"/>
  <c r="F148" i="3"/>
  <c r="E148" i="3"/>
  <c r="D148" i="3"/>
  <c r="C148" i="3"/>
  <c r="B148" i="3"/>
  <c r="CX135" i="3"/>
  <c r="CW135" i="3"/>
  <c r="CV135" i="3"/>
  <c r="CU135" i="3"/>
  <c r="CT135" i="3"/>
  <c r="CS135" i="3"/>
  <c r="CR135" i="3"/>
  <c r="CQ135" i="3"/>
  <c r="CP135" i="3"/>
  <c r="CO135" i="3"/>
  <c r="CN135" i="3"/>
  <c r="CM135" i="3"/>
  <c r="CL135" i="3"/>
  <c r="CK135" i="3"/>
  <c r="CJ135" i="3"/>
  <c r="CI135" i="3"/>
  <c r="CH135" i="3"/>
  <c r="CG135" i="3"/>
  <c r="CF135" i="3"/>
  <c r="CE135" i="3"/>
  <c r="CD135" i="3"/>
  <c r="CC135" i="3"/>
  <c r="CB135" i="3"/>
  <c r="CA135" i="3"/>
  <c r="BZ135" i="3"/>
  <c r="BY135" i="3"/>
  <c r="BX135" i="3"/>
  <c r="BW135" i="3"/>
  <c r="BV135" i="3"/>
  <c r="BU135" i="3"/>
  <c r="BT135" i="3"/>
  <c r="BS135" i="3"/>
  <c r="BR135" i="3"/>
  <c r="BQ135" i="3"/>
  <c r="BP135" i="3"/>
  <c r="BO135" i="3"/>
  <c r="BN135" i="3"/>
  <c r="BM135" i="3"/>
  <c r="BL135" i="3"/>
  <c r="BK135" i="3"/>
  <c r="BJ135" i="3"/>
  <c r="BI135" i="3"/>
  <c r="BH135" i="3"/>
  <c r="BG135" i="3"/>
  <c r="BF135" i="3"/>
  <c r="BE135" i="3"/>
  <c r="BD135" i="3"/>
  <c r="BC135" i="3"/>
  <c r="BB135" i="3"/>
  <c r="BA135" i="3"/>
  <c r="AZ135" i="3"/>
  <c r="AY135" i="3"/>
  <c r="AX135" i="3"/>
  <c r="AW135" i="3"/>
  <c r="AV135" i="3"/>
  <c r="AU135" i="3"/>
  <c r="AT135" i="3"/>
  <c r="AS135" i="3"/>
  <c r="AR135" i="3"/>
  <c r="AQ135" i="3"/>
  <c r="AP135" i="3"/>
  <c r="AO135" i="3"/>
  <c r="AN135" i="3"/>
  <c r="AM135" i="3"/>
  <c r="AL135" i="3"/>
  <c r="AK135" i="3"/>
  <c r="AJ135" i="3"/>
  <c r="AI135" i="3"/>
  <c r="AH135" i="3"/>
  <c r="AG135" i="3"/>
  <c r="AF135" i="3"/>
  <c r="AE135" i="3"/>
  <c r="AD135" i="3"/>
  <c r="AC135" i="3"/>
  <c r="AB135" i="3"/>
  <c r="AA135" i="3"/>
  <c r="Z135" i="3"/>
  <c r="Y135" i="3"/>
  <c r="X135" i="3"/>
  <c r="W135" i="3"/>
  <c r="V135" i="3"/>
  <c r="U135" i="3"/>
  <c r="T135" i="3"/>
  <c r="S135" i="3"/>
  <c r="R135" i="3"/>
  <c r="Q135" i="3"/>
  <c r="P135" i="3"/>
  <c r="O135" i="3"/>
  <c r="N135" i="3"/>
  <c r="M135" i="3"/>
  <c r="L135" i="3"/>
  <c r="K135" i="3"/>
  <c r="J135" i="3"/>
  <c r="I135" i="3"/>
  <c r="H135" i="3"/>
  <c r="G135" i="3"/>
  <c r="F135" i="3"/>
  <c r="E135" i="3"/>
  <c r="D135" i="3"/>
  <c r="C135" i="3"/>
  <c r="B135" i="3"/>
  <c r="A2" i="26" l="1"/>
  <c r="F45" i="4" l="1"/>
  <c r="G45" i="4" s="1"/>
  <c r="H45" i="4" s="1"/>
  <c r="I45" i="4" l="1"/>
  <c r="C45" i="18"/>
  <c r="O44" i="18"/>
  <c r="O36" i="22" s="1"/>
  <c r="N44" i="18"/>
  <c r="O45" i="18" s="1"/>
  <c r="M44" i="18"/>
  <c r="N45" i="18" s="1"/>
  <c r="L44" i="18"/>
  <c r="K44" i="18"/>
  <c r="K36" i="22" s="1"/>
  <c r="J44" i="18"/>
  <c r="K45" i="18" s="1"/>
  <c r="I44" i="18"/>
  <c r="J45" i="18" s="1"/>
  <c r="H44" i="18"/>
  <c r="I45" i="18" s="1"/>
  <c r="G44" i="18"/>
  <c r="G36" i="22" s="1"/>
  <c r="F44" i="18"/>
  <c r="G45" i="18" s="1"/>
  <c r="E44" i="18"/>
  <c r="F45" i="18" s="1"/>
  <c r="D44" i="18"/>
  <c r="D36" i="22" s="1"/>
  <c r="C44" i="18"/>
  <c r="D45" i="18" s="1"/>
  <c r="C55" i="22"/>
  <c r="D55" i="22" s="1"/>
  <c r="E55" i="22" s="1"/>
  <c r="F55" i="22" s="1"/>
  <c r="G55" i="22" s="1"/>
  <c r="H55" i="22" s="1"/>
  <c r="I55" i="22" s="1"/>
  <c r="J55" i="22" s="1"/>
  <c r="K55" i="22" s="1"/>
  <c r="L55" i="22" s="1"/>
  <c r="M55" i="22" s="1"/>
  <c r="N55" i="22" s="1"/>
  <c r="O55" i="22" s="1"/>
  <c r="C54" i="22"/>
  <c r="D54" i="22" s="1"/>
  <c r="E54" i="22" s="1"/>
  <c r="F54" i="22" s="1"/>
  <c r="G54" i="22" s="1"/>
  <c r="H54" i="22" s="1"/>
  <c r="I54" i="22" s="1"/>
  <c r="J54" i="22" s="1"/>
  <c r="K54" i="22" s="1"/>
  <c r="L54" i="22" s="1"/>
  <c r="M54" i="22" s="1"/>
  <c r="N54" i="22" s="1"/>
  <c r="O54" i="22" s="1"/>
  <c r="E45" i="18" l="1"/>
  <c r="C36" i="22"/>
  <c r="J45" i="4"/>
  <c r="H45" i="18"/>
  <c r="L45" i="18"/>
  <c r="H36" i="22"/>
  <c r="L36" i="22"/>
  <c r="M45" i="18"/>
  <c r="E36" i="22"/>
  <c r="I36" i="22"/>
  <c r="M36" i="22"/>
  <c r="F36" i="22"/>
  <c r="J36" i="22"/>
  <c r="N36" i="22"/>
  <c r="E35" i="21"/>
  <c r="C24" i="23"/>
  <c r="D24" i="23"/>
  <c r="C174" i="6"/>
  <c r="K45" i="4" l="1"/>
  <c r="L45" i="4" l="1"/>
  <c r="M45" i="4" l="1"/>
  <c r="D30" i="22"/>
  <c r="E30" i="22" s="1"/>
  <c r="F30" i="22" l="1"/>
  <c r="N45" i="4"/>
  <c r="C4" i="23"/>
  <c r="G30" i="22" l="1"/>
  <c r="O45" i="4"/>
  <c r="E59" i="22"/>
  <c r="F59" i="22" s="1"/>
  <c r="G59" i="22" s="1"/>
  <c r="H59" i="22" s="1"/>
  <c r="I59" i="22" s="1"/>
  <c r="J59" i="22" s="1"/>
  <c r="K59" i="22" s="1"/>
  <c r="L59" i="22" s="1"/>
  <c r="M59" i="22" s="1"/>
  <c r="N59" i="22" s="1"/>
  <c r="O59" i="22" s="1"/>
  <c r="F45" i="22"/>
  <c r="H30" i="22" l="1"/>
  <c r="G45" i="22"/>
  <c r="H38" i="22" s="1"/>
  <c r="G38" i="22"/>
  <c r="E15" i="22"/>
  <c r="F15" i="22" s="1"/>
  <c r="G15" i="22" s="1"/>
  <c r="H15" i="22" s="1"/>
  <c r="I15" i="22" s="1"/>
  <c r="J15" i="22" s="1"/>
  <c r="K15" i="22" s="1"/>
  <c r="L15" i="22" s="1"/>
  <c r="M15" i="22" s="1"/>
  <c r="N15" i="22" s="1"/>
  <c r="O15" i="22" s="1"/>
  <c r="F5" i="25"/>
  <c r="G5" i="25" s="1"/>
  <c r="H5" i="25" s="1"/>
  <c r="I5" i="25" s="1"/>
  <c r="J5" i="25" s="1"/>
  <c r="K5" i="25" s="1"/>
  <c r="L5" i="25" s="1"/>
  <c r="M5" i="25" s="1"/>
  <c r="N5" i="25" s="1"/>
  <c r="O5" i="25" s="1"/>
  <c r="E6" i="25"/>
  <c r="E7" i="25" s="1"/>
  <c r="E14" i="22" s="1"/>
  <c r="F7" i="25"/>
  <c r="G7" i="25"/>
  <c r="H7" i="25"/>
  <c r="I7" i="25"/>
  <c r="J7" i="25"/>
  <c r="K7" i="25"/>
  <c r="L7" i="25"/>
  <c r="M7" i="25"/>
  <c r="N7" i="25"/>
  <c r="O7" i="25"/>
  <c r="F9" i="25"/>
  <c r="G9" i="25" s="1"/>
  <c r="H9" i="25" s="1"/>
  <c r="I9" i="25" s="1"/>
  <c r="J9" i="25" s="1"/>
  <c r="K9" i="25" s="1"/>
  <c r="L9" i="25" s="1"/>
  <c r="M9" i="25" s="1"/>
  <c r="N9" i="25" s="1"/>
  <c r="O9" i="25" s="1"/>
  <c r="E10" i="25"/>
  <c r="E13" i="25" s="1"/>
  <c r="E25" i="22" s="1"/>
  <c r="F10" i="25"/>
  <c r="F13" i="25" s="1"/>
  <c r="G10" i="25"/>
  <c r="G13" i="25" s="1"/>
  <c r="H10" i="25"/>
  <c r="H13" i="25" s="1"/>
  <c r="I10" i="25"/>
  <c r="I13" i="25" s="1"/>
  <c r="J10" i="25"/>
  <c r="J13" i="25" s="1"/>
  <c r="K10" i="25"/>
  <c r="K13" i="25" s="1"/>
  <c r="L10" i="25"/>
  <c r="L13" i="25" s="1"/>
  <c r="M10" i="25"/>
  <c r="M13" i="25" s="1"/>
  <c r="N10" i="25"/>
  <c r="N13" i="25" s="1"/>
  <c r="O10" i="25"/>
  <c r="O13" i="25" s="1"/>
  <c r="C12" i="25"/>
  <c r="F15" i="25"/>
  <c r="G15" i="25" s="1"/>
  <c r="H15" i="25" s="1"/>
  <c r="I15" i="25" s="1"/>
  <c r="J15" i="25" s="1"/>
  <c r="K15" i="25" s="1"/>
  <c r="L15" i="25" s="1"/>
  <c r="M15" i="25" s="1"/>
  <c r="N15" i="25" s="1"/>
  <c r="O15" i="25" s="1"/>
  <c r="E16" i="25"/>
  <c r="F16" i="25"/>
  <c r="G16" i="25"/>
  <c r="H16" i="25"/>
  <c r="I16" i="25"/>
  <c r="J16" i="25"/>
  <c r="K16" i="25"/>
  <c r="L16" i="25"/>
  <c r="M16" i="25"/>
  <c r="N16" i="25"/>
  <c r="E17" i="25"/>
  <c r="F17" i="25"/>
  <c r="G17" i="25"/>
  <c r="H17" i="25"/>
  <c r="I17" i="25"/>
  <c r="J17" i="25"/>
  <c r="K17" i="25"/>
  <c r="L17" i="25"/>
  <c r="M17" i="25"/>
  <c r="N17" i="25"/>
  <c r="O17" i="25"/>
  <c r="O19" i="25" s="1"/>
  <c r="C18" i="25"/>
  <c r="E18" i="25" s="1"/>
  <c r="E26" i="22"/>
  <c r="F26" i="22" s="1"/>
  <c r="G26" i="22" s="1"/>
  <c r="H26" i="22" s="1"/>
  <c r="I26" i="22" s="1"/>
  <c r="J26" i="22" s="1"/>
  <c r="K26" i="22" s="1"/>
  <c r="L26" i="22" s="1"/>
  <c r="M26" i="22" s="1"/>
  <c r="N26" i="22" s="1"/>
  <c r="O26" i="22" s="1"/>
  <c r="I30" i="22" l="1"/>
  <c r="H45" i="22"/>
  <c r="I38" i="22" s="1"/>
  <c r="K19" i="25"/>
  <c r="K14" i="21" s="1"/>
  <c r="G19" i="25"/>
  <c r="G14" i="21" s="1"/>
  <c r="L19" i="25"/>
  <c r="L14" i="21" s="1"/>
  <c r="L16" i="19" s="1"/>
  <c r="H19" i="25"/>
  <c r="H14" i="21" s="1"/>
  <c r="M19" i="25"/>
  <c r="M14" i="21" s="1"/>
  <c r="I19" i="25"/>
  <c r="I14" i="21" s="1"/>
  <c r="N19" i="25"/>
  <c r="N14" i="21" s="1"/>
  <c r="J19" i="25"/>
  <c r="J14" i="21" s="1"/>
  <c r="F19" i="25"/>
  <c r="F14" i="21" s="1"/>
  <c r="F25" i="22"/>
  <c r="F14" i="22"/>
  <c r="O14" i="21"/>
  <c r="E19" i="25"/>
  <c r="E14" i="21" s="1"/>
  <c r="I45" i="22"/>
  <c r="J38" i="22" s="1"/>
  <c r="O13" i="21"/>
  <c r="O16" i="26" s="1"/>
  <c r="N13" i="21"/>
  <c r="N16" i="26" s="1"/>
  <c r="M13" i="21"/>
  <c r="M16" i="26" s="1"/>
  <c r="L13" i="21"/>
  <c r="L16" i="26" s="1"/>
  <c r="K13" i="21"/>
  <c r="K16" i="26" s="1"/>
  <c r="J13" i="21"/>
  <c r="J16" i="26" s="1"/>
  <c r="I13" i="21"/>
  <c r="I16" i="26" s="1"/>
  <c r="H13" i="21"/>
  <c r="H16" i="26" s="1"/>
  <c r="G13" i="21"/>
  <c r="G16" i="26" s="1"/>
  <c r="F13" i="21"/>
  <c r="F16" i="26" s="1"/>
  <c r="E13" i="21"/>
  <c r="E16" i="26" s="1"/>
  <c r="G14" i="22" l="1"/>
  <c r="G25" i="22"/>
  <c r="J30" i="22"/>
  <c r="H16" i="20"/>
  <c r="H16" i="19"/>
  <c r="F16" i="19"/>
  <c r="F16" i="20"/>
  <c r="N16" i="19"/>
  <c r="N16" i="20"/>
  <c r="L16" i="20"/>
  <c r="J16" i="19"/>
  <c r="J16" i="20"/>
  <c r="I16" i="20"/>
  <c r="I16" i="19"/>
  <c r="G16" i="20"/>
  <c r="G16" i="19"/>
  <c r="E16" i="20"/>
  <c r="E16" i="19"/>
  <c r="J45" i="22"/>
  <c r="K38" i="22" s="1"/>
  <c r="M16" i="20"/>
  <c r="M16" i="19"/>
  <c r="K16" i="20"/>
  <c r="K16" i="19"/>
  <c r="O16" i="20"/>
  <c r="O16" i="19"/>
  <c r="K30" i="22" l="1"/>
  <c r="H14" i="22"/>
  <c r="H25" i="22"/>
  <c r="K45" i="22"/>
  <c r="L38" i="22" s="1"/>
  <c r="F30" i="20"/>
  <c r="I25" i="22" l="1"/>
  <c r="L30" i="22"/>
  <c r="I14" i="22"/>
  <c r="L45" i="22"/>
  <c r="M38" i="22" s="1"/>
  <c r="G9" i="14"/>
  <c r="G10" i="14"/>
  <c r="G11" i="14"/>
  <c r="C35" i="17"/>
  <c r="K12" i="24"/>
  <c r="J12" i="24"/>
  <c r="I12" i="24"/>
  <c r="H12" i="24"/>
  <c r="G12" i="24"/>
  <c r="F12" i="24"/>
  <c r="D12" i="24"/>
  <c r="C12" i="24"/>
  <c r="C13" i="24"/>
  <c r="C10" i="24"/>
  <c r="D9" i="24"/>
  <c r="C9" i="24"/>
  <c r="O8" i="24"/>
  <c r="N8" i="24"/>
  <c r="M8" i="24"/>
  <c r="L8" i="24"/>
  <c r="K8" i="24"/>
  <c r="J8" i="24"/>
  <c r="I8" i="24"/>
  <c r="H8" i="24"/>
  <c r="G8" i="24"/>
  <c r="F8" i="24"/>
  <c r="E8" i="24"/>
  <c r="D8" i="24"/>
  <c r="C8" i="24"/>
  <c r="D7" i="24"/>
  <c r="C7" i="24"/>
  <c r="C4" i="24"/>
  <c r="A2" i="24"/>
  <c r="J14" i="22" l="1"/>
  <c r="M30" i="22"/>
  <c r="J25" i="22"/>
  <c r="L12" i="24"/>
  <c r="M45" i="22"/>
  <c r="N38" i="22" s="1"/>
  <c r="D22" i="23"/>
  <c r="K14" i="22" l="1"/>
  <c r="N30" i="22"/>
  <c r="K25" i="22"/>
  <c r="M12" i="24"/>
  <c r="N45" i="22"/>
  <c r="O38" i="22" s="1"/>
  <c r="C21" i="23"/>
  <c r="C22" i="23"/>
  <c r="C10" i="23"/>
  <c r="C28" i="23"/>
  <c r="L25" i="22" l="1"/>
  <c r="L14" i="22"/>
  <c r="O30" i="22"/>
  <c r="N12" i="24"/>
  <c r="O45" i="22"/>
  <c r="C7" i="23"/>
  <c r="A2" i="23"/>
  <c r="M14" i="22" l="1"/>
  <c r="M25" i="22"/>
  <c r="O12" i="24"/>
  <c r="D60" i="22"/>
  <c r="E39" i="16" s="1"/>
  <c r="D56" i="22"/>
  <c r="D48" i="22"/>
  <c r="N25" i="22" l="1"/>
  <c r="N14" i="22"/>
  <c r="E48" i="22"/>
  <c r="D37" i="22"/>
  <c r="D11" i="24" s="1"/>
  <c r="D27" i="22"/>
  <c r="C27" i="22"/>
  <c r="C15" i="22"/>
  <c r="O5" i="21"/>
  <c r="N5" i="21"/>
  <c r="M5" i="21"/>
  <c r="L5" i="21"/>
  <c r="K5" i="21"/>
  <c r="J5" i="21"/>
  <c r="I5" i="21"/>
  <c r="H5" i="21"/>
  <c r="G5" i="21"/>
  <c r="F5" i="21"/>
  <c r="C5" i="21"/>
  <c r="C63" i="22"/>
  <c r="C60" i="22"/>
  <c r="C40" i="22"/>
  <c r="C15" i="24" s="1"/>
  <c r="C37" i="22"/>
  <c r="C11" i="24" s="1"/>
  <c r="B70" i="19"/>
  <c r="C4" i="22"/>
  <c r="A2" i="22"/>
  <c r="O25" i="22" l="1"/>
  <c r="O14" i="22"/>
  <c r="F48" i="22"/>
  <c r="F19" i="21" s="1"/>
  <c r="E27" i="22"/>
  <c r="D24" i="24"/>
  <c r="E19" i="21"/>
  <c r="D9" i="23"/>
  <c r="D8" i="23"/>
  <c r="E32" i="21"/>
  <c r="C22" i="20"/>
  <c r="C20" i="20"/>
  <c r="C22" i="19"/>
  <c r="C20" i="19"/>
  <c r="C20" i="21" s="1"/>
  <c r="D14" i="19"/>
  <c r="D12" i="21" s="1"/>
  <c r="D13" i="21"/>
  <c r="C13" i="21"/>
  <c r="D7" i="21"/>
  <c r="C7" i="21"/>
  <c r="C4" i="21"/>
  <c r="A2" i="21"/>
  <c r="C37" i="23" l="1"/>
  <c r="C13" i="23" s="1"/>
  <c r="C14" i="23" s="1"/>
  <c r="F27" i="22"/>
  <c r="E9" i="23"/>
  <c r="D7" i="23"/>
  <c r="G48" i="22"/>
  <c r="B159" i="20"/>
  <c r="D156" i="20"/>
  <c r="D34" i="20" s="1"/>
  <c r="C156" i="20"/>
  <c r="C157" i="20" s="1"/>
  <c r="O98" i="20"/>
  <c r="N98" i="20"/>
  <c r="M98" i="20"/>
  <c r="L98" i="20"/>
  <c r="K98" i="20"/>
  <c r="J98" i="20"/>
  <c r="I98" i="20"/>
  <c r="H98" i="20"/>
  <c r="G98" i="20"/>
  <c r="F98" i="20"/>
  <c r="E98" i="20"/>
  <c r="D98" i="20"/>
  <c r="C98" i="20"/>
  <c r="D96" i="20"/>
  <c r="C96" i="20"/>
  <c r="C83" i="20"/>
  <c r="C77" i="20"/>
  <c r="C79" i="20" s="1"/>
  <c r="C71" i="20"/>
  <c r="C73" i="20" s="1"/>
  <c r="D20" i="20"/>
  <c r="D19" i="20"/>
  <c r="C19" i="20"/>
  <c r="D17" i="20"/>
  <c r="D22" i="20" s="1"/>
  <c r="C17" i="20"/>
  <c r="D14" i="20"/>
  <c r="C14" i="20"/>
  <c r="D10" i="20"/>
  <c r="C10" i="20"/>
  <c r="D9" i="20"/>
  <c r="C9" i="20"/>
  <c r="O5" i="20"/>
  <c r="O106" i="20" s="1"/>
  <c r="N5" i="20"/>
  <c r="N106" i="20" s="1"/>
  <c r="M5" i="20"/>
  <c r="M106" i="20" s="1"/>
  <c r="L5" i="20"/>
  <c r="L106" i="20" s="1"/>
  <c r="K5" i="20"/>
  <c r="K106" i="20" s="1"/>
  <c r="J5" i="20"/>
  <c r="J106" i="20" s="1"/>
  <c r="I5" i="20"/>
  <c r="I106" i="20" s="1"/>
  <c r="H5" i="20"/>
  <c r="H106" i="20" s="1"/>
  <c r="G5" i="20"/>
  <c r="G106" i="20" s="1"/>
  <c r="F5" i="20"/>
  <c r="F106" i="20" s="1"/>
  <c r="C5" i="20"/>
  <c r="C4" i="20"/>
  <c r="C93" i="20" s="1"/>
  <c r="C102" i="20" s="1"/>
  <c r="A2" i="20"/>
  <c r="D11" i="20" l="1"/>
  <c r="C34" i="20"/>
  <c r="C11" i="20"/>
  <c r="C12" i="20" s="1"/>
  <c r="H48" i="22"/>
  <c r="H19" i="21" s="1"/>
  <c r="G19" i="21"/>
  <c r="F9" i="23"/>
  <c r="G27" i="22"/>
  <c r="D12" i="20"/>
  <c r="C85" i="20"/>
  <c r="C90" i="20" s="1"/>
  <c r="C88" i="20"/>
  <c r="B107" i="20"/>
  <c r="B106" i="20"/>
  <c r="B105" i="20"/>
  <c r="J105" i="20"/>
  <c r="L105" i="20"/>
  <c r="H105" i="20"/>
  <c r="O105" i="20"/>
  <c r="K105" i="20"/>
  <c r="G105" i="20"/>
  <c r="M105" i="20"/>
  <c r="I105" i="20"/>
  <c r="C99" i="20"/>
  <c r="C158" i="20" s="1"/>
  <c r="C159" i="20" s="1"/>
  <c r="N105" i="20"/>
  <c r="F105" i="20"/>
  <c r="D157" i="20"/>
  <c r="B17" i="17"/>
  <c r="D17" i="19"/>
  <c r="D22" i="19" s="1"/>
  <c r="D19" i="19"/>
  <c r="D18" i="21" s="1"/>
  <c r="D20" i="19"/>
  <c r="D20" i="21" s="1"/>
  <c r="C19" i="19"/>
  <c r="C18" i="21" s="1"/>
  <c r="D9" i="19"/>
  <c r="D8" i="21" s="1"/>
  <c r="D10" i="19"/>
  <c r="D9" i="21" s="1"/>
  <c r="D37" i="23" l="1"/>
  <c r="D13" i="23" s="1"/>
  <c r="G9" i="23"/>
  <c r="H27" i="22"/>
  <c r="I48" i="22"/>
  <c r="D15" i="21"/>
  <c r="D23" i="23" s="1"/>
  <c r="H9" i="23" l="1"/>
  <c r="J48" i="22"/>
  <c r="J19" i="21" s="1"/>
  <c r="I27" i="22"/>
  <c r="I19" i="21"/>
  <c r="D154" i="19"/>
  <c r="C81" i="19"/>
  <c r="C83" i="19" s="1"/>
  <c r="C75" i="19"/>
  <c r="C77" i="19" s="1"/>
  <c r="C69" i="19"/>
  <c r="K48" i="22" l="1"/>
  <c r="K19" i="21" s="1"/>
  <c r="D11" i="19"/>
  <c r="D33" i="19"/>
  <c r="J27" i="22"/>
  <c r="I9" i="23"/>
  <c r="C86" i="19"/>
  <c r="C71" i="19"/>
  <c r="C88" i="19" s="1"/>
  <c r="D56" i="19"/>
  <c r="D57" i="19"/>
  <c r="D58" i="19"/>
  <c r="J9" i="23" l="1"/>
  <c r="K27" i="22"/>
  <c r="L48" i="22"/>
  <c r="L19" i="21" s="1"/>
  <c r="C58" i="19"/>
  <c r="C34" i="17"/>
  <c r="B86" i="17"/>
  <c r="O96" i="19"/>
  <c r="N96" i="19"/>
  <c r="M96" i="19"/>
  <c r="L96" i="19"/>
  <c r="K96" i="19"/>
  <c r="J96" i="19"/>
  <c r="I96" i="19"/>
  <c r="H96" i="19"/>
  <c r="G96" i="19"/>
  <c r="F96" i="19"/>
  <c r="E96" i="19"/>
  <c r="D96" i="19"/>
  <c r="C96" i="19"/>
  <c r="O5" i="19"/>
  <c r="N5" i="19"/>
  <c r="M5" i="19"/>
  <c r="L5" i="19"/>
  <c r="K5" i="19"/>
  <c r="J5" i="19"/>
  <c r="I5" i="19"/>
  <c r="H5" i="19"/>
  <c r="G5" i="19"/>
  <c r="F5" i="19"/>
  <c r="C5" i="19"/>
  <c r="L27" i="22" l="1"/>
  <c r="M48" i="22"/>
  <c r="M19" i="21" s="1"/>
  <c r="K9" i="23"/>
  <c r="N48" i="22" l="1"/>
  <c r="N19" i="21" s="1"/>
  <c r="L9" i="23"/>
  <c r="M27" i="22"/>
  <c r="D94" i="19"/>
  <c r="C94" i="19"/>
  <c r="C17" i="19"/>
  <c r="C14" i="19"/>
  <c r="C12" i="21" s="1"/>
  <c r="C56" i="19"/>
  <c r="M9" i="23" l="1"/>
  <c r="N27" i="22"/>
  <c r="O48" i="22"/>
  <c r="O19" i="21" s="1"/>
  <c r="C57" i="19"/>
  <c r="C15" i="21"/>
  <c r="C23" i="23" s="1"/>
  <c r="M103" i="19"/>
  <c r="I103" i="19"/>
  <c r="L103" i="19"/>
  <c r="H103" i="19"/>
  <c r="O103" i="19"/>
  <c r="K103" i="19"/>
  <c r="G103" i="19"/>
  <c r="N103" i="19"/>
  <c r="J103" i="19"/>
  <c r="F103" i="19"/>
  <c r="L104" i="19"/>
  <c r="H104" i="19"/>
  <c r="O104" i="19"/>
  <c r="K104" i="19"/>
  <c r="G104" i="19"/>
  <c r="N104" i="19"/>
  <c r="J104" i="19"/>
  <c r="F104" i="19"/>
  <c r="M104" i="19"/>
  <c r="I104" i="19"/>
  <c r="C97" i="19"/>
  <c r="C156" i="19" s="1"/>
  <c r="O27" i="22" l="1"/>
  <c r="O9" i="23"/>
  <c r="N9" i="23"/>
  <c r="C154" i="19"/>
  <c r="C155" i="19" s="1"/>
  <c r="D155" i="19" s="1"/>
  <c r="D12" i="19"/>
  <c r="C10" i="19"/>
  <c r="C9" i="21" s="1"/>
  <c r="C9" i="19"/>
  <c r="C8" i="21" s="1"/>
  <c r="C17" i="23" l="1"/>
  <c r="C33" i="19"/>
  <c r="C11" i="19"/>
  <c r="O5" i="18"/>
  <c r="N5" i="18"/>
  <c r="M5" i="18"/>
  <c r="L5" i="18"/>
  <c r="K5" i="18"/>
  <c r="J5" i="18"/>
  <c r="I5" i="18"/>
  <c r="H5" i="18"/>
  <c r="G5" i="18"/>
  <c r="F5" i="18"/>
  <c r="C34" i="18"/>
  <c r="C36" i="18"/>
  <c r="D36" i="18" s="1"/>
  <c r="O34" i="18"/>
  <c r="C12" i="19" l="1"/>
  <c r="C39" i="18" l="1"/>
  <c r="D39" i="18"/>
  <c r="C4" i="19"/>
  <c r="C91" i="19" s="1"/>
  <c r="C100" i="19" s="1"/>
  <c r="A2" i="19"/>
  <c r="O22" i="18"/>
  <c r="O35" i="22" s="1"/>
  <c r="I65" i="4"/>
  <c r="I64" i="4"/>
  <c r="I63" i="4"/>
  <c r="I62" i="4"/>
  <c r="J62" i="4" s="1"/>
  <c r="I61" i="4"/>
  <c r="J61" i="4" s="1"/>
  <c r="I60" i="4"/>
  <c r="J60" i="4" s="1"/>
  <c r="I59" i="4"/>
  <c r="J59" i="4" s="1"/>
  <c r="I58" i="4"/>
  <c r="J58" i="4" s="1"/>
  <c r="I57" i="4"/>
  <c r="J57" i="4" s="1"/>
  <c r="I56" i="4"/>
  <c r="J56" i="4" s="1"/>
  <c r="O14" i="18"/>
  <c r="N14" i="18"/>
  <c r="M14" i="18"/>
  <c r="L14" i="18"/>
  <c r="K14" i="18"/>
  <c r="J14" i="18"/>
  <c r="I14" i="18"/>
  <c r="H14" i="18"/>
  <c r="G14" i="18"/>
  <c r="F14" i="18"/>
  <c r="E14" i="18"/>
  <c r="D14" i="18"/>
  <c r="C14" i="18"/>
  <c r="C8" i="18"/>
  <c r="O8" i="18"/>
  <c r="N8" i="18"/>
  <c r="M8" i="18"/>
  <c r="L8" i="18"/>
  <c r="K8" i="18"/>
  <c r="J8" i="18"/>
  <c r="I8" i="18"/>
  <c r="H8" i="18"/>
  <c r="G8" i="18"/>
  <c r="F8" i="18"/>
  <c r="E8" i="18"/>
  <c r="D8" i="18"/>
  <c r="O29" i="24" l="1"/>
  <c r="B105" i="19"/>
  <c r="B104" i="19"/>
  <c r="B103" i="19"/>
  <c r="C35" i="18"/>
  <c r="O7" i="18"/>
  <c r="N7" i="18"/>
  <c r="M7" i="18"/>
  <c r="L7" i="18"/>
  <c r="K7" i="18"/>
  <c r="J7" i="18"/>
  <c r="I7" i="18"/>
  <c r="H7" i="18"/>
  <c r="G7" i="18"/>
  <c r="F7" i="18"/>
  <c r="E7" i="18"/>
  <c r="D7" i="18"/>
  <c r="C7" i="18"/>
  <c r="C4" i="18"/>
  <c r="A2" i="18"/>
  <c r="C20" i="18" l="1"/>
  <c r="C43" i="18" s="1"/>
  <c r="C32" i="18"/>
  <c r="O5" i="17"/>
  <c r="O35" i="17" s="1"/>
  <c r="O8" i="17"/>
  <c r="O9" i="17"/>
  <c r="O10" i="17"/>
  <c r="O11" i="17"/>
  <c r="O12" i="17"/>
  <c r="O13" i="17"/>
  <c r="C5" i="17"/>
  <c r="D22" i="17"/>
  <c r="O14" i="17" l="1"/>
  <c r="O9" i="18" s="1"/>
  <c r="O12" i="18" s="1"/>
  <c r="D24" i="17"/>
  <c r="D97" i="20"/>
  <c r="D99" i="20" s="1"/>
  <c r="D158" i="20" s="1"/>
  <c r="D159" i="20" s="1"/>
  <c r="D95" i="19"/>
  <c r="D97" i="19" s="1"/>
  <c r="O34" i="17"/>
  <c r="O33" i="17"/>
  <c r="F68" i="9"/>
  <c r="O13" i="18" l="1"/>
  <c r="O21" i="18" s="1"/>
  <c r="O10" i="23" s="1"/>
  <c r="I68" i="9"/>
  <c r="G68" i="9"/>
  <c r="H68" i="9"/>
  <c r="E68" i="9"/>
  <c r="D68" i="9"/>
  <c r="J68" i="9" l="1"/>
  <c r="E69" i="9"/>
  <c r="E71" i="9" s="1"/>
  <c r="F69" i="9"/>
  <c r="F71" i="9" s="1"/>
  <c r="G69" i="9"/>
  <c r="G71" i="9" s="1"/>
  <c r="H69" i="9"/>
  <c r="H71" i="9" s="1"/>
  <c r="D69" i="9"/>
  <c r="D71" i="9" s="1"/>
  <c r="I69" i="9"/>
  <c r="I71" i="9" s="1"/>
  <c r="I11" i="14"/>
  <c r="I10" i="14"/>
  <c r="I8" i="14"/>
  <c r="J71" i="9" l="1"/>
  <c r="B88" i="17"/>
  <c r="B91" i="17" s="1"/>
  <c r="C33" i="17"/>
  <c r="F34" i="5" l="1"/>
  <c r="F75" i="6"/>
  <c r="E75" i="6"/>
  <c r="F74" i="6"/>
  <c r="E74" i="6"/>
  <c r="F21" i="13"/>
  <c r="C9" i="13"/>
  <c r="E4" i="26" l="1"/>
  <c r="D5" i="17"/>
  <c r="D5" i="21"/>
  <c r="E5" i="21"/>
  <c r="D5" i="20"/>
  <c r="E5" i="20"/>
  <c r="E107" i="20" s="1"/>
  <c r="D5" i="19"/>
  <c r="E5" i="19"/>
  <c r="E105" i="19" s="1"/>
  <c r="E5" i="18"/>
  <c r="E4" i="19"/>
  <c r="E91" i="19" s="1"/>
  <c r="E100" i="19" s="1"/>
  <c r="B111" i="19" s="1"/>
  <c r="E4" i="23"/>
  <c r="E4" i="24"/>
  <c r="E4" i="22"/>
  <c r="E4" i="21"/>
  <c r="E4" i="20"/>
  <c r="E93" i="20" s="1"/>
  <c r="E102" i="20" s="1"/>
  <c r="E4" i="18"/>
  <c r="E4" i="17"/>
  <c r="B2" i="14"/>
  <c r="B2" i="5"/>
  <c r="B2" i="16"/>
  <c r="A2" i="17"/>
  <c r="E30" i="17" l="1"/>
  <c r="B42" i="17" s="1"/>
  <c r="F107" i="20"/>
  <c r="F105" i="19"/>
  <c r="B113" i="19"/>
  <c r="E113" i="19" s="1"/>
  <c r="B112" i="19"/>
  <c r="E104" i="19"/>
  <c r="E103" i="19"/>
  <c r="B115" i="20"/>
  <c r="E115" i="20" s="1"/>
  <c r="B113" i="20"/>
  <c r="B114" i="20"/>
  <c r="E106" i="20"/>
  <c r="E105" i="20"/>
  <c r="E20" i="18"/>
  <c r="E32" i="18"/>
  <c r="B41" i="17"/>
  <c r="B43" i="17"/>
  <c r="E81" i="17"/>
  <c r="E82" i="17"/>
  <c r="E83" i="17"/>
  <c r="C169" i="6"/>
  <c r="C170" i="6"/>
  <c r="O74" i="6"/>
  <c r="G105" i="19" l="1"/>
  <c r="H105" i="19" s="1"/>
  <c r="G107" i="20"/>
  <c r="E43" i="18"/>
  <c r="C84" i="17"/>
  <c r="O45" i="6"/>
  <c r="N45" i="6"/>
  <c r="M45" i="6"/>
  <c r="L45" i="6"/>
  <c r="K45" i="6"/>
  <c r="J45" i="6"/>
  <c r="I45" i="6"/>
  <c r="H45" i="6"/>
  <c r="G45" i="6"/>
  <c r="F45" i="6"/>
  <c r="E45" i="6"/>
  <c r="E23" i="6"/>
  <c r="O3" i="1"/>
  <c r="N3" i="1"/>
  <c r="M3" i="1"/>
  <c r="L3" i="1"/>
  <c r="K3" i="1"/>
  <c r="J3" i="1"/>
  <c r="I3" i="1"/>
  <c r="H3" i="1"/>
  <c r="G3" i="1"/>
  <c r="F3" i="1"/>
  <c r="O18" i="6"/>
  <c r="N18" i="6"/>
  <c r="M18" i="6"/>
  <c r="L18" i="6"/>
  <c r="K18" i="6"/>
  <c r="J18" i="6"/>
  <c r="I18" i="6"/>
  <c r="H18" i="6"/>
  <c r="G18" i="6"/>
  <c r="F18" i="6"/>
  <c r="O4" i="5"/>
  <c r="N4" i="5"/>
  <c r="M4" i="5"/>
  <c r="L4" i="5"/>
  <c r="K4" i="5"/>
  <c r="J4" i="5"/>
  <c r="I4" i="5"/>
  <c r="H4" i="5"/>
  <c r="G4" i="5"/>
  <c r="F4" i="5"/>
  <c r="O4" i="16"/>
  <c r="N4" i="16"/>
  <c r="M4" i="16"/>
  <c r="L4" i="16"/>
  <c r="K4" i="16"/>
  <c r="J4" i="16"/>
  <c r="I4" i="16"/>
  <c r="H4" i="16"/>
  <c r="G4" i="16"/>
  <c r="F4" i="16"/>
  <c r="C24" i="17"/>
  <c r="C26" i="17" s="1"/>
  <c r="H107" i="20" l="1"/>
  <c r="I107" i="20" s="1"/>
  <c r="J107" i="20" s="1"/>
  <c r="I105" i="19"/>
  <c r="D26" i="17"/>
  <c r="C90" i="17"/>
  <c r="C20" i="22" s="1"/>
  <c r="C10" i="21"/>
  <c r="C35" i="20"/>
  <c r="C37" i="20" s="1"/>
  <c r="C38" i="20" s="1"/>
  <c r="C86" i="17"/>
  <c r="C88" i="17" s="1"/>
  <c r="C34" i="19"/>
  <c r="C36" i="19" s="1"/>
  <c r="C37" i="19" s="1"/>
  <c r="C27" i="19" s="1"/>
  <c r="N13" i="17"/>
  <c r="M13" i="17"/>
  <c r="L13" i="17"/>
  <c r="K13" i="17"/>
  <c r="J13" i="17"/>
  <c r="I13" i="17"/>
  <c r="H13" i="17"/>
  <c r="G13" i="17"/>
  <c r="F13" i="17"/>
  <c r="N12" i="17"/>
  <c r="M12" i="17"/>
  <c r="L12" i="17"/>
  <c r="K12" i="17"/>
  <c r="J12" i="17"/>
  <c r="I12" i="17"/>
  <c r="H12" i="17"/>
  <c r="G12" i="17"/>
  <c r="F12" i="17"/>
  <c r="N11" i="17"/>
  <c r="M11" i="17"/>
  <c r="L11" i="17"/>
  <c r="K11" i="17"/>
  <c r="J11" i="17"/>
  <c r="I11" i="17"/>
  <c r="H11" i="17"/>
  <c r="G11" i="17"/>
  <c r="F11" i="17"/>
  <c r="N10" i="17"/>
  <c r="M10" i="17"/>
  <c r="L10" i="17"/>
  <c r="K10" i="17"/>
  <c r="J10" i="17"/>
  <c r="I10" i="17"/>
  <c r="H10" i="17"/>
  <c r="G10" i="17"/>
  <c r="F10" i="17"/>
  <c r="N9" i="17"/>
  <c r="M9" i="17"/>
  <c r="L9" i="17"/>
  <c r="K9" i="17"/>
  <c r="J9" i="17"/>
  <c r="I9" i="17"/>
  <c r="H9" i="17"/>
  <c r="G9" i="17"/>
  <c r="F9" i="17"/>
  <c r="E9" i="17"/>
  <c r="D9" i="17"/>
  <c r="N8" i="17"/>
  <c r="M8" i="17"/>
  <c r="L8" i="17"/>
  <c r="K8" i="17"/>
  <c r="J8" i="17"/>
  <c r="I8" i="17"/>
  <c r="H8" i="17"/>
  <c r="G8" i="17"/>
  <c r="F8" i="17"/>
  <c r="C9" i="17"/>
  <c r="B10" i="17"/>
  <c r="B9" i="17"/>
  <c r="B8" i="17"/>
  <c r="B13" i="17"/>
  <c r="B12" i="17"/>
  <c r="B11" i="17"/>
  <c r="N5" i="17"/>
  <c r="M5" i="17"/>
  <c r="L5" i="17"/>
  <c r="K5" i="17"/>
  <c r="J5" i="17"/>
  <c r="I5" i="17"/>
  <c r="H5" i="17"/>
  <c r="G5" i="17"/>
  <c r="F5" i="17"/>
  <c r="C4" i="17"/>
  <c r="K107" i="20" l="1"/>
  <c r="L107" i="20" s="1"/>
  <c r="M107" i="20" s="1"/>
  <c r="N107" i="20" s="1"/>
  <c r="O107" i="20" s="1"/>
  <c r="J105" i="19"/>
  <c r="K105" i="19" s="1"/>
  <c r="L105" i="19" s="1"/>
  <c r="M105" i="19" s="1"/>
  <c r="N105" i="19" s="1"/>
  <c r="O105" i="19" s="1"/>
  <c r="C14" i="21"/>
  <c r="C11" i="21"/>
  <c r="C38" i="19"/>
  <c r="C21" i="22"/>
  <c r="C91" i="17"/>
  <c r="C28" i="20"/>
  <c r="C39" i="20"/>
  <c r="C30" i="17"/>
  <c r="B33" i="17"/>
  <c r="B35" i="17"/>
  <c r="B34" i="17"/>
  <c r="N34" i="17"/>
  <c r="N35" i="17"/>
  <c r="N33" i="17"/>
  <c r="H35" i="17"/>
  <c r="H33" i="17"/>
  <c r="H34" i="17"/>
  <c r="F34" i="17"/>
  <c r="F35" i="17"/>
  <c r="F33" i="17"/>
  <c r="J34" i="17"/>
  <c r="J35" i="17"/>
  <c r="J33" i="17"/>
  <c r="G34" i="17"/>
  <c r="G35" i="17"/>
  <c r="G33" i="17"/>
  <c r="K34" i="17"/>
  <c r="K33" i="17"/>
  <c r="K35" i="17"/>
  <c r="L35" i="17"/>
  <c r="L33" i="17"/>
  <c r="L34" i="17"/>
  <c r="I35" i="17"/>
  <c r="I33" i="17"/>
  <c r="I34" i="17"/>
  <c r="M35" i="17"/>
  <c r="M34" i="17"/>
  <c r="M33" i="17"/>
  <c r="I14" i="17"/>
  <c r="M14" i="17"/>
  <c r="F14" i="17"/>
  <c r="J14" i="17"/>
  <c r="N14" i="17"/>
  <c r="G14" i="17"/>
  <c r="K14" i="17"/>
  <c r="H14" i="17"/>
  <c r="L14" i="17"/>
  <c r="G9" i="18" l="1"/>
  <c r="G13" i="18" s="1"/>
  <c r="G21" i="18" s="1"/>
  <c r="G10" i="23" s="1"/>
  <c r="H9" i="18"/>
  <c r="H12" i="18" s="1"/>
  <c r="J9" i="18"/>
  <c r="J12" i="18" s="1"/>
  <c r="M9" i="18"/>
  <c r="M13" i="18" s="1"/>
  <c r="M21" i="18" s="1"/>
  <c r="M10" i="23" s="1"/>
  <c r="N9" i="18"/>
  <c r="N12" i="18" s="1"/>
  <c r="K9" i="18"/>
  <c r="K12" i="18" s="1"/>
  <c r="F9" i="18"/>
  <c r="F13" i="18" s="1"/>
  <c r="F21" i="18" s="1"/>
  <c r="F10" i="23" s="1"/>
  <c r="L9" i="18"/>
  <c r="L13" i="18" s="1"/>
  <c r="L21" i="18" s="1"/>
  <c r="L10" i="23" s="1"/>
  <c r="I9" i="18"/>
  <c r="I12" i="18" s="1"/>
  <c r="C46" i="22"/>
  <c r="C23" i="21"/>
  <c r="G12" i="18"/>
  <c r="D84" i="17"/>
  <c r="C179" i="6"/>
  <c r="C177" i="6"/>
  <c r="C178" i="6"/>
  <c r="D178" i="6" s="1"/>
  <c r="E178" i="6" s="1"/>
  <c r="F178" i="6" s="1"/>
  <c r="F25" i="16" s="1"/>
  <c r="M12" i="18" l="1"/>
  <c r="I13" i="18"/>
  <c r="I21" i="18" s="1"/>
  <c r="I10" i="23" s="1"/>
  <c r="L12" i="18"/>
  <c r="N13" i="18"/>
  <c r="N21" i="18" s="1"/>
  <c r="N10" i="23" s="1"/>
  <c r="F12" i="18"/>
  <c r="K13" i="18"/>
  <c r="K21" i="18" s="1"/>
  <c r="K10" i="23" s="1"/>
  <c r="J13" i="18"/>
  <c r="J21" i="18" s="1"/>
  <c r="J10" i="23" s="1"/>
  <c r="H13" i="18"/>
  <c r="H21" i="18" s="1"/>
  <c r="H10" i="23" s="1"/>
  <c r="D10" i="21"/>
  <c r="D35" i="20"/>
  <c r="D37" i="20" s="1"/>
  <c r="D38" i="20" s="1"/>
  <c r="D34" i="19"/>
  <c r="D36" i="19" s="1"/>
  <c r="D37" i="19" s="1"/>
  <c r="C48" i="22"/>
  <c r="C14" i="24"/>
  <c r="D86" i="17"/>
  <c r="D88" i="17" s="1"/>
  <c r="D21" i="22" s="1"/>
  <c r="G178" i="6"/>
  <c r="G25" i="16" s="1"/>
  <c r="C164" i="6"/>
  <c r="C165" i="6"/>
  <c r="C176" i="6"/>
  <c r="C175" i="6"/>
  <c r="D11" i="21" l="1"/>
  <c r="D27" i="19"/>
  <c r="D38" i="19"/>
  <c r="D28" i="20"/>
  <c r="D39" i="20"/>
  <c r="C24" i="24"/>
  <c r="H178" i="6"/>
  <c r="H25" i="16" s="1"/>
  <c r="C180" i="6"/>
  <c r="C166" i="6"/>
  <c r="C57" i="9"/>
  <c r="D57" i="9" s="1"/>
  <c r="E57" i="9" s="1"/>
  <c r="F57" i="9" s="1"/>
  <c r="G57" i="9" s="1"/>
  <c r="H57" i="9" s="1"/>
  <c r="I57" i="9" s="1"/>
  <c r="J57" i="9" s="1"/>
  <c r="K57" i="9" s="1"/>
  <c r="L57" i="9" s="1"/>
  <c r="M57" i="9" s="1"/>
  <c r="N57" i="9" s="1"/>
  <c r="O57" i="9" s="1"/>
  <c r="P57" i="9" s="1"/>
  <c r="Q57" i="9" s="1"/>
  <c r="R57" i="9" s="1"/>
  <c r="S57" i="9" s="1"/>
  <c r="T57" i="9" s="1"/>
  <c r="U57" i="9" s="1"/>
  <c r="V57" i="9" s="1"/>
  <c r="W57" i="9" s="1"/>
  <c r="X57" i="9" s="1"/>
  <c r="Y57" i="9" s="1"/>
  <c r="Z57" i="9" s="1"/>
  <c r="AA57" i="9" s="1"/>
  <c r="AB57" i="9" s="1"/>
  <c r="AC57" i="9" s="1"/>
  <c r="AD57" i="9" s="1"/>
  <c r="AE57" i="9" s="1"/>
  <c r="AF57" i="9" s="1"/>
  <c r="AG57" i="9" s="1"/>
  <c r="AH57" i="9" s="1"/>
  <c r="AI57" i="9" s="1"/>
  <c r="C183" i="6" s="1"/>
  <c r="D183" i="6" s="1"/>
  <c r="E183" i="6" s="1"/>
  <c r="D56" i="9"/>
  <c r="E56" i="9" s="1"/>
  <c r="F56" i="9" s="1"/>
  <c r="G56" i="9" s="1"/>
  <c r="H56" i="9" s="1"/>
  <c r="I56" i="9" s="1"/>
  <c r="J56" i="9" s="1"/>
  <c r="K56" i="9" s="1"/>
  <c r="L56" i="9" s="1"/>
  <c r="M56" i="9" s="1"/>
  <c r="N56" i="9" s="1"/>
  <c r="O56" i="9" s="1"/>
  <c r="P56" i="9" s="1"/>
  <c r="Q56" i="9" s="1"/>
  <c r="R56" i="9" s="1"/>
  <c r="S56" i="9" s="1"/>
  <c r="T56" i="9" s="1"/>
  <c r="U56" i="9" s="1"/>
  <c r="V56" i="9" s="1"/>
  <c r="W56" i="9" s="1"/>
  <c r="X56" i="9" s="1"/>
  <c r="Y56" i="9" s="1"/>
  <c r="Z56" i="9" s="1"/>
  <c r="AA56" i="9" s="1"/>
  <c r="AB56" i="9" s="1"/>
  <c r="AC56" i="9" s="1"/>
  <c r="AD56" i="9" s="1"/>
  <c r="AE56" i="9" s="1"/>
  <c r="AF56" i="9" s="1"/>
  <c r="AG56" i="9" s="1"/>
  <c r="AH56" i="9" s="1"/>
  <c r="AI56" i="9" s="1"/>
  <c r="F183" i="6" l="1"/>
  <c r="D46" i="22"/>
  <c r="D14" i="24" s="1"/>
  <c r="D23" i="21"/>
  <c r="I178" i="6"/>
  <c r="I25" i="16" s="1"/>
  <c r="G183" i="6" l="1"/>
  <c r="J178" i="6"/>
  <c r="J25" i="16" s="1"/>
  <c r="O136" i="11"/>
  <c r="O135" i="11"/>
  <c r="O134" i="11"/>
  <c r="O133" i="11"/>
  <c r="O132" i="11"/>
  <c r="O131" i="11"/>
  <c r="O130" i="11"/>
  <c r="O129" i="11"/>
  <c r="O128" i="11"/>
  <c r="O127" i="11"/>
  <c r="O126" i="11"/>
  <c r="O125" i="11"/>
  <c r="O124" i="11"/>
  <c r="O123" i="11"/>
  <c r="O122" i="11"/>
  <c r="O121" i="11"/>
  <c r="O120" i="11"/>
  <c r="O119" i="11"/>
  <c r="O118" i="11"/>
  <c r="O117" i="11"/>
  <c r="O116" i="11"/>
  <c r="O115" i="11"/>
  <c r="O114" i="11"/>
  <c r="O113" i="11"/>
  <c r="O112" i="11"/>
  <c r="O111" i="11"/>
  <c r="O110" i="11"/>
  <c r="O109" i="11"/>
  <c r="O108" i="11"/>
  <c r="O107" i="11"/>
  <c r="O106" i="11"/>
  <c r="O105" i="11"/>
  <c r="O104" i="11"/>
  <c r="O103" i="11"/>
  <c r="O102" i="11"/>
  <c r="O101" i="11"/>
  <c r="O100" i="11"/>
  <c r="O99" i="11"/>
  <c r="O98" i="11"/>
  <c r="O97" i="11"/>
  <c r="O96" i="11"/>
  <c r="O95" i="11"/>
  <c r="O94" i="11"/>
  <c r="O93" i="11"/>
  <c r="O92" i="11"/>
  <c r="O91" i="11"/>
  <c r="O90" i="11"/>
  <c r="O89" i="11"/>
  <c r="O88" i="11"/>
  <c r="O87" i="11"/>
  <c r="O86" i="11"/>
  <c r="O85" i="11"/>
  <c r="O84" i="11"/>
  <c r="O83" i="11"/>
  <c r="O82" i="11"/>
  <c r="O81" i="11"/>
  <c r="O80" i="11"/>
  <c r="O79" i="11"/>
  <c r="O78" i="11"/>
  <c r="O77" i="11"/>
  <c r="O76" i="11"/>
  <c r="O75" i="11"/>
  <c r="O74" i="11"/>
  <c r="O73" i="11"/>
  <c r="O72" i="11"/>
  <c r="O71" i="11"/>
  <c r="O70" i="11"/>
  <c r="O69" i="11"/>
  <c r="O68" i="11"/>
  <c r="O67" i="11"/>
  <c r="O66" i="11"/>
  <c r="O65" i="11"/>
  <c r="O64" i="11"/>
  <c r="O63" i="11"/>
  <c r="O62" i="11"/>
  <c r="O61" i="11"/>
  <c r="O60" i="11"/>
  <c r="O59" i="11"/>
  <c r="O58" i="11"/>
  <c r="O57" i="11"/>
  <c r="O56" i="11"/>
  <c r="O55" i="11"/>
  <c r="O54" i="11"/>
  <c r="O53" i="11"/>
  <c r="O52" i="11"/>
  <c r="O51" i="11"/>
  <c r="O50" i="11"/>
  <c r="O49" i="11"/>
  <c r="O48" i="11"/>
  <c r="O47" i="11"/>
  <c r="O46" i="11"/>
  <c r="O45" i="11"/>
  <c r="O44" i="11"/>
  <c r="O43" i="11"/>
  <c r="O42" i="11"/>
  <c r="O41" i="11"/>
  <c r="O40" i="11"/>
  <c r="O39" i="11"/>
  <c r="O38" i="11"/>
  <c r="O37" i="11"/>
  <c r="O36" i="11"/>
  <c r="O35" i="11"/>
  <c r="O34" i="11"/>
  <c r="O33" i="11"/>
  <c r="O32" i="11"/>
  <c r="O31" i="11"/>
  <c r="O30" i="11"/>
  <c r="O29" i="11"/>
  <c r="O28" i="11"/>
  <c r="O27" i="11"/>
  <c r="O26" i="11"/>
  <c r="O25" i="11"/>
  <c r="O24" i="11"/>
  <c r="O23" i="11"/>
  <c r="O22" i="11"/>
  <c r="O21" i="11"/>
  <c r="O20" i="11"/>
  <c r="O19" i="11"/>
  <c r="O18" i="11"/>
  <c r="O17" i="11"/>
  <c r="O16" i="11"/>
  <c r="O15" i="11"/>
  <c r="O14" i="11"/>
  <c r="O13" i="11"/>
  <c r="O12" i="11"/>
  <c r="O11" i="11"/>
  <c r="E153" i="6" s="1"/>
  <c r="H183" i="6" l="1"/>
  <c r="C160" i="6"/>
  <c r="C159" i="6"/>
  <c r="C34" i="9"/>
  <c r="C35" i="9" s="1"/>
  <c r="D34" i="9"/>
  <c r="D35" i="9" s="1"/>
  <c r="G34" i="9"/>
  <c r="G35" i="9" s="1"/>
  <c r="F34" i="9"/>
  <c r="F35" i="9" s="1"/>
  <c r="E34" i="9"/>
  <c r="E35" i="9" s="1"/>
  <c r="I183" i="6" l="1"/>
  <c r="D164" i="6"/>
  <c r="H35" i="9"/>
  <c r="H34" i="9"/>
  <c r="D31" i="6"/>
  <c r="C31" i="6"/>
  <c r="J183" i="6" l="1"/>
  <c r="J48" i="18" l="1"/>
  <c r="J46" i="18" s="1"/>
  <c r="J47" i="18" s="1"/>
  <c r="I48" i="18"/>
  <c r="I46" i="18" s="1"/>
  <c r="I47" i="18" s="1"/>
  <c r="H48" i="18"/>
  <c r="H46" i="18" s="1"/>
  <c r="H47" i="18" s="1"/>
  <c r="G48" i="18"/>
  <c r="G46" i="18" s="1"/>
  <c r="G47" i="18" s="1"/>
  <c r="F48" i="18"/>
  <c r="F46" i="18" s="1"/>
  <c r="F47" i="18" s="1"/>
  <c r="E48" i="18"/>
  <c r="E46" i="18" s="1"/>
  <c r="E47" i="18" s="1"/>
  <c r="D48" i="18"/>
  <c r="D46" i="18" s="1"/>
  <c r="D47" i="18" s="1"/>
  <c r="C48" i="18"/>
  <c r="C46" i="18" s="1"/>
  <c r="C47" i="18" s="1"/>
  <c r="F50" i="1" l="1"/>
  <c r="F49" i="1"/>
  <c r="F48" i="1"/>
  <c r="F47" i="1"/>
  <c r="F46" i="1"/>
  <c r="E60" i="1"/>
  <c r="E61" i="1" s="1"/>
  <c r="G94" i="6" s="1"/>
  <c r="F51" i="1" l="1"/>
  <c r="J58" i="13"/>
  <c r="H58" i="13"/>
  <c r="P58" i="13"/>
  <c r="O58" i="13"/>
  <c r="N58" i="13"/>
  <c r="M58" i="13"/>
  <c r="L58" i="13"/>
  <c r="K58" i="13"/>
  <c r="I58" i="13"/>
  <c r="G58" i="13"/>
  <c r="F12" i="4"/>
  <c r="D43" i="13"/>
  <c r="F11" i="14"/>
  <c r="E11" i="14"/>
  <c r="F10" i="14"/>
  <c r="E10" i="14"/>
  <c r="D10" i="14"/>
  <c r="F9" i="14"/>
  <c r="E9" i="14"/>
  <c r="D9" i="14"/>
  <c r="F8" i="14"/>
  <c r="E8" i="14"/>
  <c r="D8" i="14"/>
  <c r="J12" i="4" l="1"/>
  <c r="N12" i="4"/>
  <c r="H12" i="4"/>
  <c r="I12" i="4"/>
  <c r="M12" i="4"/>
  <c r="G12" i="4"/>
  <c r="K12" i="4"/>
  <c r="O12" i="4"/>
  <c r="L12" i="4"/>
  <c r="T8" i="14"/>
  <c r="H11" i="14"/>
  <c r="E28" i="13" s="1"/>
  <c r="D12" i="17" s="1"/>
  <c r="I9" i="14"/>
  <c r="F27" i="13" s="1"/>
  <c r="E11" i="17" s="1"/>
  <c r="H10" i="14"/>
  <c r="E26" i="13" s="1"/>
  <c r="D10" i="17" s="1"/>
  <c r="F28" i="13"/>
  <c r="E12" i="17" s="1"/>
  <c r="D28" i="13"/>
  <c r="C12" i="17" s="1"/>
  <c r="F24" i="13"/>
  <c r="E8" i="17" s="1"/>
  <c r="E24" i="13"/>
  <c r="D8" i="17" s="1"/>
  <c r="D24" i="13"/>
  <c r="C8" i="17" s="1"/>
  <c r="E27" i="13"/>
  <c r="D11" i="17" s="1"/>
  <c r="D27" i="13"/>
  <c r="C11" i="17" s="1"/>
  <c r="F26" i="13"/>
  <c r="E10" i="17" s="1"/>
  <c r="D26" i="13"/>
  <c r="C10" i="17" s="1"/>
  <c r="E21" i="13"/>
  <c r="D4" i="26" l="1"/>
  <c r="C184" i="6"/>
  <c r="T11" i="14"/>
  <c r="T10" i="14"/>
  <c r="D4" i="23"/>
  <c r="D4" i="24"/>
  <c r="D4" i="22"/>
  <c r="D4" i="21"/>
  <c r="D4" i="20"/>
  <c r="D93" i="20" s="1"/>
  <c r="D102" i="20" s="1"/>
  <c r="T9" i="14"/>
  <c r="D4" i="18"/>
  <c r="D4" i="19"/>
  <c r="D91" i="19" s="1"/>
  <c r="D100" i="19" s="1"/>
  <c r="D4" i="17"/>
  <c r="D30" i="17"/>
  <c r="R39" i="1"/>
  <c r="M39" i="1"/>
  <c r="V39" i="1"/>
  <c r="U39" i="1"/>
  <c r="T39" i="1"/>
  <c r="S39" i="1"/>
  <c r="Q39" i="1"/>
  <c r="P39" i="1"/>
  <c r="O39" i="1"/>
  <c r="N39" i="1"/>
  <c r="L39" i="1"/>
  <c r="K39" i="1"/>
  <c r="J39" i="1"/>
  <c r="B111" i="20" l="1"/>
  <c r="B110" i="20"/>
  <c r="B109" i="20"/>
  <c r="B109" i="19"/>
  <c r="E109" i="19" s="1"/>
  <c r="B108" i="19"/>
  <c r="E108" i="19" s="1"/>
  <c r="B107" i="19"/>
  <c r="E107" i="19" s="1"/>
  <c r="D20" i="18"/>
  <c r="D43" i="18" s="1"/>
  <c r="D32" i="18"/>
  <c r="B37" i="17"/>
  <c r="B39" i="17"/>
  <c r="B38" i="17"/>
  <c r="E20" i="17"/>
  <c r="E21" i="17"/>
  <c r="C20" i="1"/>
  <c r="D165" i="6"/>
  <c r="D166" i="6" s="1"/>
  <c r="E8" i="1"/>
  <c r="D174" i="6" l="1"/>
  <c r="D184" i="6"/>
  <c r="E109" i="20"/>
  <c r="E110" i="20"/>
  <c r="E111" i="20"/>
  <c r="E96" i="20"/>
  <c r="E94" i="19"/>
  <c r="D170" i="6"/>
  <c r="D169" i="6"/>
  <c r="E24" i="6"/>
  <c r="E38" i="17"/>
  <c r="E39" i="17"/>
  <c r="E37" i="17"/>
  <c r="D179" i="6"/>
  <c r="D177" i="6"/>
  <c r="D176" i="6"/>
  <c r="D175" i="6"/>
  <c r="D159" i="6"/>
  <c r="D160" i="6"/>
  <c r="D21" i="1"/>
  <c r="D22" i="1"/>
  <c r="H12" i="14"/>
  <c r="D18" i="23" s="1"/>
  <c r="E174" i="6" l="1"/>
  <c r="E184" i="6"/>
  <c r="F177" i="6"/>
  <c r="F24" i="16" s="1"/>
  <c r="E113" i="20"/>
  <c r="E111" i="19"/>
  <c r="E22" i="1"/>
  <c r="E151" i="6" s="1"/>
  <c r="D180" i="6"/>
  <c r="E179" i="6"/>
  <c r="E177" i="6"/>
  <c r="E176" i="6"/>
  <c r="E175" i="6"/>
  <c r="E147" i="6"/>
  <c r="I12" i="14"/>
  <c r="G12" i="14"/>
  <c r="C18" i="23" s="1"/>
  <c r="F12" i="14"/>
  <c r="E12" i="14"/>
  <c r="D12" i="14"/>
  <c r="C12" i="14"/>
  <c r="E38" i="22" l="1"/>
  <c r="E13" i="22"/>
  <c r="F179" i="6"/>
  <c r="F28" i="16" s="1"/>
  <c r="F22" i="1"/>
  <c r="F151" i="6" s="1"/>
  <c r="F35" i="5" s="1"/>
  <c r="F175" i="6"/>
  <c r="F22" i="16" s="1"/>
  <c r="F176" i="6"/>
  <c r="F23" i="16" s="1"/>
  <c r="G184" i="6"/>
  <c r="F147" i="6"/>
  <c r="F27" i="5" s="1"/>
  <c r="F174" i="6"/>
  <c r="F21" i="16" s="1"/>
  <c r="F184" i="6"/>
  <c r="C14" i="14"/>
  <c r="T12" i="14"/>
  <c r="E180" i="6"/>
  <c r="G147" i="6"/>
  <c r="G27" i="5" s="1"/>
  <c r="G177" i="6" l="1"/>
  <c r="G24" i="16" s="1"/>
  <c r="G179" i="6"/>
  <c r="G28" i="16" s="1"/>
  <c r="G22" i="1"/>
  <c r="G151" i="6" s="1"/>
  <c r="G176" i="6"/>
  <c r="G23" i="16" s="1"/>
  <c r="G174" i="6"/>
  <c r="G21" i="16" s="1"/>
  <c r="G175" i="6"/>
  <c r="G22" i="16" s="1"/>
  <c r="F180" i="6"/>
  <c r="H174" i="6"/>
  <c r="H21" i="16" s="1"/>
  <c r="H184" i="6"/>
  <c r="E12" i="24"/>
  <c r="H179" i="6"/>
  <c r="H28" i="16" s="1"/>
  <c r="H177" i="6"/>
  <c r="H24" i="16" s="1"/>
  <c r="H176" i="6"/>
  <c r="H23" i="16" s="1"/>
  <c r="H175" i="6"/>
  <c r="H22" i="16" s="1"/>
  <c r="H147" i="6"/>
  <c r="H27" i="5" s="1"/>
  <c r="H22" i="1"/>
  <c r="H151" i="6" s="1"/>
  <c r="G180" i="6" l="1"/>
  <c r="I174" i="6"/>
  <c r="I21" i="16" s="1"/>
  <c r="I184" i="6"/>
  <c r="H180" i="6"/>
  <c r="I179" i="6"/>
  <c r="I28" i="16" s="1"/>
  <c r="I177" i="6"/>
  <c r="I24" i="16" s="1"/>
  <c r="I176" i="6"/>
  <c r="I23" i="16" s="1"/>
  <c r="I175" i="6"/>
  <c r="I22" i="16" s="1"/>
  <c r="I147" i="6"/>
  <c r="I27" i="5" s="1"/>
  <c r="I22" i="1"/>
  <c r="I151" i="6" s="1"/>
  <c r="J174" i="6" l="1"/>
  <c r="J21" i="16" s="1"/>
  <c r="J184" i="6"/>
  <c r="I180" i="6"/>
  <c r="J179" i="6"/>
  <c r="J28" i="16" s="1"/>
  <c r="J177" i="6"/>
  <c r="J24" i="16" s="1"/>
  <c r="J176" i="6"/>
  <c r="J23" i="16" s="1"/>
  <c r="J175" i="6"/>
  <c r="J22" i="16" s="1"/>
  <c r="J147" i="6"/>
  <c r="J27" i="5" s="1"/>
  <c r="J22" i="1"/>
  <c r="J151" i="6" s="1"/>
  <c r="G21" i="13"/>
  <c r="D42" i="13"/>
  <c r="F4" i="26" l="1"/>
  <c r="F4" i="23"/>
  <c r="J7" i="14"/>
  <c r="F4" i="24"/>
  <c r="F4" i="22"/>
  <c r="F4" i="21"/>
  <c r="F4" i="20"/>
  <c r="F93" i="20" s="1"/>
  <c r="F102" i="20" s="1"/>
  <c r="F4" i="18"/>
  <c r="F4" i="19"/>
  <c r="F91" i="19" s="1"/>
  <c r="F100" i="19" s="1"/>
  <c r="E4" i="5"/>
  <c r="E27" i="5" s="1"/>
  <c r="E4" i="16"/>
  <c r="E5" i="17"/>
  <c r="E18" i="6"/>
  <c r="E88" i="6" s="1"/>
  <c r="E3" i="1"/>
  <c r="H21" i="13"/>
  <c r="F4" i="17"/>
  <c r="J180" i="6"/>
  <c r="E141" i="6"/>
  <c r="E139" i="6"/>
  <c r="E140" i="6" s="1"/>
  <c r="E26" i="16" l="1"/>
  <c r="E27" i="16"/>
  <c r="E21" i="16"/>
  <c r="G4" i="26"/>
  <c r="E47" i="22"/>
  <c r="B118" i="20"/>
  <c r="E118" i="20" s="1"/>
  <c r="B117" i="20"/>
  <c r="E117" i="20" s="1"/>
  <c r="B119" i="20"/>
  <c r="F111" i="20"/>
  <c r="F110" i="20"/>
  <c r="F109" i="20"/>
  <c r="F115" i="20"/>
  <c r="F113" i="20"/>
  <c r="G4" i="23"/>
  <c r="K7" i="14"/>
  <c r="G4" i="24"/>
  <c r="G4" i="22"/>
  <c r="G4" i="21"/>
  <c r="G4" i="20"/>
  <c r="G93" i="20" s="1"/>
  <c r="G102" i="20" s="1"/>
  <c r="F107" i="19"/>
  <c r="F108" i="19"/>
  <c r="F109" i="19"/>
  <c r="F113" i="19"/>
  <c r="F111" i="19"/>
  <c r="B116" i="19"/>
  <c r="E116" i="19" s="1"/>
  <c r="B115" i="19"/>
  <c r="E115" i="19" s="1"/>
  <c r="B117" i="19"/>
  <c r="E117" i="19" s="1"/>
  <c r="F20" i="18"/>
  <c r="F43" i="18" s="1"/>
  <c r="F32" i="18"/>
  <c r="G4" i="18"/>
  <c r="G4" i="19"/>
  <c r="G91" i="19" s="1"/>
  <c r="G100" i="19" s="1"/>
  <c r="F15" i="17"/>
  <c r="F19" i="22" s="1"/>
  <c r="F30" i="17"/>
  <c r="E43" i="17"/>
  <c r="E41" i="17"/>
  <c r="F21" i="17"/>
  <c r="F20" i="17"/>
  <c r="E35" i="5"/>
  <c r="E33" i="17"/>
  <c r="E34" i="17"/>
  <c r="E35" i="17"/>
  <c r="E24" i="16"/>
  <c r="E25" i="16"/>
  <c r="E22" i="16"/>
  <c r="E28" i="16"/>
  <c r="E23" i="16"/>
  <c r="I21" i="13"/>
  <c r="G4" i="17"/>
  <c r="C80" i="1"/>
  <c r="F47" i="22" l="1"/>
  <c r="G30" i="17"/>
  <c r="H4" i="26"/>
  <c r="E24" i="24"/>
  <c r="B123" i="20"/>
  <c r="G123" i="20" s="1"/>
  <c r="B121" i="20"/>
  <c r="B122" i="20"/>
  <c r="G119" i="20"/>
  <c r="G110" i="20"/>
  <c r="G111" i="20"/>
  <c r="G115" i="20"/>
  <c r="G109" i="20"/>
  <c r="G113" i="20"/>
  <c r="F119" i="20"/>
  <c r="E119" i="20"/>
  <c r="H4" i="23"/>
  <c r="L7" i="14"/>
  <c r="H4" i="24"/>
  <c r="H4" i="22"/>
  <c r="H4" i="21"/>
  <c r="H4" i="20"/>
  <c r="H93" i="20" s="1"/>
  <c r="H102" i="20" s="1"/>
  <c r="F24" i="24"/>
  <c r="F117" i="19"/>
  <c r="G109" i="19"/>
  <c r="G107" i="19"/>
  <c r="G108" i="19"/>
  <c r="G117" i="19"/>
  <c r="G113" i="19"/>
  <c r="G111" i="19"/>
  <c r="F96" i="20"/>
  <c r="F94" i="19"/>
  <c r="B121" i="19"/>
  <c r="G121" i="19" s="1"/>
  <c r="B120" i="19"/>
  <c r="B119" i="19"/>
  <c r="G20" i="18"/>
  <c r="G43" i="18" s="1"/>
  <c r="G32" i="18"/>
  <c r="H4" i="18"/>
  <c r="H4" i="19"/>
  <c r="H91" i="19" s="1"/>
  <c r="H100" i="19" s="1"/>
  <c r="G81" i="17"/>
  <c r="B51" i="17"/>
  <c r="G51" i="17" s="1"/>
  <c r="G83" i="17"/>
  <c r="G82" i="17"/>
  <c r="B50" i="17"/>
  <c r="E50" i="17" s="1"/>
  <c r="B49" i="17"/>
  <c r="F49" i="17" s="1"/>
  <c r="G39" i="17"/>
  <c r="G38" i="17"/>
  <c r="G43" i="17"/>
  <c r="G37" i="17"/>
  <c r="G41" i="17"/>
  <c r="F81" i="17"/>
  <c r="F83" i="17"/>
  <c r="F43" i="17"/>
  <c r="F41" i="17"/>
  <c r="F37" i="17"/>
  <c r="B45" i="17"/>
  <c r="F45" i="17" s="1"/>
  <c r="F39" i="17"/>
  <c r="F82" i="17"/>
  <c r="B47" i="17"/>
  <c r="B46" i="17"/>
  <c r="E46" i="17" s="1"/>
  <c r="F38" i="17"/>
  <c r="G20" i="17"/>
  <c r="G15" i="17"/>
  <c r="G19" i="22" s="1"/>
  <c r="G21" i="17"/>
  <c r="J21" i="13"/>
  <c r="H4" i="17"/>
  <c r="C81" i="1"/>
  <c r="F70" i="6"/>
  <c r="G70" i="6" s="1"/>
  <c r="H70" i="6" s="1"/>
  <c r="I70" i="6" s="1"/>
  <c r="F69" i="6"/>
  <c r="G69" i="6" s="1"/>
  <c r="H69" i="6" s="1"/>
  <c r="I69" i="6" s="1"/>
  <c r="F62" i="6"/>
  <c r="G62" i="6" s="1"/>
  <c r="H62" i="6" s="1"/>
  <c r="I62" i="6" s="1"/>
  <c r="F63" i="6"/>
  <c r="G63" i="6" s="1"/>
  <c r="H63" i="6" s="1"/>
  <c r="I63" i="6" s="1"/>
  <c r="F56" i="6"/>
  <c r="G56" i="6" s="1"/>
  <c r="H56" i="6" s="1"/>
  <c r="I56" i="6" s="1"/>
  <c r="G47" i="22" l="1"/>
  <c r="H30" i="17"/>
  <c r="I4" i="26"/>
  <c r="F50" i="17"/>
  <c r="F121" i="20"/>
  <c r="E121" i="20"/>
  <c r="G24" i="24"/>
  <c r="E122" i="20"/>
  <c r="F122" i="20"/>
  <c r="I4" i="23"/>
  <c r="M7" i="14"/>
  <c r="I4" i="24"/>
  <c r="I4" i="22"/>
  <c r="I4" i="21"/>
  <c r="I4" i="20"/>
  <c r="I93" i="20" s="1"/>
  <c r="I102" i="20" s="1"/>
  <c r="B126" i="20"/>
  <c r="B127" i="20"/>
  <c r="B125" i="20"/>
  <c r="H109" i="20"/>
  <c r="H119" i="20"/>
  <c r="H123" i="20"/>
  <c r="H111" i="20"/>
  <c r="H115" i="20"/>
  <c r="H110" i="20"/>
  <c r="H113" i="20"/>
  <c r="E123" i="20"/>
  <c r="F123" i="20"/>
  <c r="F51" i="17"/>
  <c r="E120" i="19"/>
  <c r="F120" i="19"/>
  <c r="E121" i="19"/>
  <c r="F121" i="19"/>
  <c r="H107" i="19"/>
  <c r="H108" i="19"/>
  <c r="H109" i="19"/>
  <c r="H113" i="19"/>
  <c r="H121" i="19"/>
  <c r="H117" i="19"/>
  <c r="H111" i="19"/>
  <c r="E119" i="19"/>
  <c r="F119" i="19"/>
  <c r="G115" i="19"/>
  <c r="F115" i="19"/>
  <c r="H115" i="19"/>
  <c r="G96" i="20"/>
  <c r="G94" i="19"/>
  <c r="H117" i="20"/>
  <c r="G117" i="20"/>
  <c r="F117" i="20"/>
  <c r="B125" i="19"/>
  <c r="B124" i="19"/>
  <c r="B123" i="19"/>
  <c r="H20" i="18"/>
  <c r="H43" i="18" s="1"/>
  <c r="H32" i="18"/>
  <c r="I4" i="18"/>
  <c r="I4" i="19"/>
  <c r="I91" i="19" s="1"/>
  <c r="I100" i="19" s="1"/>
  <c r="H83" i="17"/>
  <c r="B53" i="17"/>
  <c r="H43" i="17"/>
  <c r="H82" i="17"/>
  <c r="B55" i="17"/>
  <c r="H55" i="17" s="1"/>
  <c r="H51" i="17"/>
  <c r="H39" i="17"/>
  <c r="H41" i="17"/>
  <c r="H37" i="17"/>
  <c r="H49" i="17"/>
  <c r="H47" i="17"/>
  <c r="H81" i="17"/>
  <c r="B54" i="17"/>
  <c r="H45" i="17"/>
  <c r="H38" i="17"/>
  <c r="E45" i="17"/>
  <c r="G45" i="17"/>
  <c r="E49" i="17"/>
  <c r="G49" i="17"/>
  <c r="E47" i="17"/>
  <c r="F47" i="17"/>
  <c r="G47" i="17"/>
  <c r="E51" i="17"/>
  <c r="H20" i="17"/>
  <c r="H15" i="17"/>
  <c r="H19" i="22" s="1"/>
  <c r="H21" i="17"/>
  <c r="K21" i="13"/>
  <c r="I4" i="17"/>
  <c r="D6" i="12"/>
  <c r="D7" i="12"/>
  <c r="D8" i="12"/>
  <c r="D9" i="12"/>
  <c r="D10" i="12"/>
  <c r="D11" i="12"/>
  <c r="D12" i="12"/>
  <c r="D5" i="12"/>
  <c r="A6" i="12"/>
  <c r="A7" i="12" s="1"/>
  <c r="A8" i="12" s="1"/>
  <c r="A9" i="12" s="1"/>
  <c r="A10" i="12" s="1"/>
  <c r="A11" i="12" s="1"/>
  <c r="A12" i="12" s="1"/>
  <c r="B17" i="11"/>
  <c r="B18" i="11"/>
  <c r="B19" i="11"/>
  <c r="B20" i="11"/>
  <c r="B21" i="11"/>
  <c r="B22" i="11"/>
  <c r="B23" i="11"/>
  <c r="B24" i="11"/>
  <c r="B25" i="11"/>
  <c r="B26" i="11"/>
  <c r="B27" i="11"/>
  <c r="B28" i="11"/>
  <c r="B29" i="11"/>
  <c r="B30" i="11"/>
  <c r="B31" i="11"/>
  <c r="B32" i="11"/>
  <c r="B33" i="11"/>
  <c r="B34" i="11"/>
  <c r="B35" i="11"/>
  <c r="B36" i="11"/>
  <c r="B37" i="11"/>
  <c r="B38" i="11"/>
  <c r="B39" i="11"/>
  <c r="B40" i="11"/>
  <c r="B41" i="11"/>
  <c r="B42" i="11"/>
  <c r="B43" i="11"/>
  <c r="B44" i="11"/>
  <c r="B45" i="11"/>
  <c r="B46" i="11"/>
  <c r="B47" i="11"/>
  <c r="B48" i="11"/>
  <c r="B49" i="11"/>
  <c r="B50" i="11"/>
  <c r="B51" i="11"/>
  <c r="B52" i="11"/>
  <c r="B53" i="11"/>
  <c r="B54" i="11"/>
  <c r="B55" i="11"/>
  <c r="B56" i="11"/>
  <c r="B57" i="11"/>
  <c r="B58" i="11"/>
  <c r="B59" i="11"/>
  <c r="B60" i="11"/>
  <c r="B61" i="11"/>
  <c r="B62" i="11"/>
  <c r="B63" i="11"/>
  <c r="B64" i="11"/>
  <c r="B65" i="11"/>
  <c r="B66" i="11"/>
  <c r="B67" i="11"/>
  <c r="B68" i="11"/>
  <c r="B69" i="11"/>
  <c r="B70" i="11"/>
  <c r="B71" i="11"/>
  <c r="B72" i="11"/>
  <c r="B73" i="11"/>
  <c r="B74" i="11"/>
  <c r="B75" i="11"/>
  <c r="B76" i="11"/>
  <c r="B77" i="11"/>
  <c r="B78" i="11"/>
  <c r="B79" i="11"/>
  <c r="B80" i="11"/>
  <c r="B81" i="11"/>
  <c r="B82" i="11"/>
  <c r="B83" i="11"/>
  <c r="B84" i="11"/>
  <c r="B85" i="11"/>
  <c r="B86" i="11"/>
  <c r="B87" i="11"/>
  <c r="B88" i="11"/>
  <c r="B89" i="11"/>
  <c r="B90" i="11"/>
  <c r="B91" i="11"/>
  <c r="B92" i="11"/>
  <c r="B93" i="11"/>
  <c r="B94" i="11"/>
  <c r="B95" i="11"/>
  <c r="B96" i="11"/>
  <c r="B97" i="11"/>
  <c r="B98" i="11"/>
  <c r="B99" i="11"/>
  <c r="B100" i="11"/>
  <c r="B101" i="11"/>
  <c r="B102" i="11"/>
  <c r="B103" i="11"/>
  <c r="B104" i="11"/>
  <c r="B105" i="11"/>
  <c r="B106" i="11"/>
  <c r="B107" i="11"/>
  <c r="B108" i="11"/>
  <c r="B109" i="11"/>
  <c r="B110" i="11"/>
  <c r="B111" i="11"/>
  <c r="B112" i="11"/>
  <c r="B113" i="11"/>
  <c r="B114" i="11"/>
  <c r="B115" i="11"/>
  <c r="B116" i="11"/>
  <c r="B117" i="11"/>
  <c r="B118" i="11"/>
  <c r="B119" i="11"/>
  <c r="B120" i="11"/>
  <c r="B121" i="11"/>
  <c r="B122" i="11"/>
  <c r="B123" i="11"/>
  <c r="B124" i="11"/>
  <c r="B125" i="11"/>
  <c r="B126" i="11"/>
  <c r="B127" i="11"/>
  <c r="B128" i="11"/>
  <c r="B129" i="11"/>
  <c r="B130" i="11"/>
  <c r="B131" i="11"/>
  <c r="B132" i="11"/>
  <c r="B133" i="11"/>
  <c r="B134" i="11"/>
  <c r="B135" i="11"/>
  <c r="B136" i="11"/>
  <c r="C19" i="10"/>
  <c r="C20" i="10"/>
  <c r="C21" i="10"/>
  <c r="C22" i="10"/>
  <c r="C23" i="10"/>
  <c r="C24" i="10"/>
  <c r="C25" i="10"/>
  <c r="C26" i="10"/>
  <c r="C27" i="10"/>
  <c r="C28" i="10"/>
  <c r="C29" i="10"/>
  <c r="C30" i="10"/>
  <c r="C31" i="10"/>
  <c r="C32" i="10"/>
  <c r="C33" i="10"/>
  <c r="C34" i="10"/>
  <c r="C35" i="10"/>
  <c r="C36" i="10"/>
  <c r="C37" i="10"/>
  <c r="C38" i="10"/>
  <c r="C39" i="10"/>
  <c r="C40" i="10"/>
  <c r="C41" i="10"/>
  <c r="C42" i="10"/>
  <c r="C43" i="10"/>
  <c r="C44" i="10"/>
  <c r="C45" i="10"/>
  <c r="C46" i="10"/>
  <c r="C47" i="10"/>
  <c r="C48" i="10"/>
  <c r="C49" i="10"/>
  <c r="C50" i="10"/>
  <c r="C51" i="10"/>
  <c r="C52" i="10"/>
  <c r="C53" i="10"/>
  <c r="C54" i="10"/>
  <c r="C55" i="10"/>
  <c r="C56" i="10"/>
  <c r="C57" i="10"/>
  <c r="C58" i="10"/>
  <c r="C59" i="10"/>
  <c r="C60" i="10"/>
  <c r="C61" i="10"/>
  <c r="C62" i="10"/>
  <c r="C63" i="10"/>
  <c r="C64" i="10"/>
  <c r="C65" i="10"/>
  <c r="C66" i="10"/>
  <c r="C67" i="10"/>
  <c r="C68" i="10"/>
  <c r="C69" i="10"/>
  <c r="C70" i="10"/>
  <c r="C71" i="10"/>
  <c r="C72" i="10"/>
  <c r="C73" i="10"/>
  <c r="C74" i="10"/>
  <c r="C75" i="10"/>
  <c r="C76" i="10"/>
  <c r="C77" i="10"/>
  <c r="C78" i="10"/>
  <c r="C79" i="10"/>
  <c r="C80" i="10"/>
  <c r="C81" i="10"/>
  <c r="C82" i="10"/>
  <c r="C83" i="10"/>
  <c r="C84" i="10"/>
  <c r="C85" i="10"/>
  <c r="C86" i="10"/>
  <c r="C87" i="10"/>
  <c r="C88" i="10"/>
  <c r="C89" i="10"/>
  <c r="C90" i="10"/>
  <c r="C91" i="10"/>
  <c r="C92" i="10"/>
  <c r="C93" i="10"/>
  <c r="C94" i="10"/>
  <c r="C95" i="10"/>
  <c r="C96" i="10"/>
  <c r="C97" i="10"/>
  <c r="C98" i="10"/>
  <c r="C99" i="10"/>
  <c r="C100" i="10"/>
  <c r="C101" i="10"/>
  <c r="C102" i="10"/>
  <c r="C103" i="10"/>
  <c r="C104" i="10"/>
  <c r="C105" i="10"/>
  <c r="C106" i="10"/>
  <c r="C107" i="10"/>
  <c r="C108" i="10"/>
  <c r="C109" i="10"/>
  <c r="C110" i="10"/>
  <c r="C111" i="10"/>
  <c r="C112" i="10"/>
  <c r="C113" i="10"/>
  <c r="C114" i="10"/>
  <c r="C115" i="10"/>
  <c r="C116" i="10"/>
  <c r="C117" i="10"/>
  <c r="C118" i="10"/>
  <c r="C119" i="10"/>
  <c r="C120" i="10"/>
  <c r="C121" i="10"/>
  <c r="C122" i="10"/>
  <c r="C123" i="10"/>
  <c r="C124" i="10"/>
  <c r="C125" i="10"/>
  <c r="C126" i="10"/>
  <c r="C127" i="10"/>
  <c r="C128" i="10"/>
  <c r="C129" i="10"/>
  <c r="C130" i="10"/>
  <c r="C131" i="10"/>
  <c r="C132" i="10"/>
  <c r="C133" i="10"/>
  <c r="C134" i="10"/>
  <c r="C135" i="10"/>
  <c r="C136" i="10"/>
  <c r="C137" i="10"/>
  <c r="C138" i="10"/>
  <c r="N136" i="11"/>
  <c r="J136" i="11"/>
  <c r="F136" i="11"/>
  <c r="N135" i="11"/>
  <c r="J135" i="11"/>
  <c r="F135" i="11"/>
  <c r="N134" i="11"/>
  <c r="J134" i="11"/>
  <c r="F134" i="11"/>
  <c r="N133" i="11"/>
  <c r="J133" i="11"/>
  <c r="F133" i="11"/>
  <c r="N132" i="11"/>
  <c r="J132" i="11"/>
  <c r="F132" i="11"/>
  <c r="N131" i="11"/>
  <c r="J131" i="11"/>
  <c r="F131" i="11"/>
  <c r="N130" i="11"/>
  <c r="J130" i="11"/>
  <c r="F130" i="11"/>
  <c r="N129" i="11"/>
  <c r="J129" i="11"/>
  <c r="F129" i="11"/>
  <c r="N128" i="11"/>
  <c r="J128" i="11"/>
  <c r="F128" i="11"/>
  <c r="N127" i="11"/>
  <c r="J127" i="11"/>
  <c r="F127" i="11"/>
  <c r="N126" i="11"/>
  <c r="J126" i="11"/>
  <c r="F126" i="11"/>
  <c r="N125" i="11"/>
  <c r="J125" i="11"/>
  <c r="F125" i="11"/>
  <c r="N124" i="11"/>
  <c r="J124" i="11"/>
  <c r="F124" i="11"/>
  <c r="N123" i="11"/>
  <c r="J123" i="11"/>
  <c r="F123" i="11"/>
  <c r="N122" i="11"/>
  <c r="J122" i="11"/>
  <c r="F122" i="11"/>
  <c r="N121" i="11"/>
  <c r="J121" i="11"/>
  <c r="F121" i="11"/>
  <c r="N120" i="11"/>
  <c r="J120" i="11"/>
  <c r="F120" i="11"/>
  <c r="N119" i="11"/>
  <c r="J119" i="11"/>
  <c r="F119" i="11"/>
  <c r="N118" i="11"/>
  <c r="J118" i="11"/>
  <c r="F118" i="11"/>
  <c r="N117" i="11"/>
  <c r="J117" i="11"/>
  <c r="F117" i="11"/>
  <c r="N116" i="11"/>
  <c r="J116" i="11"/>
  <c r="F116" i="11"/>
  <c r="N115" i="11"/>
  <c r="J115" i="11"/>
  <c r="F115" i="11"/>
  <c r="N114" i="11"/>
  <c r="J114" i="11"/>
  <c r="F114" i="11"/>
  <c r="N113" i="11"/>
  <c r="J113" i="11"/>
  <c r="F113" i="11"/>
  <c r="N112" i="11"/>
  <c r="J112" i="11"/>
  <c r="F112" i="11"/>
  <c r="N111" i="11"/>
  <c r="J111" i="11"/>
  <c r="F111" i="11"/>
  <c r="N110" i="11"/>
  <c r="J110" i="11"/>
  <c r="F110" i="11"/>
  <c r="N109" i="11"/>
  <c r="J109" i="11"/>
  <c r="F109" i="11"/>
  <c r="N108" i="11"/>
  <c r="J108" i="11"/>
  <c r="F108" i="11"/>
  <c r="N107" i="11"/>
  <c r="J107" i="11"/>
  <c r="F107" i="11"/>
  <c r="N106" i="11"/>
  <c r="J106" i="11"/>
  <c r="F106" i="11"/>
  <c r="N105" i="11"/>
  <c r="J105" i="11"/>
  <c r="F105" i="11"/>
  <c r="N104" i="11"/>
  <c r="J104" i="11"/>
  <c r="F104" i="11"/>
  <c r="N103" i="11"/>
  <c r="J103" i="11"/>
  <c r="F103" i="11"/>
  <c r="N102" i="11"/>
  <c r="J102" i="11"/>
  <c r="F102" i="11"/>
  <c r="N101" i="11"/>
  <c r="J101" i="11"/>
  <c r="F101" i="11"/>
  <c r="N100" i="11"/>
  <c r="J100" i="11"/>
  <c r="F100" i="11"/>
  <c r="N99" i="11"/>
  <c r="J99" i="11"/>
  <c r="F99" i="11"/>
  <c r="N98" i="11"/>
  <c r="J98" i="11"/>
  <c r="F98" i="11"/>
  <c r="N97" i="11"/>
  <c r="J97" i="11"/>
  <c r="F97" i="11"/>
  <c r="N96" i="11"/>
  <c r="J96" i="11"/>
  <c r="F96" i="11"/>
  <c r="N95" i="11"/>
  <c r="J95" i="11"/>
  <c r="F95" i="11"/>
  <c r="N94" i="11"/>
  <c r="J94" i="11"/>
  <c r="F94" i="11"/>
  <c r="N93" i="11"/>
  <c r="J93" i="11"/>
  <c r="F93" i="11"/>
  <c r="N92" i="11"/>
  <c r="J92" i="11"/>
  <c r="F92" i="11"/>
  <c r="N91" i="11"/>
  <c r="J91" i="11"/>
  <c r="F91" i="11"/>
  <c r="N90" i="11"/>
  <c r="J90" i="11"/>
  <c r="F90" i="11"/>
  <c r="N89" i="11"/>
  <c r="J89" i="11"/>
  <c r="F89" i="11"/>
  <c r="N88" i="11"/>
  <c r="J88" i="11"/>
  <c r="F88" i="11"/>
  <c r="N87" i="11"/>
  <c r="J87" i="11"/>
  <c r="F87" i="11"/>
  <c r="N86" i="11"/>
  <c r="J86" i="11"/>
  <c r="F86" i="11"/>
  <c r="N85" i="11"/>
  <c r="J85" i="11"/>
  <c r="F85" i="11"/>
  <c r="N84" i="11"/>
  <c r="J84" i="11"/>
  <c r="F84" i="11"/>
  <c r="N83" i="11"/>
  <c r="J83" i="11"/>
  <c r="F83" i="11"/>
  <c r="N82" i="11"/>
  <c r="J82" i="11"/>
  <c r="F82" i="11"/>
  <c r="N81" i="11"/>
  <c r="J81" i="11"/>
  <c r="F81" i="11"/>
  <c r="N80" i="11"/>
  <c r="J80" i="11"/>
  <c r="F80" i="11"/>
  <c r="N79" i="11"/>
  <c r="J79" i="11"/>
  <c r="F79" i="11"/>
  <c r="N78" i="11"/>
  <c r="J78" i="11"/>
  <c r="F78" i="11"/>
  <c r="N77" i="11"/>
  <c r="J77" i="11"/>
  <c r="F77" i="11"/>
  <c r="N76" i="11"/>
  <c r="J76" i="11"/>
  <c r="F76" i="11"/>
  <c r="N75" i="11"/>
  <c r="J75" i="11"/>
  <c r="F75" i="11"/>
  <c r="N74" i="11"/>
  <c r="J74" i="11"/>
  <c r="F74" i="11"/>
  <c r="N73" i="11"/>
  <c r="J73" i="11"/>
  <c r="F73" i="11"/>
  <c r="N72" i="11"/>
  <c r="J72" i="11"/>
  <c r="F72" i="11"/>
  <c r="N71" i="11"/>
  <c r="J71" i="11"/>
  <c r="F71" i="11"/>
  <c r="N70" i="11"/>
  <c r="J70" i="11"/>
  <c r="F70" i="11"/>
  <c r="N69" i="11"/>
  <c r="J69" i="11"/>
  <c r="F69" i="11"/>
  <c r="N68" i="11"/>
  <c r="J68" i="11"/>
  <c r="F68" i="11"/>
  <c r="N67" i="11"/>
  <c r="J67" i="11"/>
  <c r="F67" i="11"/>
  <c r="N66" i="11"/>
  <c r="J66" i="11"/>
  <c r="F66" i="11"/>
  <c r="N65" i="11"/>
  <c r="J65" i="11"/>
  <c r="F65" i="11"/>
  <c r="N64" i="11"/>
  <c r="J64" i="11"/>
  <c r="F64" i="11"/>
  <c r="N63" i="11"/>
  <c r="J63" i="11"/>
  <c r="F63" i="11"/>
  <c r="N62" i="11"/>
  <c r="J62" i="11"/>
  <c r="F62" i="11"/>
  <c r="N61" i="11"/>
  <c r="J61" i="11"/>
  <c r="F61" i="11"/>
  <c r="N60" i="11"/>
  <c r="J60" i="11"/>
  <c r="F60" i="11"/>
  <c r="N59" i="11"/>
  <c r="J59" i="11"/>
  <c r="F59" i="11"/>
  <c r="N58" i="11"/>
  <c r="J58" i="11"/>
  <c r="F58" i="11"/>
  <c r="N57" i="11"/>
  <c r="J57" i="11"/>
  <c r="F57" i="11"/>
  <c r="N56" i="11"/>
  <c r="J56" i="11"/>
  <c r="F56" i="11"/>
  <c r="N55" i="11"/>
  <c r="J55" i="11"/>
  <c r="F55" i="11"/>
  <c r="N54" i="11"/>
  <c r="J54" i="11"/>
  <c r="F54" i="11"/>
  <c r="N53" i="11"/>
  <c r="J53" i="11"/>
  <c r="F53" i="11"/>
  <c r="N52" i="11"/>
  <c r="J52" i="11"/>
  <c r="F52" i="11"/>
  <c r="N51" i="11"/>
  <c r="J51" i="11"/>
  <c r="F51" i="11"/>
  <c r="N50" i="11"/>
  <c r="J50" i="11"/>
  <c r="F50" i="11"/>
  <c r="N49" i="11"/>
  <c r="J49" i="11"/>
  <c r="F49" i="11"/>
  <c r="N48" i="11"/>
  <c r="J48" i="11"/>
  <c r="F48" i="11"/>
  <c r="N47" i="11"/>
  <c r="J47" i="11"/>
  <c r="F47" i="11"/>
  <c r="N46" i="11"/>
  <c r="J46" i="11"/>
  <c r="F46" i="11"/>
  <c r="N45" i="11"/>
  <c r="J45" i="11"/>
  <c r="F45" i="11"/>
  <c r="N44" i="11"/>
  <c r="J44" i="11"/>
  <c r="F44" i="11"/>
  <c r="N43" i="11"/>
  <c r="J43" i="11"/>
  <c r="F43" i="11"/>
  <c r="N42" i="11"/>
  <c r="J42" i="11"/>
  <c r="F42" i="11"/>
  <c r="N41" i="11"/>
  <c r="J41" i="11"/>
  <c r="F41" i="11"/>
  <c r="N40" i="11"/>
  <c r="J40" i="11"/>
  <c r="F40" i="11"/>
  <c r="N39" i="11"/>
  <c r="J39" i="11"/>
  <c r="F39" i="11"/>
  <c r="N38" i="11"/>
  <c r="J38" i="11"/>
  <c r="F38" i="11"/>
  <c r="N37" i="11"/>
  <c r="J37" i="11"/>
  <c r="F37" i="11"/>
  <c r="N36" i="11"/>
  <c r="J36" i="11"/>
  <c r="F36" i="11"/>
  <c r="N35" i="11"/>
  <c r="J35" i="11"/>
  <c r="F35" i="11"/>
  <c r="N34" i="11"/>
  <c r="J34" i="11"/>
  <c r="F34" i="11"/>
  <c r="N33" i="11"/>
  <c r="J33" i="11"/>
  <c r="F33" i="11"/>
  <c r="N32" i="11"/>
  <c r="J32" i="11"/>
  <c r="F32" i="11"/>
  <c r="N31" i="11"/>
  <c r="J31" i="11"/>
  <c r="F31" i="11"/>
  <c r="N30" i="11"/>
  <c r="J30" i="11"/>
  <c r="F30" i="11"/>
  <c r="N29" i="11"/>
  <c r="J29" i="11"/>
  <c r="F29" i="11"/>
  <c r="N28" i="11"/>
  <c r="J28" i="11"/>
  <c r="F28" i="11"/>
  <c r="N27" i="11"/>
  <c r="J27" i="11"/>
  <c r="F27" i="11"/>
  <c r="N26" i="11"/>
  <c r="J26" i="11"/>
  <c r="F26" i="11"/>
  <c r="N25" i="11"/>
  <c r="J25" i="11"/>
  <c r="F25" i="11"/>
  <c r="N24" i="11"/>
  <c r="J24" i="11"/>
  <c r="F24" i="11"/>
  <c r="N23" i="11"/>
  <c r="J23" i="11"/>
  <c r="F23" i="11"/>
  <c r="N22" i="11"/>
  <c r="J22" i="11"/>
  <c r="F22" i="11"/>
  <c r="N21" i="11"/>
  <c r="J21" i="11"/>
  <c r="F21" i="11"/>
  <c r="N20" i="11"/>
  <c r="J20" i="11"/>
  <c r="F20" i="11"/>
  <c r="N19" i="11"/>
  <c r="J19" i="11"/>
  <c r="F19" i="11"/>
  <c r="N18" i="11"/>
  <c r="J18" i="11"/>
  <c r="F18" i="11"/>
  <c r="N17" i="11"/>
  <c r="J17" i="11"/>
  <c r="F17" i="11"/>
  <c r="N16" i="11"/>
  <c r="J16" i="11"/>
  <c r="F16" i="11"/>
  <c r="N15" i="11"/>
  <c r="J15" i="11"/>
  <c r="F15" i="11"/>
  <c r="N14" i="11"/>
  <c r="J14" i="11"/>
  <c r="F14" i="11"/>
  <c r="N13" i="11"/>
  <c r="J13" i="11"/>
  <c r="F13" i="11"/>
  <c r="N12" i="11"/>
  <c r="J12" i="11"/>
  <c r="F12" i="11"/>
  <c r="N11" i="11"/>
  <c r="J11" i="11"/>
  <c r="F11" i="11"/>
  <c r="N10" i="11"/>
  <c r="J10" i="11"/>
  <c r="F10" i="11"/>
  <c r="N9" i="11"/>
  <c r="J9" i="11"/>
  <c r="F9" i="11"/>
  <c r="N8" i="11"/>
  <c r="J8" i="11"/>
  <c r="F8" i="11"/>
  <c r="N7" i="11"/>
  <c r="J7" i="11"/>
  <c r="F7" i="11"/>
  <c r="N6" i="11"/>
  <c r="J6" i="11"/>
  <c r="F6" i="11"/>
  <c r="N5" i="11"/>
  <c r="J5" i="11"/>
  <c r="F5" i="11"/>
  <c r="H47" i="22" l="1"/>
  <c r="I30" i="17"/>
  <c r="D18" i="1"/>
  <c r="J4" i="26"/>
  <c r="I119" i="20"/>
  <c r="B130" i="20"/>
  <c r="I110" i="20"/>
  <c r="I115" i="20"/>
  <c r="B131" i="20"/>
  <c r="I131" i="20" s="1"/>
  <c r="B129" i="20"/>
  <c r="I111" i="20"/>
  <c r="I127" i="20"/>
  <c r="I123" i="20"/>
  <c r="I109" i="20"/>
  <c r="I113" i="20"/>
  <c r="E125" i="20"/>
  <c r="F125" i="20"/>
  <c r="G125" i="20"/>
  <c r="H24" i="24"/>
  <c r="D19" i="1"/>
  <c r="D20" i="1" s="1"/>
  <c r="I117" i="20"/>
  <c r="H127" i="20"/>
  <c r="E127" i="20"/>
  <c r="F127" i="20"/>
  <c r="G127" i="20"/>
  <c r="J4" i="23"/>
  <c r="N7" i="14"/>
  <c r="J4" i="24"/>
  <c r="J4" i="22"/>
  <c r="J4" i="21"/>
  <c r="J4" i="20"/>
  <c r="J93" i="20" s="1"/>
  <c r="J102" i="20" s="1"/>
  <c r="E126" i="20"/>
  <c r="F126" i="20"/>
  <c r="G126" i="20"/>
  <c r="I107" i="19"/>
  <c r="I108" i="19"/>
  <c r="I109" i="19"/>
  <c r="I113" i="19"/>
  <c r="I121" i="19"/>
  <c r="I117" i="19"/>
  <c r="I125" i="19"/>
  <c r="I111" i="19"/>
  <c r="E123" i="19"/>
  <c r="F123" i="19"/>
  <c r="G123" i="19"/>
  <c r="I115" i="19"/>
  <c r="E124" i="19"/>
  <c r="F124" i="19"/>
  <c r="G124" i="19"/>
  <c r="E125" i="19"/>
  <c r="F125" i="19"/>
  <c r="G125" i="19"/>
  <c r="H125" i="19"/>
  <c r="H53" i="17"/>
  <c r="H96" i="20"/>
  <c r="H94" i="19"/>
  <c r="G121" i="20"/>
  <c r="I121" i="20"/>
  <c r="H121" i="20"/>
  <c r="G119" i="19"/>
  <c r="I119" i="19"/>
  <c r="H119" i="19"/>
  <c r="B127" i="19"/>
  <c r="B129" i="19"/>
  <c r="B128" i="19"/>
  <c r="I20" i="18"/>
  <c r="I43" i="18" s="1"/>
  <c r="I32" i="18"/>
  <c r="J4" i="18"/>
  <c r="J4" i="19"/>
  <c r="J91" i="19" s="1"/>
  <c r="J100" i="19" s="1"/>
  <c r="J119" i="19" s="1"/>
  <c r="E53" i="17"/>
  <c r="G53" i="17"/>
  <c r="F53" i="17"/>
  <c r="E54" i="17"/>
  <c r="G54" i="17"/>
  <c r="F54" i="17"/>
  <c r="E55" i="17"/>
  <c r="G55" i="17"/>
  <c r="F55" i="17"/>
  <c r="I82" i="17"/>
  <c r="I49" i="17"/>
  <c r="I47" i="17"/>
  <c r="I55" i="17"/>
  <c r="I53" i="17"/>
  <c r="I51" i="17"/>
  <c r="I81" i="17"/>
  <c r="B58" i="17"/>
  <c r="I45" i="17"/>
  <c r="I38" i="17"/>
  <c r="B59" i="17"/>
  <c r="I59" i="17" s="1"/>
  <c r="I83" i="17"/>
  <c r="B57" i="17"/>
  <c r="I43" i="17"/>
  <c r="I41" i="17"/>
  <c r="I37" i="17"/>
  <c r="I39" i="17"/>
  <c r="I20" i="17"/>
  <c r="I15" i="17"/>
  <c r="I19" i="22" s="1"/>
  <c r="I21" i="17"/>
  <c r="L21" i="13"/>
  <c r="J4" i="17"/>
  <c r="H5" i="12"/>
  <c r="J5" i="12" s="1"/>
  <c r="E5" i="12"/>
  <c r="G5" i="12" s="1"/>
  <c r="E6" i="12"/>
  <c r="G6" i="12" s="1"/>
  <c r="E7" i="12"/>
  <c r="G7" i="12" s="1"/>
  <c r="E8" i="12"/>
  <c r="G8" i="12" s="1"/>
  <c r="E9" i="12"/>
  <c r="G9" i="12" s="1"/>
  <c r="E10" i="12"/>
  <c r="G10" i="12" s="1"/>
  <c r="E11" i="12"/>
  <c r="G11" i="12" s="1"/>
  <c r="E12" i="12"/>
  <c r="G12" i="12" s="1"/>
  <c r="H6" i="12"/>
  <c r="J6" i="12" s="1"/>
  <c r="H7" i="12"/>
  <c r="J7" i="12" s="1"/>
  <c r="H8" i="12"/>
  <c r="J8" i="12" s="1"/>
  <c r="H9" i="12"/>
  <c r="J9" i="12" s="1"/>
  <c r="H10" i="12"/>
  <c r="J10" i="12" s="1"/>
  <c r="H11" i="12"/>
  <c r="J11" i="12" s="1"/>
  <c r="H12" i="12"/>
  <c r="J12" i="12" s="1"/>
  <c r="I47" i="22" l="1"/>
  <c r="K4" i="26"/>
  <c r="B133" i="20"/>
  <c r="B134" i="20"/>
  <c r="J119" i="20"/>
  <c r="B135" i="20"/>
  <c r="J115" i="20"/>
  <c r="J131" i="20"/>
  <c r="J127" i="20"/>
  <c r="J123" i="20"/>
  <c r="J110" i="20"/>
  <c r="J111" i="20"/>
  <c r="J109" i="20"/>
  <c r="J113" i="20"/>
  <c r="J117" i="20"/>
  <c r="E130" i="20"/>
  <c r="F130" i="20"/>
  <c r="G130" i="20"/>
  <c r="H130" i="20"/>
  <c r="K4" i="23"/>
  <c r="O7" i="14"/>
  <c r="K4" i="24"/>
  <c r="K4" i="22"/>
  <c r="K4" i="21"/>
  <c r="K4" i="20"/>
  <c r="K93" i="20" s="1"/>
  <c r="K102" i="20" s="1"/>
  <c r="J47" i="22"/>
  <c r="E129" i="20"/>
  <c r="F129" i="20"/>
  <c r="G129" i="20"/>
  <c r="H129" i="20"/>
  <c r="J121" i="20"/>
  <c r="E131" i="20"/>
  <c r="F131" i="20"/>
  <c r="G131" i="20"/>
  <c r="H131" i="20"/>
  <c r="E129" i="19"/>
  <c r="F129" i="19"/>
  <c r="G129" i="19"/>
  <c r="H129" i="19"/>
  <c r="E127" i="19"/>
  <c r="F127" i="19"/>
  <c r="G127" i="19"/>
  <c r="H127" i="19"/>
  <c r="I129" i="19"/>
  <c r="J108" i="19"/>
  <c r="J109" i="19"/>
  <c r="J107" i="19"/>
  <c r="J129" i="19"/>
  <c r="J117" i="19"/>
  <c r="J121" i="19"/>
  <c r="J125" i="19"/>
  <c r="J113" i="19"/>
  <c r="J111" i="19"/>
  <c r="J115" i="19"/>
  <c r="E128" i="19"/>
  <c r="F128" i="19"/>
  <c r="G128" i="19"/>
  <c r="H128" i="19"/>
  <c r="I123" i="19"/>
  <c r="H123" i="19"/>
  <c r="J123" i="19"/>
  <c r="I57" i="17"/>
  <c r="I96" i="20"/>
  <c r="I94" i="19"/>
  <c r="I125" i="20"/>
  <c r="J125" i="20"/>
  <c r="H125" i="20"/>
  <c r="B132" i="19"/>
  <c r="B131" i="19"/>
  <c r="B133" i="19"/>
  <c r="J133" i="19" s="1"/>
  <c r="J20" i="18"/>
  <c r="J43" i="18" s="1"/>
  <c r="J32" i="18"/>
  <c r="K4" i="18"/>
  <c r="K4" i="19"/>
  <c r="K91" i="19" s="1"/>
  <c r="K100" i="19" s="1"/>
  <c r="J15" i="17"/>
  <c r="J19" i="22" s="1"/>
  <c r="J30" i="17"/>
  <c r="E58" i="17"/>
  <c r="G58" i="17"/>
  <c r="F58" i="17"/>
  <c r="H58" i="17"/>
  <c r="E57" i="17"/>
  <c r="G57" i="17"/>
  <c r="F57" i="17"/>
  <c r="H57" i="17"/>
  <c r="E59" i="17"/>
  <c r="G59" i="17"/>
  <c r="F59" i="17"/>
  <c r="H59" i="17"/>
  <c r="J20" i="17"/>
  <c r="J21" i="17"/>
  <c r="M21" i="13"/>
  <c r="K4" i="17"/>
  <c r="F38" i="6"/>
  <c r="F39" i="6"/>
  <c r="F134" i="6" s="1"/>
  <c r="I24" i="24" l="1"/>
  <c r="L4" i="26"/>
  <c r="H134" i="20"/>
  <c r="E134" i="20"/>
  <c r="F134" i="20"/>
  <c r="G134" i="20"/>
  <c r="I134" i="20"/>
  <c r="H135" i="20"/>
  <c r="E135" i="20"/>
  <c r="F135" i="20"/>
  <c r="G135" i="20"/>
  <c r="I135" i="20"/>
  <c r="J135" i="20"/>
  <c r="K135" i="20"/>
  <c r="K110" i="20"/>
  <c r="K119" i="20"/>
  <c r="B139" i="20"/>
  <c r="K139" i="20" s="1"/>
  <c r="K131" i="20"/>
  <c r="B138" i="20"/>
  <c r="K123" i="20"/>
  <c r="B137" i="20"/>
  <c r="K127" i="20"/>
  <c r="K111" i="20"/>
  <c r="K109" i="20"/>
  <c r="K115" i="20"/>
  <c r="K113" i="20"/>
  <c r="K117" i="20"/>
  <c r="K121" i="20"/>
  <c r="L4" i="23"/>
  <c r="P7" i="14"/>
  <c r="L4" i="24"/>
  <c r="L4" i="22"/>
  <c r="L4" i="21"/>
  <c r="L4" i="20"/>
  <c r="L93" i="20" s="1"/>
  <c r="L102" i="20" s="1"/>
  <c r="L129" i="20" s="1"/>
  <c r="K125" i="20"/>
  <c r="K47" i="22"/>
  <c r="J24" i="24"/>
  <c r="H133" i="20"/>
  <c r="E133" i="20"/>
  <c r="F133" i="20"/>
  <c r="G133" i="20"/>
  <c r="I133" i="20"/>
  <c r="K108" i="19"/>
  <c r="K109" i="19"/>
  <c r="K107" i="19"/>
  <c r="K129" i="19"/>
  <c r="K113" i="19"/>
  <c r="K117" i="19"/>
  <c r="K133" i="19"/>
  <c r="K125" i="19"/>
  <c r="K121" i="19"/>
  <c r="K111" i="19"/>
  <c r="K115" i="19"/>
  <c r="K119" i="19"/>
  <c r="E131" i="19"/>
  <c r="F131" i="19"/>
  <c r="G131" i="19"/>
  <c r="H131" i="19"/>
  <c r="I131" i="19"/>
  <c r="E132" i="19"/>
  <c r="F132" i="19"/>
  <c r="G132" i="19"/>
  <c r="H132" i="19"/>
  <c r="I132" i="19"/>
  <c r="K123" i="19"/>
  <c r="E133" i="19"/>
  <c r="F133" i="19"/>
  <c r="G133" i="19"/>
  <c r="H133" i="19"/>
  <c r="I133" i="19"/>
  <c r="K127" i="19"/>
  <c r="J127" i="19"/>
  <c r="I127" i="19"/>
  <c r="I129" i="20"/>
  <c r="J129" i="20"/>
  <c r="K129" i="20"/>
  <c r="J96" i="20"/>
  <c r="J94" i="19"/>
  <c r="B137" i="19"/>
  <c r="K137" i="19" s="1"/>
  <c r="B136" i="19"/>
  <c r="B135" i="19"/>
  <c r="K20" i="18"/>
  <c r="K43" i="18" s="1"/>
  <c r="K32" i="18"/>
  <c r="L4" i="18"/>
  <c r="L4" i="19"/>
  <c r="L91" i="19" s="1"/>
  <c r="L100" i="19" s="1"/>
  <c r="K15" i="17"/>
  <c r="K19" i="22" s="1"/>
  <c r="K30" i="17"/>
  <c r="B61" i="17"/>
  <c r="J61" i="17" s="1"/>
  <c r="J55" i="17"/>
  <c r="J53" i="17"/>
  <c r="J51" i="17"/>
  <c r="J81" i="17"/>
  <c r="J83" i="17"/>
  <c r="B63" i="17"/>
  <c r="J43" i="17"/>
  <c r="J41" i="17"/>
  <c r="J37" i="17"/>
  <c r="J82" i="17"/>
  <c r="B62" i="17"/>
  <c r="J49" i="17"/>
  <c r="J47" i="17"/>
  <c r="J39" i="17"/>
  <c r="J45" i="17"/>
  <c r="J38" i="17"/>
  <c r="J59" i="17"/>
  <c r="J57" i="17"/>
  <c r="K21" i="17"/>
  <c r="K20" i="17"/>
  <c r="N21" i="13"/>
  <c r="L4" i="17"/>
  <c r="G38" i="6"/>
  <c r="G39" i="6"/>
  <c r="G75" i="6" s="1"/>
  <c r="G35" i="5" s="1"/>
  <c r="I40" i="9"/>
  <c r="I41" i="9" s="1"/>
  <c r="H40" i="9"/>
  <c r="H41" i="9" s="1"/>
  <c r="G40" i="9"/>
  <c r="G41" i="9" s="1"/>
  <c r="F40" i="9"/>
  <c r="F41" i="9" s="1"/>
  <c r="E40" i="9"/>
  <c r="E41" i="9" s="1"/>
  <c r="J39" i="9"/>
  <c r="D38" i="9"/>
  <c r="D40" i="9" s="1"/>
  <c r="D41" i="9" s="1"/>
  <c r="C38" i="9"/>
  <c r="C40" i="9" s="1"/>
  <c r="L30" i="17" l="1"/>
  <c r="M4" i="26"/>
  <c r="L47" i="22"/>
  <c r="K24" i="24"/>
  <c r="H137" i="20"/>
  <c r="E137" i="20"/>
  <c r="F137" i="20"/>
  <c r="G137" i="20"/>
  <c r="I137" i="20"/>
  <c r="J137" i="20"/>
  <c r="J138" i="20"/>
  <c r="E138" i="20"/>
  <c r="F138" i="20"/>
  <c r="G138" i="20"/>
  <c r="H138" i="20"/>
  <c r="I138" i="20"/>
  <c r="H139" i="20"/>
  <c r="E139" i="20"/>
  <c r="F139" i="20"/>
  <c r="G139" i="20"/>
  <c r="I139" i="20"/>
  <c r="J139" i="20"/>
  <c r="M4" i="23"/>
  <c r="Q7" i="14"/>
  <c r="M4" i="24"/>
  <c r="M4" i="22"/>
  <c r="M4" i="21"/>
  <c r="M4" i="20"/>
  <c r="M93" i="20" s="1"/>
  <c r="M102" i="20" s="1"/>
  <c r="M133" i="20" s="1"/>
  <c r="B143" i="20"/>
  <c r="L143" i="20" s="1"/>
  <c r="L135" i="20"/>
  <c r="L110" i="20"/>
  <c r="B142" i="20"/>
  <c r="L119" i="20"/>
  <c r="B141" i="20"/>
  <c r="L111" i="20"/>
  <c r="L139" i="20"/>
  <c r="L109" i="20"/>
  <c r="L127" i="20"/>
  <c r="L115" i="20"/>
  <c r="L123" i="20"/>
  <c r="L131" i="20"/>
  <c r="L113" i="20"/>
  <c r="L117" i="20"/>
  <c r="L121" i="20"/>
  <c r="L125" i="20"/>
  <c r="L107" i="19"/>
  <c r="L108" i="19"/>
  <c r="L109" i="19"/>
  <c r="L129" i="19"/>
  <c r="L125" i="19"/>
  <c r="L117" i="19"/>
  <c r="L113" i="19"/>
  <c r="L133" i="19"/>
  <c r="L137" i="19"/>
  <c r="L121" i="19"/>
  <c r="L111" i="19"/>
  <c r="L115" i="19"/>
  <c r="L119" i="19"/>
  <c r="L123" i="19"/>
  <c r="E135" i="19"/>
  <c r="F135" i="19"/>
  <c r="G135" i="19"/>
  <c r="H135" i="19"/>
  <c r="I135" i="19"/>
  <c r="J135" i="19"/>
  <c r="E136" i="19"/>
  <c r="F136" i="19"/>
  <c r="G136" i="19"/>
  <c r="H136" i="19"/>
  <c r="I136" i="19"/>
  <c r="J136" i="19"/>
  <c r="E137" i="19"/>
  <c r="F137" i="19"/>
  <c r="G137" i="19"/>
  <c r="H137" i="19"/>
  <c r="I137" i="19"/>
  <c r="J137" i="19"/>
  <c r="L127" i="19"/>
  <c r="K96" i="20"/>
  <c r="K94" i="19"/>
  <c r="J131" i="19"/>
  <c r="K131" i="19"/>
  <c r="L131" i="19"/>
  <c r="J133" i="20"/>
  <c r="L133" i="20"/>
  <c r="K133" i="20"/>
  <c r="B141" i="19"/>
  <c r="L141" i="19" s="1"/>
  <c r="B140" i="19"/>
  <c r="B139" i="19"/>
  <c r="L20" i="18"/>
  <c r="L43" i="18" s="1"/>
  <c r="L32" i="18"/>
  <c r="M4" i="18"/>
  <c r="M4" i="19"/>
  <c r="M91" i="19" s="1"/>
  <c r="M100" i="19" s="1"/>
  <c r="M131" i="19" s="1"/>
  <c r="E63" i="17"/>
  <c r="F63" i="17"/>
  <c r="G63" i="17"/>
  <c r="H63" i="17"/>
  <c r="I63" i="17"/>
  <c r="J63" i="17"/>
  <c r="L61" i="17"/>
  <c r="E61" i="17"/>
  <c r="G61" i="17"/>
  <c r="F61" i="17"/>
  <c r="H61" i="17"/>
  <c r="I61" i="17"/>
  <c r="E62" i="17"/>
  <c r="F62" i="17"/>
  <c r="G62" i="17"/>
  <c r="H62" i="17"/>
  <c r="I62" i="17"/>
  <c r="K81" i="17"/>
  <c r="B66" i="17"/>
  <c r="K45" i="17"/>
  <c r="K38" i="17"/>
  <c r="B65" i="17"/>
  <c r="K43" i="17"/>
  <c r="K83" i="17"/>
  <c r="K82" i="17"/>
  <c r="K49" i="17"/>
  <c r="K47" i="17"/>
  <c r="K59" i="17"/>
  <c r="B67" i="17"/>
  <c r="K67" i="17" s="1"/>
  <c r="K55" i="17"/>
  <c r="K53" i="17"/>
  <c r="K51" i="17"/>
  <c r="K39" i="17"/>
  <c r="K37" i="17"/>
  <c r="K41" i="17"/>
  <c r="K63" i="17"/>
  <c r="K61" i="17"/>
  <c r="K65" i="17"/>
  <c r="K57" i="17"/>
  <c r="L83" i="17"/>
  <c r="B70" i="17"/>
  <c r="L41" i="17"/>
  <c r="L37" i="17"/>
  <c r="L49" i="17"/>
  <c r="L82" i="17"/>
  <c r="L55" i="17"/>
  <c r="L53" i="17"/>
  <c r="L51" i="17"/>
  <c r="L39" i="17"/>
  <c r="L81" i="17"/>
  <c r="B71" i="17"/>
  <c r="L63" i="17"/>
  <c r="L45" i="17"/>
  <c r="L38" i="17"/>
  <c r="L43" i="17"/>
  <c r="B69" i="17"/>
  <c r="L47" i="17"/>
  <c r="L59" i="17"/>
  <c r="L57" i="17"/>
  <c r="L20" i="17"/>
  <c r="L15" i="17"/>
  <c r="L19" i="22" s="1"/>
  <c r="L21" i="17"/>
  <c r="O21" i="13"/>
  <c r="M4" i="17"/>
  <c r="H38" i="6"/>
  <c r="H39" i="6"/>
  <c r="H75" i="6" s="1"/>
  <c r="H35" i="5" s="1"/>
  <c r="J38" i="9"/>
  <c r="J40" i="9"/>
  <c r="C41" i="9"/>
  <c r="M30" i="17" l="1"/>
  <c r="N4" i="26"/>
  <c r="N4" i="19"/>
  <c r="N91" i="19" s="1"/>
  <c r="N100" i="19" s="1"/>
  <c r="N108" i="19" s="1"/>
  <c r="N4" i="23"/>
  <c r="R7" i="14"/>
  <c r="N4" i="24"/>
  <c r="N4" i="22"/>
  <c r="N4" i="21"/>
  <c r="N4" i="20"/>
  <c r="N93" i="20" s="1"/>
  <c r="N102" i="20" s="1"/>
  <c r="J143" i="20"/>
  <c r="E143" i="20"/>
  <c r="F143" i="20"/>
  <c r="G143" i="20"/>
  <c r="H143" i="20"/>
  <c r="I143" i="20"/>
  <c r="K143" i="20"/>
  <c r="M135" i="20"/>
  <c r="M123" i="20"/>
  <c r="M143" i="20"/>
  <c r="M139" i="20"/>
  <c r="B147" i="20"/>
  <c r="M119" i="20"/>
  <c r="M110" i="20"/>
  <c r="B146" i="20"/>
  <c r="M111" i="20"/>
  <c r="B145" i="20"/>
  <c r="M131" i="20"/>
  <c r="M115" i="20"/>
  <c r="M127" i="20"/>
  <c r="M109" i="20"/>
  <c r="M113" i="20"/>
  <c r="M117" i="20"/>
  <c r="M121" i="20"/>
  <c r="M125" i="20"/>
  <c r="M129" i="20"/>
  <c r="H141" i="20"/>
  <c r="E141" i="20"/>
  <c r="F141" i="20"/>
  <c r="G141" i="20"/>
  <c r="I141" i="20"/>
  <c r="J141" i="20"/>
  <c r="K141" i="20"/>
  <c r="H142" i="20"/>
  <c r="E142" i="20"/>
  <c r="F142" i="20"/>
  <c r="G142" i="20"/>
  <c r="I142" i="20"/>
  <c r="J142" i="20"/>
  <c r="K142" i="20"/>
  <c r="M47" i="22"/>
  <c r="L24" i="24"/>
  <c r="M107" i="19"/>
  <c r="M108" i="19"/>
  <c r="M109" i="19"/>
  <c r="M129" i="19"/>
  <c r="M125" i="19"/>
  <c r="M117" i="19"/>
  <c r="M113" i="19"/>
  <c r="M121" i="19"/>
  <c r="M133" i="19"/>
  <c r="M137" i="19"/>
  <c r="M141" i="19"/>
  <c r="M111" i="19"/>
  <c r="M115" i="19"/>
  <c r="M119" i="19"/>
  <c r="M123" i="19"/>
  <c r="M127" i="19"/>
  <c r="E139" i="19"/>
  <c r="F139" i="19"/>
  <c r="G139" i="19"/>
  <c r="H139" i="19"/>
  <c r="I139" i="19"/>
  <c r="J139" i="19"/>
  <c r="K139" i="19"/>
  <c r="E140" i="19"/>
  <c r="F140" i="19"/>
  <c r="G140" i="19"/>
  <c r="H140" i="19"/>
  <c r="I140" i="19"/>
  <c r="J140" i="19"/>
  <c r="K140" i="19"/>
  <c r="E141" i="19"/>
  <c r="F141" i="19"/>
  <c r="G141" i="19"/>
  <c r="H141" i="19"/>
  <c r="I141" i="19"/>
  <c r="J141" i="19"/>
  <c r="K141" i="19"/>
  <c r="L96" i="20"/>
  <c r="L94" i="19"/>
  <c r="M135" i="19"/>
  <c r="L135" i="19"/>
  <c r="K135" i="19"/>
  <c r="L137" i="20"/>
  <c r="M137" i="20"/>
  <c r="K137" i="20"/>
  <c r="N137" i="20"/>
  <c r="B143" i="19"/>
  <c r="B145" i="19"/>
  <c r="B144" i="19"/>
  <c r="M20" i="18"/>
  <c r="M43" i="18" s="1"/>
  <c r="M32" i="18"/>
  <c r="P21" i="13"/>
  <c r="N4" i="18"/>
  <c r="N4" i="17"/>
  <c r="M82" i="17"/>
  <c r="B75" i="17"/>
  <c r="M75" i="17" s="1"/>
  <c r="M61" i="17"/>
  <c r="M59" i="17"/>
  <c r="M49" i="17"/>
  <c r="M47" i="17"/>
  <c r="B74" i="17"/>
  <c r="M67" i="17"/>
  <c r="M81" i="17"/>
  <c r="B73" i="17"/>
  <c r="M69" i="17"/>
  <c r="M45" i="17"/>
  <c r="M38" i="17"/>
  <c r="M51" i="17"/>
  <c r="M83" i="17"/>
  <c r="M71" i="17"/>
  <c r="M43" i="17"/>
  <c r="M41" i="17"/>
  <c r="M37" i="17"/>
  <c r="M65" i="17"/>
  <c r="M55" i="17"/>
  <c r="M53" i="17"/>
  <c r="M39" i="17"/>
  <c r="M57" i="17"/>
  <c r="L67" i="17"/>
  <c r="E67" i="17"/>
  <c r="G67" i="17"/>
  <c r="F67" i="17"/>
  <c r="H67" i="17"/>
  <c r="I67" i="17"/>
  <c r="J67" i="17"/>
  <c r="E66" i="17"/>
  <c r="G66" i="17"/>
  <c r="F66" i="17"/>
  <c r="H66" i="17"/>
  <c r="I66" i="17"/>
  <c r="J66" i="17"/>
  <c r="E69" i="17"/>
  <c r="G69" i="17"/>
  <c r="F69" i="17"/>
  <c r="H69" i="17"/>
  <c r="I69" i="17"/>
  <c r="J69" i="17"/>
  <c r="E70" i="17"/>
  <c r="F70" i="17"/>
  <c r="G70" i="17"/>
  <c r="H70" i="17"/>
  <c r="I70" i="17"/>
  <c r="J70" i="17"/>
  <c r="L65" i="17"/>
  <c r="E65" i="17"/>
  <c r="G65" i="17"/>
  <c r="F65" i="17"/>
  <c r="H65" i="17"/>
  <c r="I65" i="17"/>
  <c r="J65" i="17"/>
  <c r="E71" i="17"/>
  <c r="G71" i="17"/>
  <c r="F71" i="17"/>
  <c r="H71" i="17"/>
  <c r="I71" i="17"/>
  <c r="J71" i="17"/>
  <c r="K69" i="17"/>
  <c r="K70" i="17"/>
  <c r="L69" i="17"/>
  <c r="L71" i="17"/>
  <c r="K71" i="17"/>
  <c r="M63" i="17"/>
  <c r="M20" i="17"/>
  <c r="M15" i="17"/>
  <c r="M19" i="22" s="1"/>
  <c r="N21" i="17"/>
  <c r="M21" i="17"/>
  <c r="I38" i="6"/>
  <c r="J41" i="9"/>
  <c r="C118" i="6" s="1"/>
  <c r="I39" i="6"/>
  <c r="I75" i="6" s="1"/>
  <c r="I35" i="5" s="1"/>
  <c r="H20" i="9"/>
  <c r="G20" i="9"/>
  <c r="G22" i="9" s="1"/>
  <c r="F20" i="9"/>
  <c r="F22" i="9" s="1"/>
  <c r="E20" i="9"/>
  <c r="E21" i="9" s="1"/>
  <c r="D20" i="9"/>
  <c r="D22" i="9" s="1"/>
  <c r="C20" i="9"/>
  <c r="C22" i="9" s="1"/>
  <c r="D17" i="9"/>
  <c r="E17" i="9" s="1"/>
  <c r="F17" i="9" s="1"/>
  <c r="G17" i="9" s="1"/>
  <c r="H17" i="9" s="1"/>
  <c r="N20" i="17" l="1"/>
  <c r="F26" i="16"/>
  <c r="G26" i="16"/>
  <c r="H26" i="16"/>
  <c r="I26" i="16"/>
  <c r="J26" i="16"/>
  <c r="F27" i="16"/>
  <c r="G27" i="16"/>
  <c r="H27" i="16"/>
  <c r="I27" i="16"/>
  <c r="J27" i="16"/>
  <c r="N127" i="19"/>
  <c r="N141" i="19"/>
  <c r="N111" i="19"/>
  <c r="B148" i="19"/>
  <c r="M148" i="19" s="1"/>
  <c r="N121" i="19"/>
  <c r="B147" i="19"/>
  <c r="N115" i="19"/>
  <c r="N113" i="19"/>
  <c r="N129" i="19"/>
  <c r="N107" i="19"/>
  <c r="N123" i="19"/>
  <c r="N137" i="19"/>
  <c r="N117" i="19"/>
  <c r="N109" i="19"/>
  <c r="B149" i="19"/>
  <c r="N149" i="19" s="1"/>
  <c r="N135" i="19"/>
  <c r="N131" i="19"/>
  <c r="N119" i="19"/>
  <c r="N133" i="19"/>
  <c r="N125" i="19"/>
  <c r="O4" i="26"/>
  <c r="O29" i="26" s="1"/>
  <c r="E30" i="26"/>
  <c r="F30" i="26"/>
  <c r="G30" i="26"/>
  <c r="H30" i="26"/>
  <c r="I30" i="26"/>
  <c r="J30" i="26"/>
  <c r="K30" i="26"/>
  <c r="L30" i="26"/>
  <c r="M30" i="26"/>
  <c r="N30" i="26"/>
  <c r="O4" i="19"/>
  <c r="O91" i="19" s="1"/>
  <c r="O100" i="19" s="1"/>
  <c r="O135" i="19" s="1"/>
  <c r="O4" i="23"/>
  <c r="S7" i="14"/>
  <c r="O4" i="24"/>
  <c r="O4" i="22"/>
  <c r="O4" i="21"/>
  <c r="O4" i="20"/>
  <c r="O93" i="20" s="1"/>
  <c r="O102" i="20" s="1"/>
  <c r="O147" i="20" s="1"/>
  <c r="L145" i="20"/>
  <c r="E145" i="20"/>
  <c r="F145" i="20"/>
  <c r="G145" i="20"/>
  <c r="H145" i="20"/>
  <c r="I145" i="20"/>
  <c r="J145" i="20"/>
  <c r="K145" i="20"/>
  <c r="H146" i="20"/>
  <c r="E146" i="20"/>
  <c r="F146" i="20"/>
  <c r="G146" i="20"/>
  <c r="I146" i="20"/>
  <c r="J146" i="20"/>
  <c r="K146" i="20"/>
  <c r="L146" i="20"/>
  <c r="N47" i="22"/>
  <c r="M24" i="24"/>
  <c r="E147" i="20"/>
  <c r="F147" i="20"/>
  <c r="G147" i="20"/>
  <c r="H147" i="20"/>
  <c r="I147" i="20"/>
  <c r="J147" i="20"/>
  <c r="K147" i="20"/>
  <c r="L147" i="20"/>
  <c r="B149" i="20"/>
  <c r="N127" i="20"/>
  <c r="B150" i="20"/>
  <c r="N119" i="20"/>
  <c r="N135" i="20"/>
  <c r="B151" i="20"/>
  <c r="N151" i="20" s="1"/>
  <c r="N110" i="20"/>
  <c r="N139" i="20"/>
  <c r="N111" i="20"/>
  <c r="N123" i="20"/>
  <c r="N131" i="20"/>
  <c r="N143" i="20"/>
  <c r="N109" i="20"/>
  <c r="N115" i="20"/>
  <c r="N147" i="20"/>
  <c r="N113" i="20"/>
  <c r="N117" i="20"/>
  <c r="N121" i="20"/>
  <c r="N125" i="20"/>
  <c r="N129" i="20"/>
  <c r="N133" i="20"/>
  <c r="M147" i="20"/>
  <c r="E144" i="19"/>
  <c r="F144" i="19"/>
  <c r="G144" i="19"/>
  <c r="H144" i="19"/>
  <c r="I144" i="19"/>
  <c r="J144" i="19"/>
  <c r="K144" i="19"/>
  <c r="L144" i="19"/>
  <c r="G149" i="19"/>
  <c r="K149" i="19"/>
  <c r="E145" i="19"/>
  <c r="F145" i="19"/>
  <c r="G145" i="19"/>
  <c r="H145" i="19"/>
  <c r="I145" i="19"/>
  <c r="J145" i="19"/>
  <c r="K145" i="19"/>
  <c r="L145" i="19"/>
  <c r="N145" i="19"/>
  <c r="E147" i="19"/>
  <c r="F147" i="19"/>
  <c r="G147" i="19"/>
  <c r="H147" i="19"/>
  <c r="I147" i="19"/>
  <c r="J147" i="19"/>
  <c r="K147" i="19"/>
  <c r="L147" i="19"/>
  <c r="E143" i="19"/>
  <c r="F143" i="19"/>
  <c r="G143" i="19"/>
  <c r="H143" i="19"/>
  <c r="I143" i="19"/>
  <c r="J143" i="19"/>
  <c r="K143" i="19"/>
  <c r="L143" i="19"/>
  <c r="M145" i="19"/>
  <c r="M147" i="19"/>
  <c r="M73" i="17"/>
  <c r="M96" i="20"/>
  <c r="M94" i="19"/>
  <c r="N96" i="20"/>
  <c r="N94" i="19"/>
  <c r="L139" i="19"/>
  <c r="N139" i="19"/>
  <c r="M139" i="19"/>
  <c r="M141" i="20"/>
  <c r="L141" i="20"/>
  <c r="N141" i="20"/>
  <c r="N20" i="18"/>
  <c r="N43" i="18" s="1"/>
  <c r="N32" i="18"/>
  <c r="N30" i="17"/>
  <c r="N75" i="17" s="1"/>
  <c r="N15" i="17"/>
  <c r="N19" i="22" s="1"/>
  <c r="O4" i="18"/>
  <c r="O4" i="17"/>
  <c r="E74" i="17"/>
  <c r="F74" i="17"/>
  <c r="G74" i="17"/>
  <c r="H74" i="17"/>
  <c r="I74" i="17"/>
  <c r="J74" i="17"/>
  <c r="K74" i="17"/>
  <c r="L74" i="17"/>
  <c r="N73" i="17"/>
  <c r="E73" i="17"/>
  <c r="G73" i="17"/>
  <c r="F73" i="17"/>
  <c r="H73" i="17"/>
  <c r="I73" i="17"/>
  <c r="J73" i="17"/>
  <c r="K73" i="17"/>
  <c r="L73" i="17"/>
  <c r="K75" i="17"/>
  <c r="E75" i="17"/>
  <c r="G75" i="17"/>
  <c r="F75" i="17"/>
  <c r="H75" i="17"/>
  <c r="I75" i="17"/>
  <c r="J75" i="17"/>
  <c r="L75" i="17"/>
  <c r="H21" i="9"/>
  <c r="J38" i="6"/>
  <c r="J39" i="6"/>
  <c r="J75" i="6" s="1"/>
  <c r="J35" i="5" s="1"/>
  <c r="F21" i="9"/>
  <c r="D21" i="9"/>
  <c r="C27" i="9" s="1"/>
  <c r="F84" i="6" s="1"/>
  <c r="H22" i="9"/>
  <c r="D26" i="9" s="1"/>
  <c r="C21" i="9"/>
  <c r="G21" i="9"/>
  <c r="E22" i="9"/>
  <c r="D27" i="9" s="1"/>
  <c r="O129" i="19" l="1"/>
  <c r="O108" i="19"/>
  <c r="J148" i="19"/>
  <c r="B152" i="19"/>
  <c r="H152" i="19" s="1"/>
  <c r="O123" i="19"/>
  <c r="O139" i="19"/>
  <c r="O121" i="19"/>
  <c r="G29" i="16"/>
  <c r="G12" i="21" s="1"/>
  <c r="J29" i="16"/>
  <c r="J12" i="21" s="1"/>
  <c r="F29" i="16"/>
  <c r="F12" i="21" s="1"/>
  <c r="O21" i="17"/>
  <c r="I29" i="16"/>
  <c r="I12" i="21" s="1"/>
  <c r="H29" i="16"/>
  <c r="H12" i="21" s="1"/>
  <c r="O149" i="19"/>
  <c r="L149" i="19"/>
  <c r="H149" i="19"/>
  <c r="J149" i="19"/>
  <c r="F149" i="19"/>
  <c r="M149" i="19"/>
  <c r="I149" i="19"/>
  <c r="E149" i="19"/>
  <c r="F148" i="19"/>
  <c r="K148" i="19"/>
  <c r="G148" i="19"/>
  <c r="I148" i="19"/>
  <c r="E148" i="19"/>
  <c r="L148" i="19"/>
  <c r="H148" i="19"/>
  <c r="O141" i="20"/>
  <c r="C26" i="9"/>
  <c r="E84" i="6" s="1"/>
  <c r="O131" i="19"/>
  <c r="O115" i="19"/>
  <c r="O137" i="19"/>
  <c r="O141" i="19"/>
  <c r="O107" i="19"/>
  <c r="B151" i="19"/>
  <c r="E151" i="19" s="1"/>
  <c r="O127" i="19"/>
  <c r="O111" i="19"/>
  <c r="O145" i="19"/>
  <c r="O117" i="19"/>
  <c r="O109" i="19"/>
  <c r="B153" i="19"/>
  <c r="O153" i="19" s="1"/>
  <c r="O119" i="19"/>
  <c r="O133" i="19"/>
  <c r="O113" i="19"/>
  <c r="O125" i="19"/>
  <c r="O47" i="22"/>
  <c r="N24" i="24"/>
  <c r="J149" i="20"/>
  <c r="E149" i="20"/>
  <c r="F149" i="20"/>
  <c r="G149" i="20"/>
  <c r="H149" i="20"/>
  <c r="I149" i="20"/>
  <c r="K149" i="20"/>
  <c r="L149" i="20"/>
  <c r="M149" i="20"/>
  <c r="B153" i="20"/>
  <c r="B154" i="20"/>
  <c r="B155" i="20"/>
  <c r="O155" i="20" s="1"/>
  <c r="O115" i="20"/>
  <c r="O143" i="20"/>
  <c r="O110" i="20"/>
  <c r="O109" i="20"/>
  <c r="O127" i="20"/>
  <c r="O119" i="20"/>
  <c r="O135" i="20"/>
  <c r="O139" i="20"/>
  <c r="O151" i="20"/>
  <c r="O111" i="20"/>
  <c r="O113" i="20"/>
  <c r="O117" i="20"/>
  <c r="O123" i="20"/>
  <c r="O121" i="20"/>
  <c r="O125" i="20"/>
  <c r="O131" i="20"/>
  <c r="O129" i="20"/>
  <c r="O133" i="20"/>
  <c r="O137" i="20"/>
  <c r="H151" i="20"/>
  <c r="E151" i="20"/>
  <c r="F151" i="20"/>
  <c r="G151" i="20"/>
  <c r="I151" i="20"/>
  <c r="J151" i="20"/>
  <c r="K151" i="20"/>
  <c r="L151" i="20"/>
  <c r="M151" i="20"/>
  <c r="H150" i="20"/>
  <c r="E150" i="20"/>
  <c r="F150" i="20"/>
  <c r="G150" i="20"/>
  <c r="I150" i="20"/>
  <c r="J150" i="20"/>
  <c r="K150" i="20"/>
  <c r="L150" i="20"/>
  <c r="M150" i="20"/>
  <c r="G152" i="19"/>
  <c r="K152" i="19"/>
  <c r="I153" i="19"/>
  <c r="N149" i="20"/>
  <c r="O149" i="20"/>
  <c r="O143" i="19"/>
  <c r="N143" i="19"/>
  <c r="M143" i="19"/>
  <c r="O96" i="20"/>
  <c r="O94" i="19"/>
  <c r="M145" i="20"/>
  <c r="O145" i="20"/>
  <c r="N145" i="20"/>
  <c r="N147" i="19"/>
  <c r="O147" i="19"/>
  <c r="O20" i="18"/>
  <c r="O43" i="18" s="1"/>
  <c r="O32" i="18"/>
  <c r="O15" i="17"/>
  <c r="O19" i="22" s="1"/>
  <c r="O30" i="17"/>
  <c r="O20" i="17"/>
  <c r="N81" i="17"/>
  <c r="N83" i="17"/>
  <c r="N82" i="17"/>
  <c r="B79" i="17"/>
  <c r="N79" i="17" s="1"/>
  <c r="B77" i="17"/>
  <c r="B78" i="17"/>
  <c r="N43" i="17"/>
  <c r="N39" i="17"/>
  <c r="N38" i="17"/>
  <c r="N37" i="17"/>
  <c r="N41" i="17"/>
  <c r="N45" i="17"/>
  <c r="N49" i="17"/>
  <c r="N47" i="17"/>
  <c r="N51" i="17"/>
  <c r="N53" i="17"/>
  <c r="N55" i="17"/>
  <c r="N59" i="17"/>
  <c r="N57" i="17"/>
  <c r="N63" i="17"/>
  <c r="N61" i="17"/>
  <c r="N67" i="17"/>
  <c r="N65" i="17"/>
  <c r="N69" i="17"/>
  <c r="N71" i="17"/>
  <c r="K38" i="6"/>
  <c r="C31" i="9"/>
  <c r="K39" i="6"/>
  <c r="K75" i="6" s="1"/>
  <c r="L9" i="9"/>
  <c r="K9" i="9"/>
  <c r="J9" i="9"/>
  <c r="I9" i="9"/>
  <c r="H9" i="9"/>
  <c r="G9" i="9"/>
  <c r="F9" i="9"/>
  <c r="E9" i="9"/>
  <c r="D9" i="9"/>
  <c r="C9" i="9"/>
  <c r="K8" i="9"/>
  <c r="L8" i="9" s="1"/>
  <c r="I8" i="9"/>
  <c r="J8" i="9" s="1"/>
  <c r="G8" i="9"/>
  <c r="H8" i="9" s="1"/>
  <c r="E8" i="9"/>
  <c r="F8" i="9" s="1"/>
  <c r="M6" i="9"/>
  <c r="M3" i="9"/>
  <c r="M152" i="19" l="1"/>
  <c r="J152" i="19"/>
  <c r="F152" i="19"/>
  <c r="N152" i="19"/>
  <c r="I152" i="19"/>
  <c r="E152" i="19"/>
  <c r="L152" i="19"/>
  <c r="O24" i="24"/>
  <c r="G153" i="19"/>
  <c r="E153" i="19"/>
  <c r="M153" i="19"/>
  <c r="K153" i="19"/>
  <c r="H14" i="20"/>
  <c r="H10" i="26"/>
  <c r="H14" i="19"/>
  <c r="F10" i="26"/>
  <c r="F14" i="19"/>
  <c r="F14" i="20"/>
  <c r="I14" i="20"/>
  <c r="I14" i="19"/>
  <c r="I10" i="26"/>
  <c r="J14" i="19"/>
  <c r="J14" i="20"/>
  <c r="J10" i="26"/>
  <c r="G10" i="26"/>
  <c r="G14" i="20"/>
  <c r="G14" i="19"/>
  <c r="J151" i="19"/>
  <c r="M151" i="19"/>
  <c r="F151" i="19"/>
  <c r="N153" i="19"/>
  <c r="J153" i="19"/>
  <c r="F153" i="19"/>
  <c r="L153" i="19"/>
  <c r="H153" i="19"/>
  <c r="L151" i="19"/>
  <c r="H151" i="19"/>
  <c r="K151" i="19"/>
  <c r="G151" i="19"/>
  <c r="N151" i="19"/>
  <c r="I151" i="19"/>
  <c r="H153" i="20"/>
  <c r="E153" i="20"/>
  <c r="F153" i="20"/>
  <c r="G153" i="20"/>
  <c r="I153" i="20"/>
  <c r="J153" i="20"/>
  <c r="K153" i="20"/>
  <c r="L153" i="20"/>
  <c r="M153" i="20"/>
  <c r="N153" i="20"/>
  <c r="L155" i="20"/>
  <c r="E155" i="20"/>
  <c r="F155" i="20"/>
  <c r="G155" i="20"/>
  <c r="H155" i="20"/>
  <c r="I155" i="20"/>
  <c r="J155" i="20"/>
  <c r="K155" i="20"/>
  <c r="M155" i="20"/>
  <c r="N155" i="20"/>
  <c r="H154" i="20"/>
  <c r="E154" i="20"/>
  <c r="F154" i="20"/>
  <c r="G154" i="20"/>
  <c r="I154" i="20"/>
  <c r="J154" i="20"/>
  <c r="K154" i="20"/>
  <c r="L154" i="20"/>
  <c r="M154" i="20"/>
  <c r="N154" i="20"/>
  <c r="O153" i="20"/>
  <c r="O151" i="19"/>
  <c r="E77" i="17"/>
  <c r="G77" i="17"/>
  <c r="F77" i="17"/>
  <c r="H77" i="17"/>
  <c r="I77" i="17"/>
  <c r="J77" i="17"/>
  <c r="K77" i="17"/>
  <c r="L77" i="17"/>
  <c r="M77" i="17"/>
  <c r="N77" i="17"/>
  <c r="O81" i="17"/>
  <c r="O83" i="17"/>
  <c r="O43" i="17"/>
  <c r="O38" i="17"/>
  <c r="O37" i="17"/>
  <c r="O39" i="17"/>
  <c r="O41" i="17"/>
  <c r="O51" i="17"/>
  <c r="O45" i="17"/>
  <c r="O49" i="17"/>
  <c r="O47" i="17"/>
  <c r="O53" i="17"/>
  <c r="O55" i="17"/>
  <c r="O59" i="17"/>
  <c r="O57" i="17"/>
  <c r="O61" i="17"/>
  <c r="O63" i="17"/>
  <c r="O67" i="17"/>
  <c r="O65" i="17"/>
  <c r="O69" i="17"/>
  <c r="O71" i="17"/>
  <c r="O77" i="17"/>
  <c r="O73" i="17"/>
  <c r="O75" i="17"/>
  <c r="O79" i="17"/>
  <c r="E79" i="17"/>
  <c r="G79" i="17"/>
  <c r="F79" i="17"/>
  <c r="H79" i="17"/>
  <c r="I79" i="17"/>
  <c r="J79" i="17"/>
  <c r="K79" i="17"/>
  <c r="L79" i="17"/>
  <c r="M79" i="17"/>
  <c r="E78" i="17"/>
  <c r="F78" i="17"/>
  <c r="G78" i="17"/>
  <c r="H78" i="17"/>
  <c r="I78" i="17"/>
  <c r="J78" i="17"/>
  <c r="L78" i="17"/>
  <c r="K78" i="17"/>
  <c r="M78" i="17"/>
  <c r="L38" i="6"/>
  <c r="D31" i="9"/>
  <c r="C30" i="9"/>
  <c r="L39" i="6"/>
  <c r="L75" i="6" s="1"/>
  <c r="M9" i="9"/>
  <c r="M8" i="9"/>
  <c r="M10" i="9" s="1"/>
  <c r="C34" i="6" s="1"/>
  <c r="M38" i="6" l="1"/>
  <c r="D30" i="9"/>
  <c r="F139" i="6"/>
  <c r="F140" i="6" s="1"/>
  <c r="M39" i="6"/>
  <c r="M75" i="6" s="1"/>
  <c r="B129" i="8"/>
  <c r="B128" i="8"/>
  <c r="B127" i="8"/>
  <c r="B126" i="8"/>
  <c r="B125" i="8"/>
  <c r="B124" i="8"/>
  <c r="B123" i="8"/>
  <c r="B122" i="8"/>
  <c r="B121" i="8"/>
  <c r="B120" i="8"/>
  <c r="B119" i="8"/>
  <c r="B118" i="8"/>
  <c r="B117" i="8"/>
  <c r="B116" i="8"/>
  <c r="B115" i="8"/>
  <c r="B114" i="8"/>
  <c r="B113" i="8"/>
  <c r="B112" i="8"/>
  <c r="B111" i="8"/>
  <c r="B110" i="8"/>
  <c r="B109" i="8"/>
  <c r="B108" i="8"/>
  <c r="B107" i="8"/>
  <c r="B106" i="8"/>
  <c r="B105" i="8"/>
  <c r="B104" i="8"/>
  <c r="B103" i="8"/>
  <c r="B102" i="8"/>
  <c r="B101" i="8"/>
  <c r="B100" i="8"/>
  <c r="B99" i="8"/>
  <c r="B98" i="8"/>
  <c r="B97" i="8"/>
  <c r="B96" i="8"/>
  <c r="B95" i="8"/>
  <c r="B94" i="8"/>
  <c r="B93" i="8"/>
  <c r="B92" i="8"/>
  <c r="B91" i="8"/>
  <c r="B90" i="8"/>
  <c r="B89" i="8"/>
  <c r="B88" i="8"/>
  <c r="B87" i="8"/>
  <c r="B86" i="8"/>
  <c r="B85" i="8"/>
  <c r="B84" i="8"/>
  <c r="B83" i="8"/>
  <c r="B82" i="8"/>
  <c r="B81" i="8"/>
  <c r="B80" i="8"/>
  <c r="B79" i="8"/>
  <c r="B78" i="8"/>
  <c r="B77" i="8"/>
  <c r="B76" i="8"/>
  <c r="B75" i="8"/>
  <c r="B74" i="8"/>
  <c r="B73" i="8"/>
  <c r="B72" i="8"/>
  <c r="B71" i="8"/>
  <c r="B70" i="8"/>
  <c r="B69" i="8"/>
  <c r="B68" i="8"/>
  <c r="B67" i="8"/>
  <c r="B66" i="8"/>
  <c r="B65" i="8"/>
  <c r="B64" i="8"/>
  <c r="B63" i="8"/>
  <c r="B62" i="8"/>
  <c r="B61" i="8"/>
  <c r="B60" i="8"/>
  <c r="B59" i="8"/>
  <c r="B58" i="8"/>
  <c r="B57" i="8"/>
  <c r="B56" i="8"/>
  <c r="B55" i="8"/>
  <c r="B54" i="8"/>
  <c r="B53" i="8"/>
  <c r="B52" i="8"/>
  <c r="B51" i="8"/>
  <c r="B50" i="8"/>
  <c r="B49" i="8"/>
  <c r="B48" i="8"/>
  <c r="B47" i="8"/>
  <c r="B46" i="8"/>
  <c r="B45" i="8"/>
  <c r="B44" i="8"/>
  <c r="B43" i="8"/>
  <c r="B42" i="8"/>
  <c r="B41" i="8"/>
  <c r="B40" i="8"/>
  <c r="B39" i="8"/>
  <c r="B38" i="8"/>
  <c r="B37" i="8"/>
  <c r="B36" i="8"/>
  <c r="B35" i="8"/>
  <c r="B34" i="8"/>
  <c r="B33" i="8"/>
  <c r="B32" i="8"/>
  <c r="B31" i="8"/>
  <c r="B30" i="8"/>
  <c r="B29" i="8"/>
  <c r="B28" i="8"/>
  <c r="B27" i="8"/>
  <c r="B26" i="8"/>
  <c r="B25" i="8"/>
  <c r="B24" i="8"/>
  <c r="B23" i="8"/>
  <c r="B22" i="8"/>
  <c r="B21" i="8"/>
  <c r="B20" i="8"/>
  <c r="B19" i="8"/>
  <c r="B18" i="8"/>
  <c r="B17" i="8"/>
  <c r="B16" i="8"/>
  <c r="B15" i="8"/>
  <c r="B14" i="8"/>
  <c r="B13" i="8"/>
  <c r="B12" i="8"/>
  <c r="B11" i="8"/>
  <c r="B10" i="8"/>
  <c r="B9" i="8"/>
  <c r="I140" i="7"/>
  <c r="I139" i="7"/>
  <c r="I138" i="7"/>
  <c r="I137" i="7"/>
  <c r="I136" i="7"/>
  <c r="I135" i="7"/>
  <c r="I134" i="7"/>
  <c r="B140" i="7"/>
  <c r="B139" i="7"/>
  <c r="B138" i="7"/>
  <c r="B137" i="7"/>
  <c r="B136" i="7"/>
  <c r="B135" i="7"/>
  <c r="B134" i="7"/>
  <c r="I10" i="7"/>
  <c r="I11" i="7"/>
  <c r="I12" i="7"/>
  <c r="I13" i="7"/>
  <c r="I14" i="7"/>
  <c r="I15" i="7"/>
  <c r="I16" i="7"/>
  <c r="I17" i="7"/>
  <c r="I18" i="7"/>
  <c r="I19" i="7"/>
  <c r="I20" i="7"/>
  <c r="I21" i="7"/>
  <c r="I22" i="7"/>
  <c r="I23" i="7"/>
  <c r="I24" i="7"/>
  <c r="I25" i="7"/>
  <c r="I26" i="7"/>
  <c r="I27" i="7"/>
  <c r="I28" i="7"/>
  <c r="I29" i="7"/>
  <c r="I30" i="7"/>
  <c r="I31" i="7"/>
  <c r="I32" i="7"/>
  <c r="I33" i="7"/>
  <c r="I34" i="7"/>
  <c r="I35" i="7"/>
  <c r="I36" i="7"/>
  <c r="I37" i="7"/>
  <c r="I38" i="7"/>
  <c r="I39" i="7"/>
  <c r="I40" i="7"/>
  <c r="I41" i="7"/>
  <c r="I42" i="7"/>
  <c r="I43" i="7"/>
  <c r="I44" i="7"/>
  <c r="I45" i="7"/>
  <c r="I46" i="7"/>
  <c r="I47" i="7"/>
  <c r="I48" i="7"/>
  <c r="I49" i="7"/>
  <c r="I50" i="7"/>
  <c r="I51" i="7"/>
  <c r="I52" i="7"/>
  <c r="I53" i="7"/>
  <c r="I54" i="7"/>
  <c r="I55" i="7"/>
  <c r="I56" i="7"/>
  <c r="I57" i="7"/>
  <c r="I58" i="7"/>
  <c r="I59" i="7"/>
  <c r="I60" i="7"/>
  <c r="I61" i="7"/>
  <c r="I62" i="7"/>
  <c r="I63" i="7"/>
  <c r="I64" i="7"/>
  <c r="I65" i="7"/>
  <c r="I66" i="7"/>
  <c r="I67" i="7"/>
  <c r="I68" i="7"/>
  <c r="I69" i="7"/>
  <c r="I70" i="7"/>
  <c r="I71" i="7"/>
  <c r="I72" i="7"/>
  <c r="I73" i="7"/>
  <c r="I74" i="7"/>
  <c r="I75" i="7"/>
  <c r="I76" i="7"/>
  <c r="I77" i="7"/>
  <c r="I78" i="7"/>
  <c r="I79" i="7"/>
  <c r="I80" i="7"/>
  <c r="I81" i="7"/>
  <c r="I82" i="7"/>
  <c r="I83" i="7"/>
  <c r="I84" i="7"/>
  <c r="I85" i="7"/>
  <c r="I86" i="7"/>
  <c r="I87" i="7"/>
  <c r="I88" i="7"/>
  <c r="I89" i="7"/>
  <c r="I90" i="7"/>
  <c r="I91" i="7"/>
  <c r="I92" i="7"/>
  <c r="I93" i="7"/>
  <c r="I94" i="7"/>
  <c r="I95" i="7"/>
  <c r="I96" i="7"/>
  <c r="I97" i="7"/>
  <c r="I98" i="7"/>
  <c r="I99" i="7"/>
  <c r="I100" i="7"/>
  <c r="I101" i="7"/>
  <c r="I102" i="7"/>
  <c r="I103" i="7"/>
  <c r="I104" i="7"/>
  <c r="I105" i="7"/>
  <c r="I106" i="7"/>
  <c r="I107" i="7"/>
  <c r="I108" i="7"/>
  <c r="I109" i="7"/>
  <c r="I110" i="7"/>
  <c r="I111" i="7"/>
  <c r="I112" i="7"/>
  <c r="I113" i="7"/>
  <c r="I114" i="7"/>
  <c r="I115" i="7"/>
  <c r="I116" i="7"/>
  <c r="I117" i="7"/>
  <c r="I118" i="7"/>
  <c r="I119" i="7"/>
  <c r="I120" i="7"/>
  <c r="I121" i="7"/>
  <c r="I122" i="7"/>
  <c r="I123" i="7"/>
  <c r="I124" i="7"/>
  <c r="I125" i="7"/>
  <c r="I126" i="7"/>
  <c r="I127" i="7"/>
  <c r="I128" i="7"/>
  <c r="I129" i="7"/>
  <c r="I130" i="7"/>
  <c r="I131" i="7"/>
  <c r="I132" i="7"/>
  <c r="I133" i="7"/>
  <c r="I9" i="7"/>
  <c r="B10" i="7"/>
  <c r="B11" i="7"/>
  <c r="B12" i="7"/>
  <c r="B13" i="7"/>
  <c r="B14" i="7"/>
  <c r="B15" i="7"/>
  <c r="B16" i="7"/>
  <c r="B17" i="7"/>
  <c r="B18" i="7"/>
  <c r="B19" i="7"/>
  <c r="B20" i="7"/>
  <c r="B21" i="7"/>
  <c r="B22" i="7"/>
  <c r="B23" i="7"/>
  <c r="B24" i="7"/>
  <c r="B25" i="7"/>
  <c r="B26" i="7"/>
  <c r="B27" i="7"/>
  <c r="B28" i="7"/>
  <c r="B29" i="7"/>
  <c r="B30" i="7"/>
  <c r="B31" i="7"/>
  <c r="B32" i="7"/>
  <c r="B33" i="7"/>
  <c r="B34" i="7"/>
  <c r="B35" i="7"/>
  <c r="B36" i="7"/>
  <c r="B37" i="7"/>
  <c r="B38" i="7"/>
  <c r="B39" i="7"/>
  <c r="B40" i="7"/>
  <c r="B41" i="7"/>
  <c r="B42" i="7"/>
  <c r="B43" i="7"/>
  <c r="B44" i="7"/>
  <c r="B45" i="7"/>
  <c r="B46" i="7"/>
  <c r="B47" i="7"/>
  <c r="B48" i="7"/>
  <c r="B49" i="7"/>
  <c r="B50" i="7"/>
  <c r="B51" i="7"/>
  <c r="B52" i="7"/>
  <c r="B53" i="7"/>
  <c r="B54" i="7"/>
  <c r="B55" i="7"/>
  <c r="B56" i="7"/>
  <c r="B57" i="7"/>
  <c r="B58" i="7"/>
  <c r="B59" i="7"/>
  <c r="B60" i="7"/>
  <c r="B61" i="7"/>
  <c r="B62" i="7"/>
  <c r="B63" i="7"/>
  <c r="B64" i="7"/>
  <c r="B65" i="7"/>
  <c r="B66" i="7"/>
  <c r="B67" i="7"/>
  <c r="B68" i="7"/>
  <c r="B69" i="7"/>
  <c r="B70" i="7"/>
  <c r="B71" i="7"/>
  <c r="B72" i="7"/>
  <c r="B73" i="7"/>
  <c r="B74" i="7"/>
  <c r="B75" i="7"/>
  <c r="B76" i="7"/>
  <c r="B77" i="7"/>
  <c r="B78" i="7"/>
  <c r="B79" i="7"/>
  <c r="B80" i="7"/>
  <c r="B81" i="7"/>
  <c r="B82" i="7"/>
  <c r="B83" i="7"/>
  <c r="B84" i="7"/>
  <c r="B85" i="7"/>
  <c r="B86" i="7"/>
  <c r="B87" i="7"/>
  <c r="B88" i="7"/>
  <c r="B89" i="7"/>
  <c r="B90" i="7"/>
  <c r="B91" i="7"/>
  <c r="B92" i="7"/>
  <c r="B93" i="7"/>
  <c r="B94" i="7"/>
  <c r="B95" i="7"/>
  <c r="B96" i="7"/>
  <c r="B97" i="7"/>
  <c r="B98" i="7"/>
  <c r="B99" i="7"/>
  <c r="B100" i="7"/>
  <c r="B101" i="7"/>
  <c r="B102" i="7"/>
  <c r="B103" i="7"/>
  <c r="B104" i="7"/>
  <c r="B105" i="7"/>
  <c r="B106" i="7"/>
  <c r="B107" i="7"/>
  <c r="B108" i="7"/>
  <c r="B109" i="7"/>
  <c r="B110" i="7"/>
  <c r="B111" i="7"/>
  <c r="B112" i="7"/>
  <c r="B113" i="7"/>
  <c r="B114" i="7"/>
  <c r="B115" i="7"/>
  <c r="B116" i="7"/>
  <c r="B117" i="7"/>
  <c r="B118" i="7"/>
  <c r="B119" i="7"/>
  <c r="B120" i="7"/>
  <c r="B121" i="7"/>
  <c r="B122" i="7"/>
  <c r="B123" i="7"/>
  <c r="B124" i="7"/>
  <c r="B125" i="7"/>
  <c r="B126" i="7"/>
  <c r="B127" i="7"/>
  <c r="B128" i="7"/>
  <c r="B129" i="7"/>
  <c r="B130" i="7"/>
  <c r="B131" i="7"/>
  <c r="B132" i="7"/>
  <c r="B133" i="7"/>
  <c r="B9" i="7"/>
  <c r="E97" i="6" l="1"/>
  <c r="E102" i="6"/>
  <c r="F102" i="6"/>
  <c r="N38" i="6"/>
  <c r="F97" i="6"/>
  <c r="G139" i="6"/>
  <c r="G140" i="6" s="1"/>
  <c r="N39" i="6"/>
  <c r="N75" i="6" s="1"/>
  <c r="B131" i="8"/>
  <c r="B130" i="8"/>
  <c r="B132" i="8"/>
  <c r="O38" i="6" l="1"/>
  <c r="H139" i="6"/>
  <c r="H140" i="6" s="1"/>
  <c r="O39" i="6"/>
  <c r="O75" i="6" s="1"/>
  <c r="B133" i="8"/>
  <c r="J139" i="6" l="1"/>
  <c r="J140" i="6" s="1"/>
  <c r="I139" i="6"/>
  <c r="I140" i="6" s="1"/>
  <c r="B134" i="8"/>
  <c r="B135" i="8" l="1"/>
  <c r="B136" i="8" l="1"/>
  <c r="F141" i="6" l="1"/>
  <c r="B137" i="8"/>
  <c r="G141" i="6" l="1"/>
  <c r="B138" i="8"/>
  <c r="C55" i="1"/>
  <c r="C58" i="1" s="1"/>
  <c r="E92" i="6" s="1"/>
  <c r="D55" i="1" l="1"/>
  <c r="C57" i="1"/>
  <c r="I141" i="6"/>
  <c r="H141" i="6"/>
  <c r="B140" i="8"/>
  <c r="B139" i="8"/>
  <c r="E55" i="1" l="1"/>
  <c r="D57" i="1"/>
  <c r="D58" i="1" s="1"/>
  <c r="F92" i="6" s="1"/>
  <c r="M88" i="6"/>
  <c r="G88" i="6"/>
  <c r="L88" i="6"/>
  <c r="H88" i="6"/>
  <c r="O88" i="6"/>
  <c r="N88" i="6"/>
  <c r="J88" i="6"/>
  <c r="F88" i="6"/>
  <c r="I88" i="6"/>
  <c r="K88" i="6"/>
  <c r="E90" i="6"/>
  <c r="E49" i="4"/>
  <c r="F55" i="1" l="1"/>
  <c r="E57" i="1"/>
  <c r="E58" i="1" s="1"/>
  <c r="G92" i="6" s="1"/>
  <c r="F49" i="4"/>
  <c r="G49" i="4" s="1"/>
  <c r="H49" i="4" s="1"/>
  <c r="I49" i="4" s="1"/>
  <c r="J49" i="4" s="1"/>
  <c r="K49" i="4" s="1"/>
  <c r="L49" i="4" s="1"/>
  <c r="M49" i="4" s="1"/>
  <c r="N49" i="4" s="1"/>
  <c r="O49" i="4" s="1"/>
  <c r="E50" i="4"/>
  <c r="E48" i="4" s="1"/>
  <c r="F62" i="4"/>
  <c r="G62" i="4" s="1"/>
  <c r="F61" i="4"/>
  <c r="G61" i="4" s="1"/>
  <c r="F11" i="1"/>
  <c r="G11" i="1" s="1"/>
  <c r="H11" i="1" s="1"/>
  <c r="I11" i="1" s="1"/>
  <c r="J11" i="1" s="1"/>
  <c r="F59" i="4"/>
  <c r="G59" i="4" s="1"/>
  <c r="F58" i="4"/>
  <c r="G58" i="4" s="1"/>
  <c r="F57" i="4"/>
  <c r="G57" i="4" s="1"/>
  <c r="F56" i="4"/>
  <c r="G56" i="4" s="1"/>
  <c r="D65" i="4"/>
  <c r="J65" i="4" s="1"/>
  <c r="D64" i="4"/>
  <c r="J64" i="4" s="1"/>
  <c r="D63" i="4"/>
  <c r="J63" i="4" s="1"/>
  <c r="O13" i="4"/>
  <c r="N13" i="4"/>
  <c r="M13" i="4"/>
  <c r="L13" i="4"/>
  <c r="K13" i="4"/>
  <c r="J13" i="4"/>
  <c r="I13" i="4"/>
  <c r="H13" i="4"/>
  <c r="G13" i="4"/>
  <c r="F13" i="4"/>
  <c r="J66" i="4" l="1"/>
  <c r="F9" i="13" s="1"/>
  <c r="E25" i="18" s="1"/>
  <c r="G55" i="1"/>
  <c r="F57" i="1"/>
  <c r="F58" i="1" s="1"/>
  <c r="H92" i="6" s="1"/>
  <c r="E51" i="4"/>
  <c r="K11" i="1"/>
  <c r="L11" i="1" s="1"/>
  <c r="M11" i="1" s="1"/>
  <c r="N11" i="1" s="1"/>
  <c r="O11" i="1" s="1"/>
  <c r="F60" i="4"/>
  <c r="G60" i="4" s="1"/>
  <c r="O34" i="4"/>
  <c r="N34" i="4"/>
  <c r="M34" i="4"/>
  <c r="L34" i="4"/>
  <c r="K34" i="4"/>
  <c r="J34" i="4"/>
  <c r="I34" i="4"/>
  <c r="H34" i="4"/>
  <c r="G34" i="4"/>
  <c r="F34" i="4"/>
  <c r="E34" i="4"/>
  <c r="H55" i="1" l="1"/>
  <c r="G57" i="1"/>
  <c r="G58" i="1" s="1"/>
  <c r="I92" i="6" s="1"/>
  <c r="O15" i="18"/>
  <c r="O16" i="18" s="1"/>
  <c r="H15" i="18"/>
  <c r="H16" i="18" s="1"/>
  <c r="I15" i="18"/>
  <c r="I16" i="18" s="1"/>
  <c r="F15" i="18"/>
  <c r="F16" i="18" s="1"/>
  <c r="C25" i="18"/>
  <c r="G15" i="18"/>
  <c r="G16" i="18" s="1"/>
  <c r="N15" i="18"/>
  <c r="N16" i="18" s="1"/>
  <c r="D25" i="18"/>
  <c r="D20" i="23" s="1"/>
  <c r="C15" i="18"/>
  <c r="C16" i="18" s="1"/>
  <c r="K15" i="18"/>
  <c r="K16" i="18" s="1"/>
  <c r="D15" i="18"/>
  <c r="D16" i="18" s="1"/>
  <c r="L15" i="18"/>
  <c r="L16" i="18" s="1"/>
  <c r="J15" i="18"/>
  <c r="J16" i="18" s="1"/>
  <c r="E15" i="18"/>
  <c r="E37" i="18" s="1"/>
  <c r="E20" i="23" s="1"/>
  <c r="M15" i="18"/>
  <c r="M16" i="18" s="1"/>
  <c r="D22" i="18"/>
  <c r="I55" i="1" l="1"/>
  <c r="H57" i="1"/>
  <c r="H58" i="1" s="1"/>
  <c r="J92" i="6" s="1"/>
  <c r="E16" i="18"/>
  <c r="C22" i="18"/>
  <c r="C35" i="22" s="1"/>
  <c r="D34" i="18"/>
  <c r="D35" i="18" s="1"/>
  <c r="E36" i="18"/>
  <c r="E31" i="4"/>
  <c r="E37" i="4" s="1"/>
  <c r="E41" i="4" s="1"/>
  <c r="F9" i="4"/>
  <c r="F6" i="4"/>
  <c r="F5" i="4"/>
  <c r="G9" i="4" l="1"/>
  <c r="G5" i="4"/>
  <c r="C29" i="24"/>
  <c r="J55" i="1"/>
  <c r="I57" i="1"/>
  <c r="I58" i="1" s="1"/>
  <c r="K92" i="6" s="1"/>
  <c r="C41" i="22"/>
  <c r="D35" i="22"/>
  <c r="D29" i="24" s="1"/>
  <c r="E47" i="4"/>
  <c r="F47" i="4" s="1"/>
  <c r="G47" i="4" s="1"/>
  <c r="H47" i="4" s="1"/>
  <c r="I47" i="4" s="1"/>
  <c r="J47" i="4" s="1"/>
  <c r="K47" i="4" s="1"/>
  <c r="L47" i="4" s="1"/>
  <c r="M47" i="4" s="1"/>
  <c r="N47" i="4" s="1"/>
  <c r="O47" i="4" s="1"/>
  <c r="F41" i="4"/>
  <c r="G41" i="4" s="1"/>
  <c r="H41" i="4" s="1"/>
  <c r="I41" i="4" s="1"/>
  <c r="J41" i="4" s="1"/>
  <c r="K41" i="4" s="1"/>
  <c r="L41" i="4" s="1"/>
  <c r="M41" i="4" s="1"/>
  <c r="N41" i="4" s="1"/>
  <c r="O41" i="4" s="1"/>
  <c r="F37" i="18"/>
  <c r="E34" i="18" s="1"/>
  <c r="E35" i="18" s="1"/>
  <c r="G6" i="4"/>
  <c r="H5" i="4" l="1"/>
  <c r="H9" i="4"/>
  <c r="K55" i="1"/>
  <c r="J57" i="1"/>
  <c r="J58" i="1" s="1"/>
  <c r="L92" i="6" s="1"/>
  <c r="F36" i="18"/>
  <c r="H6" i="4"/>
  <c r="F3" i="4"/>
  <c r="F31" i="4" s="1"/>
  <c r="F37" i="4" s="1"/>
  <c r="I9" i="4" l="1"/>
  <c r="I5" i="4"/>
  <c r="L55" i="1"/>
  <c r="K57" i="1"/>
  <c r="K58" i="1" s="1"/>
  <c r="M92" i="6" s="1"/>
  <c r="G37" i="18"/>
  <c r="F34" i="18" s="1"/>
  <c r="F35" i="18" s="1"/>
  <c r="I6" i="4"/>
  <c r="G3" i="4"/>
  <c r="G31" i="4" s="1"/>
  <c r="G37" i="4" s="1"/>
  <c r="J5" i="4" l="1"/>
  <c r="J9" i="4"/>
  <c r="M55" i="1"/>
  <c r="M57" i="1" s="1"/>
  <c r="M58" i="1" s="1"/>
  <c r="O92" i="6" s="1"/>
  <c r="L57" i="1"/>
  <c r="L58" i="1" s="1"/>
  <c r="N92" i="6" s="1"/>
  <c r="G36" i="18"/>
  <c r="J6" i="4"/>
  <c r="H3" i="4"/>
  <c r="H31" i="4" s="1"/>
  <c r="H37" i="4" s="1"/>
  <c r="K9" i="4" l="1"/>
  <c r="L9" i="4" s="1"/>
  <c r="M9" i="4" s="1"/>
  <c r="N9" i="4" s="1"/>
  <c r="O9" i="4" s="1"/>
  <c r="K5" i="4"/>
  <c r="L5" i="4" s="1"/>
  <c r="M5" i="4" s="1"/>
  <c r="N5" i="4" s="1"/>
  <c r="O5" i="4" s="1"/>
  <c r="H37" i="18"/>
  <c r="G34" i="18" s="1"/>
  <c r="G35" i="18" s="1"/>
  <c r="K6" i="4"/>
  <c r="I3" i="4"/>
  <c r="I31" i="4" s="1"/>
  <c r="I37" i="4" s="1"/>
  <c r="H36" i="18" l="1"/>
  <c r="L6" i="4"/>
  <c r="J3" i="4"/>
  <c r="J31" i="4" s="1"/>
  <c r="J37" i="4" s="1"/>
  <c r="I37" i="18" l="1"/>
  <c r="H34" i="18" s="1"/>
  <c r="H35" i="18" s="1"/>
  <c r="M6" i="4"/>
  <c r="K3" i="4"/>
  <c r="K31" i="4" s="1"/>
  <c r="K37" i="4" s="1"/>
  <c r="I36" i="18" l="1"/>
  <c r="N6" i="4"/>
  <c r="L3" i="4"/>
  <c r="L31" i="4" s="1"/>
  <c r="L37" i="4" s="1"/>
  <c r="J37" i="18" l="1"/>
  <c r="I34" i="18" s="1"/>
  <c r="I35" i="18" s="1"/>
  <c r="O6" i="4"/>
  <c r="M3" i="4"/>
  <c r="M31" i="4" s="1"/>
  <c r="M37" i="4" s="1"/>
  <c r="J36" i="18" l="1"/>
  <c r="N3" i="4"/>
  <c r="N31" i="4" s="1"/>
  <c r="N37" i="4" s="1"/>
  <c r="K37" i="18" l="1"/>
  <c r="J34" i="18" s="1"/>
  <c r="J35" i="18" s="1"/>
  <c r="O3" i="4"/>
  <c r="K36" i="18" l="1"/>
  <c r="O31" i="4"/>
  <c r="O37" i="4" s="1"/>
  <c r="L37" i="18" l="1"/>
  <c r="K34" i="18" s="1"/>
  <c r="K35" i="18" s="1"/>
  <c r="D54" i="1"/>
  <c r="E54" i="1" s="1"/>
  <c r="F54" i="1" s="1"/>
  <c r="G54" i="1" s="1"/>
  <c r="H54" i="1" s="1"/>
  <c r="I54" i="1" s="1"/>
  <c r="J54" i="1" s="1"/>
  <c r="K54" i="1" s="1"/>
  <c r="L54" i="1" s="1"/>
  <c r="M54" i="1" s="1"/>
  <c r="L36" i="18" l="1"/>
  <c r="F60" i="1"/>
  <c r="F61" i="1" s="1"/>
  <c r="H94" i="6" s="1"/>
  <c r="M37" i="18" l="1"/>
  <c r="L34" i="18" s="1"/>
  <c r="L35" i="18" s="1"/>
  <c r="G60" i="1"/>
  <c r="G61" i="1" s="1"/>
  <c r="I94" i="6" s="1"/>
  <c r="E148" i="6"/>
  <c r="I42" i="1"/>
  <c r="J42" i="1" s="1"/>
  <c r="K42" i="1" s="1"/>
  <c r="F41" i="1"/>
  <c r="G41" i="1" s="1"/>
  <c r="H41" i="1" s="1"/>
  <c r="I41" i="1" s="1"/>
  <c r="D40" i="1"/>
  <c r="E40" i="1" s="1"/>
  <c r="F40" i="1" s="1"/>
  <c r="G40" i="1" s="1"/>
  <c r="H40" i="1" s="1"/>
  <c r="I40" i="1" s="1"/>
  <c r="J40" i="1" s="1"/>
  <c r="K40" i="1" s="1"/>
  <c r="L40" i="1" s="1"/>
  <c r="M36" i="18" l="1"/>
  <c r="M40" i="1"/>
  <c r="E19" i="1"/>
  <c r="E18" i="1"/>
  <c r="E169" i="6"/>
  <c r="E170" i="6"/>
  <c r="E29" i="6"/>
  <c r="E142" i="6" s="1"/>
  <c r="E87" i="6"/>
  <c r="E26" i="6"/>
  <c r="E138" i="6" s="1"/>
  <c r="F148" i="6"/>
  <c r="E21" i="1"/>
  <c r="E152" i="6" s="1"/>
  <c r="L42" i="1"/>
  <c r="F90" i="6"/>
  <c r="H60" i="1"/>
  <c r="H61" i="1" s="1"/>
  <c r="J94" i="6" s="1"/>
  <c r="J41" i="1"/>
  <c r="D35" i="6"/>
  <c r="C35" i="6"/>
  <c r="M42" i="1" l="1"/>
  <c r="E93" i="6"/>
  <c r="N37" i="18"/>
  <c r="M34" i="18" s="1"/>
  <c r="M35" i="18" s="1"/>
  <c r="F170" i="6"/>
  <c r="F169" i="6"/>
  <c r="F19" i="1"/>
  <c r="F18" i="1"/>
  <c r="F153" i="6"/>
  <c r="G148" i="6"/>
  <c r="F29" i="6"/>
  <c r="F142" i="6" s="1"/>
  <c r="F87" i="6"/>
  <c r="F152" i="6"/>
  <c r="G90" i="6"/>
  <c r="I60" i="1"/>
  <c r="I61" i="1" s="1"/>
  <c r="K94" i="6" s="1"/>
  <c r="N40" i="1"/>
  <c r="G87" i="6" s="1"/>
  <c r="K41" i="1"/>
  <c r="F17" i="6"/>
  <c r="F23" i="6" s="1"/>
  <c r="F24" i="6" s="1"/>
  <c r="N42" i="1" l="1"/>
  <c r="F93" i="6"/>
  <c r="N36" i="18"/>
  <c r="G169" i="6"/>
  <c r="G170" i="6"/>
  <c r="H148" i="6"/>
  <c r="G29" i="6"/>
  <c r="G142" i="6" s="1"/>
  <c r="G21" i="1"/>
  <c r="G152" i="6" s="1"/>
  <c r="L41" i="1"/>
  <c r="E83" i="6"/>
  <c r="H90" i="6"/>
  <c r="J60" i="1"/>
  <c r="J61" i="1" s="1"/>
  <c r="L94" i="6" s="1"/>
  <c r="G17" i="6"/>
  <c r="G23" i="6" s="1"/>
  <c r="G24" i="6" s="1"/>
  <c r="O40" i="1"/>
  <c r="H87" i="6" s="1"/>
  <c r="G93" i="6" l="1"/>
  <c r="O42" i="1"/>
  <c r="O37" i="18"/>
  <c r="N34" i="18" s="1"/>
  <c r="N35" i="18" s="1"/>
  <c r="H170" i="6"/>
  <c r="H169" i="6"/>
  <c r="E91" i="6"/>
  <c r="M41" i="1"/>
  <c r="F91" i="6" s="1"/>
  <c r="I148" i="6"/>
  <c r="H29" i="6"/>
  <c r="H142" i="6" s="1"/>
  <c r="H21" i="1"/>
  <c r="H152" i="6" s="1"/>
  <c r="H34" i="5" s="1"/>
  <c r="F83" i="6"/>
  <c r="G16" i="6"/>
  <c r="I90" i="6"/>
  <c r="K60" i="1"/>
  <c r="K61" i="1" s="1"/>
  <c r="M94" i="6" s="1"/>
  <c r="H17" i="6"/>
  <c r="H23" i="6" s="1"/>
  <c r="H24" i="6" s="1"/>
  <c r="P40" i="1"/>
  <c r="I87" i="6" s="1"/>
  <c r="G10" i="1"/>
  <c r="G17" i="17" s="1"/>
  <c r="I12" i="1"/>
  <c r="J12" i="1" s="1"/>
  <c r="K15" i="1"/>
  <c r="J10" i="1"/>
  <c r="I10" i="1"/>
  <c r="H10" i="1"/>
  <c r="H17" i="17" s="1"/>
  <c r="F10" i="1"/>
  <c r="E10" i="1"/>
  <c r="E17" i="17" s="1"/>
  <c r="K8" i="1"/>
  <c r="L8" i="1" s="1"/>
  <c r="M8" i="1" s="1"/>
  <c r="N8" i="1" s="1"/>
  <c r="O8" i="1" s="1"/>
  <c r="J7" i="1"/>
  <c r="K6" i="1"/>
  <c r="L47" i="13" s="1"/>
  <c r="E53" i="6"/>
  <c r="I158" i="6" l="1"/>
  <c r="I13" i="16" s="1"/>
  <c r="I17" i="17"/>
  <c r="J158" i="6"/>
  <c r="J13" i="16" s="1"/>
  <c r="J17" i="17"/>
  <c r="F17" i="17"/>
  <c r="F37" i="5"/>
  <c r="F33" i="5"/>
  <c r="H25" i="6"/>
  <c r="H158" i="6"/>
  <c r="H13" i="16" s="1"/>
  <c r="G158" i="6"/>
  <c r="G13" i="16" s="1"/>
  <c r="F158" i="6"/>
  <c r="F13" i="16" s="1"/>
  <c r="L46" i="13"/>
  <c r="K48" i="18" s="1"/>
  <c r="K46" i="18" s="1"/>
  <c r="K47" i="18" s="1"/>
  <c r="P42" i="1"/>
  <c r="H93" i="6"/>
  <c r="G102" i="6"/>
  <c r="G84" i="6"/>
  <c r="G83" i="6" s="1"/>
  <c r="K183" i="6"/>
  <c r="K26" i="16" s="1"/>
  <c r="K31" i="1"/>
  <c r="K26" i="1"/>
  <c r="J32" i="1"/>
  <c r="J27" i="1"/>
  <c r="G34" i="5"/>
  <c r="E37" i="5"/>
  <c r="I25" i="6"/>
  <c r="N41" i="1"/>
  <c r="O41" i="1" s="1"/>
  <c r="O36" i="18"/>
  <c r="G25" i="6"/>
  <c r="G137" i="6" s="1"/>
  <c r="G153" i="6"/>
  <c r="G37" i="5" s="1"/>
  <c r="E25" i="6"/>
  <c r="E30" i="6" s="1"/>
  <c r="F25" i="6"/>
  <c r="I169" i="6"/>
  <c r="I170" i="6"/>
  <c r="K178" i="6"/>
  <c r="K25" i="16" s="1"/>
  <c r="H165" i="6"/>
  <c r="E155" i="6"/>
  <c r="F155" i="6" s="1"/>
  <c r="G155" i="6" s="1"/>
  <c r="H155" i="6" s="1"/>
  <c r="I155" i="6" s="1"/>
  <c r="J155" i="6" s="1"/>
  <c r="E154" i="6"/>
  <c r="F154" i="6" s="1"/>
  <c r="G154" i="6" s="1"/>
  <c r="H154" i="6" s="1"/>
  <c r="I154" i="6" s="1"/>
  <c r="J154" i="6" s="1"/>
  <c r="E164" i="6"/>
  <c r="E159" i="6"/>
  <c r="E14" i="16" s="1"/>
  <c r="E160" i="6"/>
  <c r="E15" i="16" s="1"/>
  <c r="E165" i="6"/>
  <c r="J159" i="6"/>
  <c r="J14" i="16" s="1"/>
  <c r="J160" i="6"/>
  <c r="J15" i="16" s="1"/>
  <c r="I160" i="6"/>
  <c r="I15" i="16" s="1"/>
  <c r="I159" i="6"/>
  <c r="I14" i="16" s="1"/>
  <c r="G159" i="6"/>
  <c r="G14" i="16" s="1"/>
  <c r="G160" i="6"/>
  <c r="G15" i="16" s="1"/>
  <c r="G165" i="6"/>
  <c r="F160" i="6"/>
  <c r="F15" i="16" s="1"/>
  <c r="F159" i="6"/>
  <c r="F14" i="16" s="1"/>
  <c r="F165" i="6"/>
  <c r="H160" i="6"/>
  <c r="H15" i="16" s="1"/>
  <c r="H159" i="6"/>
  <c r="H14" i="16" s="1"/>
  <c r="I165" i="6"/>
  <c r="I29" i="6"/>
  <c r="I142" i="6" s="1"/>
  <c r="L15" i="1"/>
  <c r="G97" i="6"/>
  <c r="I21" i="1"/>
  <c r="I152" i="6" s="1"/>
  <c r="I34" i="5" s="1"/>
  <c r="J62" i="6"/>
  <c r="J70" i="6"/>
  <c r="J56" i="6"/>
  <c r="J69" i="6"/>
  <c r="J63" i="6"/>
  <c r="E20" i="1"/>
  <c r="E60" i="6" s="1"/>
  <c r="K7" i="1"/>
  <c r="L7" i="1" s="1"/>
  <c r="M7" i="1" s="1"/>
  <c r="N7" i="1" s="1"/>
  <c r="O7" i="1" s="1"/>
  <c r="H16" i="6"/>
  <c r="J90" i="6"/>
  <c r="L60" i="1"/>
  <c r="L61" i="1" s="1"/>
  <c r="N94" i="6" s="1"/>
  <c r="K12" i="1"/>
  <c r="L12" i="1" s="1"/>
  <c r="M12" i="1" s="1"/>
  <c r="N12" i="1" s="1"/>
  <c r="O12" i="1" s="1"/>
  <c r="F65" i="4"/>
  <c r="G65" i="4" s="1"/>
  <c r="F64" i="4"/>
  <c r="G64" i="4" s="1"/>
  <c r="F63" i="4"/>
  <c r="G63" i="4" s="1"/>
  <c r="I17" i="6"/>
  <c r="I23" i="6" s="1"/>
  <c r="I24" i="6" s="1"/>
  <c r="L6" i="1"/>
  <c r="M47" i="13" s="1"/>
  <c r="Q40" i="1"/>
  <c r="K9" i="1"/>
  <c r="L9" i="1" s="1"/>
  <c r="K27" i="6" l="1"/>
  <c r="K139" i="6" s="1"/>
  <c r="K140" i="6" s="1"/>
  <c r="M46" i="13"/>
  <c r="L48" i="18" s="1"/>
  <c r="L46" i="18" s="1"/>
  <c r="L47" i="18" s="1"/>
  <c r="J25" i="6"/>
  <c r="J87" i="6"/>
  <c r="I93" i="6"/>
  <c r="Q42" i="1"/>
  <c r="J93" i="6" s="1"/>
  <c r="H102" i="6"/>
  <c r="H84" i="6"/>
  <c r="H83" i="6" s="1"/>
  <c r="G91" i="6"/>
  <c r="J148" i="6"/>
  <c r="J28" i="6"/>
  <c r="J141" i="6" s="1"/>
  <c r="K32" i="1"/>
  <c r="L32" i="1" s="1"/>
  <c r="M32" i="1" s="1"/>
  <c r="N32" i="1" s="1"/>
  <c r="O32" i="1" s="1"/>
  <c r="L26" i="1"/>
  <c r="L31" i="1"/>
  <c r="K27" i="1"/>
  <c r="I23" i="26"/>
  <c r="F23" i="26"/>
  <c r="H23" i="26"/>
  <c r="G23" i="26"/>
  <c r="K174" i="6"/>
  <c r="K21" i="16" s="1"/>
  <c r="K184" i="6"/>
  <c r="K27" i="16" s="1"/>
  <c r="L183" i="6"/>
  <c r="L26" i="16" s="1"/>
  <c r="F18" i="23"/>
  <c r="E22" i="17"/>
  <c r="E42" i="17" s="1"/>
  <c r="E84" i="17" s="1"/>
  <c r="E10" i="21" s="1"/>
  <c r="E18" i="23"/>
  <c r="H22" i="17"/>
  <c r="H95" i="19" s="1"/>
  <c r="H18" i="23"/>
  <c r="G22" i="17"/>
  <c r="G95" i="19" s="1"/>
  <c r="G18" i="23"/>
  <c r="I22" i="17"/>
  <c r="I18" i="23"/>
  <c r="O35" i="18"/>
  <c r="H153" i="6"/>
  <c r="H37" i="5" s="1"/>
  <c r="J170" i="6"/>
  <c r="J169" i="6"/>
  <c r="J165" i="6"/>
  <c r="L178" i="6"/>
  <c r="L25" i="16" s="1"/>
  <c r="K177" i="6"/>
  <c r="K24" i="16" s="1"/>
  <c r="K179" i="6"/>
  <c r="K28" i="16" s="1"/>
  <c r="K176" i="6"/>
  <c r="K23" i="16" s="1"/>
  <c r="K175" i="6"/>
  <c r="K22" i="16" s="1"/>
  <c r="E67" i="6"/>
  <c r="E166" i="6"/>
  <c r="K147" i="6"/>
  <c r="K27" i="5" s="1"/>
  <c r="F164" i="6"/>
  <c r="J29" i="6"/>
  <c r="J142" i="6" s="1"/>
  <c r="E31" i="6"/>
  <c r="F137" i="6"/>
  <c r="E137" i="6"/>
  <c r="H97" i="6"/>
  <c r="M15" i="1"/>
  <c r="K22" i="1"/>
  <c r="K151" i="6" s="1"/>
  <c r="K35" i="5" s="1"/>
  <c r="J21" i="1"/>
  <c r="J152" i="6" s="1"/>
  <c r="J34" i="5" s="1"/>
  <c r="E44" i="6"/>
  <c r="E46" i="6" s="1"/>
  <c r="K69" i="6"/>
  <c r="L69" i="6" s="1"/>
  <c r="M69" i="6" s="1"/>
  <c r="N69" i="6" s="1"/>
  <c r="O69" i="6" s="1"/>
  <c r="K70" i="6"/>
  <c r="L70" i="6" s="1"/>
  <c r="M70" i="6" s="1"/>
  <c r="N70" i="6" s="1"/>
  <c r="O70" i="6" s="1"/>
  <c r="F20" i="1"/>
  <c r="F60" i="6" s="1"/>
  <c r="F53" i="6"/>
  <c r="K56" i="6"/>
  <c r="L56" i="6" s="1"/>
  <c r="M56" i="6" s="1"/>
  <c r="N56" i="6" s="1"/>
  <c r="O56" i="6" s="1"/>
  <c r="K63" i="6"/>
  <c r="L63" i="6" s="1"/>
  <c r="M63" i="6" s="1"/>
  <c r="N63" i="6" s="1"/>
  <c r="O63" i="6" s="1"/>
  <c r="K62" i="6"/>
  <c r="L62" i="6" s="1"/>
  <c r="M62" i="6" s="1"/>
  <c r="N62" i="6" s="1"/>
  <c r="O62" i="6" s="1"/>
  <c r="F26" i="6"/>
  <c r="F30" i="6" s="1"/>
  <c r="M6" i="1"/>
  <c r="N47" i="13" s="1"/>
  <c r="G4" i="1"/>
  <c r="G66" i="4"/>
  <c r="I16" i="6"/>
  <c r="H91" i="6"/>
  <c r="H137" i="6"/>
  <c r="K90" i="6"/>
  <c r="M60" i="1"/>
  <c r="M61" i="1" s="1"/>
  <c r="O94" i="6" s="1"/>
  <c r="J17" i="6"/>
  <c r="J23" i="6" s="1"/>
  <c r="J24" i="6" s="1"/>
  <c r="K10" i="1"/>
  <c r="P41" i="1"/>
  <c r="M9" i="1"/>
  <c r="L10" i="1"/>
  <c r="L17" i="17" s="1"/>
  <c r="K158" i="6" l="1"/>
  <c r="K13" i="16" s="1"/>
  <c r="K17" i="17"/>
  <c r="E115" i="6"/>
  <c r="N46" i="13"/>
  <c r="M48" i="18" s="1"/>
  <c r="M46" i="18" s="1"/>
  <c r="M47" i="18" s="1"/>
  <c r="L27" i="6"/>
  <c r="L158" i="6"/>
  <c r="L13" i="16" s="1"/>
  <c r="R42" i="1"/>
  <c r="K93" i="6" s="1"/>
  <c r="I102" i="6"/>
  <c r="I84" i="6"/>
  <c r="I83" i="6" s="1"/>
  <c r="L27" i="1"/>
  <c r="K28" i="6"/>
  <c r="K141" i="6" s="1"/>
  <c r="K148" i="6"/>
  <c r="M31" i="1"/>
  <c r="M26" i="1"/>
  <c r="J23" i="26"/>
  <c r="E15" i="26"/>
  <c r="E21" i="26" s="1"/>
  <c r="H54" i="17"/>
  <c r="O54" i="17"/>
  <c r="M54" i="17"/>
  <c r="L54" i="17"/>
  <c r="M183" i="6"/>
  <c r="M26" i="16" s="1"/>
  <c r="L174" i="6"/>
  <c r="L21" i="16" s="1"/>
  <c r="L184" i="6"/>
  <c r="L27" i="16" s="1"/>
  <c r="H97" i="20"/>
  <c r="N126" i="20" s="1"/>
  <c r="H24" i="17"/>
  <c r="M50" i="17"/>
  <c r="N54" i="17"/>
  <c r="J54" i="17"/>
  <c r="I50" i="17"/>
  <c r="K54" i="17"/>
  <c r="I54" i="17"/>
  <c r="O50" i="17"/>
  <c r="L50" i="17"/>
  <c r="G24" i="17"/>
  <c r="H42" i="17"/>
  <c r="E97" i="20"/>
  <c r="I114" i="20" s="1"/>
  <c r="N50" i="17"/>
  <c r="J50" i="17"/>
  <c r="H50" i="17"/>
  <c r="E24" i="17"/>
  <c r="E26" i="17" s="1"/>
  <c r="E90" i="17" s="1"/>
  <c r="G97" i="20"/>
  <c r="L122" i="20" s="1"/>
  <c r="K50" i="17"/>
  <c r="G50" i="17"/>
  <c r="K42" i="17"/>
  <c r="N42" i="17"/>
  <c r="J42" i="17"/>
  <c r="G42" i="17"/>
  <c r="M42" i="17"/>
  <c r="I42" i="17"/>
  <c r="F42" i="17"/>
  <c r="E95" i="19"/>
  <c r="L112" i="19" s="1"/>
  <c r="J22" i="17"/>
  <c r="J24" i="17" s="1"/>
  <c r="J18" i="23"/>
  <c r="O42" i="17"/>
  <c r="L42" i="17"/>
  <c r="K58" i="17"/>
  <c r="O58" i="17"/>
  <c r="J58" i="17"/>
  <c r="L58" i="17"/>
  <c r="I97" i="20"/>
  <c r="I24" i="17"/>
  <c r="M58" i="17"/>
  <c r="I95" i="19"/>
  <c r="I58" i="17"/>
  <c r="N58" i="17"/>
  <c r="O120" i="19"/>
  <c r="K120" i="19"/>
  <c r="G120" i="19"/>
  <c r="H120" i="19"/>
  <c r="N120" i="19"/>
  <c r="J120" i="19"/>
  <c r="L120" i="19"/>
  <c r="M120" i="19"/>
  <c r="I120" i="19"/>
  <c r="G97" i="19"/>
  <c r="E86" i="17"/>
  <c r="E88" i="17" s="1"/>
  <c r="E21" i="22" s="1"/>
  <c r="E35" i="20"/>
  <c r="E34" i="19"/>
  <c r="N124" i="19"/>
  <c r="J124" i="19"/>
  <c r="M124" i="19"/>
  <c r="I124" i="19"/>
  <c r="K124" i="19"/>
  <c r="L124" i="19"/>
  <c r="H124" i="19"/>
  <c r="O124" i="19"/>
  <c r="H97" i="19"/>
  <c r="K169" i="6"/>
  <c r="K170" i="6"/>
  <c r="I153" i="6"/>
  <c r="I37" i="5" s="1"/>
  <c r="G19" i="1"/>
  <c r="G53" i="6" s="1"/>
  <c r="G18" i="1"/>
  <c r="G67" i="6" s="1"/>
  <c r="K29" i="16"/>
  <c r="F166" i="6"/>
  <c r="M178" i="6"/>
  <c r="M25" i="16" s="1"/>
  <c r="L179" i="6"/>
  <c r="L28" i="16" s="1"/>
  <c r="L177" i="6"/>
  <c r="L24" i="16" s="1"/>
  <c r="L176" i="6"/>
  <c r="L23" i="16" s="1"/>
  <c r="L175" i="6"/>
  <c r="L22" i="16" s="1"/>
  <c r="F67" i="6"/>
  <c r="K159" i="6"/>
  <c r="K14" i="16" s="1"/>
  <c r="K180" i="6"/>
  <c r="K155" i="6"/>
  <c r="L155" i="6" s="1"/>
  <c r="K160" i="6"/>
  <c r="K15" i="16" s="1"/>
  <c r="L147" i="6"/>
  <c r="L27" i="5" s="1"/>
  <c r="L159" i="6"/>
  <c r="L14" i="16" s="1"/>
  <c r="L160" i="6"/>
  <c r="L15" i="16" s="1"/>
  <c r="K165" i="6"/>
  <c r="K154" i="6"/>
  <c r="L154" i="6" s="1"/>
  <c r="G164" i="6"/>
  <c r="K29" i="6"/>
  <c r="K142" i="6" s="1"/>
  <c r="N6" i="1"/>
  <c r="O47" i="13" s="1"/>
  <c r="E143" i="6"/>
  <c r="E144" i="6"/>
  <c r="M14" i="4"/>
  <c r="F10" i="13"/>
  <c r="D13" i="14" s="1"/>
  <c r="F31" i="6"/>
  <c r="N15" i="1"/>
  <c r="I97" i="6"/>
  <c r="K21" i="1"/>
  <c r="K152" i="6" s="1"/>
  <c r="K34" i="5" s="1"/>
  <c r="L22" i="1"/>
  <c r="L151" i="6" s="1"/>
  <c r="L35" i="5" s="1"/>
  <c r="L139" i="6"/>
  <c r="L140" i="6" s="1"/>
  <c r="E35" i="6"/>
  <c r="F138" i="6"/>
  <c r="F143" i="6" s="1"/>
  <c r="H14" i="4"/>
  <c r="F44" i="6"/>
  <c r="G26" i="6"/>
  <c r="G30" i="6" s="1"/>
  <c r="H4" i="1"/>
  <c r="N14" i="4"/>
  <c r="I14" i="4"/>
  <c r="F14" i="4"/>
  <c r="E14" i="4"/>
  <c r="J14" i="4"/>
  <c r="K14" i="4"/>
  <c r="O14" i="4"/>
  <c r="L14" i="4"/>
  <c r="G14" i="4"/>
  <c r="J16" i="6"/>
  <c r="I91" i="6"/>
  <c r="I137" i="6"/>
  <c r="L90" i="6"/>
  <c r="K17" i="6"/>
  <c r="K23" i="6" s="1"/>
  <c r="K24" i="6" s="1"/>
  <c r="R40" i="1"/>
  <c r="Q41" i="1"/>
  <c r="N9" i="1"/>
  <c r="N10" i="1" s="1"/>
  <c r="N17" i="17" s="1"/>
  <c r="M10" i="1"/>
  <c r="M17" i="17" s="1"/>
  <c r="F115" i="6" l="1"/>
  <c r="O46" i="13"/>
  <c r="N48" i="18" s="1"/>
  <c r="N46" i="18" s="1"/>
  <c r="N47" i="18" s="1"/>
  <c r="M27" i="6"/>
  <c r="M139" i="6" s="1"/>
  <c r="M140" i="6" s="1"/>
  <c r="M158" i="6"/>
  <c r="M13" i="16" s="1"/>
  <c r="K12" i="21"/>
  <c r="K14" i="20" s="1"/>
  <c r="K25" i="6"/>
  <c r="K87" i="6"/>
  <c r="J102" i="6"/>
  <c r="J84" i="6"/>
  <c r="J83" i="6" s="1"/>
  <c r="M27" i="1"/>
  <c r="L28" i="6"/>
  <c r="N26" i="1"/>
  <c r="N31" i="1"/>
  <c r="N122" i="20"/>
  <c r="J62" i="17"/>
  <c r="I122" i="20"/>
  <c r="L148" i="6"/>
  <c r="K23" i="26"/>
  <c r="H99" i="20"/>
  <c r="J126" i="20"/>
  <c r="E99" i="20"/>
  <c r="E158" i="20" s="1"/>
  <c r="O126" i="20"/>
  <c r="J114" i="20"/>
  <c r="J97" i="20"/>
  <c r="K134" i="20" s="1"/>
  <c r="N114" i="20"/>
  <c r="O122" i="20"/>
  <c r="K122" i="20"/>
  <c r="N62" i="17"/>
  <c r="H122" i="20"/>
  <c r="O112" i="19"/>
  <c r="N112" i="19"/>
  <c r="I112" i="19"/>
  <c r="L62" i="17"/>
  <c r="G99" i="20"/>
  <c r="J122" i="20"/>
  <c r="M122" i="20"/>
  <c r="G122" i="20"/>
  <c r="M174" i="6"/>
  <c r="M21" i="16" s="1"/>
  <c r="M184" i="6"/>
  <c r="M27" i="16" s="1"/>
  <c r="H126" i="20"/>
  <c r="I126" i="20"/>
  <c r="G114" i="20"/>
  <c r="O114" i="20"/>
  <c r="K114" i="20"/>
  <c r="F112" i="19"/>
  <c r="E112" i="19"/>
  <c r="E154" i="19" s="1"/>
  <c r="E11" i="19" s="1"/>
  <c r="M112" i="19"/>
  <c r="L126" i="20"/>
  <c r="K126" i="20"/>
  <c r="H114" i="20"/>
  <c r="M114" i="20"/>
  <c r="F114" i="20"/>
  <c r="E97" i="19"/>
  <c r="G112" i="19"/>
  <c r="H112" i="19"/>
  <c r="M126" i="20"/>
  <c r="L114" i="20"/>
  <c r="E114" i="20"/>
  <c r="E156" i="20" s="1"/>
  <c r="E11" i="20" s="1"/>
  <c r="J112" i="19"/>
  <c r="K112" i="19"/>
  <c r="N183" i="6"/>
  <c r="N26" i="16" s="1"/>
  <c r="O62" i="17"/>
  <c r="K62" i="17"/>
  <c r="J95" i="19"/>
  <c r="K132" i="19" s="1"/>
  <c r="M62" i="17"/>
  <c r="E38" i="18"/>
  <c r="E39" i="18" s="1"/>
  <c r="F38" i="18"/>
  <c r="G38" i="18"/>
  <c r="H38" i="18"/>
  <c r="I38" i="18"/>
  <c r="J38" i="18"/>
  <c r="K38" i="18"/>
  <c r="L38" i="18"/>
  <c r="M38" i="18"/>
  <c r="N38" i="18"/>
  <c r="O38" i="18"/>
  <c r="K22" i="17"/>
  <c r="K66" i="17" s="1"/>
  <c r="K18" i="23"/>
  <c r="M130" i="20"/>
  <c r="K130" i="20"/>
  <c r="O130" i="20"/>
  <c r="I130" i="20"/>
  <c r="L130" i="20"/>
  <c r="J130" i="20"/>
  <c r="N130" i="20"/>
  <c r="I99" i="20"/>
  <c r="L22" i="17"/>
  <c r="L95" i="19" s="1"/>
  <c r="O128" i="19"/>
  <c r="M128" i="19"/>
  <c r="K128" i="19"/>
  <c r="I97" i="19"/>
  <c r="L128" i="19"/>
  <c r="N128" i="19"/>
  <c r="I128" i="19"/>
  <c r="J128" i="19"/>
  <c r="G20" i="1"/>
  <c r="G60" i="6" s="1"/>
  <c r="J153" i="6"/>
  <c r="J37" i="5" s="1"/>
  <c r="L170" i="6"/>
  <c r="L169" i="6"/>
  <c r="H20" i="1"/>
  <c r="H60" i="6" s="1"/>
  <c r="H18" i="1"/>
  <c r="H67" i="6" s="1"/>
  <c r="H19" i="1"/>
  <c r="H53" i="6" s="1"/>
  <c r="L17" i="18"/>
  <c r="H17" i="18"/>
  <c r="D17" i="18"/>
  <c r="M17" i="18"/>
  <c r="I17" i="18"/>
  <c r="E17" i="18"/>
  <c r="O17" i="18"/>
  <c r="K17" i="18"/>
  <c r="G17" i="18"/>
  <c r="C17" i="18"/>
  <c r="N17" i="18"/>
  <c r="J17" i="18"/>
  <c r="F17" i="18"/>
  <c r="G166" i="6"/>
  <c r="N178" i="6"/>
  <c r="N25" i="16" s="1"/>
  <c r="M177" i="6"/>
  <c r="M24" i="16" s="1"/>
  <c r="M179" i="6"/>
  <c r="M28" i="16" s="1"/>
  <c r="M176" i="6"/>
  <c r="M23" i="16" s="1"/>
  <c r="M175" i="6"/>
  <c r="M22" i="16" s="1"/>
  <c r="L180" i="6"/>
  <c r="L165" i="6"/>
  <c r="M147" i="6"/>
  <c r="M27" i="5" s="1"/>
  <c r="M159" i="6"/>
  <c r="M14" i="16" s="1"/>
  <c r="M160" i="6"/>
  <c r="M15" i="16" s="1"/>
  <c r="H164" i="6"/>
  <c r="M154" i="6"/>
  <c r="N154" i="6" s="1"/>
  <c r="M155" i="6"/>
  <c r="N155" i="6" s="1"/>
  <c r="F144" i="6"/>
  <c r="E54" i="6"/>
  <c r="E61" i="6"/>
  <c r="E64" i="6" s="1"/>
  <c r="E68" i="6"/>
  <c r="E71" i="6" s="1"/>
  <c r="L29" i="6"/>
  <c r="L142" i="6" s="1"/>
  <c r="O6" i="1"/>
  <c r="P47" i="13" s="1"/>
  <c r="G31" i="6"/>
  <c r="J97" i="6"/>
  <c r="O15" i="1"/>
  <c r="L141" i="6"/>
  <c r="F35" i="6"/>
  <c r="M22" i="1"/>
  <c r="M151" i="6" s="1"/>
  <c r="M35" i="5" s="1"/>
  <c r="L21" i="1"/>
  <c r="L152" i="6" s="1"/>
  <c r="L34" i="5" s="1"/>
  <c r="G138" i="6"/>
  <c r="F46" i="6"/>
  <c r="F12" i="5" s="1"/>
  <c r="G44" i="6"/>
  <c r="H26" i="6"/>
  <c r="H30" i="6" s="1"/>
  <c r="I4" i="1"/>
  <c r="K16" i="6"/>
  <c r="J91" i="6"/>
  <c r="J137" i="6"/>
  <c r="M90" i="6"/>
  <c r="L17" i="6"/>
  <c r="L23" i="6" s="1"/>
  <c r="L24" i="6" s="1"/>
  <c r="S40" i="1"/>
  <c r="S42" i="1"/>
  <c r="L93" i="6" s="1"/>
  <c r="R41" i="1"/>
  <c r="O9" i="1"/>
  <c r="O10" i="1" s="1"/>
  <c r="O17" i="17" s="1"/>
  <c r="K10" i="26" l="1"/>
  <c r="M134" i="20"/>
  <c r="K14" i="19"/>
  <c r="G115" i="6"/>
  <c r="L23" i="26"/>
  <c r="P46" i="13"/>
  <c r="O48" i="18" s="1"/>
  <c r="O46" i="18" s="1"/>
  <c r="O47" i="18" s="1"/>
  <c r="N27" i="6"/>
  <c r="N158" i="6"/>
  <c r="N13" i="16" s="1"/>
  <c r="L25" i="6"/>
  <c r="L87" i="6"/>
  <c r="K102" i="6"/>
  <c r="K84" i="6"/>
  <c r="K83" i="6" s="1"/>
  <c r="N27" i="1"/>
  <c r="M28" i="6"/>
  <c r="M141" i="6" s="1"/>
  <c r="L134" i="20"/>
  <c r="O134" i="20"/>
  <c r="O31" i="1"/>
  <c r="O26" i="1"/>
  <c r="L18" i="23"/>
  <c r="J99" i="20"/>
  <c r="N134" i="20"/>
  <c r="J134" i="20"/>
  <c r="J97" i="19"/>
  <c r="J132" i="19"/>
  <c r="M148" i="6"/>
  <c r="N70" i="17"/>
  <c r="L132" i="19"/>
  <c r="O132" i="19"/>
  <c r="E155" i="19"/>
  <c r="E157" i="20"/>
  <c r="E159" i="20" s="1"/>
  <c r="E34" i="20"/>
  <c r="E37" i="20" s="1"/>
  <c r="E38" i="20" s="1"/>
  <c r="E39" i="20" s="1"/>
  <c r="E33" i="19"/>
  <c r="E36" i="19" s="1"/>
  <c r="E37" i="19" s="1"/>
  <c r="E38" i="19" s="1"/>
  <c r="N174" i="6"/>
  <c r="N21" i="16" s="1"/>
  <c r="N184" i="6"/>
  <c r="N27" i="16" s="1"/>
  <c r="O183" i="6"/>
  <c r="O26" i="16" s="1"/>
  <c r="N66" i="17"/>
  <c r="L70" i="17"/>
  <c r="O70" i="17"/>
  <c r="N132" i="19"/>
  <c r="M70" i="17"/>
  <c r="M132" i="19"/>
  <c r="L97" i="20"/>
  <c r="L142" i="20" s="1"/>
  <c r="L24" i="17"/>
  <c r="L66" i="17"/>
  <c r="M66" i="17"/>
  <c r="K95" i="19"/>
  <c r="O136" i="19" s="1"/>
  <c r="K24" i="17"/>
  <c r="K97" i="20"/>
  <c r="M138" i="20" s="1"/>
  <c r="O66" i="17"/>
  <c r="M140" i="19"/>
  <c r="L140" i="19"/>
  <c r="O140" i="19"/>
  <c r="N140" i="19"/>
  <c r="L97" i="19"/>
  <c r="I20" i="1"/>
  <c r="I60" i="6" s="1"/>
  <c r="I19" i="1"/>
  <c r="I53" i="6" s="1"/>
  <c r="I18" i="1"/>
  <c r="I67" i="6" s="1"/>
  <c r="K153" i="6"/>
  <c r="K37" i="5" s="1"/>
  <c r="M169" i="6"/>
  <c r="M170" i="6"/>
  <c r="L29" i="16"/>
  <c r="H166" i="6"/>
  <c r="O178" i="6"/>
  <c r="O25" i="16" s="1"/>
  <c r="N179" i="6"/>
  <c r="N28" i="16" s="1"/>
  <c r="N177" i="6"/>
  <c r="N24" i="16" s="1"/>
  <c r="N176" i="6"/>
  <c r="N23" i="16" s="1"/>
  <c r="N175" i="6"/>
  <c r="N22" i="16" s="1"/>
  <c r="M180" i="6"/>
  <c r="M165" i="6"/>
  <c r="N147" i="6"/>
  <c r="N27" i="5" s="1"/>
  <c r="N159" i="6"/>
  <c r="N14" i="16" s="1"/>
  <c r="N160" i="6"/>
  <c r="N15" i="16" s="1"/>
  <c r="O155" i="6"/>
  <c r="O154" i="6"/>
  <c r="I164" i="6"/>
  <c r="G143" i="6"/>
  <c r="G144" i="6"/>
  <c r="M29" i="6"/>
  <c r="M142" i="6" s="1"/>
  <c r="F61" i="6"/>
  <c r="F64" i="6" s="1"/>
  <c r="F68" i="6"/>
  <c r="F71" i="6" s="1"/>
  <c r="F54" i="6"/>
  <c r="H31" i="6"/>
  <c r="K97" i="6"/>
  <c r="N139" i="6"/>
  <c r="N140" i="6" s="1"/>
  <c r="N22" i="1"/>
  <c r="N151" i="6" s="1"/>
  <c r="N35" i="5" s="1"/>
  <c r="M21" i="1"/>
  <c r="M152" i="6" s="1"/>
  <c r="M34" i="5" s="1"/>
  <c r="H138" i="6"/>
  <c r="G35" i="6"/>
  <c r="J4" i="1"/>
  <c r="G46" i="6"/>
  <c r="H44" i="6"/>
  <c r="I26" i="6"/>
  <c r="I30" i="6" s="1"/>
  <c r="L16" i="6"/>
  <c r="K91" i="6"/>
  <c r="K137" i="6"/>
  <c r="O90" i="6"/>
  <c r="N90" i="6"/>
  <c r="T42" i="1"/>
  <c r="M93" i="6" s="1"/>
  <c r="M17" i="6"/>
  <c r="M23" i="6" s="1"/>
  <c r="M24" i="6" s="1"/>
  <c r="S41" i="1"/>
  <c r="T40" i="1"/>
  <c r="H115" i="6" l="1"/>
  <c r="O27" i="6"/>
  <c r="O139" i="6" s="1"/>
  <c r="O140" i="6" s="1"/>
  <c r="O158" i="6"/>
  <c r="O13" i="16" s="1"/>
  <c r="M23" i="26"/>
  <c r="L12" i="21"/>
  <c r="L14" i="19" s="1"/>
  <c r="M25" i="6"/>
  <c r="M87" i="6"/>
  <c r="L102" i="6"/>
  <c r="L84" i="6"/>
  <c r="L83" i="6" s="1"/>
  <c r="O27" i="1"/>
  <c r="O28" i="6" s="1"/>
  <c r="N28" i="6"/>
  <c r="N141" i="6" s="1"/>
  <c r="M22" i="17"/>
  <c r="M97" i="20" s="1"/>
  <c r="M146" i="20" s="1"/>
  <c r="M18" i="23"/>
  <c r="N148" i="6"/>
  <c r="E28" i="20"/>
  <c r="N142" i="20"/>
  <c r="O142" i="20"/>
  <c r="L136" i="19"/>
  <c r="E33" i="21"/>
  <c r="E57" i="22" s="1"/>
  <c r="M136" i="19"/>
  <c r="O174" i="6"/>
  <c r="O21" i="16" s="1"/>
  <c r="O184" i="6"/>
  <c r="O27" i="16" s="1"/>
  <c r="N138" i="20"/>
  <c r="L138" i="20"/>
  <c r="O138" i="20"/>
  <c r="K99" i="20"/>
  <c r="K138" i="20"/>
  <c r="L99" i="20"/>
  <c r="M142" i="20"/>
  <c r="N136" i="19"/>
  <c r="K136" i="19"/>
  <c r="E27" i="19"/>
  <c r="K97" i="19"/>
  <c r="E46" i="22"/>
  <c r="N170" i="6"/>
  <c r="N169" i="6"/>
  <c r="L153" i="6"/>
  <c r="L37" i="5" s="1"/>
  <c r="J19" i="1"/>
  <c r="J53" i="6" s="1"/>
  <c r="J18" i="1"/>
  <c r="J67" i="6" s="1"/>
  <c r="J20" i="1"/>
  <c r="J60" i="6" s="1"/>
  <c r="M29" i="16"/>
  <c r="I166" i="6"/>
  <c r="N180" i="6"/>
  <c r="O177" i="6"/>
  <c r="O24" i="16" s="1"/>
  <c r="O179" i="6"/>
  <c r="O28" i="16" s="1"/>
  <c r="O176" i="6"/>
  <c r="O23" i="16" s="1"/>
  <c r="O175" i="6"/>
  <c r="O22" i="16" s="1"/>
  <c r="O159" i="6"/>
  <c r="O14" i="16" s="1"/>
  <c r="O160" i="6"/>
  <c r="O15" i="16" s="1"/>
  <c r="N165" i="6"/>
  <c r="J164" i="6"/>
  <c r="O22" i="1"/>
  <c r="O151" i="6" s="1"/>
  <c r="O35" i="5" s="1"/>
  <c r="O147" i="6"/>
  <c r="O27" i="5" s="1"/>
  <c r="G68" i="6"/>
  <c r="G71" i="6" s="1"/>
  <c r="G54" i="6"/>
  <c r="G61" i="6"/>
  <c r="G64" i="6" s="1"/>
  <c r="H144" i="6"/>
  <c r="H143" i="6"/>
  <c r="O148" i="6"/>
  <c r="N29" i="6"/>
  <c r="N142" i="6" s="1"/>
  <c r="I31" i="6"/>
  <c r="L97" i="6"/>
  <c r="O141" i="6"/>
  <c r="N21" i="1"/>
  <c r="N152" i="6" s="1"/>
  <c r="N34" i="5" s="1"/>
  <c r="I138" i="6"/>
  <c r="H35" i="6"/>
  <c r="H46" i="6"/>
  <c r="I44" i="6"/>
  <c r="J26" i="6"/>
  <c r="J30" i="6" s="1"/>
  <c r="K4" i="1"/>
  <c r="M16" i="6"/>
  <c r="L91" i="6"/>
  <c r="L137" i="6"/>
  <c r="U42" i="1"/>
  <c r="N93" i="6" s="1"/>
  <c r="N17" i="6"/>
  <c r="N23" i="6" s="1"/>
  <c r="N24" i="6" s="1"/>
  <c r="T41" i="1"/>
  <c r="U40" i="1"/>
  <c r="L14" i="20" l="1"/>
  <c r="L10" i="26"/>
  <c r="I115" i="6"/>
  <c r="N23" i="26"/>
  <c r="M12" i="21"/>
  <c r="M10" i="26" s="1"/>
  <c r="N25" i="6"/>
  <c r="N87" i="6"/>
  <c r="M102" i="6"/>
  <c r="M84" i="6"/>
  <c r="M83" i="6" s="1"/>
  <c r="G99" i="6"/>
  <c r="N146" i="20"/>
  <c r="O146" i="20"/>
  <c r="M74" i="17"/>
  <c r="N74" i="17"/>
  <c r="M24" i="17"/>
  <c r="M95" i="19"/>
  <c r="M144" i="19" s="1"/>
  <c r="M99" i="20"/>
  <c r="O74" i="17"/>
  <c r="E23" i="21"/>
  <c r="N18" i="23"/>
  <c r="N22" i="17"/>
  <c r="N78" i="17" s="1"/>
  <c r="E14" i="24"/>
  <c r="O165" i="6"/>
  <c r="K18" i="1"/>
  <c r="K67" i="6" s="1"/>
  <c r="K20" i="1"/>
  <c r="K60" i="6" s="1"/>
  <c r="K19" i="1"/>
  <c r="K53" i="6" s="1"/>
  <c r="O169" i="6"/>
  <c r="O170" i="6"/>
  <c r="M153" i="6"/>
  <c r="M37" i="5" s="1"/>
  <c r="N29" i="16"/>
  <c r="J166" i="6"/>
  <c r="O180" i="6"/>
  <c r="K164" i="6"/>
  <c r="O21" i="1"/>
  <c r="O152" i="6" s="1"/>
  <c r="O34" i="5" s="1"/>
  <c r="O29" i="6"/>
  <c r="O142" i="6" s="1"/>
  <c r="H54" i="6"/>
  <c r="H61" i="6"/>
  <c r="H64" i="6" s="1"/>
  <c r="H68" i="6"/>
  <c r="H71" i="6" s="1"/>
  <c r="H99" i="6" s="1"/>
  <c r="I143" i="6"/>
  <c r="I144" i="6"/>
  <c r="J31" i="6"/>
  <c r="M97" i="6"/>
  <c r="J138" i="6"/>
  <c r="I35" i="6"/>
  <c r="K26" i="6"/>
  <c r="K30" i="6" s="1"/>
  <c r="L4" i="1"/>
  <c r="I46" i="6"/>
  <c r="J44" i="6"/>
  <c r="N16" i="6"/>
  <c r="M91" i="6"/>
  <c r="M137" i="6"/>
  <c r="V42" i="1"/>
  <c r="O93" i="6" s="1"/>
  <c r="O17" i="6"/>
  <c r="O23" i="6" s="1"/>
  <c r="O24" i="6" s="1"/>
  <c r="V40" i="1"/>
  <c r="U41" i="1"/>
  <c r="M14" i="19" l="1"/>
  <c r="J115" i="6"/>
  <c r="M14" i="20"/>
  <c r="N12" i="21"/>
  <c r="N10" i="26" s="1"/>
  <c r="G50" i="6"/>
  <c r="G106" i="6" s="1"/>
  <c r="G134" i="6" s="1"/>
  <c r="G33" i="5" s="1"/>
  <c r="O25" i="6"/>
  <c r="O87" i="6"/>
  <c r="N102" i="6"/>
  <c r="N84" i="6"/>
  <c r="N83" i="6" s="1"/>
  <c r="N144" i="19"/>
  <c r="M97" i="19"/>
  <c r="O144" i="19"/>
  <c r="N97" i="20"/>
  <c r="N99" i="20" s="1"/>
  <c r="N95" i="19"/>
  <c r="N148" i="19" s="1"/>
  <c r="O78" i="17"/>
  <c r="N24" i="17"/>
  <c r="O18" i="23"/>
  <c r="O22" i="17"/>
  <c r="O82" i="17" s="1"/>
  <c r="O32" i="20"/>
  <c r="O21" i="20" s="1"/>
  <c r="O30" i="19"/>
  <c r="O31" i="19" s="1"/>
  <c r="N153" i="6"/>
  <c r="N37" i="5" s="1"/>
  <c r="L20" i="1"/>
  <c r="L60" i="6" s="1"/>
  <c r="L18" i="1"/>
  <c r="L67" i="6" s="1"/>
  <c r="L19" i="1"/>
  <c r="L53" i="6" s="1"/>
  <c r="O29" i="16"/>
  <c r="H50" i="6"/>
  <c r="H106" i="6" s="1"/>
  <c r="H134" i="6" s="1"/>
  <c r="H33" i="5" s="1"/>
  <c r="K166" i="6"/>
  <c r="L164" i="6"/>
  <c r="J143" i="6"/>
  <c r="J144" i="6"/>
  <c r="I54" i="6"/>
  <c r="I61" i="6"/>
  <c r="I64" i="6" s="1"/>
  <c r="I68" i="6"/>
  <c r="I71" i="6" s="1"/>
  <c r="I99" i="6" s="1"/>
  <c r="K31" i="6"/>
  <c r="N97" i="6"/>
  <c r="K138" i="6"/>
  <c r="J35" i="6"/>
  <c r="L26" i="6"/>
  <c r="L30" i="6" s="1"/>
  <c r="J46" i="6"/>
  <c r="K44" i="6"/>
  <c r="M4" i="1"/>
  <c r="O16" i="6"/>
  <c r="N91" i="6"/>
  <c r="N137" i="6"/>
  <c r="V41" i="1"/>
  <c r="O102" i="6" l="1"/>
  <c r="O84" i="6"/>
  <c r="O83" i="6" s="1"/>
  <c r="N14" i="20"/>
  <c r="K115" i="6"/>
  <c r="N14" i="19"/>
  <c r="O12" i="21"/>
  <c r="O14" i="20" s="1"/>
  <c r="O150" i="20"/>
  <c r="N150" i="20"/>
  <c r="O148" i="19"/>
  <c r="N97" i="19"/>
  <c r="O153" i="6"/>
  <c r="O37" i="5" s="1"/>
  <c r="O24" i="17"/>
  <c r="O21" i="19"/>
  <c r="O97" i="20"/>
  <c r="O95" i="19"/>
  <c r="M19" i="1"/>
  <c r="M53" i="6" s="1"/>
  <c r="M18" i="1"/>
  <c r="M67" i="6" s="1"/>
  <c r="M20" i="1"/>
  <c r="M60" i="6" s="1"/>
  <c r="I50" i="6"/>
  <c r="I106" i="6" s="1"/>
  <c r="I134" i="6" s="1"/>
  <c r="I33" i="5" s="1"/>
  <c r="L166" i="6"/>
  <c r="M164" i="6"/>
  <c r="K143" i="6"/>
  <c r="K144" i="6"/>
  <c r="J61" i="6"/>
  <c r="J64" i="6" s="1"/>
  <c r="J68" i="6"/>
  <c r="J71" i="6" s="1"/>
  <c r="J99" i="6" s="1"/>
  <c r="J54" i="6"/>
  <c r="L31" i="6"/>
  <c r="O97" i="6"/>
  <c r="L138" i="6"/>
  <c r="K35" i="6"/>
  <c r="K46" i="6"/>
  <c r="L44" i="6"/>
  <c r="M26" i="6"/>
  <c r="M30" i="6" s="1"/>
  <c r="N4" i="1"/>
  <c r="O91" i="6"/>
  <c r="O137" i="6"/>
  <c r="O14" i="19" l="1"/>
  <c r="O10" i="26"/>
  <c r="L115" i="6"/>
  <c r="O152" i="19"/>
  <c r="O97" i="19"/>
  <c r="O154" i="20"/>
  <c r="O99" i="20"/>
  <c r="N20" i="1"/>
  <c r="N60" i="6" s="1"/>
  <c r="N19" i="1"/>
  <c r="N53" i="6" s="1"/>
  <c r="N18" i="1"/>
  <c r="N67" i="6" s="1"/>
  <c r="J50" i="6"/>
  <c r="J106" i="6" s="1"/>
  <c r="J134" i="6" s="1"/>
  <c r="J33" i="5" s="1"/>
  <c r="M166" i="6"/>
  <c r="N164" i="6"/>
  <c r="L144" i="6"/>
  <c r="L143" i="6"/>
  <c r="K68" i="6"/>
  <c r="K71" i="6" s="1"/>
  <c r="K99" i="6" s="1"/>
  <c r="K54" i="6"/>
  <c r="K61" i="6"/>
  <c r="K64" i="6" s="1"/>
  <c r="M31" i="6"/>
  <c r="M138" i="6"/>
  <c r="L35" i="6"/>
  <c r="O4" i="1"/>
  <c r="L46" i="6"/>
  <c r="M44" i="6"/>
  <c r="N26" i="6"/>
  <c r="N30" i="6" s="1"/>
  <c r="M115" i="6" l="1"/>
  <c r="O20" i="1"/>
  <c r="O60" i="6" s="1"/>
  <c r="O18" i="1"/>
  <c r="O67" i="6" s="1"/>
  <c r="O19" i="1"/>
  <c r="O53" i="6" s="1"/>
  <c r="K50" i="6"/>
  <c r="K106" i="6" s="1"/>
  <c r="K134" i="6" s="1"/>
  <c r="K33" i="5" s="1"/>
  <c r="N166" i="6"/>
  <c r="O164" i="6"/>
  <c r="M143" i="6"/>
  <c r="M144" i="6"/>
  <c r="L54" i="6"/>
  <c r="L61" i="6"/>
  <c r="L64" i="6" s="1"/>
  <c r="L68" i="6"/>
  <c r="L71" i="6" s="1"/>
  <c r="L99" i="6" s="1"/>
  <c r="N31" i="6"/>
  <c r="N138" i="6"/>
  <c r="M35" i="6"/>
  <c r="O26" i="6"/>
  <c r="O30" i="6" s="1"/>
  <c r="M46" i="6"/>
  <c r="N44" i="6"/>
  <c r="N115" i="6" l="1"/>
  <c r="L50" i="6"/>
  <c r="L106" i="6" s="1"/>
  <c r="L134" i="6" s="1"/>
  <c r="L33" i="5" s="1"/>
  <c r="O166" i="6"/>
  <c r="N143" i="6"/>
  <c r="N144" i="6"/>
  <c r="M54" i="6"/>
  <c r="M61" i="6"/>
  <c r="M64" i="6" s="1"/>
  <c r="M68" i="6"/>
  <c r="M71" i="6" s="1"/>
  <c r="M99" i="6" s="1"/>
  <c r="O31" i="6"/>
  <c r="O138" i="6"/>
  <c r="N35" i="6"/>
  <c r="N46" i="6"/>
  <c r="O44" i="6"/>
  <c r="O46" i="6" s="1"/>
  <c r="F51" i="4"/>
  <c r="G51" i="4" s="1"/>
  <c r="H51" i="4" s="1"/>
  <c r="I51" i="4" s="1"/>
  <c r="J51" i="4" s="1"/>
  <c r="K51" i="4" s="1"/>
  <c r="L51" i="4" s="1"/>
  <c r="M51" i="4" s="1"/>
  <c r="N51" i="4" s="1"/>
  <c r="O51" i="4" s="1"/>
  <c r="F50" i="4"/>
  <c r="G50" i="4" s="1"/>
  <c r="H50" i="4" s="1"/>
  <c r="I50" i="4" s="1"/>
  <c r="J50" i="4" s="1"/>
  <c r="K50" i="4" s="1"/>
  <c r="L50" i="4" s="1"/>
  <c r="M50" i="4" s="1"/>
  <c r="N50" i="4" s="1"/>
  <c r="O50" i="4" s="1"/>
  <c r="F48" i="4"/>
  <c r="G48" i="4" s="1"/>
  <c r="H48" i="4" s="1"/>
  <c r="I48" i="4" s="1"/>
  <c r="J48" i="4" s="1"/>
  <c r="K48" i="4" s="1"/>
  <c r="L48" i="4" s="1"/>
  <c r="M48" i="4" s="1"/>
  <c r="N48" i="4" s="1"/>
  <c r="O48" i="4" s="1"/>
  <c r="O115" i="6" l="1"/>
  <c r="M50" i="6"/>
  <c r="M106" i="6" s="1"/>
  <c r="M134" i="6" s="1"/>
  <c r="M33" i="5" s="1"/>
  <c r="N61" i="6"/>
  <c r="N64" i="6" s="1"/>
  <c r="N68" i="6"/>
  <c r="N71" i="6" s="1"/>
  <c r="N99" i="6" s="1"/>
  <c r="N54" i="6"/>
  <c r="O143" i="6"/>
  <c r="O144" i="6"/>
  <c r="O35" i="6"/>
  <c r="N50" i="6" l="1"/>
  <c r="N106" i="6" s="1"/>
  <c r="N134" i="6" s="1"/>
  <c r="N33" i="5" s="1"/>
  <c r="O68" i="6"/>
  <c r="O71" i="6" s="1"/>
  <c r="O99" i="6" s="1"/>
  <c r="O54" i="6"/>
  <c r="O61" i="6"/>
  <c r="O64" i="6" s="1"/>
  <c r="O50" i="6" l="1"/>
  <c r="O106" i="6" s="1"/>
  <c r="O134" i="6" s="1"/>
  <c r="O33" i="5" l="1"/>
  <c r="D14" i="14"/>
  <c r="E13" i="14" l="1"/>
  <c r="E14" i="14" s="1"/>
  <c r="F13" i="14" l="1"/>
  <c r="F14" i="14" s="1"/>
  <c r="G13" i="14" l="1"/>
  <c r="C19" i="23" s="1"/>
  <c r="C25" i="23" s="1"/>
  <c r="C31" i="23" s="1"/>
  <c r="C32" i="20"/>
  <c r="C21" i="20" s="1"/>
  <c r="G14" i="14" l="1"/>
  <c r="H15" i="14" s="1"/>
  <c r="D29" i="13"/>
  <c r="C13" i="17" s="1"/>
  <c r="C14" i="17" s="1"/>
  <c r="C9" i="18" s="1"/>
  <c r="C13" i="18" s="1"/>
  <c r="C21" i="18" s="1"/>
  <c r="C26" i="18"/>
  <c r="C27" i="18" s="1"/>
  <c r="C7" i="22"/>
  <c r="C27" i="23"/>
  <c r="C29" i="23" s="1"/>
  <c r="N32" i="20"/>
  <c r="N21" i="20" s="1"/>
  <c r="C13" i="20"/>
  <c r="C23" i="20" s="1"/>
  <c r="C30" i="19" l="1"/>
  <c r="C31" i="19" s="1"/>
  <c r="C21" i="19" s="1"/>
  <c r="C51" i="19" s="1"/>
  <c r="H13" i="14"/>
  <c r="D19" i="23" s="1"/>
  <c r="C33" i="23"/>
  <c r="C15" i="17"/>
  <c r="I15" i="14"/>
  <c r="D28" i="23"/>
  <c r="C20" i="24"/>
  <c r="C36" i="23"/>
  <c r="C34" i="23"/>
  <c r="C12" i="18"/>
  <c r="C43" i="20"/>
  <c r="C44" i="20" s="1"/>
  <c r="D32" i="20"/>
  <c r="D21" i="20" s="1"/>
  <c r="C24" i="18"/>
  <c r="D90" i="17"/>
  <c r="C13" i="19" l="1"/>
  <c r="C23" i="19" s="1"/>
  <c r="C41" i="19" s="1"/>
  <c r="D26" i="18"/>
  <c r="D27" i="18" s="1"/>
  <c r="E29" i="13"/>
  <c r="D13" i="17" s="1"/>
  <c r="D14" i="17" s="1"/>
  <c r="H14" i="14"/>
  <c r="I13" i="14" s="1"/>
  <c r="T13" i="14" s="1"/>
  <c r="C16" i="24"/>
  <c r="C37" i="24" s="1"/>
  <c r="C19" i="22"/>
  <c r="C22" i="22" s="1"/>
  <c r="N30" i="19"/>
  <c r="N31" i="19" s="1"/>
  <c r="N21" i="19" s="1"/>
  <c r="C8" i="22"/>
  <c r="C21" i="24" s="1"/>
  <c r="C25" i="24" s="1"/>
  <c r="D91" i="17"/>
  <c r="D20" i="22"/>
  <c r="M32" i="20"/>
  <c r="M21" i="20" s="1"/>
  <c r="E32" i="20"/>
  <c r="E21" i="20" s="1"/>
  <c r="D13" i="20"/>
  <c r="D23" i="20" s="1"/>
  <c r="F32" i="20"/>
  <c r="F21" i="20" s="1"/>
  <c r="C45" i="20"/>
  <c r="C23" i="18"/>
  <c r="C44" i="22" s="1"/>
  <c r="E57" i="6"/>
  <c r="E98" i="6" s="1"/>
  <c r="E24" i="5" s="1"/>
  <c r="F55" i="6"/>
  <c r="D15" i="17" l="1"/>
  <c r="D19" i="22" s="1"/>
  <c r="D22" i="22" s="1"/>
  <c r="D17" i="24" s="1"/>
  <c r="C42" i="19"/>
  <c r="C43" i="19" s="1"/>
  <c r="C44" i="19" s="1"/>
  <c r="C52" i="19" s="1"/>
  <c r="E26" i="18"/>
  <c r="E27" i="18" s="1"/>
  <c r="D9" i="18"/>
  <c r="D12" i="18" s="1"/>
  <c r="D30" i="19"/>
  <c r="D31" i="19" s="1"/>
  <c r="D21" i="19" s="1"/>
  <c r="D51" i="19" s="1"/>
  <c r="I14" i="14"/>
  <c r="T14" i="14" s="1"/>
  <c r="U11" i="14" s="1"/>
  <c r="F29" i="13"/>
  <c r="E13" i="17" s="1"/>
  <c r="E30" i="19" s="1"/>
  <c r="E31" i="19" s="1"/>
  <c r="E21" i="19" s="1"/>
  <c r="G55" i="6"/>
  <c r="F57" i="6"/>
  <c r="F98" i="6" s="1"/>
  <c r="E49" i="6"/>
  <c r="E105" i="6" s="1"/>
  <c r="C16" i="22"/>
  <c r="C28" i="22"/>
  <c r="C17" i="24"/>
  <c r="C18" i="24" s="1"/>
  <c r="C75" i="9"/>
  <c r="M30" i="19"/>
  <c r="M31" i="19" s="1"/>
  <c r="M21" i="19" s="1"/>
  <c r="F30" i="19"/>
  <c r="F31" i="19" s="1"/>
  <c r="F21" i="19" s="1"/>
  <c r="C30" i="24"/>
  <c r="C31" i="24" s="1"/>
  <c r="C49" i="22"/>
  <c r="C51" i="22" s="1"/>
  <c r="C46" i="20"/>
  <c r="L32" i="20"/>
  <c r="L21" i="20" s="1"/>
  <c r="C24" i="19"/>
  <c r="C53" i="19"/>
  <c r="K32" i="20"/>
  <c r="K21" i="20" s="1"/>
  <c r="C24" i="20"/>
  <c r="C25" i="20" s="1"/>
  <c r="C45" i="19"/>
  <c r="D43" i="20"/>
  <c r="D44" i="20" s="1"/>
  <c r="C54" i="20" l="1"/>
  <c r="C52" i="20"/>
  <c r="U13" i="14"/>
  <c r="C59" i="20"/>
  <c r="C60" i="20"/>
  <c r="C53" i="20"/>
  <c r="C61" i="20" s="1"/>
  <c r="C58" i="20"/>
  <c r="C26" i="20"/>
  <c r="C27" i="20"/>
  <c r="F22" i="17"/>
  <c r="F97" i="20" s="1"/>
  <c r="L118" i="20" s="1"/>
  <c r="L156" i="20" s="1"/>
  <c r="E18" i="21"/>
  <c r="E14" i="17"/>
  <c r="E15" i="17" s="1"/>
  <c r="I30" i="19" s="1"/>
  <c r="I31" i="19" s="1"/>
  <c r="I21" i="19" s="1"/>
  <c r="U8" i="14"/>
  <c r="D13" i="18"/>
  <c r="D21" i="18" s="1"/>
  <c r="U9" i="14"/>
  <c r="U10" i="14"/>
  <c r="D13" i="19"/>
  <c r="D23" i="19" s="1"/>
  <c r="D42" i="19" s="1"/>
  <c r="D43" i="19" s="1"/>
  <c r="F24" i="5"/>
  <c r="E133" i="6"/>
  <c r="E32" i="5" s="1"/>
  <c r="E11" i="5"/>
  <c r="H55" i="6"/>
  <c r="G57" i="6"/>
  <c r="G98" i="6" s="1"/>
  <c r="G24" i="5" s="1"/>
  <c r="C27" i="24"/>
  <c r="C32" i="22"/>
  <c r="D28" i="22"/>
  <c r="E91" i="17"/>
  <c r="E20" i="22"/>
  <c r="G32" i="20"/>
  <c r="G21" i="20" s="1"/>
  <c r="H32" i="20"/>
  <c r="H21" i="20" s="1"/>
  <c r="J32" i="20"/>
  <c r="J21" i="20" s="1"/>
  <c r="I32" i="20"/>
  <c r="I21" i="20" s="1"/>
  <c r="C54" i="19"/>
  <c r="C59" i="19"/>
  <c r="C60" i="19" s="1"/>
  <c r="C64" i="19" s="1"/>
  <c r="C25" i="19"/>
  <c r="D45" i="20"/>
  <c r="D24" i="20" s="1"/>
  <c r="D25" i="20" s="1"/>
  <c r="E100" i="6"/>
  <c r="D54" i="20" l="1"/>
  <c r="D52" i="20"/>
  <c r="E23" i="26"/>
  <c r="C74" i="19"/>
  <c r="C76" i="19" s="1"/>
  <c r="C62" i="20"/>
  <c r="C63" i="20" s="1"/>
  <c r="C55" i="20"/>
  <c r="E19" i="23"/>
  <c r="O46" i="17"/>
  <c r="O84" i="17" s="1"/>
  <c r="O34" i="19" s="1"/>
  <c r="O118" i="20"/>
  <c r="O156" i="20" s="1"/>
  <c r="F46" i="17"/>
  <c r="F84" i="17" s="1"/>
  <c r="F35" i="20" s="1"/>
  <c r="L46" i="17"/>
  <c r="L84" i="17" s="1"/>
  <c r="L10" i="21" s="1"/>
  <c r="D60" i="20"/>
  <c r="D58" i="20"/>
  <c r="D59" i="20"/>
  <c r="D27" i="20"/>
  <c r="D26" i="20"/>
  <c r="F99" i="20"/>
  <c r="F158" i="20" s="1"/>
  <c r="G158" i="20" s="1"/>
  <c r="G118" i="20"/>
  <c r="G156" i="20" s="1"/>
  <c r="G34" i="20" s="1"/>
  <c r="M118" i="20"/>
  <c r="M156" i="20" s="1"/>
  <c r="M11" i="20" s="1"/>
  <c r="J118" i="20"/>
  <c r="J156" i="20" s="1"/>
  <c r="J11" i="20" s="1"/>
  <c r="N118" i="20"/>
  <c r="N156" i="20" s="1"/>
  <c r="N11" i="20" s="1"/>
  <c r="H46" i="17"/>
  <c r="H84" i="17" s="1"/>
  <c r="H10" i="21" s="1"/>
  <c r="N46" i="17"/>
  <c r="N84" i="17" s="1"/>
  <c r="N34" i="19" s="1"/>
  <c r="E9" i="18"/>
  <c r="E12" i="18" s="1"/>
  <c r="E19" i="20"/>
  <c r="D41" i="19"/>
  <c r="D44" i="19" s="1"/>
  <c r="D52" i="19" s="1"/>
  <c r="D53" i="19" s="1"/>
  <c r="E19" i="19"/>
  <c r="U12" i="14"/>
  <c r="U14" i="14" s="1"/>
  <c r="M46" i="17"/>
  <c r="M84" i="17" s="1"/>
  <c r="M10" i="21" s="1"/>
  <c r="H118" i="20"/>
  <c r="H156" i="20" s="1"/>
  <c r="H11" i="20" s="1"/>
  <c r="K118" i="20"/>
  <c r="K156" i="20" s="1"/>
  <c r="K34" i="20" s="1"/>
  <c r="I118" i="20"/>
  <c r="I156" i="20" s="1"/>
  <c r="I11" i="20" s="1"/>
  <c r="F118" i="20"/>
  <c r="F156" i="20" s="1"/>
  <c r="F157" i="20" s="1"/>
  <c r="F24" i="17"/>
  <c r="I46" i="17"/>
  <c r="I84" i="17" s="1"/>
  <c r="I10" i="21" s="1"/>
  <c r="J46" i="17"/>
  <c r="J84" i="17" s="1"/>
  <c r="J34" i="19" s="1"/>
  <c r="G46" i="17"/>
  <c r="G84" i="17" s="1"/>
  <c r="G35" i="20" s="1"/>
  <c r="K46" i="17"/>
  <c r="K84" i="17" s="1"/>
  <c r="K35" i="20" s="1"/>
  <c r="F95" i="19"/>
  <c r="H116" i="19" s="1"/>
  <c r="H154" i="19" s="1"/>
  <c r="H33" i="19" s="1"/>
  <c r="D10" i="23"/>
  <c r="D14" i="23" s="1"/>
  <c r="D24" i="18"/>
  <c r="D23" i="18" s="1"/>
  <c r="D44" i="22" s="1"/>
  <c r="E34" i="21" s="1"/>
  <c r="F26" i="17"/>
  <c r="G26" i="17" s="1"/>
  <c r="G90" i="17" s="1"/>
  <c r="G20" i="22" s="1"/>
  <c r="E8" i="16"/>
  <c r="E7" i="16"/>
  <c r="E33" i="5"/>
  <c r="E12" i="5"/>
  <c r="I55" i="6"/>
  <c r="H57" i="6"/>
  <c r="H98" i="6" s="1"/>
  <c r="H24" i="5" s="1"/>
  <c r="M34" i="19"/>
  <c r="G30" i="19"/>
  <c r="G31" i="19" s="1"/>
  <c r="G21" i="19" s="1"/>
  <c r="M15" i="26"/>
  <c r="M21" i="26" s="1"/>
  <c r="G34" i="19"/>
  <c r="O10" i="21"/>
  <c r="H30" i="19"/>
  <c r="H31" i="19" s="1"/>
  <c r="H21" i="19" s="1"/>
  <c r="J30" i="19"/>
  <c r="J31" i="19" s="1"/>
  <c r="J21" i="19" s="1"/>
  <c r="K30" i="19"/>
  <c r="K31" i="19" s="1"/>
  <c r="K21" i="19" s="1"/>
  <c r="E19" i="22"/>
  <c r="E22" i="22" s="1"/>
  <c r="L30" i="19"/>
  <c r="L31" i="19" s="1"/>
  <c r="L21" i="19" s="1"/>
  <c r="C26" i="19"/>
  <c r="C65" i="19"/>
  <c r="D49" i="22"/>
  <c r="D46" i="20"/>
  <c r="F11" i="20"/>
  <c r="D75" i="19"/>
  <c r="N34" i="20"/>
  <c r="L34" i="20"/>
  <c r="L11" i="20"/>
  <c r="D53" i="20"/>
  <c r="D61" i="20" s="1"/>
  <c r="D62" i="20" s="1"/>
  <c r="D63" i="20" s="1"/>
  <c r="O34" i="20"/>
  <c r="O11" i="20"/>
  <c r="M34" i="20"/>
  <c r="F49" i="6"/>
  <c r="F36" i="5" s="1"/>
  <c r="F100" i="6"/>
  <c r="E36" i="5"/>
  <c r="G107" i="6"/>
  <c r="G12" i="5" s="1"/>
  <c r="E109" i="6"/>
  <c r="E21" i="5" s="1"/>
  <c r="E122" i="6"/>
  <c r="O35" i="20" l="1"/>
  <c r="J10" i="21"/>
  <c r="E13" i="18"/>
  <c r="E21" i="18" s="1"/>
  <c r="E10" i="23" s="1"/>
  <c r="I15" i="26"/>
  <c r="I21" i="26" s="1"/>
  <c r="L15" i="26"/>
  <c r="L21" i="26" s="1"/>
  <c r="H15" i="26"/>
  <c r="H21" i="26" s="1"/>
  <c r="D55" i="20"/>
  <c r="D56" i="20" s="1"/>
  <c r="D76" i="20" s="1"/>
  <c r="N35" i="20"/>
  <c r="N116" i="19"/>
  <c r="N154" i="19" s="1"/>
  <c r="N11" i="19" s="1"/>
  <c r="H11" i="19"/>
  <c r="K11" i="20"/>
  <c r="L34" i="19"/>
  <c r="G116" i="19"/>
  <c r="G154" i="19" s="1"/>
  <c r="G11" i="19" s="1"/>
  <c r="J35" i="20"/>
  <c r="N10" i="21"/>
  <c r="I116" i="19"/>
  <c r="I154" i="19" s="1"/>
  <c r="I11" i="19" s="1"/>
  <c r="L35" i="20"/>
  <c r="K116" i="19"/>
  <c r="K154" i="19" s="1"/>
  <c r="K33" i="19" s="1"/>
  <c r="G11" i="20"/>
  <c r="F86" i="17"/>
  <c r="F88" i="17" s="1"/>
  <c r="F21" i="22" s="1"/>
  <c r="F10" i="21"/>
  <c r="F34" i="19"/>
  <c r="D24" i="19"/>
  <c r="D25" i="19" s="1"/>
  <c r="G157" i="20"/>
  <c r="H157" i="20" s="1"/>
  <c r="I157" i="20" s="1"/>
  <c r="J157" i="20" s="1"/>
  <c r="K157" i="20" s="1"/>
  <c r="L157" i="20" s="1"/>
  <c r="M157" i="20" s="1"/>
  <c r="N157" i="20" s="1"/>
  <c r="O157" i="20" s="1"/>
  <c r="I35" i="20"/>
  <c r="M116" i="19"/>
  <c r="M154" i="19" s="1"/>
  <c r="M11" i="19" s="1"/>
  <c r="H34" i="19"/>
  <c r="H36" i="19" s="1"/>
  <c r="H37" i="19" s="1"/>
  <c r="H27" i="19" s="1"/>
  <c r="H35" i="20"/>
  <c r="C56" i="20"/>
  <c r="C66" i="20"/>
  <c r="C67" i="20" s="1"/>
  <c r="J34" i="20"/>
  <c r="I34" i="20"/>
  <c r="I37" i="20" s="1"/>
  <c r="I38" i="20" s="1"/>
  <c r="I28" i="20" s="1"/>
  <c r="G37" i="20"/>
  <c r="G38" i="20" s="1"/>
  <c r="G28" i="20" s="1"/>
  <c r="H34" i="20"/>
  <c r="D45" i="19"/>
  <c r="F34" i="20"/>
  <c r="F37" i="20" s="1"/>
  <c r="F38" i="20" s="1"/>
  <c r="F28" i="20" s="1"/>
  <c r="D30" i="24"/>
  <c r="D31" i="24" s="1"/>
  <c r="E58" i="22"/>
  <c r="I34" i="19"/>
  <c r="G10" i="21"/>
  <c r="M35" i="20"/>
  <c r="M37" i="20" s="1"/>
  <c r="M38" i="20" s="1"/>
  <c r="M28" i="20" s="1"/>
  <c r="O116" i="19"/>
  <c r="O154" i="19" s="1"/>
  <c r="O33" i="19" s="1"/>
  <c r="O36" i="19" s="1"/>
  <c r="O33" i="21" s="1"/>
  <c r="J116" i="19"/>
  <c r="J154" i="19" s="1"/>
  <c r="J33" i="19" s="1"/>
  <c r="J36" i="19" s="1"/>
  <c r="J37" i="19" s="1"/>
  <c r="J27" i="19" s="1"/>
  <c r="L116" i="19"/>
  <c r="L154" i="19" s="1"/>
  <c r="L11" i="19" s="1"/>
  <c r="F116" i="19"/>
  <c r="F154" i="19" s="1"/>
  <c r="F33" i="19" s="1"/>
  <c r="F97" i="19"/>
  <c r="F90" i="17"/>
  <c r="F20" i="22" s="1"/>
  <c r="K10" i="21"/>
  <c r="K34" i="19"/>
  <c r="H26" i="17"/>
  <c r="H90" i="17" s="1"/>
  <c r="H20" i="22" s="1"/>
  <c r="E24" i="18"/>
  <c r="F25" i="18" s="1"/>
  <c r="F20" i="23" s="1"/>
  <c r="F8" i="16"/>
  <c r="F7" i="16"/>
  <c r="E119" i="6"/>
  <c r="E128" i="6" s="1"/>
  <c r="E129" i="6" s="1"/>
  <c r="E13" i="5"/>
  <c r="C22" i="21"/>
  <c r="C61" i="19"/>
  <c r="E11" i="22"/>
  <c r="L37" i="20"/>
  <c r="L38" i="20" s="1"/>
  <c r="L28" i="20" s="1"/>
  <c r="F105" i="6"/>
  <c r="J55" i="6"/>
  <c r="I57" i="6"/>
  <c r="I98" i="6" s="1"/>
  <c r="I24" i="5" s="1"/>
  <c r="N33" i="19"/>
  <c r="N36" i="19" s="1"/>
  <c r="N33" i="21" s="1"/>
  <c r="O37" i="20"/>
  <c r="O38" i="20" s="1"/>
  <c r="O28" i="20" s="1"/>
  <c r="K11" i="19"/>
  <c r="F159" i="20"/>
  <c r="G33" i="19"/>
  <c r="G36" i="19" s="1"/>
  <c r="G33" i="21" s="1"/>
  <c r="N37" i="20"/>
  <c r="N38" i="20" s="1"/>
  <c r="N28" i="20" s="1"/>
  <c r="K37" i="20"/>
  <c r="K38" i="20" s="1"/>
  <c r="K28" i="20" s="1"/>
  <c r="C28" i="19"/>
  <c r="O15" i="26"/>
  <c r="O21" i="26" s="1"/>
  <c r="F15" i="26"/>
  <c r="F21" i="26" s="1"/>
  <c r="J15" i="26"/>
  <c r="J21" i="26" s="1"/>
  <c r="E10" i="16"/>
  <c r="C68" i="19"/>
  <c r="C70" i="19" s="1"/>
  <c r="E17" i="24"/>
  <c r="E28" i="22"/>
  <c r="J33" i="21"/>
  <c r="C70" i="20"/>
  <c r="C29" i="20"/>
  <c r="D77" i="19"/>
  <c r="H158" i="20"/>
  <c r="D54" i="19"/>
  <c r="D74" i="19" s="1"/>
  <c r="G100" i="6"/>
  <c r="H107" i="6"/>
  <c r="H12" i="5" s="1"/>
  <c r="G49" i="6"/>
  <c r="E38" i="5"/>
  <c r="E114" i="6"/>
  <c r="E9" i="24" l="1"/>
  <c r="N15" i="26"/>
  <c r="N21" i="26" s="1"/>
  <c r="K15" i="26"/>
  <c r="K21" i="26" s="1"/>
  <c r="G15" i="26"/>
  <c r="G21" i="26" s="1"/>
  <c r="C76" i="20"/>
  <c r="G86" i="17"/>
  <c r="G88" i="17" s="1"/>
  <c r="G21" i="22" s="1"/>
  <c r="G22" i="22" s="1"/>
  <c r="M33" i="19"/>
  <c r="M36" i="19" s="1"/>
  <c r="L33" i="19"/>
  <c r="L36" i="19" s="1"/>
  <c r="F39" i="20"/>
  <c r="K36" i="19"/>
  <c r="K33" i="21" s="1"/>
  <c r="F36" i="19"/>
  <c r="F37" i="19" s="1"/>
  <c r="F38" i="19" s="1"/>
  <c r="G159" i="20"/>
  <c r="J37" i="20"/>
  <c r="J38" i="20" s="1"/>
  <c r="J28" i="20" s="1"/>
  <c r="I26" i="17"/>
  <c r="I90" i="17" s="1"/>
  <c r="I20" i="22" s="1"/>
  <c r="I33" i="19"/>
  <c r="I36" i="19" s="1"/>
  <c r="I37" i="19" s="1"/>
  <c r="I27" i="19" s="1"/>
  <c r="I23" i="21" s="1"/>
  <c r="F22" i="22"/>
  <c r="D59" i="19"/>
  <c r="D60" i="19" s="1"/>
  <c r="D64" i="19" s="1"/>
  <c r="F11" i="19"/>
  <c r="O37" i="19"/>
  <c r="O27" i="19" s="1"/>
  <c r="O23" i="21" s="1"/>
  <c r="O11" i="19"/>
  <c r="F155" i="19"/>
  <c r="G155" i="19" s="1"/>
  <c r="H155" i="19" s="1"/>
  <c r="I155" i="19" s="1"/>
  <c r="J155" i="19" s="1"/>
  <c r="K155" i="19" s="1"/>
  <c r="L155" i="19" s="1"/>
  <c r="M155" i="19" s="1"/>
  <c r="N155" i="19" s="1"/>
  <c r="O155" i="19" s="1"/>
  <c r="H37" i="20"/>
  <c r="H38" i="20" s="1"/>
  <c r="H28" i="20" s="1"/>
  <c r="H23" i="21" s="1"/>
  <c r="D66" i="20"/>
  <c r="D67" i="20" s="1"/>
  <c r="D77" i="20"/>
  <c r="D10" i="24" s="1"/>
  <c r="C78" i="20"/>
  <c r="J11" i="19"/>
  <c r="F91" i="17"/>
  <c r="H86" i="17"/>
  <c r="H88" i="17" s="1"/>
  <c r="H21" i="22" s="1"/>
  <c r="H22" i="22" s="1"/>
  <c r="F24" i="18"/>
  <c r="G25" i="18" s="1"/>
  <c r="M37" i="19"/>
  <c r="M27" i="19" s="1"/>
  <c r="M23" i="21" s="1"/>
  <c r="M33" i="21"/>
  <c r="E22" i="18"/>
  <c r="E35" i="22" s="1"/>
  <c r="C80" i="19"/>
  <c r="D81" i="19" s="1"/>
  <c r="G105" i="6"/>
  <c r="G11" i="5" s="1"/>
  <c r="G36" i="5"/>
  <c r="G8" i="16"/>
  <c r="G7" i="16"/>
  <c r="E28" i="5"/>
  <c r="E26" i="5"/>
  <c r="E25" i="5"/>
  <c r="F11" i="5"/>
  <c r="F133" i="6"/>
  <c r="F32" i="5" s="1"/>
  <c r="F11" i="22"/>
  <c r="K55" i="6"/>
  <c r="J57" i="6"/>
  <c r="J98" i="6" s="1"/>
  <c r="J24" i="5" s="1"/>
  <c r="N37" i="19"/>
  <c r="N27" i="19" s="1"/>
  <c r="N23" i="21" s="1"/>
  <c r="H33" i="21"/>
  <c r="G37" i="19"/>
  <c r="G27" i="19" s="1"/>
  <c r="G23" i="21" s="1"/>
  <c r="I33" i="21"/>
  <c r="F27" i="19"/>
  <c r="F23" i="21" s="1"/>
  <c r="D69" i="19"/>
  <c r="D71" i="19" s="1"/>
  <c r="F109" i="6"/>
  <c r="F10" i="16"/>
  <c r="J23" i="21"/>
  <c r="G39" i="20"/>
  <c r="D26" i="19"/>
  <c r="D61" i="19" s="1"/>
  <c r="C82" i="20"/>
  <c r="D65" i="19"/>
  <c r="D29" i="20"/>
  <c r="D70" i="20"/>
  <c r="C72" i="20"/>
  <c r="D71" i="20"/>
  <c r="E75" i="19"/>
  <c r="D76" i="19"/>
  <c r="H159" i="20"/>
  <c r="I158" i="20"/>
  <c r="D78" i="20"/>
  <c r="E77" i="20"/>
  <c r="I49" i="6"/>
  <c r="E130" i="6"/>
  <c r="E9" i="5"/>
  <c r="H49" i="6"/>
  <c r="H100" i="6"/>
  <c r="E14" i="5"/>
  <c r="E22" i="5"/>
  <c r="E10" i="5"/>
  <c r="E8" i="5"/>
  <c r="E23" i="5"/>
  <c r="E15" i="5"/>
  <c r="D79" i="20" l="1"/>
  <c r="G17" i="24"/>
  <c r="E29" i="24"/>
  <c r="F9" i="24"/>
  <c r="H28" i="22"/>
  <c r="F17" i="24"/>
  <c r="F28" i="22"/>
  <c r="G91" i="17"/>
  <c r="G28" i="22"/>
  <c r="L37" i="19"/>
  <c r="L27" i="19" s="1"/>
  <c r="L23" i="21" s="1"/>
  <c r="L33" i="21"/>
  <c r="K37" i="19"/>
  <c r="K27" i="19" s="1"/>
  <c r="K23" i="21" s="1"/>
  <c r="F33" i="21"/>
  <c r="F57" i="22" s="1"/>
  <c r="G57" i="22" s="1"/>
  <c r="H57" i="22" s="1"/>
  <c r="I57" i="22" s="1"/>
  <c r="J57" i="22" s="1"/>
  <c r="K57" i="22" s="1"/>
  <c r="J26" i="17"/>
  <c r="J90" i="17" s="1"/>
  <c r="J20" i="22" s="1"/>
  <c r="H39" i="20"/>
  <c r="I39" i="20" s="1"/>
  <c r="J39" i="20" s="1"/>
  <c r="K39" i="20" s="1"/>
  <c r="L39" i="20" s="1"/>
  <c r="M39" i="20" s="1"/>
  <c r="N39" i="20" s="1"/>
  <c r="O39" i="20" s="1"/>
  <c r="H17" i="24"/>
  <c r="F26" i="18"/>
  <c r="F18" i="21" s="1"/>
  <c r="I86" i="17"/>
  <c r="I88" i="17" s="1"/>
  <c r="I21" i="22" s="1"/>
  <c r="I22" i="22" s="1"/>
  <c r="H91" i="17"/>
  <c r="F38" i="5"/>
  <c r="E23" i="18"/>
  <c r="E44" i="22" s="1"/>
  <c r="G109" i="6"/>
  <c r="G21" i="5" s="1"/>
  <c r="G133" i="6"/>
  <c r="G32" i="5" s="1"/>
  <c r="F122" i="6"/>
  <c r="F15" i="5" s="1"/>
  <c r="C82" i="19"/>
  <c r="D83" i="19" s="1"/>
  <c r="D88" i="19" s="1"/>
  <c r="C85" i="19"/>
  <c r="H105" i="6"/>
  <c r="H11" i="5" s="1"/>
  <c r="H36" i="5"/>
  <c r="H8" i="16"/>
  <c r="H7" i="16"/>
  <c r="I105" i="6"/>
  <c r="I11" i="5" s="1"/>
  <c r="F13" i="5"/>
  <c r="F21" i="5"/>
  <c r="G13" i="5"/>
  <c r="E40" i="22"/>
  <c r="E16" i="5"/>
  <c r="G11" i="22"/>
  <c r="F119" i="6"/>
  <c r="F128" i="6" s="1"/>
  <c r="D86" i="19"/>
  <c r="L55" i="6"/>
  <c r="K57" i="6"/>
  <c r="K98" i="6" s="1"/>
  <c r="K24" i="5" s="1"/>
  <c r="D12" i="22"/>
  <c r="G38" i="19"/>
  <c r="G46" i="22" s="1"/>
  <c r="F46" i="22"/>
  <c r="F114" i="6"/>
  <c r="D22" i="21"/>
  <c r="G10" i="16"/>
  <c r="F22" i="18"/>
  <c r="F35" i="22" s="1"/>
  <c r="G20" i="23"/>
  <c r="E10" i="24"/>
  <c r="D13" i="24"/>
  <c r="D68" i="19"/>
  <c r="E69" i="19" s="1"/>
  <c r="D28" i="19"/>
  <c r="D80" i="19" s="1"/>
  <c r="D82" i="19" s="1"/>
  <c r="C84" i="20"/>
  <c r="C89" i="20" s="1"/>
  <c r="C87" i="20"/>
  <c r="D83" i="20"/>
  <c r="D22" i="24" s="1"/>
  <c r="D82" i="20"/>
  <c r="I100" i="6"/>
  <c r="E79" i="20"/>
  <c r="F27" i="18"/>
  <c r="G24" i="18"/>
  <c r="H25" i="18" s="1"/>
  <c r="I159" i="20"/>
  <c r="J158" i="20"/>
  <c r="E77" i="19"/>
  <c r="D72" i="20"/>
  <c r="E71" i="20"/>
  <c r="D73" i="20"/>
  <c r="D21" i="23" s="1"/>
  <c r="F39" i="18"/>
  <c r="E20" i="5"/>
  <c r="J107" i="6"/>
  <c r="J12" i="5" s="1"/>
  <c r="E29" i="16"/>
  <c r="L57" i="22" l="1"/>
  <c r="M57" i="22" s="1"/>
  <c r="N57" i="22" s="1"/>
  <c r="O57" i="22" s="1"/>
  <c r="G9" i="24"/>
  <c r="F34" i="21"/>
  <c r="F29" i="24"/>
  <c r="F14" i="24"/>
  <c r="I17" i="24"/>
  <c r="E15" i="24"/>
  <c r="F19" i="20"/>
  <c r="K26" i="17"/>
  <c r="K90" i="17" s="1"/>
  <c r="K20" i="22" s="1"/>
  <c r="I91" i="17"/>
  <c r="J86" i="17"/>
  <c r="J88" i="17" s="1"/>
  <c r="J21" i="22" s="1"/>
  <c r="J22" i="22" s="1"/>
  <c r="I28" i="22"/>
  <c r="F19" i="19"/>
  <c r="F19" i="23"/>
  <c r="E49" i="22"/>
  <c r="G114" i="6"/>
  <c r="G14" i="5" s="1"/>
  <c r="E30" i="24"/>
  <c r="E31" i="24" s="1"/>
  <c r="H11" i="22"/>
  <c r="G119" i="6"/>
  <c r="G23" i="5" s="1"/>
  <c r="G38" i="5"/>
  <c r="C87" i="19"/>
  <c r="G122" i="6"/>
  <c r="G15" i="5" s="1"/>
  <c r="H133" i="6"/>
  <c r="H32" i="5" s="1"/>
  <c r="H109" i="6"/>
  <c r="H13" i="5" s="1"/>
  <c r="I8" i="16"/>
  <c r="I7" i="16"/>
  <c r="F23" i="5"/>
  <c r="F25" i="5"/>
  <c r="F28" i="5"/>
  <c r="F26" i="5"/>
  <c r="F14" i="5"/>
  <c r="F22" i="5"/>
  <c r="F10" i="5"/>
  <c r="F9" i="5"/>
  <c r="F8" i="5"/>
  <c r="G10" i="5"/>
  <c r="E12" i="21"/>
  <c r="I107" i="6"/>
  <c r="J91" i="17"/>
  <c r="M55" i="6"/>
  <c r="L57" i="6"/>
  <c r="L98" i="6" s="1"/>
  <c r="L24" i="5" s="1"/>
  <c r="H38" i="19"/>
  <c r="H46" i="22" s="1"/>
  <c r="K86" i="17"/>
  <c r="L86" i="17" s="1"/>
  <c r="M86" i="17" s="1"/>
  <c r="F58" i="22"/>
  <c r="F23" i="18"/>
  <c r="F44" i="22" s="1"/>
  <c r="G22" i="18"/>
  <c r="G35" i="22" s="1"/>
  <c r="H20" i="23"/>
  <c r="H10" i="16"/>
  <c r="L26" i="17"/>
  <c r="L90" i="17" s="1"/>
  <c r="L20" i="22" s="1"/>
  <c r="E12" i="22"/>
  <c r="D70" i="19"/>
  <c r="D39" i="22" s="1"/>
  <c r="D40" i="22" s="1"/>
  <c r="D15" i="24" s="1"/>
  <c r="G26" i="18"/>
  <c r="G18" i="21" s="1"/>
  <c r="G14" i="24"/>
  <c r="D85" i="20"/>
  <c r="D90" i="20" s="1"/>
  <c r="D85" i="19"/>
  <c r="E81" i="19"/>
  <c r="E86" i="19" s="1"/>
  <c r="D88" i="20"/>
  <c r="D84" i="20"/>
  <c r="D23" i="24" s="1"/>
  <c r="D87" i="20"/>
  <c r="E83" i="20"/>
  <c r="J159" i="20"/>
  <c r="K158" i="20"/>
  <c r="H24" i="18"/>
  <c r="I25" i="18" s="1"/>
  <c r="E73" i="20"/>
  <c r="J100" i="6"/>
  <c r="J49" i="6"/>
  <c r="K107" i="6"/>
  <c r="K12" i="5" s="1"/>
  <c r="E10" i="26" l="1"/>
  <c r="H9" i="24"/>
  <c r="G29" i="24"/>
  <c r="J17" i="24"/>
  <c r="J28" i="22"/>
  <c r="G128" i="6"/>
  <c r="G20" i="5" s="1"/>
  <c r="G8" i="5"/>
  <c r="G40" i="22" s="1"/>
  <c r="G28" i="5"/>
  <c r="G22" i="5"/>
  <c r="G25" i="5"/>
  <c r="G26" i="5"/>
  <c r="G9" i="5"/>
  <c r="H38" i="5"/>
  <c r="H122" i="6"/>
  <c r="H15" i="5" s="1"/>
  <c r="H114" i="6"/>
  <c r="H119" i="6"/>
  <c r="H25" i="5" s="1"/>
  <c r="H21" i="5"/>
  <c r="F40" i="22"/>
  <c r="J8" i="16"/>
  <c r="J7" i="16"/>
  <c r="J105" i="6"/>
  <c r="J11" i="5" s="1"/>
  <c r="J36" i="5"/>
  <c r="I12" i="5"/>
  <c r="I36" i="5"/>
  <c r="F129" i="6"/>
  <c r="F130" i="6" s="1"/>
  <c r="F20" i="5"/>
  <c r="F16" i="5"/>
  <c r="F7" i="21" s="1"/>
  <c r="I11" i="22"/>
  <c r="E14" i="20"/>
  <c r="E14" i="19"/>
  <c r="I133" i="6"/>
  <c r="I32" i="5" s="1"/>
  <c r="I38" i="19"/>
  <c r="I46" i="22" s="1"/>
  <c r="N55" i="6"/>
  <c r="M57" i="6"/>
  <c r="M98" i="6" s="1"/>
  <c r="M24" i="5" s="1"/>
  <c r="L88" i="17"/>
  <c r="L21" i="22" s="1"/>
  <c r="L22" i="22" s="1"/>
  <c r="K88" i="17"/>
  <c r="K21" i="22" s="1"/>
  <c r="K22" i="22" s="1"/>
  <c r="I109" i="6"/>
  <c r="E38" i="4"/>
  <c r="I10" i="16"/>
  <c r="H22" i="18"/>
  <c r="H35" i="22" s="1"/>
  <c r="I20" i="23"/>
  <c r="M26" i="17"/>
  <c r="M90" i="17" s="1"/>
  <c r="M20" i="22" s="1"/>
  <c r="G23" i="18"/>
  <c r="G44" i="22" s="1"/>
  <c r="G19" i="23"/>
  <c r="G19" i="19"/>
  <c r="G19" i="20"/>
  <c r="F30" i="24"/>
  <c r="F31" i="24" s="1"/>
  <c r="F38" i="4" s="1"/>
  <c r="F49" i="22"/>
  <c r="G34" i="21"/>
  <c r="E71" i="19"/>
  <c r="E21" i="23" s="1"/>
  <c r="D87" i="19"/>
  <c r="D41" i="22"/>
  <c r="D51" i="22" s="1"/>
  <c r="D17" i="23"/>
  <c r="G27" i="18"/>
  <c r="H14" i="24"/>
  <c r="D89" i="20"/>
  <c r="E83" i="19"/>
  <c r="E22" i="24"/>
  <c r="H26" i="18"/>
  <c r="H18" i="21" s="1"/>
  <c r="J38" i="19"/>
  <c r="J46" i="22" s="1"/>
  <c r="E85" i="20"/>
  <c r="E90" i="20" s="1"/>
  <c r="E88" i="20"/>
  <c r="K159" i="20"/>
  <c r="L158" i="20"/>
  <c r="I24" i="18"/>
  <c r="J25" i="18" s="1"/>
  <c r="H39" i="18"/>
  <c r="G39" i="18"/>
  <c r="K100" i="6"/>
  <c r="M88" i="17"/>
  <c r="M21" i="22" s="1"/>
  <c r="N86" i="17"/>
  <c r="L107" i="6"/>
  <c r="L12" i="5" s="1"/>
  <c r="K49" i="6"/>
  <c r="G129" i="6"/>
  <c r="G130" i="6" s="1"/>
  <c r="L100" i="6"/>
  <c r="L17" i="24" l="1"/>
  <c r="F9" i="22"/>
  <c r="F15" i="24"/>
  <c r="H29" i="24"/>
  <c r="K17" i="24"/>
  <c r="I9" i="24"/>
  <c r="G15" i="24"/>
  <c r="G29" i="5"/>
  <c r="G8" i="21" s="1"/>
  <c r="H10" i="5"/>
  <c r="H14" i="5"/>
  <c r="G16" i="5"/>
  <c r="H8" i="5"/>
  <c r="F29" i="5"/>
  <c r="F40" i="5" s="1"/>
  <c r="F41" i="5" s="1"/>
  <c r="H9" i="5"/>
  <c r="H23" i="5"/>
  <c r="H26" i="5"/>
  <c r="H28" i="5"/>
  <c r="J133" i="6"/>
  <c r="J32" i="5" s="1"/>
  <c r="H22" i="5"/>
  <c r="J109" i="6"/>
  <c r="J13" i="5" s="1"/>
  <c r="I38" i="5"/>
  <c r="D25" i="23"/>
  <c r="D31" i="23" s="1"/>
  <c r="D7" i="22" s="1"/>
  <c r="L8" i="16"/>
  <c r="L7" i="16"/>
  <c r="K105" i="6"/>
  <c r="K11" i="5" s="1"/>
  <c r="K36" i="5"/>
  <c r="K8" i="16"/>
  <c r="K7" i="16"/>
  <c r="I13" i="5"/>
  <c r="I21" i="5"/>
  <c r="I119" i="6"/>
  <c r="J11" i="22"/>
  <c r="K91" i="17"/>
  <c r="L91" i="17"/>
  <c r="I122" i="6"/>
  <c r="I15" i="5" s="1"/>
  <c r="O55" i="6"/>
  <c r="O57" i="6" s="1"/>
  <c r="O98" i="6" s="1"/>
  <c r="O24" i="5" s="1"/>
  <c r="N57" i="6"/>
  <c r="N98" i="6" s="1"/>
  <c r="N24" i="5" s="1"/>
  <c r="I114" i="6"/>
  <c r="N107" i="6"/>
  <c r="N12" i="5" s="1"/>
  <c r="G58" i="22"/>
  <c r="H34" i="21" s="1"/>
  <c r="F7" i="26"/>
  <c r="J10" i="16"/>
  <c r="I22" i="18"/>
  <c r="I35" i="22" s="1"/>
  <c r="J20" i="23"/>
  <c r="H23" i="18"/>
  <c r="H44" i="22" s="1"/>
  <c r="H19" i="23"/>
  <c r="H19" i="19"/>
  <c r="H19" i="20"/>
  <c r="G30" i="24"/>
  <c r="G49" i="22"/>
  <c r="F7" i="19"/>
  <c r="F7" i="20"/>
  <c r="N26" i="17"/>
  <c r="F7" i="24"/>
  <c r="E88" i="19"/>
  <c r="L28" i="22"/>
  <c r="I14" i="24"/>
  <c r="H27" i="18"/>
  <c r="J24" i="18"/>
  <c r="J26" i="18" s="1"/>
  <c r="J18" i="21" s="1"/>
  <c r="M22" i="22"/>
  <c r="K28" i="22"/>
  <c r="K38" i="19"/>
  <c r="K46" i="22" s="1"/>
  <c r="I26" i="18"/>
  <c r="I18" i="21" s="1"/>
  <c r="L159" i="20"/>
  <c r="M158" i="20"/>
  <c r="M91" i="17"/>
  <c r="N88" i="17"/>
  <c r="O86" i="17"/>
  <c r="O88" i="17" s="1"/>
  <c r="M49" i="6"/>
  <c r="L49" i="6"/>
  <c r="H128" i="6"/>
  <c r="H20" i="5" s="1"/>
  <c r="M100" i="6"/>
  <c r="I29" i="24" l="1"/>
  <c r="M17" i="24"/>
  <c r="J9" i="24"/>
  <c r="K109" i="6"/>
  <c r="K21" i="5" s="1"/>
  <c r="G40" i="5"/>
  <c r="G41" i="5" s="1"/>
  <c r="G7" i="21"/>
  <c r="H40" i="22"/>
  <c r="H16" i="5"/>
  <c r="H7" i="21" s="1"/>
  <c r="F8" i="21"/>
  <c r="J38" i="5"/>
  <c r="H29" i="5"/>
  <c r="K133" i="6"/>
  <c r="K32" i="5" s="1"/>
  <c r="J122" i="6"/>
  <c r="J15" i="5" s="1"/>
  <c r="J119" i="6"/>
  <c r="J28" i="5" s="1"/>
  <c r="J114" i="6"/>
  <c r="J21" i="5"/>
  <c r="D27" i="23"/>
  <c r="D29" i="23" s="1"/>
  <c r="D33" i="23" s="1"/>
  <c r="D20" i="24"/>
  <c r="L105" i="6"/>
  <c r="L11" i="5" s="1"/>
  <c r="L36" i="5"/>
  <c r="M8" i="16"/>
  <c r="M7" i="16"/>
  <c r="M105" i="6"/>
  <c r="M11" i="5" s="1"/>
  <c r="I23" i="5"/>
  <c r="I28" i="5"/>
  <c r="I26" i="5"/>
  <c r="I25" i="5"/>
  <c r="I14" i="5"/>
  <c r="I22" i="5"/>
  <c r="I10" i="5"/>
  <c r="I9" i="5"/>
  <c r="I8" i="5"/>
  <c r="L11" i="22"/>
  <c r="K11" i="22"/>
  <c r="K119" i="6"/>
  <c r="H58" i="22"/>
  <c r="I34" i="21" s="1"/>
  <c r="D16" i="24"/>
  <c r="D18" i="24" s="1"/>
  <c r="K10" i="16"/>
  <c r="N49" i="6"/>
  <c r="G8" i="26"/>
  <c r="I19" i="23"/>
  <c r="I19" i="20"/>
  <c r="I19" i="19"/>
  <c r="J19" i="23"/>
  <c r="J19" i="19"/>
  <c r="J19" i="20"/>
  <c r="H30" i="24"/>
  <c r="H31" i="24" s="1"/>
  <c r="H38" i="4" s="1"/>
  <c r="H49" i="22"/>
  <c r="G9" i="19"/>
  <c r="G9" i="20"/>
  <c r="O26" i="17"/>
  <c r="N90" i="17"/>
  <c r="N20" i="22" s="1"/>
  <c r="G31" i="24"/>
  <c r="G38" i="4" s="1"/>
  <c r="I23" i="18"/>
  <c r="I44" i="22" s="1"/>
  <c r="K25" i="18"/>
  <c r="J14" i="24"/>
  <c r="M28" i="22"/>
  <c r="N21" i="22"/>
  <c r="L38" i="19"/>
  <c r="L46" i="22" s="1"/>
  <c r="O21" i="22"/>
  <c r="J27" i="18"/>
  <c r="M159" i="20"/>
  <c r="N158" i="20"/>
  <c r="I27" i="18"/>
  <c r="I39" i="18"/>
  <c r="L10" i="16"/>
  <c r="H129" i="6"/>
  <c r="H130" i="6" s="1"/>
  <c r="I128" i="6"/>
  <c r="I20" i="5" s="1"/>
  <c r="N100" i="6"/>
  <c r="K114" i="6" l="1"/>
  <c r="K13" i="5"/>
  <c r="H9" i="22"/>
  <c r="H15" i="24"/>
  <c r="K9" i="24"/>
  <c r="G9" i="22"/>
  <c r="G7" i="24" s="1"/>
  <c r="L9" i="24"/>
  <c r="F9" i="20"/>
  <c r="G7" i="20"/>
  <c r="G7" i="26"/>
  <c r="H40" i="5"/>
  <c r="H41" i="5" s="1"/>
  <c r="G7" i="19"/>
  <c r="E28" i="23"/>
  <c r="D36" i="23"/>
  <c r="E37" i="23" s="1"/>
  <c r="E13" i="23" s="1"/>
  <c r="F9" i="19"/>
  <c r="F8" i="26"/>
  <c r="D34" i="23"/>
  <c r="D8" i="22" s="1"/>
  <c r="D21" i="24" s="1"/>
  <c r="K38" i="5"/>
  <c r="J10" i="5"/>
  <c r="K122" i="6"/>
  <c r="K15" i="5" s="1"/>
  <c r="J25" i="5"/>
  <c r="J23" i="5"/>
  <c r="J8" i="5"/>
  <c r="J9" i="5"/>
  <c r="J26" i="5"/>
  <c r="J14" i="5"/>
  <c r="J22" i="5"/>
  <c r="I40" i="22"/>
  <c r="L109" i="6"/>
  <c r="L119" i="6" s="1"/>
  <c r="L133" i="6"/>
  <c r="L32" i="5" s="1"/>
  <c r="I29" i="5"/>
  <c r="N8" i="16"/>
  <c r="N7" i="16"/>
  <c r="N105" i="6"/>
  <c r="N11" i="5" s="1"/>
  <c r="N36" i="5"/>
  <c r="K23" i="5"/>
  <c r="K28" i="5"/>
  <c r="K26" i="5"/>
  <c r="K25" i="5"/>
  <c r="L13" i="5"/>
  <c r="K14" i="5"/>
  <c r="K22" i="5"/>
  <c r="K10" i="5"/>
  <c r="K9" i="5"/>
  <c r="K8" i="5"/>
  <c r="I16" i="5"/>
  <c r="M11" i="22"/>
  <c r="D37" i="24"/>
  <c r="M107" i="6"/>
  <c r="I58" i="22"/>
  <c r="J34" i="21" s="1"/>
  <c r="H7" i="26"/>
  <c r="O49" i="6"/>
  <c r="O100" i="6"/>
  <c r="O9" i="16" s="1"/>
  <c r="O107" i="6"/>
  <c r="O12" i="5" s="1"/>
  <c r="N22" i="22"/>
  <c r="N91" i="17"/>
  <c r="J22" i="18"/>
  <c r="J35" i="22" s="1"/>
  <c r="K20" i="23"/>
  <c r="H7" i="19"/>
  <c r="H7" i="20"/>
  <c r="O90" i="17"/>
  <c r="I30" i="24"/>
  <c r="I49" i="22"/>
  <c r="H7" i="24"/>
  <c r="K24" i="18"/>
  <c r="L25" i="18" s="1"/>
  <c r="L20" i="23" s="1"/>
  <c r="H8" i="21"/>
  <c r="K14" i="24"/>
  <c r="M38" i="19"/>
  <c r="M46" i="22" s="1"/>
  <c r="N159" i="20"/>
  <c r="O158" i="20"/>
  <c r="O159" i="20" s="1"/>
  <c r="J39" i="18"/>
  <c r="K39" i="18"/>
  <c r="M10" i="16"/>
  <c r="J128" i="6"/>
  <c r="I129" i="6"/>
  <c r="I130" i="6" s="1"/>
  <c r="G7" i="23" l="1"/>
  <c r="N17" i="24"/>
  <c r="M9" i="24"/>
  <c r="I15" i="24"/>
  <c r="J29" i="24"/>
  <c r="E20" i="21"/>
  <c r="L38" i="5"/>
  <c r="J40" i="22"/>
  <c r="J16" i="5"/>
  <c r="J7" i="21" s="1"/>
  <c r="N133" i="6"/>
  <c r="N32" i="5" s="1"/>
  <c r="L21" i="5"/>
  <c r="L122" i="6"/>
  <c r="L15" i="5" s="1"/>
  <c r="L114" i="6"/>
  <c r="L14" i="5" s="1"/>
  <c r="O105" i="6"/>
  <c r="O11" i="5" s="1"/>
  <c r="O36" i="5"/>
  <c r="O8" i="16"/>
  <c r="O7" i="16"/>
  <c r="M12" i="5"/>
  <c r="M36" i="5"/>
  <c r="I7" i="21"/>
  <c r="I40" i="5"/>
  <c r="I41" i="5" s="1"/>
  <c r="L23" i="5"/>
  <c r="L25" i="5"/>
  <c r="L28" i="5"/>
  <c r="L26" i="5"/>
  <c r="J129" i="6"/>
  <c r="J130" i="6" s="1"/>
  <c r="J20" i="5"/>
  <c r="K16" i="5"/>
  <c r="L10" i="5"/>
  <c r="L9" i="5"/>
  <c r="L8" i="5"/>
  <c r="N11" i="22"/>
  <c r="M133" i="6"/>
  <c r="M32" i="5" s="1"/>
  <c r="D25" i="24"/>
  <c r="D27" i="24" s="1"/>
  <c r="M109" i="6"/>
  <c r="J58" i="22"/>
  <c r="H8" i="26"/>
  <c r="D16" i="22"/>
  <c r="D32" i="22" s="1"/>
  <c r="N28" i="22"/>
  <c r="I31" i="24"/>
  <c r="I38" i="4" s="1"/>
  <c r="O20" i="22"/>
  <c r="O22" i="22" s="1"/>
  <c r="O91" i="17"/>
  <c r="K26" i="18"/>
  <c r="K18" i="21" s="1"/>
  <c r="H9" i="19"/>
  <c r="H9" i="20"/>
  <c r="J23" i="18"/>
  <c r="J44" i="22" s="1"/>
  <c r="H7" i="23"/>
  <c r="I8" i="21"/>
  <c r="L14" i="24"/>
  <c r="N38" i="19"/>
  <c r="N46" i="22" s="1"/>
  <c r="K22" i="18"/>
  <c r="K35" i="22" s="1"/>
  <c r="L24" i="18"/>
  <c r="L39" i="18"/>
  <c r="N10" i="16"/>
  <c r="K128" i="6"/>
  <c r="K20" i="5" s="1"/>
  <c r="K40" i="22"/>
  <c r="N109" i="6"/>
  <c r="K15" i="24" l="1"/>
  <c r="K29" i="24"/>
  <c r="N9" i="24"/>
  <c r="J9" i="22"/>
  <c r="J7" i="24" s="1"/>
  <c r="I9" i="22"/>
  <c r="I7" i="24" s="1"/>
  <c r="J15" i="24"/>
  <c r="E20" i="20"/>
  <c r="E20" i="19"/>
  <c r="E56" i="19" s="1"/>
  <c r="K29" i="5"/>
  <c r="K40" i="5" s="1"/>
  <c r="K41" i="5" s="1"/>
  <c r="J29" i="5"/>
  <c r="J8" i="21" s="1"/>
  <c r="N38" i="5"/>
  <c r="J40" i="5"/>
  <c r="J41" i="5" s="1"/>
  <c r="L22" i="5"/>
  <c r="O133" i="6"/>
  <c r="O32" i="5" s="1"/>
  <c r="M38" i="5"/>
  <c r="I7" i="20"/>
  <c r="I7" i="26"/>
  <c r="I7" i="19"/>
  <c r="N13" i="5"/>
  <c r="N21" i="5"/>
  <c r="M13" i="5"/>
  <c r="M21" i="5"/>
  <c r="L16" i="5"/>
  <c r="O11" i="22"/>
  <c r="M119" i="6"/>
  <c r="N119" i="6"/>
  <c r="N122" i="6"/>
  <c r="N15" i="5" s="1"/>
  <c r="M122" i="6"/>
  <c r="M15" i="5" s="1"/>
  <c r="M114" i="6"/>
  <c r="M22" i="5" s="1"/>
  <c r="J7" i="26"/>
  <c r="I8" i="26"/>
  <c r="K27" i="18"/>
  <c r="O10" i="16"/>
  <c r="O109" i="6"/>
  <c r="J7" i="19"/>
  <c r="J7" i="20"/>
  <c r="K19" i="23"/>
  <c r="K19" i="19"/>
  <c r="K19" i="20"/>
  <c r="I9" i="19"/>
  <c r="I9" i="20"/>
  <c r="K34" i="21"/>
  <c r="J30" i="24"/>
  <c r="J49" i="22"/>
  <c r="O17" i="24"/>
  <c r="O28" i="22"/>
  <c r="K23" i="18"/>
  <c r="K44" i="22" s="1"/>
  <c r="I7" i="23"/>
  <c r="M14" i="24"/>
  <c r="O38" i="19"/>
  <c r="O46" i="22" s="1"/>
  <c r="L26" i="18"/>
  <c r="L18" i="21" s="1"/>
  <c r="M25" i="18"/>
  <c r="L128" i="6"/>
  <c r="L20" i="5" s="1"/>
  <c r="L40" i="22"/>
  <c r="K129" i="6"/>
  <c r="K130" i="6" s="1"/>
  <c r="K7" i="21"/>
  <c r="N114" i="6"/>
  <c r="K9" i="22" l="1"/>
  <c r="O9" i="24"/>
  <c r="L15" i="24"/>
  <c r="O38" i="5"/>
  <c r="L29" i="5"/>
  <c r="L40" i="5" s="1"/>
  <c r="L41" i="5" s="1"/>
  <c r="M23" i="5"/>
  <c r="M28" i="5"/>
  <c r="M26" i="5"/>
  <c r="M25" i="5"/>
  <c r="N23" i="5"/>
  <c r="N25" i="5"/>
  <c r="N28" i="5"/>
  <c r="N26" i="5"/>
  <c r="O13" i="5"/>
  <c r="O21" i="5"/>
  <c r="N14" i="5"/>
  <c r="N22" i="5"/>
  <c r="M14" i="5"/>
  <c r="N10" i="5"/>
  <c r="N9" i="5"/>
  <c r="N8" i="5"/>
  <c r="M10" i="5"/>
  <c r="M9" i="5"/>
  <c r="M8" i="5"/>
  <c r="O119" i="6"/>
  <c r="O122" i="6"/>
  <c r="O15" i="5" s="1"/>
  <c r="K58" i="22"/>
  <c r="L34" i="21" s="1"/>
  <c r="K7" i="26"/>
  <c r="J8" i="26"/>
  <c r="O114" i="6"/>
  <c r="L22" i="18"/>
  <c r="L35" i="22" s="1"/>
  <c r="M20" i="23"/>
  <c r="J31" i="24"/>
  <c r="J38" i="4" s="1"/>
  <c r="K7" i="19"/>
  <c r="K7" i="20"/>
  <c r="K30" i="24"/>
  <c r="K49" i="22"/>
  <c r="J9" i="20"/>
  <c r="J9" i="19"/>
  <c r="L19" i="23"/>
  <c r="L19" i="19"/>
  <c r="L19" i="20"/>
  <c r="J7" i="23"/>
  <c r="K7" i="24"/>
  <c r="K8" i="21"/>
  <c r="N14" i="24"/>
  <c r="O14" i="24"/>
  <c r="L27" i="18"/>
  <c r="M24" i="18"/>
  <c r="M39" i="18"/>
  <c r="N39" i="18"/>
  <c r="L129" i="6"/>
  <c r="L130" i="6" s="1"/>
  <c r="M128" i="6"/>
  <c r="M20" i="5" s="1"/>
  <c r="L7" i="21"/>
  <c r="L29" i="24" l="1"/>
  <c r="L9" i="22"/>
  <c r="M29" i="5"/>
  <c r="M40" i="22"/>
  <c r="O23" i="5"/>
  <c r="O28" i="5"/>
  <c r="O26" i="5"/>
  <c r="O25" i="5"/>
  <c r="O14" i="5"/>
  <c r="O22" i="5"/>
  <c r="M129" i="6"/>
  <c r="M130" i="6" s="1"/>
  <c r="N16" i="5"/>
  <c r="O10" i="5"/>
  <c r="O9" i="5"/>
  <c r="O8" i="5"/>
  <c r="M16" i="5"/>
  <c r="L58" i="22"/>
  <c r="K8" i="26"/>
  <c r="L7" i="26"/>
  <c r="K7" i="23"/>
  <c r="O128" i="6"/>
  <c r="O20" i="5" s="1"/>
  <c r="K31" i="24"/>
  <c r="K38" i="4" s="1"/>
  <c r="L7" i="19"/>
  <c r="L7" i="20"/>
  <c r="K9" i="19"/>
  <c r="K9" i="20"/>
  <c r="L23" i="18"/>
  <c r="L44" i="22" s="1"/>
  <c r="L7" i="24"/>
  <c r="L8" i="21"/>
  <c r="M26" i="18"/>
  <c r="M18" i="21" s="1"/>
  <c r="N25" i="18"/>
  <c r="O39" i="18"/>
  <c r="N40" i="22"/>
  <c r="N128" i="6"/>
  <c r="N20" i="5" s="1"/>
  <c r="N15" i="24" l="1"/>
  <c r="M15" i="24"/>
  <c r="N29" i="5"/>
  <c r="N40" i="5" s="1"/>
  <c r="N41" i="5" s="1"/>
  <c r="M40" i="5"/>
  <c r="M41" i="5" s="1"/>
  <c r="O29" i="5"/>
  <c r="M7" i="21"/>
  <c r="O16" i="5"/>
  <c r="L8" i="26"/>
  <c r="O129" i="6"/>
  <c r="O130" i="6" s="1"/>
  <c r="O40" i="22"/>
  <c r="L30" i="24"/>
  <c r="L31" i="24" s="1"/>
  <c r="L38" i="4" s="1"/>
  <c r="L49" i="22"/>
  <c r="M22" i="18"/>
  <c r="M35" i="22" s="1"/>
  <c r="N20" i="23"/>
  <c r="M19" i="23"/>
  <c r="M19" i="20"/>
  <c r="M19" i="19"/>
  <c r="L9" i="19"/>
  <c r="L9" i="20"/>
  <c r="M34" i="21"/>
  <c r="L7" i="23"/>
  <c r="M8" i="21"/>
  <c r="M27" i="18"/>
  <c r="N24" i="18"/>
  <c r="N129" i="6"/>
  <c r="N130" i="6" s="1"/>
  <c r="N7" i="21"/>
  <c r="M29" i="24" l="1"/>
  <c r="M9" i="22"/>
  <c r="M7" i="24" s="1"/>
  <c r="N9" i="22"/>
  <c r="O15" i="24"/>
  <c r="M7" i="20"/>
  <c r="M7" i="26"/>
  <c r="M7" i="19"/>
  <c r="O40" i="5"/>
  <c r="O41" i="5" s="1"/>
  <c r="M58" i="22"/>
  <c r="N7" i="26"/>
  <c r="M8" i="26"/>
  <c r="O8" i="21"/>
  <c r="O7" i="21"/>
  <c r="N7" i="19"/>
  <c r="N7" i="20"/>
  <c r="M23" i="18"/>
  <c r="M44" i="22" s="1"/>
  <c r="M9" i="19"/>
  <c r="M9" i="20"/>
  <c r="M7" i="23"/>
  <c r="N8" i="21"/>
  <c r="N26" i="18"/>
  <c r="N18" i="21" s="1"/>
  <c r="O25" i="18"/>
  <c r="O9" i="22" l="1"/>
  <c r="O7" i="24" s="1"/>
  <c r="N8" i="26"/>
  <c r="O7" i="26"/>
  <c r="O8" i="26"/>
  <c r="O9" i="20"/>
  <c r="O9" i="19"/>
  <c r="O7" i="20"/>
  <c r="O7" i="19"/>
  <c r="N19" i="23"/>
  <c r="N19" i="19"/>
  <c r="N19" i="20"/>
  <c r="N9" i="20"/>
  <c r="N9" i="19"/>
  <c r="N22" i="18"/>
  <c r="N35" i="22" s="1"/>
  <c r="O20" i="23"/>
  <c r="M30" i="24"/>
  <c r="M49" i="22"/>
  <c r="N34" i="21"/>
  <c r="N7" i="23"/>
  <c r="N7" i="24"/>
  <c r="O24" i="18"/>
  <c r="O23" i="18" s="1"/>
  <c r="O44" i="22" s="1"/>
  <c r="N27" i="18"/>
  <c r="B157" i="19"/>
  <c r="N29" i="24" l="1"/>
  <c r="N58" i="22"/>
  <c r="O7" i="23"/>
  <c r="M31" i="24"/>
  <c r="M38" i="4" s="1"/>
  <c r="O30" i="24"/>
  <c r="O31" i="24" s="1"/>
  <c r="O38" i="4" s="1"/>
  <c r="O49" i="22"/>
  <c r="N23" i="18"/>
  <c r="N44" i="22" s="1"/>
  <c r="O26" i="18"/>
  <c r="O18" i="21" s="1"/>
  <c r="C157" i="19"/>
  <c r="D156" i="19"/>
  <c r="D157" i="19" s="1"/>
  <c r="O27" i="18" l="1"/>
  <c r="O19" i="23"/>
  <c r="O19" i="19"/>
  <c r="O19" i="20"/>
  <c r="N30" i="24"/>
  <c r="N49" i="22"/>
  <c r="O34" i="21"/>
  <c r="E156" i="19"/>
  <c r="F156" i="19" s="1"/>
  <c r="O58" i="22" l="1"/>
  <c r="N31" i="24"/>
  <c r="N38" i="4" s="1"/>
  <c r="E157" i="19"/>
  <c r="G156" i="19"/>
  <c r="F157" i="19"/>
  <c r="G157" i="19" l="1"/>
  <c r="H156" i="19"/>
  <c r="H157" i="19" l="1"/>
  <c r="I156" i="19"/>
  <c r="J156" i="19" l="1"/>
  <c r="I157" i="19"/>
  <c r="J157" i="19" l="1"/>
  <c r="K156" i="19"/>
  <c r="L156" i="19" l="1"/>
  <c r="K157" i="19"/>
  <c r="L157" i="19" l="1"/>
  <c r="M156" i="19"/>
  <c r="N156" i="19" l="1"/>
  <c r="M157" i="19"/>
  <c r="O156" i="19" l="1"/>
  <c r="O157" i="19" s="1"/>
  <c r="N157" i="19"/>
  <c r="E56" i="22" l="1"/>
  <c r="F32" i="21" l="1"/>
  <c r="F56" i="22" l="1"/>
  <c r="G32" i="21" s="1"/>
  <c r="G56" i="22" l="1"/>
  <c r="H32" i="21" l="1"/>
  <c r="H56" i="22" l="1"/>
  <c r="I32" i="21" l="1"/>
  <c r="I56" i="22" l="1"/>
  <c r="J32" i="21" s="1"/>
  <c r="J56" i="22" s="1"/>
  <c r="K32" i="21" s="1"/>
  <c r="K56" i="22" s="1"/>
  <c r="C17" i="21" l="1"/>
  <c r="C21" i="21" l="1"/>
  <c r="C24" i="21" s="1"/>
  <c r="D17" i="21"/>
  <c r="C61" i="22" l="1"/>
  <c r="C64" i="22" s="1"/>
  <c r="D21" i="21"/>
  <c r="D24" i="21" s="1"/>
  <c r="E30" i="21" s="1"/>
  <c r="C32" i="24" l="1"/>
  <c r="C33" i="24" s="1"/>
  <c r="C35" i="24" s="1"/>
  <c r="C66" i="22"/>
  <c r="C68" i="22" s="1"/>
  <c r="D61" i="22"/>
  <c r="D64" i="22" s="1"/>
  <c r="E36" i="21"/>
  <c r="E38" i="21" s="1"/>
  <c r="D66" i="22" l="1"/>
  <c r="D68" i="22" s="1"/>
  <c r="E35" i="16"/>
  <c r="D32" i="24"/>
  <c r="D33" i="24" s="1"/>
  <c r="D35" i="24" s="1"/>
  <c r="E39" i="21"/>
  <c r="E40" i="21" s="1"/>
  <c r="E40" i="16" l="1"/>
  <c r="E41" i="16" s="1"/>
  <c r="E12" i="26"/>
  <c r="E24" i="23"/>
  <c r="E44" i="21"/>
  <c r="E45" i="21" s="1"/>
  <c r="E22" i="23"/>
  <c r="E43" i="16" l="1"/>
  <c r="E16" i="21" s="1"/>
  <c r="E18" i="19" s="1"/>
  <c r="E34" i="16"/>
  <c r="F39" i="16"/>
  <c r="E60" i="22"/>
  <c r="E62" i="22"/>
  <c r="F35" i="21"/>
  <c r="E18" i="20" l="1"/>
  <c r="L32" i="21" l="1"/>
  <c r="L56" i="22" s="1"/>
  <c r="M32" i="21" s="1"/>
  <c r="M56" i="22" s="1"/>
  <c r="N32" i="21" s="1"/>
  <c r="N56" i="22" s="1"/>
  <c r="O32" i="21" s="1"/>
  <c r="O56" i="22" s="1"/>
  <c r="E29" i="5" l="1"/>
  <c r="E40" i="5" l="1"/>
  <c r="E41" i="5" s="1"/>
  <c r="E7" i="21"/>
  <c r="E8" i="21"/>
  <c r="E9" i="22" l="1"/>
  <c r="E7" i="20"/>
  <c r="E7" i="26"/>
  <c r="E7" i="19"/>
  <c r="E8" i="26"/>
  <c r="E9" i="19"/>
  <c r="E9" i="20"/>
  <c r="E7" i="23" l="1"/>
  <c r="E14" i="23" s="1"/>
  <c r="E7" i="24"/>
  <c r="F7" i="23"/>
  <c r="C161" i="6" l="1"/>
  <c r="D158" i="6"/>
  <c r="D161" i="6" s="1"/>
  <c r="F161" i="6"/>
  <c r="F17" i="16"/>
  <c r="F37" i="22" s="1"/>
  <c r="G161" i="6"/>
  <c r="H161" i="6"/>
  <c r="I161" i="6"/>
  <c r="I17" i="16"/>
  <c r="I37" i="22" s="1"/>
  <c r="J161" i="6"/>
  <c r="K161" i="6"/>
  <c r="K17" i="16"/>
  <c r="K37" i="22" s="1"/>
  <c r="L161" i="6"/>
  <c r="M161" i="6"/>
  <c r="E158" i="6"/>
  <c r="O161" i="6"/>
  <c r="N161" i="6"/>
  <c r="N17" i="16"/>
  <c r="N37" i="22" s="1"/>
  <c r="E161" i="6" l="1"/>
  <c r="E13" i="16"/>
  <c r="E17" i="16" s="1"/>
  <c r="E37" i="22" s="1"/>
  <c r="O17" i="16"/>
  <c r="O37" i="22" s="1"/>
  <c r="N9" i="21"/>
  <c r="I9" i="21"/>
  <c r="M17" i="16"/>
  <c r="M37" i="22" s="1"/>
  <c r="K9" i="21"/>
  <c r="L17" i="16"/>
  <c r="L37" i="22" s="1"/>
  <c r="J17" i="16"/>
  <c r="J37" i="22" s="1"/>
  <c r="H17" i="16"/>
  <c r="H37" i="22" s="1"/>
  <c r="G17" i="16"/>
  <c r="G37" i="22" s="1"/>
  <c r="F9" i="21"/>
  <c r="E9" i="21" l="1"/>
  <c r="O9" i="21"/>
  <c r="K17" i="23"/>
  <c r="J9" i="21"/>
  <c r="N11" i="24"/>
  <c r="F11" i="24"/>
  <c r="L9" i="21"/>
  <c r="I9" i="26"/>
  <c r="I11" i="21"/>
  <c r="I10" i="20"/>
  <c r="I10" i="19"/>
  <c r="K11" i="24"/>
  <c r="F10" i="19"/>
  <c r="F17" i="23"/>
  <c r="F9" i="26"/>
  <c r="F10" i="20"/>
  <c r="F11" i="21"/>
  <c r="O11" i="24"/>
  <c r="G9" i="21"/>
  <c r="K9" i="26"/>
  <c r="K10" i="20"/>
  <c r="K11" i="21"/>
  <c r="K10" i="19"/>
  <c r="I11" i="24"/>
  <c r="E11" i="24"/>
  <c r="I17" i="23"/>
  <c r="H9" i="21"/>
  <c r="N9" i="26"/>
  <c r="N10" i="20"/>
  <c r="N11" i="21"/>
  <c r="N10" i="19"/>
  <c r="N17" i="23"/>
  <c r="M9" i="21"/>
  <c r="O10" i="20" l="1"/>
  <c r="O12" i="20" s="1"/>
  <c r="E17" i="23"/>
  <c r="E33" i="16" s="1"/>
  <c r="E10" i="19"/>
  <c r="E12" i="19" s="1"/>
  <c r="E9" i="26"/>
  <c r="E11" i="21"/>
  <c r="E10" i="20"/>
  <c r="O10" i="19"/>
  <c r="O12" i="19" s="1"/>
  <c r="O9" i="26"/>
  <c r="O11" i="21"/>
  <c r="O17" i="23"/>
  <c r="G9" i="26"/>
  <c r="G17" i="23"/>
  <c r="G10" i="20"/>
  <c r="G11" i="21"/>
  <c r="G10" i="19"/>
  <c r="H10" i="20"/>
  <c r="H17" i="23"/>
  <c r="H9" i="26"/>
  <c r="H11" i="21"/>
  <c r="H10" i="19"/>
  <c r="M10" i="20"/>
  <c r="M9" i="26"/>
  <c r="M17" i="23"/>
  <c r="M11" i="21"/>
  <c r="M10" i="19"/>
  <c r="H11" i="24"/>
  <c r="O51" i="19"/>
  <c r="I12" i="20"/>
  <c r="L11" i="24"/>
  <c r="N51" i="19"/>
  <c r="N12" i="19"/>
  <c r="G11" i="24"/>
  <c r="F12" i="20"/>
  <c r="I12" i="19"/>
  <c r="I51" i="19"/>
  <c r="M11" i="24"/>
  <c r="N12" i="20"/>
  <c r="K12" i="19"/>
  <c r="K51" i="19"/>
  <c r="L17" i="23"/>
  <c r="L9" i="26"/>
  <c r="L10" i="20"/>
  <c r="L11" i="21"/>
  <c r="L10" i="19"/>
  <c r="L51" i="19" s="1"/>
  <c r="F12" i="19"/>
  <c r="F51" i="19"/>
  <c r="J10" i="20"/>
  <c r="J11" i="21"/>
  <c r="J17" i="23"/>
  <c r="J10" i="19"/>
  <c r="J9" i="26"/>
  <c r="K12" i="20"/>
  <c r="J11" i="24"/>
  <c r="E51" i="19" l="1"/>
  <c r="E12" i="20"/>
  <c r="G12" i="19"/>
  <c r="G51" i="19"/>
  <c r="E11" i="26"/>
  <c r="E15" i="21"/>
  <c r="L12" i="19"/>
  <c r="M12" i="19"/>
  <c r="M51" i="19"/>
  <c r="M12" i="20"/>
  <c r="J12" i="20"/>
  <c r="H12" i="19"/>
  <c r="H51" i="19"/>
  <c r="H12" i="20"/>
  <c r="G12" i="20"/>
  <c r="J12" i="19"/>
  <c r="J51" i="19"/>
  <c r="L12" i="20"/>
  <c r="E13" i="26" l="1"/>
  <c r="E23" i="23"/>
  <c r="E17" i="19"/>
  <c r="E17" i="20"/>
  <c r="E17" i="21"/>
  <c r="E14" i="26" l="1"/>
  <c r="E17" i="26"/>
  <c r="E18" i="26" s="1"/>
  <c r="E25" i="23"/>
  <c r="E31" i="23" s="1"/>
  <c r="E44" i="4"/>
  <c r="E42" i="4" s="1"/>
  <c r="E21" i="21"/>
  <c r="E22" i="20"/>
  <c r="E22" i="19"/>
  <c r="E58" i="19" s="1"/>
  <c r="E57" i="19"/>
  <c r="E27" i="23" l="1"/>
  <c r="E29" i="23" s="1"/>
  <c r="E13" i="19"/>
  <c r="E23" i="19" s="1"/>
  <c r="E13" i="20"/>
  <c r="E23" i="20" s="1"/>
  <c r="E7" i="22"/>
  <c r="E20" i="24"/>
  <c r="E42" i="20" l="1"/>
  <c r="E34" i="23"/>
  <c r="E33" i="23"/>
  <c r="E36" i="23"/>
  <c r="F37" i="23" s="1"/>
  <c r="F20" i="21" s="1"/>
  <c r="F28" i="23"/>
  <c r="E41" i="19"/>
  <c r="E42" i="19"/>
  <c r="E43" i="19" s="1"/>
  <c r="E43" i="20"/>
  <c r="E44" i="20" s="1"/>
  <c r="E45" i="20" l="1"/>
  <c r="E46" i="20" s="1"/>
  <c r="E8" i="22"/>
  <c r="F13" i="23"/>
  <c r="E44" i="19"/>
  <c r="E24" i="19" s="1"/>
  <c r="F20" i="19"/>
  <c r="F56" i="19" s="1"/>
  <c r="F20" i="20"/>
  <c r="E21" i="24" l="1"/>
  <c r="E24" i="20"/>
  <c r="E25" i="20" s="1"/>
  <c r="E52" i="20" s="1"/>
  <c r="F14" i="23"/>
  <c r="E16" i="22"/>
  <c r="E32" i="22" s="1"/>
  <c r="C40" i="26"/>
  <c r="E52" i="19"/>
  <c r="E53" i="19" s="1"/>
  <c r="E45" i="19"/>
  <c r="E25" i="19"/>
  <c r="E26" i="20" l="1"/>
  <c r="E58" i="20"/>
  <c r="E27" i="20"/>
  <c r="E29" i="20" s="1"/>
  <c r="E60" i="20"/>
  <c r="E54" i="20"/>
  <c r="E59" i="20"/>
  <c r="E53" i="20"/>
  <c r="E61" i="20" s="1"/>
  <c r="E59" i="19"/>
  <c r="E60" i="19" s="1"/>
  <c r="E26" i="19"/>
  <c r="E54" i="19"/>
  <c r="E74" i="19" l="1"/>
  <c r="E76" i="19" s="1"/>
  <c r="E62" i="20"/>
  <c r="E63" i="20" s="1"/>
  <c r="E82" i="20" s="1"/>
  <c r="F83" i="20" s="1"/>
  <c r="E55" i="20"/>
  <c r="E56" i="20" s="1"/>
  <c r="E76" i="20" s="1"/>
  <c r="E70" i="20"/>
  <c r="E72" i="20" s="1"/>
  <c r="E61" i="19"/>
  <c r="E64" i="19"/>
  <c r="E65" i="19" s="1"/>
  <c r="E22" i="21"/>
  <c r="E68" i="19"/>
  <c r="E28" i="19"/>
  <c r="F75" i="19" l="1"/>
  <c r="F77" i="19" s="1"/>
  <c r="E24" i="21"/>
  <c r="E84" i="20"/>
  <c r="F85" i="20" s="1"/>
  <c r="E78" i="20"/>
  <c r="F77" i="20"/>
  <c r="E19" i="26"/>
  <c r="E20" i="26" s="1"/>
  <c r="E66" i="20"/>
  <c r="E67" i="20" s="1"/>
  <c r="F71" i="20"/>
  <c r="F73" i="20" s="1"/>
  <c r="E87" i="20"/>
  <c r="E80" i="19"/>
  <c r="E82" i="19" s="1"/>
  <c r="F69" i="19"/>
  <c r="E70" i="19"/>
  <c r="E61" i="22" l="1"/>
  <c r="E64" i="22" s="1"/>
  <c r="F10" i="24"/>
  <c r="F30" i="21"/>
  <c r="F36" i="21" s="1"/>
  <c r="F38" i="21" s="1"/>
  <c r="E89" i="20"/>
  <c r="F88" i="20"/>
  <c r="E13" i="24"/>
  <c r="E16" i="24" s="1"/>
  <c r="F79" i="20"/>
  <c r="F90" i="20" s="1"/>
  <c r="F81" i="19"/>
  <c r="F22" i="24" s="1"/>
  <c r="E85" i="19"/>
  <c r="E87" i="19"/>
  <c r="F71" i="19"/>
  <c r="E39" i="22"/>
  <c r="F12" i="22"/>
  <c r="E23" i="24"/>
  <c r="F35" i="16" l="1"/>
  <c r="E32" i="24"/>
  <c r="E39" i="4" s="1"/>
  <c r="E32" i="4" s="1"/>
  <c r="E18" i="24"/>
  <c r="F39" i="21"/>
  <c r="F40" i="21" s="1"/>
  <c r="E41" i="22"/>
  <c r="E51" i="22" s="1"/>
  <c r="E66" i="22" s="1"/>
  <c r="E68" i="22" s="1"/>
  <c r="E37" i="24"/>
  <c r="E22" i="26" s="1"/>
  <c r="E24" i="26" s="1"/>
  <c r="E26" i="26" s="1"/>
  <c r="F86" i="19"/>
  <c r="F83" i="19"/>
  <c r="F88" i="19" s="1"/>
  <c r="C42" i="26"/>
  <c r="E25" i="24"/>
  <c r="F21" i="23"/>
  <c r="F40" i="16" l="1"/>
  <c r="F43" i="16" s="1"/>
  <c r="F16" i="21" s="1"/>
  <c r="F12" i="26"/>
  <c r="E43" i="4"/>
  <c r="E33" i="4" s="1"/>
  <c r="F24" i="23"/>
  <c r="F33" i="16" s="1"/>
  <c r="E33" i="24"/>
  <c r="E27" i="24"/>
  <c r="E29" i="26"/>
  <c r="E31" i="26" s="1"/>
  <c r="E10" i="4"/>
  <c r="E11" i="4"/>
  <c r="F22" i="23"/>
  <c r="F44" i="21"/>
  <c r="F45" i="21" s="1"/>
  <c r="E27" i="26"/>
  <c r="F41" i="16" l="1"/>
  <c r="G39" i="16" s="1"/>
  <c r="E35" i="24"/>
  <c r="Q3" i="29"/>
  <c r="E7" i="4" s="1"/>
  <c r="O3" i="29"/>
  <c r="K3" i="29"/>
  <c r="F34" i="16"/>
  <c r="F15" i="21" s="1"/>
  <c r="F18" i="20"/>
  <c r="F18" i="19"/>
  <c r="F62" i="22"/>
  <c r="G35" i="21"/>
  <c r="F11" i="26"/>
  <c r="F60" i="22" l="1"/>
  <c r="F13" i="26"/>
  <c r="E8" i="4"/>
  <c r="F7" i="4"/>
  <c r="F23" i="23"/>
  <c r="F17" i="20"/>
  <c r="F17" i="19"/>
  <c r="F17" i="21"/>
  <c r="E15" i="4" l="1"/>
  <c r="G7" i="4"/>
  <c r="F17" i="26"/>
  <c r="F18" i="26" s="1"/>
  <c r="F14" i="26"/>
  <c r="F25" i="23"/>
  <c r="F31" i="23" s="1"/>
  <c r="F21" i="21"/>
  <c r="F44" i="4"/>
  <c r="F42" i="4" s="1"/>
  <c r="F57" i="19"/>
  <c r="F22" i="19"/>
  <c r="F58" i="19" s="1"/>
  <c r="F22" i="20"/>
  <c r="H7" i="4" l="1"/>
  <c r="E16" i="4"/>
  <c r="F27" i="23"/>
  <c r="F29" i="23" s="1"/>
  <c r="F13" i="20"/>
  <c r="F23" i="20" s="1"/>
  <c r="F13" i="19"/>
  <c r="F23" i="19" s="1"/>
  <c r="F20" i="24"/>
  <c r="F7" i="22"/>
  <c r="F42" i="20" l="1"/>
  <c r="E17" i="4"/>
  <c r="I7" i="4"/>
  <c r="F36" i="23"/>
  <c r="G37" i="23" s="1"/>
  <c r="G13" i="23" s="1"/>
  <c r="F34" i="23"/>
  <c r="F33" i="23"/>
  <c r="G28" i="23"/>
  <c r="F43" i="20"/>
  <c r="F44" i="20" s="1"/>
  <c r="F42" i="19"/>
  <c r="F43" i="19" s="1"/>
  <c r="F41" i="19"/>
  <c r="F45" i="20" l="1"/>
  <c r="F24" i="20" s="1"/>
  <c r="F25" i="20" s="1"/>
  <c r="J7" i="4"/>
  <c r="E18" i="4"/>
  <c r="E22" i="4"/>
  <c r="G20" i="21"/>
  <c r="F8" i="22"/>
  <c r="G14" i="23"/>
  <c r="F44" i="19"/>
  <c r="G20" i="19" l="1"/>
  <c r="G56" i="19" s="1"/>
  <c r="F21" i="24"/>
  <c r="F52" i="20"/>
  <c r="F60" i="20"/>
  <c r="F58" i="20"/>
  <c r="F59" i="20"/>
  <c r="F26" i="20"/>
  <c r="F54" i="20" s="1"/>
  <c r="F46" i="20"/>
  <c r="K7" i="4"/>
  <c r="L7" i="4" s="1"/>
  <c r="M7" i="4" s="1"/>
  <c r="N7" i="4" s="1"/>
  <c r="O7" i="4" s="1"/>
  <c r="G20" i="20"/>
  <c r="F16" i="22"/>
  <c r="F32" i="22" s="1"/>
  <c r="F24" i="19"/>
  <c r="F52" i="19"/>
  <c r="F45" i="19"/>
  <c r="F27" i="20" l="1"/>
  <c r="F53" i="20"/>
  <c r="F55" i="20" s="1"/>
  <c r="F53" i="19"/>
  <c r="F59" i="19"/>
  <c r="F60" i="19" s="1"/>
  <c r="F25" i="19"/>
  <c r="F56" i="20" l="1"/>
  <c r="F76" i="20" s="1"/>
  <c r="G77" i="20" s="1"/>
  <c r="F61" i="20"/>
  <c r="F29" i="20"/>
  <c r="F70" i="20"/>
  <c r="F26" i="19"/>
  <c r="F64" i="19"/>
  <c r="F65" i="19" s="1"/>
  <c r="F54" i="19"/>
  <c r="F74" i="19" l="1"/>
  <c r="F19" i="26" s="1"/>
  <c r="F78" i="20"/>
  <c r="G79" i="20" s="1"/>
  <c r="F62" i="20"/>
  <c r="G71" i="20"/>
  <c r="F72" i="20"/>
  <c r="F61" i="19"/>
  <c r="F22" i="21"/>
  <c r="F68" i="19"/>
  <c r="F28" i="19"/>
  <c r="F76" i="19" l="1"/>
  <c r="F13" i="24" s="1"/>
  <c r="G75" i="19"/>
  <c r="G10" i="24" s="1"/>
  <c r="F24" i="21"/>
  <c r="F66" i="20"/>
  <c r="F67" i="20" s="1"/>
  <c r="F63" i="20"/>
  <c r="F82" i="20" s="1"/>
  <c r="F87" i="20" s="1"/>
  <c r="F20" i="26"/>
  <c r="G73" i="20"/>
  <c r="F80" i="19"/>
  <c r="F82" i="19" s="1"/>
  <c r="F70" i="19"/>
  <c r="G69" i="19"/>
  <c r="G77" i="19" l="1"/>
  <c r="G30" i="21"/>
  <c r="G39" i="21" s="1"/>
  <c r="F61" i="22"/>
  <c r="F64" i="22" s="1"/>
  <c r="F84" i="20"/>
  <c r="F89" i="20" s="1"/>
  <c r="G83" i="20"/>
  <c r="G88" i="20" s="1"/>
  <c r="F16" i="24"/>
  <c r="F37" i="24" s="1"/>
  <c r="F22" i="26" s="1"/>
  <c r="F85" i="19"/>
  <c r="G81" i="19"/>
  <c r="G12" i="22"/>
  <c r="G71" i="19"/>
  <c r="F87" i="19"/>
  <c r="F39" i="22"/>
  <c r="G35" i="16" l="1"/>
  <c r="G36" i="21"/>
  <c r="G38" i="21" s="1"/>
  <c r="G40" i="21" s="1"/>
  <c r="F32" i="24"/>
  <c r="F33" i="24" s="1"/>
  <c r="F41" i="22"/>
  <c r="F51" i="22" s="1"/>
  <c r="F66" i="22" s="1"/>
  <c r="F68" i="22" s="1"/>
  <c r="G22" i="24"/>
  <c r="F23" i="24"/>
  <c r="F25" i="24" s="1"/>
  <c r="G85" i="20"/>
  <c r="G90" i="20" s="1"/>
  <c r="F18" i="24"/>
  <c r="F24" i="26"/>
  <c r="G83" i="19"/>
  <c r="G88" i="19" s="1"/>
  <c r="G86" i="19"/>
  <c r="G21" i="23"/>
  <c r="F29" i="26" l="1"/>
  <c r="F31" i="26" s="1"/>
  <c r="G12" i="26"/>
  <c r="G40" i="16"/>
  <c r="G41" i="16" s="1"/>
  <c r="G60" i="22" s="1"/>
  <c r="G24" i="23"/>
  <c r="G33" i="16" s="1"/>
  <c r="F39" i="4"/>
  <c r="F43" i="4" s="1"/>
  <c r="F33" i="4" s="1"/>
  <c r="F27" i="24"/>
  <c r="F35" i="24" s="1"/>
  <c r="G22" i="23"/>
  <c r="G44" i="21"/>
  <c r="G45" i="21" s="1"/>
  <c r="G43" i="16" l="1"/>
  <c r="G16" i="21" s="1"/>
  <c r="G18" i="19" s="1"/>
  <c r="H39" i="16"/>
  <c r="F32" i="4"/>
  <c r="F11" i="4" s="1"/>
  <c r="F10" i="4"/>
  <c r="G34" i="16"/>
  <c r="G15" i="21" s="1"/>
  <c r="G11" i="26"/>
  <c r="H35" i="21"/>
  <c r="G62" i="22"/>
  <c r="G18" i="20" l="1"/>
  <c r="F8" i="4"/>
  <c r="F15" i="4" s="1"/>
  <c r="G13" i="26"/>
  <c r="G23" i="23"/>
  <c r="G17" i="19"/>
  <c r="G17" i="20"/>
  <c r="G17" i="21"/>
  <c r="F16" i="4" l="1"/>
  <c r="G17" i="26"/>
  <c r="G18" i="26" s="1"/>
  <c r="G14" i="26"/>
  <c r="G25" i="23"/>
  <c r="G31" i="23" s="1"/>
  <c r="G22" i="20"/>
  <c r="G22" i="19"/>
  <c r="G58" i="19" s="1"/>
  <c r="G57" i="19"/>
  <c r="G44" i="4"/>
  <c r="G42" i="4" s="1"/>
  <c r="G21" i="21"/>
  <c r="F17" i="4" l="1"/>
  <c r="G27" i="23"/>
  <c r="G29" i="23" s="1"/>
  <c r="G13" i="20"/>
  <c r="G23" i="20" s="1"/>
  <c r="G13" i="19"/>
  <c r="G23" i="19" s="1"/>
  <c r="G7" i="22"/>
  <c r="G20" i="24"/>
  <c r="G42" i="20" l="1"/>
  <c r="F22" i="4"/>
  <c r="F25" i="26"/>
  <c r="F26" i="26" s="1"/>
  <c r="F27" i="26" s="1"/>
  <c r="F18" i="4"/>
  <c r="G33" i="23"/>
  <c r="G36" i="23"/>
  <c r="H37" i="23" s="1"/>
  <c r="H20" i="21" s="1"/>
  <c r="G34" i="23"/>
  <c r="H28" i="23"/>
  <c r="G42" i="19"/>
  <c r="G43" i="19" s="1"/>
  <c r="G43" i="20"/>
  <c r="G44" i="20" s="1"/>
  <c r="G41" i="19"/>
  <c r="G45" i="20" l="1"/>
  <c r="G46" i="20" s="1"/>
  <c r="G8" i="22"/>
  <c r="H13" i="23"/>
  <c r="G44" i="19"/>
  <c r="G24" i="19" s="1"/>
  <c r="H20" i="19"/>
  <c r="H56" i="19" s="1"/>
  <c r="H20" i="20"/>
  <c r="G21" i="24" l="1"/>
  <c r="G24" i="20"/>
  <c r="G25" i="20" s="1"/>
  <c r="H14" i="23"/>
  <c r="G16" i="22"/>
  <c r="G32" i="22" s="1"/>
  <c r="G45" i="19"/>
  <c r="G52" i="19"/>
  <c r="G59" i="19" s="1"/>
  <c r="G60" i="19" s="1"/>
  <c r="G25" i="19"/>
  <c r="G60" i="20" l="1"/>
  <c r="G52" i="20"/>
  <c r="G53" i="20" s="1"/>
  <c r="G61" i="20" s="1"/>
  <c r="G58" i="20"/>
  <c r="G59" i="20"/>
  <c r="G26" i="20"/>
  <c r="G54" i="20" s="1"/>
  <c r="G53" i="19"/>
  <c r="G64" i="19" s="1"/>
  <c r="G65" i="19" s="1"/>
  <c r="G26" i="19"/>
  <c r="G27" i="20" l="1"/>
  <c r="G55" i="20"/>
  <c r="G56" i="20" s="1"/>
  <c r="G76" i="20" s="1"/>
  <c r="H77" i="20" s="1"/>
  <c r="G62" i="20"/>
  <c r="G63" i="20" s="1"/>
  <c r="G54" i="19"/>
  <c r="G74" i="19" s="1"/>
  <c r="G76" i="19" s="1"/>
  <c r="G68" i="19"/>
  <c r="G28" i="19"/>
  <c r="G70" i="20" l="1"/>
  <c r="H71" i="20" s="1"/>
  <c r="G22" i="21"/>
  <c r="G29" i="20"/>
  <c r="G78" i="20"/>
  <c r="H79" i="20" s="1"/>
  <c r="G82" i="20"/>
  <c r="G84" i="20" s="1"/>
  <c r="G66" i="20"/>
  <c r="G67" i="20" s="1"/>
  <c r="G61" i="19"/>
  <c r="G80" i="19" s="1"/>
  <c r="G19" i="26"/>
  <c r="H75" i="19"/>
  <c r="H10" i="24" s="1"/>
  <c r="H69" i="19"/>
  <c r="G70" i="19"/>
  <c r="G24" i="21" l="1"/>
  <c r="G72" i="20"/>
  <c r="G89" i="20" s="1"/>
  <c r="G13" i="24"/>
  <c r="G16" i="24" s="1"/>
  <c r="G18" i="24" s="1"/>
  <c r="H83" i="20"/>
  <c r="H85" i="20" s="1"/>
  <c r="G87" i="20"/>
  <c r="G20" i="26"/>
  <c r="H81" i="19"/>
  <c r="G85" i="19"/>
  <c r="G82" i="19"/>
  <c r="G23" i="24" s="1"/>
  <c r="G25" i="24" s="1"/>
  <c r="H77" i="19"/>
  <c r="H12" i="22"/>
  <c r="H71" i="19"/>
  <c r="G61" i="22" l="1"/>
  <c r="G64" i="22" s="1"/>
  <c r="H35" i="16" s="1"/>
  <c r="H30" i="21"/>
  <c r="H39" i="21" s="1"/>
  <c r="G39" i="22"/>
  <c r="H73" i="20"/>
  <c r="H21" i="23" s="1"/>
  <c r="H22" i="24"/>
  <c r="H88" i="20"/>
  <c r="G37" i="24"/>
  <c r="G22" i="26" s="1"/>
  <c r="G87" i="19"/>
  <c r="H86" i="19"/>
  <c r="H83" i="19"/>
  <c r="H88" i="19" s="1"/>
  <c r="G27" i="24"/>
  <c r="G32" i="24" l="1"/>
  <c r="G39" i="4" s="1"/>
  <c r="G43" i="4" s="1"/>
  <c r="G33" i="4" s="1"/>
  <c r="H36" i="21"/>
  <c r="H38" i="21" s="1"/>
  <c r="H40" i="21" s="1"/>
  <c r="H22" i="23" s="1"/>
  <c r="H34" i="16" s="1"/>
  <c r="H12" i="26"/>
  <c r="H24" i="23"/>
  <c r="H40" i="16"/>
  <c r="H41" i="16" s="1"/>
  <c r="H60" i="22" s="1"/>
  <c r="H90" i="20"/>
  <c r="G41" i="22"/>
  <c r="G51" i="22" s="1"/>
  <c r="G66" i="22" s="1"/>
  <c r="G68" i="22" s="1"/>
  <c r="G24" i="26"/>
  <c r="G11" i="4"/>
  <c r="G10" i="4"/>
  <c r="G33" i="24" l="1"/>
  <c r="G35" i="24" s="1"/>
  <c r="G32" i="4"/>
  <c r="G29" i="26"/>
  <c r="G31" i="26" s="1"/>
  <c r="H44" i="21"/>
  <c r="H45" i="21" s="1"/>
  <c r="I35" i="21" s="1"/>
  <c r="H33" i="16"/>
  <c r="H11" i="26" s="1"/>
  <c r="I39" i="16"/>
  <c r="H43" i="16"/>
  <c r="H16" i="21" s="1"/>
  <c r="H18" i="19" s="1"/>
  <c r="G8" i="4"/>
  <c r="H62" i="22" l="1"/>
  <c r="H18" i="20"/>
  <c r="H15" i="21"/>
  <c r="G15" i="4"/>
  <c r="G16" i="4" s="1"/>
  <c r="H13" i="26"/>
  <c r="H17" i="21" l="1"/>
  <c r="H21" i="21" s="1"/>
  <c r="H17" i="20"/>
  <c r="H22" i="20" s="1"/>
  <c r="H17" i="19"/>
  <c r="H57" i="19" s="1"/>
  <c r="H23" i="23"/>
  <c r="H25" i="23" s="1"/>
  <c r="H31" i="23" s="1"/>
  <c r="G17" i="4"/>
  <c r="H17" i="26"/>
  <c r="H18" i="26" s="1"/>
  <c r="H14" i="26"/>
  <c r="H22" i="19" l="1"/>
  <c r="H58" i="19" s="1"/>
  <c r="H44" i="4"/>
  <c r="H42" i="4" s="1"/>
  <c r="G22" i="4"/>
  <c r="G18" i="4"/>
  <c r="G25" i="26"/>
  <c r="G26" i="26" s="1"/>
  <c r="G27" i="26" s="1"/>
  <c r="H27" i="23"/>
  <c r="H29" i="23" s="1"/>
  <c r="I28" i="23" s="1"/>
  <c r="H13" i="20"/>
  <c r="H23" i="20" s="1"/>
  <c r="H20" i="24"/>
  <c r="H7" i="22"/>
  <c r="H13" i="19" l="1"/>
  <c r="H23" i="19" s="1"/>
  <c r="H41" i="19" s="1"/>
  <c r="H42" i="20"/>
  <c r="H36" i="23"/>
  <c r="I37" i="23" s="1"/>
  <c r="I20" i="21" s="1"/>
  <c r="H33" i="23"/>
  <c r="H34" i="23"/>
  <c r="H43" i="20"/>
  <c r="H44" i="20" s="1"/>
  <c r="H42" i="19" l="1"/>
  <c r="H43" i="19" s="1"/>
  <c r="H44" i="19" s="1"/>
  <c r="H45" i="19" s="1"/>
  <c r="H45" i="20"/>
  <c r="H24" i="20" s="1"/>
  <c r="H25" i="20" s="1"/>
  <c r="I13" i="23"/>
  <c r="H8" i="22"/>
  <c r="I20" i="19"/>
  <c r="I56" i="19" s="1"/>
  <c r="I20" i="20"/>
  <c r="H21" i="24" l="1"/>
  <c r="H52" i="20"/>
  <c r="H60" i="20"/>
  <c r="H58" i="20"/>
  <c r="H59" i="20"/>
  <c r="H26" i="20"/>
  <c r="H54" i="20" s="1"/>
  <c r="H46" i="20"/>
  <c r="I14" i="23"/>
  <c r="H16" i="22"/>
  <c r="H32" i="22" s="1"/>
  <c r="H24" i="19"/>
  <c r="H52" i="19"/>
  <c r="H27" i="20" l="1"/>
  <c r="H53" i="20"/>
  <c r="H55" i="20" s="1"/>
  <c r="H59" i="19"/>
  <c r="H60" i="19" s="1"/>
  <c r="H25" i="19"/>
  <c r="H53" i="19"/>
  <c r="H56" i="20" l="1"/>
  <c r="H76" i="20" s="1"/>
  <c r="H78" i="20" s="1"/>
  <c r="H61" i="20"/>
  <c r="H70" i="20"/>
  <c r="H29" i="20"/>
  <c r="H26" i="19"/>
  <c r="H64" i="19"/>
  <c r="H65" i="19" s="1"/>
  <c r="H54" i="19"/>
  <c r="H74" i="19" s="1"/>
  <c r="I77" i="20" l="1"/>
  <c r="I79" i="20" s="1"/>
  <c r="H62" i="20"/>
  <c r="I71" i="20"/>
  <c r="H72" i="20"/>
  <c r="H61" i="19"/>
  <c r="H76" i="19"/>
  <c r="H19" i="26"/>
  <c r="I75" i="19"/>
  <c r="H22" i="21"/>
  <c r="H68" i="19"/>
  <c r="H28" i="19"/>
  <c r="H24" i="21" l="1"/>
  <c r="I10" i="24"/>
  <c r="H63" i="20"/>
  <c r="H82" i="20" s="1"/>
  <c r="H66" i="20"/>
  <c r="H67" i="20" s="1"/>
  <c r="H20" i="26"/>
  <c r="I73" i="20"/>
  <c r="H80" i="19"/>
  <c r="H82" i="19" s="1"/>
  <c r="I69" i="19"/>
  <c r="H70" i="19"/>
  <c r="H13" i="24"/>
  <c r="I77" i="19"/>
  <c r="H61" i="22" l="1"/>
  <c r="H64" i="22" s="1"/>
  <c r="I30" i="21"/>
  <c r="I36" i="21" s="1"/>
  <c r="I38" i="21" s="1"/>
  <c r="H87" i="20"/>
  <c r="H84" i="20"/>
  <c r="H89" i="20" s="1"/>
  <c r="I83" i="20"/>
  <c r="I88" i="20" s="1"/>
  <c r="H16" i="24"/>
  <c r="H18" i="24" s="1"/>
  <c r="I81" i="19"/>
  <c r="H85" i="19"/>
  <c r="H87" i="19"/>
  <c r="H39" i="22"/>
  <c r="I71" i="19"/>
  <c r="I12" i="22"/>
  <c r="I39" i="21" l="1"/>
  <c r="I40" i="21" s="1"/>
  <c r="I44" i="21" s="1"/>
  <c r="I45" i="21" s="1"/>
  <c r="I35" i="16"/>
  <c r="H32" i="24"/>
  <c r="H33" i="24" s="1"/>
  <c r="H41" i="22"/>
  <c r="H51" i="22" s="1"/>
  <c r="H66" i="22" s="1"/>
  <c r="H68" i="22" s="1"/>
  <c r="H23" i="24"/>
  <c r="H25" i="24" s="1"/>
  <c r="H27" i="24" s="1"/>
  <c r="I22" i="24"/>
  <c r="I85" i="20"/>
  <c r="I90" i="20" s="1"/>
  <c r="H37" i="24"/>
  <c r="H22" i="26" s="1"/>
  <c r="I86" i="19"/>
  <c r="I83" i="19"/>
  <c r="I88" i="19" s="1"/>
  <c r="I21" i="23"/>
  <c r="I12" i="26" l="1"/>
  <c r="H39" i="4"/>
  <c r="H32" i="4" s="1"/>
  <c r="I40" i="16"/>
  <c r="I41" i="16" s="1"/>
  <c r="J39" i="16" s="1"/>
  <c r="I24" i="23"/>
  <c r="I33" i="16" s="1"/>
  <c r="H35" i="24"/>
  <c r="H24" i="26"/>
  <c r="I22" i="23"/>
  <c r="I62" i="22"/>
  <c r="J35" i="21"/>
  <c r="H43" i="4" l="1"/>
  <c r="H33" i="4" s="1"/>
  <c r="I60" i="22"/>
  <c r="H29" i="26"/>
  <c r="H31" i="26" s="1"/>
  <c r="I43" i="16"/>
  <c r="I16" i="21" s="1"/>
  <c r="I18" i="20" s="1"/>
  <c r="H10" i="4"/>
  <c r="H11" i="4"/>
  <c r="I34" i="16"/>
  <c r="I15" i="21" s="1"/>
  <c r="I11" i="26"/>
  <c r="I18" i="19" l="1"/>
  <c r="H8" i="4"/>
  <c r="I13" i="26"/>
  <c r="I17" i="26" s="1"/>
  <c r="I23" i="23"/>
  <c r="I17" i="20"/>
  <c r="I17" i="19"/>
  <c r="I17" i="21"/>
  <c r="H15" i="4" l="1"/>
  <c r="I14" i="26"/>
  <c r="I25" i="23"/>
  <c r="I31" i="23" s="1"/>
  <c r="I44" i="4"/>
  <c r="I42" i="4" s="1"/>
  <c r="I21" i="21"/>
  <c r="I57" i="19"/>
  <c r="I22" i="19"/>
  <c r="I58" i="19" s="1"/>
  <c r="I18" i="26"/>
  <c r="I22" i="20"/>
  <c r="H16" i="4" l="1"/>
  <c r="I27" i="23"/>
  <c r="I29" i="23" s="1"/>
  <c r="I13" i="20"/>
  <c r="I23" i="20" s="1"/>
  <c r="I13" i="19"/>
  <c r="I23" i="19" s="1"/>
  <c r="I20" i="24"/>
  <c r="I7" i="22"/>
  <c r="H17" i="4" l="1"/>
  <c r="I42" i="20"/>
  <c r="I36" i="23"/>
  <c r="J37" i="23" s="1"/>
  <c r="J13" i="23" s="1"/>
  <c r="I34" i="23"/>
  <c r="I33" i="23"/>
  <c r="J28" i="23"/>
  <c r="I43" i="20"/>
  <c r="I44" i="20" s="1"/>
  <c r="I42" i="19"/>
  <c r="I43" i="19" s="1"/>
  <c r="I41" i="19"/>
  <c r="H18" i="4" l="1"/>
  <c r="H22" i="4"/>
  <c r="H25" i="26"/>
  <c r="H26" i="26" s="1"/>
  <c r="H27" i="26" s="1"/>
  <c r="I45" i="20"/>
  <c r="I46" i="20" s="1"/>
  <c r="J20" i="21"/>
  <c r="I8" i="22"/>
  <c r="J14" i="23"/>
  <c r="I44" i="19"/>
  <c r="J20" i="20" l="1"/>
  <c r="I21" i="24"/>
  <c r="I24" i="20"/>
  <c r="J20" i="19"/>
  <c r="J56" i="19" s="1"/>
  <c r="I16" i="22"/>
  <c r="I32" i="22" s="1"/>
  <c r="I24" i="19"/>
  <c r="I52" i="19"/>
  <c r="I45" i="19"/>
  <c r="I25" i="20" l="1"/>
  <c r="I59" i="19"/>
  <c r="I60" i="19" s="1"/>
  <c r="I25" i="19"/>
  <c r="I53" i="19"/>
  <c r="I52" i="20" l="1"/>
  <c r="I60" i="20"/>
  <c r="I58" i="20"/>
  <c r="I59" i="20"/>
  <c r="I26" i="20"/>
  <c r="I54" i="20" s="1"/>
  <c r="I64" i="19"/>
  <c r="I65" i="19" s="1"/>
  <c r="I54" i="19"/>
  <c r="I74" i="19" s="1"/>
  <c r="I26" i="19"/>
  <c r="I27" i="20" l="1"/>
  <c r="I61" i="19"/>
  <c r="I68" i="19"/>
  <c r="I28" i="19"/>
  <c r="I76" i="19"/>
  <c r="J75" i="19"/>
  <c r="I29" i="20" l="1"/>
  <c r="I22" i="21"/>
  <c r="I70" i="20"/>
  <c r="I72" i="20" s="1"/>
  <c r="I53" i="20"/>
  <c r="I55" i="20" s="1"/>
  <c r="I80" i="19"/>
  <c r="J69" i="19"/>
  <c r="I70" i="19"/>
  <c r="J77" i="19"/>
  <c r="I24" i="21" l="1"/>
  <c r="J71" i="20"/>
  <c r="J12" i="22" s="1"/>
  <c r="I61" i="20"/>
  <c r="I62" i="20" s="1"/>
  <c r="I63" i="20" s="1"/>
  <c r="I82" i="19"/>
  <c r="I87" i="19" s="1"/>
  <c r="I85" i="19"/>
  <c r="J81" i="19"/>
  <c r="I39" i="22"/>
  <c r="J71" i="19"/>
  <c r="J30" i="21" l="1"/>
  <c r="J36" i="21" s="1"/>
  <c r="J38" i="21" s="1"/>
  <c r="I61" i="22"/>
  <c r="I64" i="22" s="1"/>
  <c r="I41" i="22"/>
  <c r="I51" i="22" s="1"/>
  <c r="J73" i="20"/>
  <c r="J21" i="23" s="1"/>
  <c r="I56" i="20"/>
  <c r="I66" i="20"/>
  <c r="I67" i="20" s="1"/>
  <c r="J83" i="19"/>
  <c r="J88" i="19" s="1"/>
  <c r="J86" i="19"/>
  <c r="J39" i="21" l="1"/>
  <c r="J40" i="21" s="1"/>
  <c r="J22" i="23" s="1"/>
  <c r="I66" i="22"/>
  <c r="I68" i="22" s="1"/>
  <c r="I32" i="24"/>
  <c r="J35" i="16"/>
  <c r="I76" i="20"/>
  <c r="I82" i="20"/>
  <c r="J44" i="21" l="1"/>
  <c r="J45" i="21" s="1"/>
  <c r="J62" i="22" s="1"/>
  <c r="J12" i="26"/>
  <c r="J40" i="16"/>
  <c r="J41" i="16" s="1"/>
  <c r="J24" i="23"/>
  <c r="J33" i="16" s="1"/>
  <c r="J11" i="26" s="1"/>
  <c r="I33" i="24"/>
  <c r="I39" i="4"/>
  <c r="J83" i="20"/>
  <c r="J22" i="24" s="1"/>
  <c r="I84" i="20"/>
  <c r="J77" i="20"/>
  <c r="I78" i="20"/>
  <c r="I19" i="26"/>
  <c r="I87" i="20"/>
  <c r="I11" i="4"/>
  <c r="J34" i="16"/>
  <c r="K35" i="21" l="1"/>
  <c r="J15" i="21"/>
  <c r="J43" i="16"/>
  <c r="J16" i="21" s="1"/>
  <c r="I43" i="4"/>
  <c r="I33" i="4" s="1"/>
  <c r="I32" i="4"/>
  <c r="I10" i="4" s="1"/>
  <c r="K39" i="16"/>
  <c r="J60" i="22"/>
  <c r="I20" i="26"/>
  <c r="J79" i="20"/>
  <c r="I13" i="24"/>
  <c r="I89" i="20"/>
  <c r="J85" i="20"/>
  <c r="I23" i="24"/>
  <c r="I25" i="24" s="1"/>
  <c r="J10" i="24"/>
  <c r="J88" i="20"/>
  <c r="J13" i="26"/>
  <c r="J17" i="26" s="1"/>
  <c r="I8" i="4" l="1"/>
  <c r="J17" i="20"/>
  <c r="J23" i="23"/>
  <c r="J25" i="23" s="1"/>
  <c r="J31" i="23" s="1"/>
  <c r="J17" i="21"/>
  <c r="J21" i="21" s="1"/>
  <c r="J17" i="19"/>
  <c r="J57" i="19" s="1"/>
  <c r="J18" i="20"/>
  <c r="J18" i="19"/>
  <c r="I16" i="24"/>
  <c r="J90" i="20"/>
  <c r="J14" i="26"/>
  <c r="J18" i="26"/>
  <c r="J22" i="20" l="1"/>
  <c r="J13" i="20" s="1"/>
  <c r="J23" i="20" s="1"/>
  <c r="I15" i="4"/>
  <c r="J44" i="4"/>
  <c r="J42" i="4" s="1"/>
  <c r="J22" i="19"/>
  <c r="J58" i="19" s="1"/>
  <c r="I37" i="24"/>
  <c r="I22" i="26" s="1"/>
  <c r="I18" i="24"/>
  <c r="J27" i="23"/>
  <c r="J29" i="23" s="1"/>
  <c r="J20" i="24"/>
  <c r="J7" i="22"/>
  <c r="J13" i="19" l="1"/>
  <c r="J23" i="19" s="1"/>
  <c r="J42" i="19" s="1"/>
  <c r="J43" i="19" s="1"/>
  <c r="I16" i="4"/>
  <c r="I27" i="24"/>
  <c r="I35" i="24" s="1"/>
  <c r="I24" i="26"/>
  <c r="J42" i="20"/>
  <c r="J34" i="23"/>
  <c r="J33" i="23"/>
  <c r="J36" i="23"/>
  <c r="K37" i="23" s="1"/>
  <c r="K20" i="21" s="1"/>
  <c r="K28" i="23"/>
  <c r="J43" i="20"/>
  <c r="J44" i="20" s="1"/>
  <c r="J41" i="19" l="1"/>
  <c r="J44" i="19" s="1"/>
  <c r="I17" i="4"/>
  <c r="I29" i="26"/>
  <c r="I31" i="26" s="1"/>
  <c r="J45" i="20"/>
  <c r="J46" i="20" s="1"/>
  <c r="J8" i="22"/>
  <c r="K13" i="23"/>
  <c r="K20" i="20"/>
  <c r="K20" i="19"/>
  <c r="K56" i="19" s="1"/>
  <c r="I22" i="4" l="1"/>
  <c r="I18" i="4"/>
  <c r="I25" i="26"/>
  <c r="I26" i="26" s="1"/>
  <c r="I27" i="26" s="1"/>
  <c r="J21" i="24"/>
  <c r="J24" i="20"/>
  <c r="J25" i="20" s="1"/>
  <c r="J16" i="22"/>
  <c r="J32" i="22" s="1"/>
  <c r="K14" i="23"/>
  <c r="J24" i="19"/>
  <c r="J52" i="19"/>
  <c r="J45" i="19"/>
  <c r="J52" i="20" l="1"/>
  <c r="J60" i="20"/>
  <c r="J58" i="20"/>
  <c r="J59" i="20"/>
  <c r="J26" i="20"/>
  <c r="J54" i="20" s="1"/>
  <c r="J53" i="19"/>
  <c r="J54" i="19" s="1"/>
  <c r="J59" i="19"/>
  <c r="J60" i="19" s="1"/>
  <c r="J25" i="19"/>
  <c r="J27" i="20" l="1"/>
  <c r="J64" i="19"/>
  <c r="J65" i="19" s="1"/>
  <c r="J74" i="19"/>
  <c r="J26" i="19"/>
  <c r="J29" i="20" l="1"/>
  <c r="J53" i="20"/>
  <c r="J61" i="20" s="1"/>
  <c r="J70" i="20"/>
  <c r="K71" i="20" s="1"/>
  <c r="J61" i="19"/>
  <c r="J22" i="21"/>
  <c r="J68" i="19"/>
  <c r="J28" i="19"/>
  <c r="J76" i="19"/>
  <c r="K75" i="19"/>
  <c r="J24" i="21" l="1"/>
  <c r="J62" i="20"/>
  <c r="J63" i="20" s="1"/>
  <c r="J55" i="20"/>
  <c r="J56" i="20" s="1"/>
  <c r="J72" i="20"/>
  <c r="K73" i="20" s="1"/>
  <c r="J80" i="19"/>
  <c r="K69" i="19"/>
  <c r="J70" i="19"/>
  <c r="K77" i="19"/>
  <c r="K30" i="21" l="1"/>
  <c r="K39" i="21" s="1"/>
  <c r="J61" i="22"/>
  <c r="J64" i="22" s="1"/>
  <c r="K35" i="16" s="1"/>
  <c r="J66" i="20"/>
  <c r="J67" i="20" s="1"/>
  <c r="J76" i="20"/>
  <c r="J82" i="20"/>
  <c r="K81" i="19"/>
  <c r="J82" i="19"/>
  <c r="J87" i="19" s="1"/>
  <c r="J85" i="19"/>
  <c r="J39" i="22"/>
  <c r="K71" i="19"/>
  <c r="K12" i="22"/>
  <c r="K36" i="21" l="1"/>
  <c r="K38" i="21" s="1"/>
  <c r="K40" i="21" s="1"/>
  <c r="J32" i="24"/>
  <c r="J33" i="24" s="1"/>
  <c r="J41" i="22"/>
  <c r="J51" i="22" s="1"/>
  <c r="J66" i="22" s="1"/>
  <c r="J68" i="22" s="1"/>
  <c r="K83" i="20"/>
  <c r="K22" i="24" s="1"/>
  <c r="J84" i="20"/>
  <c r="J23" i="24" s="1"/>
  <c r="J25" i="24" s="1"/>
  <c r="J78" i="20"/>
  <c r="K77" i="20"/>
  <c r="J19" i="26"/>
  <c r="J87" i="20"/>
  <c r="K24" i="23"/>
  <c r="K12" i="26"/>
  <c r="K40" i="16"/>
  <c r="K41" i="16" s="1"/>
  <c r="K86" i="19"/>
  <c r="K83" i="19"/>
  <c r="K88" i="19" s="1"/>
  <c r="K21" i="23"/>
  <c r="J39" i="4" l="1"/>
  <c r="J32" i="4" s="1"/>
  <c r="K79" i="20"/>
  <c r="J13" i="24"/>
  <c r="J89" i="20"/>
  <c r="K85" i="20"/>
  <c r="J20" i="26"/>
  <c r="K88" i="20"/>
  <c r="K10" i="24"/>
  <c r="K33" i="16"/>
  <c r="L39" i="16"/>
  <c r="K60" i="22"/>
  <c r="K43" i="16"/>
  <c r="K16" i="21" s="1"/>
  <c r="K22" i="23"/>
  <c r="K44" i="21"/>
  <c r="K45" i="21" s="1"/>
  <c r="J43" i="4" l="1"/>
  <c r="J33" i="4" s="1"/>
  <c r="K90" i="20"/>
  <c r="J16" i="24"/>
  <c r="J10" i="4"/>
  <c r="J11" i="4"/>
  <c r="K34" i="16"/>
  <c r="K15" i="21" s="1"/>
  <c r="K18" i="19"/>
  <c r="K18" i="20"/>
  <c r="L35" i="21"/>
  <c r="K62" i="22"/>
  <c r="K11" i="26"/>
  <c r="J37" i="24" l="1"/>
  <c r="J22" i="26" s="1"/>
  <c r="J18" i="24"/>
  <c r="J8" i="4"/>
  <c r="K13" i="26"/>
  <c r="K14" i="26" s="1"/>
  <c r="K23" i="23"/>
  <c r="K17" i="19"/>
  <c r="K17" i="20"/>
  <c r="K17" i="21"/>
  <c r="J15" i="4" l="1"/>
  <c r="J16" i="4" s="1"/>
  <c r="J27" i="24"/>
  <c r="J35" i="24" s="1"/>
  <c r="J24" i="26"/>
  <c r="K17" i="26"/>
  <c r="K18" i="26" s="1"/>
  <c r="K25" i="23"/>
  <c r="K31" i="23" s="1"/>
  <c r="K22" i="20"/>
  <c r="K57" i="19"/>
  <c r="K22" i="19"/>
  <c r="K58" i="19" s="1"/>
  <c r="K21" i="21"/>
  <c r="K44" i="4"/>
  <c r="K42" i="4" s="1"/>
  <c r="J29" i="26" l="1"/>
  <c r="J31" i="26" s="1"/>
  <c r="J17" i="4"/>
  <c r="K27" i="23"/>
  <c r="K29" i="23" s="1"/>
  <c r="L28" i="23" s="1"/>
  <c r="K13" i="19"/>
  <c r="K23" i="19" s="1"/>
  <c r="K13" i="20"/>
  <c r="K23" i="20" s="1"/>
  <c r="K7" i="22"/>
  <c r="K20" i="24"/>
  <c r="K42" i="20" l="1"/>
  <c r="J22" i="4"/>
  <c r="J18" i="4"/>
  <c r="J25" i="26"/>
  <c r="J26" i="26" s="1"/>
  <c r="J27" i="26" s="1"/>
  <c r="K33" i="23"/>
  <c r="K34" i="23"/>
  <c r="K36" i="23"/>
  <c r="L37" i="23" s="1"/>
  <c r="L13" i="23" s="1"/>
  <c r="K43" i="20"/>
  <c r="K44" i="20" s="1"/>
  <c r="K42" i="19"/>
  <c r="K43" i="19" s="1"/>
  <c r="K41" i="19"/>
  <c r="K45" i="20" l="1"/>
  <c r="K46" i="20" s="1"/>
  <c r="L20" i="21"/>
  <c r="K8" i="22"/>
  <c r="L14" i="23"/>
  <c r="K44" i="19"/>
  <c r="L20" i="19" l="1"/>
  <c r="L56" i="19" s="1"/>
  <c r="K21" i="24"/>
  <c r="K24" i="20"/>
  <c r="K16" i="22"/>
  <c r="K32" i="22" s="1"/>
  <c r="L20" i="20"/>
  <c r="K24" i="19"/>
  <c r="K52" i="19"/>
  <c r="K45" i="19"/>
  <c r="K25" i="20" l="1"/>
  <c r="K53" i="19"/>
  <c r="K59" i="19"/>
  <c r="K60" i="19" s="1"/>
  <c r="K25" i="19"/>
  <c r="K52" i="20" l="1"/>
  <c r="K60" i="20"/>
  <c r="K58" i="20"/>
  <c r="K59" i="20"/>
  <c r="K26" i="20"/>
  <c r="K54" i="20" s="1"/>
  <c r="K26" i="19"/>
  <c r="K64" i="19"/>
  <c r="K65" i="19" s="1"/>
  <c r="K54" i="19"/>
  <c r="K74" i="19" s="1"/>
  <c r="K27" i="20" l="1"/>
  <c r="K61" i="19"/>
  <c r="K76" i="19"/>
  <c r="L75" i="19"/>
  <c r="K68" i="19"/>
  <c r="K28" i="19"/>
  <c r="K70" i="20" l="1"/>
  <c r="K72" i="20" s="1"/>
  <c r="K29" i="20"/>
  <c r="K22" i="21"/>
  <c r="K53" i="20"/>
  <c r="K61" i="20" s="1"/>
  <c r="K80" i="19"/>
  <c r="L81" i="19" s="1"/>
  <c r="K70" i="19"/>
  <c r="L69" i="19"/>
  <c r="L77" i="19"/>
  <c r="L71" i="20" l="1"/>
  <c r="L73" i="20" s="1"/>
  <c r="K24" i="21"/>
  <c r="K62" i="20"/>
  <c r="K63" i="20" s="1"/>
  <c r="K55" i="20"/>
  <c r="K56" i="20" s="1"/>
  <c r="K82" i="19"/>
  <c r="K85" i="19"/>
  <c r="K39" i="22"/>
  <c r="L71" i="19"/>
  <c r="L86" i="19"/>
  <c r="K61" i="22" l="1"/>
  <c r="K64" i="22" s="1"/>
  <c r="L12" i="22"/>
  <c r="L30" i="21"/>
  <c r="K41" i="22"/>
  <c r="K51" i="22" s="1"/>
  <c r="K66" i="20"/>
  <c r="K67" i="20" s="1"/>
  <c r="K76" i="20"/>
  <c r="K82" i="20"/>
  <c r="L83" i="19"/>
  <c r="L88" i="19" s="1"/>
  <c r="K87" i="19"/>
  <c r="L21" i="23"/>
  <c r="K32" i="24" l="1"/>
  <c r="K33" i="24" s="1"/>
  <c r="L35" i="16"/>
  <c r="K66" i="22"/>
  <c r="K68" i="22" s="1"/>
  <c r="L39" i="21"/>
  <c r="L36" i="21"/>
  <c r="L38" i="21" s="1"/>
  <c r="L40" i="21" s="1"/>
  <c r="K84" i="20"/>
  <c r="L83" i="20"/>
  <c r="L22" i="24" s="1"/>
  <c r="L77" i="20"/>
  <c r="K78" i="20"/>
  <c r="K19" i="26"/>
  <c r="K87" i="20"/>
  <c r="K39" i="4" l="1"/>
  <c r="K43" i="4" s="1"/>
  <c r="K33" i="4" s="1"/>
  <c r="L40" i="16"/>
  <c r="L41" i="16" s="1"/>
  <c r="L60" i="22" s="1"/>
  <c r="L12" i="26"/>
  <c r="L24" i="23"/>
  <c r="L33" i="16" s="1"/>
  <c r="L11" i="26" s="1"/>
  <c r="L22" i="23"/>
  <c r="L34" i="16" s="1"/>
  <c r="L44" i="21"/>
  <c r="L45" i="21" s="1"/>
  <c r="L62" i="22" s="1"/>
  <c r="K20" i="26"/>
  <c r="K89" i="20"/>
  <c r="L85" i="20"/>
  <c r="K23" i="24"/>
  <c r="K25" i="24" s="1"/>
  <c r="L79" i="20"/>
  <c r="K13" i="24"/>
  <c r="L10" i="24"/>
  <c r="L88" i="20"/>
  <c r="K10" i="4"/>
  <c r="K8" i="4" s="1"/>
  <c r="K15" i="4" s="1"/>
  <c r="K16" i="4" s="1"/>
  <c r="K32" i="4" l="1"/>
  <c r="K11" i="4" s="1"/>
  <c r="K17" i="4" s="1"/>
  <c r="L43" i="16"/>
  <c r="L16" i="21" s="1"/>
  <c r="L18" i="20" s="1"/>
  <c r="M39" i="16"/>
  <c r="M35" i="21"/>
  <c r="L15" i="21"/>
  <c r="L90" i="20"/>
  <c r="K16" i="24"/>
  <c r="L13" i="26"/>
  <c r="L14" i="26" s="1"/>
  <c r="K18" i="4" l="1"/>
  <c r="K25" i="26"/>
  <c r="K22" i="4"/>
  <c r="L18" i="19"/>
  <c r="L23" i="23"/>
  <c r="L25" i="23" s="1"/>
  <c r="L31" i="23" s="1"/>
  <c r="L17" i="20"/>
  <c r="L22" i="20" s="1"/>
  <c r="L17" i="21"/>
  <c r="L21" i="21" s="1"/>
  <c r="L17" i="19"/>
  <c r="K18" i="24"/>
  <c r="K37" i="24"/>
  <c r="K22" i="26" s="1"/>
  <c r="L17" i="26"/>
  <c r="L18" i="26" s="1"/>
  <c r="L22" i="19" l="1"/>
  <c r="L58" i="19" s="1"/>
  <c r="L57" i="19"/>
  <c r="L44" i="4"/>
  <c r="L42" i="4" s="1"/>
  <c r="K27" i="24"/>
  <c r="K35" i="24" s="1"/>
  <c r="K24" i="26"/>
  <c r="L27" i="23"/>
  <c r="L29" i="23" s="1"/>
  <c r="L33" i="23" s="1"/>
  <c r="L20" i="24"/>
  <c r="L7" i="22"/>
  <c r="L13" i="20"/>
  <c r="L23" i="20" s="1"/>
  <c r="L13" i="19" l="1"/>
  <c r="L23" i="19" s="1"/>
  <c r="L41" i="19" s="1"/>
  <c r="K29" i="26"/>
  <c r="K31" i="26" s="1"/>
  <c r="K26" i="26"/>
  <c r="K27" i="26" s="1"/>
  <c r="L42" i="20"/>
  <c r="L34" i="23"/>
  <c r="L8" i="22" s="1"/>
  <c r="M28" i="23"/>
  <c r="L36" i="23"/>
  <c r="M37" i="23" s="1"/>
  <c r="M13" i="23" s="1"/>
  <c r="L43" i="20"/>
  <c r="L44" i="20" s="1"/>
  <c r="L42" i="19" l="1"/>
  <c r="L43" i="19" s="1"/>
  <c r="L44" i="19" s="1"/>
  <c r="L45" i="19" s="1"/>
  <c r="L21" i="24"/>
  <c r="L45" i="20"/>
  <c r="L46" i="20" s="1"/>
  <c r="M20" i="21"/>
  <c r="M14" i="23"/>
  <c r="L16" i="22"/>
  <c r="L32" i="22" s="1"/>
  <c r="M20" i="20" l="1"/>
  <c r="L24" i="20"/>
  <c r="L25" i="20" s="1"/>
  <c r="M20" i="19"/>
  <c r="M56" i="19" s="1"/>
  <c r="L24" i="19"/>
  <c r="L52" i="19"/>
  <c r="L52" i="20" l="1"/>
  <c r="L60" i="20"/>
  <c r="L58" i="20"/>
  <c r="L59" i="20"/>
  <c r="L26" i="20"/>
  <c r="L27" i="20" s="1"/>
  <c r="L53" i="19"/>
  <c r="L54" i="19" s="1"/>
  <c r="L59" i="19"/>
  <c r="L60" i="19" s="1"/>
  <c r="L25" i="19"/>
  <c r="L54" i="20" l="1"/>
  <c r="L53" i="20"/>
  <c r="L61" i="20" s="1"/>
  <c r="L62" i="20" s="1"/>
  <c r="L29" i="20"/>
  <c r="L70" i="20"/>
  <c r="L26" i="19"/>
  <c r="L64" i="19"/>
  <c r="L65" i="19" s="1"/>
  <c r="L74" i="19"/>
  <c r="L55" i="20" l="1"/>
  <c r="L56" i="20" s="1"/>
  <c r="L76" i="20" s="1"/>
  <c r="M77" i="20" s="1"/>
  <c r="L63" i="20"/>
  <c r="L82" i="20" s="1"/>
  <c r="L84" i="20" s="1"/>
  <c r="L61" i="19"/>
  <c r="L72" i="20"/>
  <c r="M71" i="20"/>
  <c r="L76" i="19"/>
  <c r="M75" i="19"/>
  <c r="L22" i="21"/>
  <c r="L28" i="19"/>
  <c r="L68" i="19"/>
  <c r="L24" i="21" l="1"/>
  <c r="L66" i="20"/>
  <c r="L67" i="20" s="1"/>
  <c r="L19" i="26"/>
  <c r="M10" i="24"/>
  <c r="L78" i="20"/>
  <c r="M79" i="20" s="1"/>
  <c r="L87" i="20"/>
  <c r="M83" i="20"/>
  <c r="M88" i="20" s="1"/>
  <c r="M73" i="20"/>
  <c r="L80" i="19"/>
  <c r="M81" i="19" s="1"/>
  <c r="M77" i="19"/>
  <c r="L70" i="19"/>
  <c r="M69" i="19"/>
  <c r="L61" i="22" l="1"/>
  <c r="L64" i="22" s="1"/>
  <c r="L20" i="26"/>
  <c r="M30" i="21"/>
  <c r="M36" i="21" s="1"/>
  <c r="M38" i="21" s="1"/>
  <c r="L13" i="24"/>
  <c r="L16" i="24" s="1"/>
  <c r="L37" i="24" s="1"/>
  <c r="L22" i="26" s="1"/>
  <c r="L89" i="20"/>
  <c r="M85" i="20"/>
  <c r="M90" i="20" s="1"/>
  <c r="M22" i="24"/>
  <c r="L82" i="19"/>
  <c r="M83" i="19" s="1"/>
  <c r="L85" i="19"/>
  <c r="M12" i="22"/>
  <c r="M86" i="19"/>
  <c r="L39" i="22"/>
  <c r="M71" i="19"/>
  <c r="M35" i="16" l="1"/>
  <c r="L32" i="24"/>
  <c r="L39" i="4" s="1"/>
  <c r="L43" i="4" s="1"/>
  <c r="L33" i="4" s="1"/>
  <c r="M39" i="21"/>
  <c r="M40" i="21" s="1"/>
  <c r="M22" i="23" s="1"/>
  <c r="L41" i="22"/>
  <c r="L51" i="22" s="1"/>
  <c r="L66" i="22" s="1"/>
  <c r="L68" i="22" s="1"/>
  <c r="L18" i="24"/>
  <c r="L24" i="26"/>
  <c r="L87" i="19"/>
  <c r="L23" i="24"/>
  <c r="L25" i="24" s="1"/>
  <c r="M88" i="19"/>
  <c r="M21" i="23"/>
  <c r="L33" i="24" l="1"/>
  <c r="L32" i="4"/>
  <c r="M40" i="16"/>
  <c r="M41" i="16" s="1"/>
  <c r="M60" i="22" s="1"/>
  <c r="M12" i="26"/>
  <c r="M24" i="23"/>
  <c r="M33" i="16" s="1"/>
  <c r="L29" i="26"/>
  <c r="L31" i="26" s="1"/>
  <c r="L27" i="24"/>
  <c r="L11" i="4"/>
  <c r="L10" i="4"/>
  <c r="L8" i="4" s="1"/>
  <c r="L15" i="4" s="1"/>
  <c r="L16" i="4" s="1"/>
  <c r="M34" i="16"/>
  <c r="M44" i="21"/>
  <c r="M45" i="21" s="1"/>
  <c r="M62" i="22" s="1"/>
  <c r="L35" i="24" l="1"/>
  <c r="N39" i="16"/>
  <c r="M43" i="16"/>
  <c r="M16" i="21" s="1"/>
  <c r="M18" i="19" s="1"/>
  <c r="L17" i="4"/>
  <c r="N35" i="21"/>
  <c r="M15" i="21"/>
  <c r="M11" i="26"/>
  <c r="M18" i="20" l="1"/>
  <c r="M13" i="26"/>
  <c r="M14" i="26" s="1"/>
  <c r="L22" i="4"/>
  <c r="L18" i="4"/>
  <c r="L25" i="26"/>
  <c r="M17" i="20"/>
  <c r="M23" i="23"/>
  <c r="M17" i="19"/>
  <c r="M17" i="21"/>
  <c r="M17" i="26" l="1"/>
  <c r="M18" i="26" s="1"/>
  <c r="L26" i="26"/>
  <c r="L27" i="26" s="1"/>
  <c r="M25" i="23"/>
  <c r="M31" i="23" s="1"/>
  <c r="M22" i="20"/>
  <c r="M57" i="19"/>
  <c r="M22" i="19"/>
  <c r="M58" i="19" s="1"/>
  <c r="M44" i="4"/>
  <c r="M42" i="4" s="1"/>
  <c r="M21" i="21"/>
  <c r="M27" i="23" l="1"/>
  <c r="M29" i="23" s="1"/>
  <c r="M13" i="20"/>
  <c r="M23" i="20" s="1"/>
  <c r="M20" i="24"/>
  <c r="M7" i="22"/>
  <c r="M13" i="19"/>
  <c r="M23" i="19" s="1"/>
  <c r="M42" i="20" l="1"/>
  <c r="M34" i="23"/>
  <c r="M36" i="23"/>
  <c r="N37" i="23" s="1"/>
  <c r="N20" i="21" s="1"/>
  <c r="N28" i="23"/>
  <c r="M33" i="23"/>
  <c r="M43" i="20"/>
  <c r="M44" i="20" s="1"/>
  <c r="M42" i="19"/>
  <c r="M43" i="19" s="1"/>
  <c r="M41" i="19"/>
  <c r="M45" i="20" l="1"/>
  <c r="M24" i="20" s="1"/>
  <c r="M25" i="20" s="1"/>
  <c r="N13" i="23"/>
  <c r="M8" i="22"/>
  <c r="M44" i="19"/>
  <c r="M45" i="19" s="1"/>
  <c r="N20" i="20"/>
  <c r="N20" i="19"/>
  <c r="N56" i="19" s="1"/>
  <c r="M21" i="24" l="1"/>
  <c r="M46" i="20"/>
  <c r="M52" i="20"/>
  <c r="M60" i="20"/>
  <c r="M58" i="20"/>
  <c r="M59" i="20"/>
  <c r="M26" i="20"/>
  <c r="M54" i="20" s="1"/>
  <c r="N14" i="23"/>
  <c r="M16" i="22"/>
  <c r="M32" i="22" s="1"/>
  <c r="M24" i="19"/>
  <c r="M52" i="19"/>
  <c r="M27" i="20" l="1"/>
  <c r="M53" i="20"/>
  <c r="M59" i="19"/>
  <c r="M60" i="19" s="1"/>
  <c r="M25" i="19"/>
  <c r="M53" i="19"/>
  <c r="M55" i="20" l="1"/>
  <c r="M56" i="20" s="1"/>
  <c r="M76" i="20" s="1"/>
  <c r="M61" i="20"/>
  <c r="M62" i="20" s="1"/>
  <c r="M63" i="20" s="1"/>
  <c r="M70" i="20"/>
  <c r="N71" i="20" s="1"/>
  <c r="M29" i="20"/>
  <c r="M26" i="19"/>
  <c r="M64" i="19"/>
  <c r="M65" i="19" s="1"/>
  <c r="M54" i="19"/>
  <c r="M74" i="19" s="1"/>
  <c r="M82" i="20" l="1"/>
  <c r="M84" i="20" s="1"/>
  <c r="M66" i="20"/>
  <c r="M67" i="20" s="1"/>
  <c r="M78" i="20"/>
  <c r="N77" i="20"/>
  <c r="M72" i="20"/>
  <c r="N73" i="20" s="1"/>
  <c r="M61" i="19"/>
  <c r="M76" i="19"/>
  <c r="M19" i="26"/>
  <c r="N75" i="19"/>
  <c r="M68" i="19"/>
  <c r="M28" i="19"/>
  <c r="M22" i="21"/>
  <c r="M24" i="21" l="1"/>
  <c r="N83" i="20"/>
  <c r="N88" i="20" s="1"/>
  <c r="N10" i="24"/>
  <c r="N79" i="20"/>
  <c r="M87" i="20"/>
  <c r="M20" i="26"/>
  <c r="M89" i="20"/>
  <c r="M80" i="19"/>
  <c r="M82" i="19" s="1"/>
  <c r="N69" i="19"/>
  <c r="M70" i="19"/>
  <c r="M13" i="24"/>
  <c r="N77" i="19"/>
  <c r="M61" i="22" l="1"/>
  <c r="M64" i="22" s="1"/>
  <c r="N35" i="16" s="1"/>
  <c r="N30" i="21"/>
  <c r="N39" i="21" s="1"/>
  <c r="N85" i="20"/>
  <c r="N90" i="20" s="1"/>
  <c r="M16" i="24"/>
  <c r="M18" i="24" s="1"/>
  <c r="N81" i="19"/>
  <c r="N22" i="24" s="1"/>
  <c r="M85" i="19"/>
  <c r="N71" i="19"/>
  <c r="M87" i="19"/>
  <c r="M39" i="22"/>
  <c r="N12" i="22"/>
  <c r="M23" i="24"/>
  <c r="M25" i="24" s="1"/>
  <c r="M32" i="24" l="1"/>
  <c r="M33" i="24" s="1"/>
  <c r="N36" i="21"/>
  <c r="N38" i="21" s="1"/>
  <c r="N40" i="21" s="1"/>
  <c r="N44" i="21" s="1"/>
  <c r="N45" i="21" s="1"/>
  <c r="O35" i="21" s="1"/>
  <c r="M41" i="22"/>
  <c r="M51" i="22" s="1"/>
  <c r="M66" i="22" s="1"/>
  <c r="M68" i="22" s="1"/>
  <c r="M37" i="24"/>
  <c r="M22" i="26" s="1"/>
  <c r="N83" i="19"/>
  <c r="N88" i="19" s="1"/>
  <c r="N86" i="19"/>
  <c r="N40" i="16"/>
  <c r="N41" i="16" s="1"/>
  <c r="N24" i="23"/>
  <c r="N12" i="26"/>
  <c r="M27" i="24"/>
  <c r="N21" i="23"/>
  <c r="M35" i="24" l="1"/>
  <c r="M39" i="4"/>
  <c r="M32" i="4" s="1"/>
  <c r="M24" i="26"/>
  <c r="N33" i="16"/>
  <c r="N60" i="22"/>
  <c r="O39" i="16"/>
  <c r="N43" i="16"/>
  <c r="N16" i="21" s="1"/>
  <c r="N22" i="23"/>
  <c r="N62" i="22"/>
  <c r="M43" i="4" l="1"/>
  <c r="M33" i="4" s="1"/>
  <c r="M10" i="4" s="1"/>
  <c r="M8" i="4" s="1"/>
  <c r="M15" i="4" s="1"/>
  <c r="M16" i="4" s="1"/>
  <c r="M29" i="26"/>
  <c r="M31" i="26" s="1"/>
  <c r="M11" i="4"/>
  <c r="N34" i="16"/>
  <c r="N15" i="21" s="1"/>
  <c r="N18" i="20"/>
  <c r="N18" i="19"/>
  <c r="N11" i="26"/>
  <c r="M17" i="4" l="1"/>
  <c r="M22" i="4" s="1"/>
  <c r="N13" i="26"/>
  <c r="N17" i="26" s="1"/>
  <c r="M18" i="4"/>
  <c r="M25" i="26"/>
  <c r="N23" i="23"/>
  <c r="N17" i="20"/>
  <c r="N17" i="19"/>
  <c r="N17" i="21"/>
  <c r="N14" i="26" l="1"/>
  <c r="M26" i="26"/>
  <c r="M27" i="26" s="1"/>
  <c r="N25" i="23"/>
  <c r="N31" i="23" s="1"/>
  <c r="N18" i="26"/>
  <c r="N57" i="19"/>
  <c r="N22" i="19"/>
  <c r="N58" i="19" s="1"/>
  <c r="N22" i="20"/>
  <c r="N44" i="4"/>
  <c r="N42" i="4" s="1"/>
  <c r="N21" i="21"/>
  <c r="N27" i="23" l="1"/>
  <c r="N29" i="23" s="1"/>
  <c r="O28" i="23" s="1"/>
  <c r="N13" i="20"/>
  <c r="N23" i="20" s="1"/>
  <c r="N13" i="19"/>
  <c r="N23" i="19" s="1"/>
  <c r="N20" i="24"/>
  <c r="N7" i="22"/>
  <c r="N42" i="20" l="1"/>
  <c r="N34" i="23"/>
  <c r="N36" i="23"/>
  <c r="O37" i="23" s="1"/>
  <c r="O20" i="21" s="1"/>
  <c r="N33" i="23"/>
  <c r="N43" i="20"/>
  <c r="N44" i="20" s="1"/>
  <c r="N42" i="19"/>
  <c r="N43" i="19" s="1"/>
  <c r="N41" i="19"/>
  <c r="N45" i="20" l="1"/>
  <c r="N46" i="20" s="1"/>
  <c r="O13" i="23"/>
  <c r="O14" i="23" s="1"/>
  <c r="N8" i="22"/>
  <c r="N44" i="19"/>
  <c r="N45" i="19" s="1"/>
  <c r="O20" i="20"/>
  <c r="O20" i="19"/>
  <c r="O56" i="19" s="1"/>
  <c r="N21" i="24" l="1"/>
  <c r="N24" i="20"/>
  <c r="N25" i="20" s="1"/>
  <c r="N16" i="22"/>
  <c r="N32" i="22" s="1"/>
  <c r="N24" i="19"/>
  <c r="N52" i="19"/>
  <c r="N52" i="20" l="1"/>
  <c r="N53" i="20" s="1"/>
  <c r="N61" i="20" s="1"/>
  <c r="N58" i="20"/>
  <c r="N59" i="20"/>
  <c r="N60" i="20"/>
  <c r="N26" i="20"/>
  <c r="N54" i="20" s="1"/>
  <c r="N53" i="19"/>
  <c r="N59" i="19"/>
  <c r="N60" i="19" s="1"/>
  <c r="N25" i="19"/>
  <c r="N27" i="20" l="1"/>
  <c r="N62" i="20"/>
  <c r="N63" i="20" s="1"/>
  <c r="N55" i="20"/>
  <c r="N56" i="20" s="1"/>
  <c r="N76" i="20" s="1"/>
  <c r="N64" i="19"/>
  <c r="N65" i="19" s="1"/>
  <c r="N54" i="19"/>
  <c r="N74" i="19" s="1"/>
  <c r="N26" i="19"/>
  <c r="N70" i="20" l="1"/>
  <c r="N72" i="20" s="1"/>
  <c r="N29" i="20"/>
  <c r="N78" i="20"/>
  <c r="O77" i="20"/>
  <c r="N66" i="20"/>
  <c r="N67" i="20" s="1"/>
  <c r="N82" i="20"/>
  <c r="O83" i="20" s="1"/>
  <c r="N61" i="19"/>
  <c r="N22" i="21"/>
  <c r="N28" i="19"/>
  <c r="N68" i="19"/>
  <c r="N19" i="26"/>
  <c r="N76" i="19"/>
  <c r="O75" i="19"/>
  <c r="N24" i="21" l="1"/>
  <c r="O71" i="20"/>
  <c r="O88" i="20" s="1"/>
  <c r="O10" i="24"/>
  <c r="O79" i="20"/>
  <c r="N20" i="26"/>
  <c r="N87" i="20"/>
  <c r="N84" i="20"/>
  <c r="O85" i="20" s="1"/>
  <c r="N80" i="19"/>
  <c r="N82" i="19" s="1"/>
  <c r="N70" i="19"/>
  <c r="O69" i="19"/>
  <c r="O77" i="19"/>
  <c r="N13" i="24"/>
  <c r="O30" i="21" l="1"/>
  <c r="O39" i="21" s="1"/>
  <c r="N61" i="22"/>
  <c r="N64" i="22" s="1"/>
  <c r="O73" i="20"/>
  <c r="O90" i="20" s="1"/>
  <c r="N16" i="24"/>
  <c r="N18" i="24" s="1"/>
  <c r="N89" i="20"/>
  <c r="N85" i="19"/>
  <c r="O81" i="19"/>
  <c r="O22" i="24" s="1"/>
  <c r="O12" i="22"/>
  <c r="N39" i="22"/>
  <c r="N87" i="19"/>
  <c r="O71" i="19"/>
  <c r="N23" i="24"/>
  <c r="N25" i="24" s="1"/>
  <c r="O36" i="21" l="1"/>
  <c r="O38" i="21" s="1"/>
  <c r="O40" i="21" s="1"/>
  <c r="N32" i="24"/>
  <c r="N39" i="4" s="1"/>
  <c r="N32" i="4" s="1"/>
  <c r="O35" i="16"/>
  <c r="N41" i="22"/>
  <c r="N51" i="22" s="1"/>
  <c r="N66" i="22" s="1"/>
  <c r="N68" i="22" s="1"/>
  <c r="N37" i="24"/>
  <c r="N22" i="26" s="1"/>
  <c r="O83" i="19"/>
  <c r="O88" i="19" s="1"/>
  <c r="O86" i="19"/>
  <c r="N27" i="24"/>
  <c r="O21" i="23"/>
  <c r="N43" i="4" l="1"/>
  <c r="N33" i="4" s="1"/>
  <c r="O24" i="23"/>
  <c r="O33" i="16" s="1"/>
  <c r="N33" i="24"/>
  <c r="N35" i="24" s="1"/>
  <c r="O40" i="16"/>
  <c r="O41" i="16" s="1"/>
  <c r="O60" i="22" s="1"/>
  <c r="O12" i="26"/>
  <c r="N24" i="26"/>
  <c r="N10" i="4"/>
  <c r="N8" i="4" s="1"/>
  <c r="N15" i="4" s="1"/>
  <c r="N16" i="4" s="1"/>
  <c r="N11" i="4"/>
  <c r="O22" i="23"/>
  <c r="O34" i="16" s="1"/>
  <c r="O44" i="21"/>
  <c r="O45" i="21" s="1"/>
  <c r="O62" i="22" s="1"/>
  <c r="N29" i="26" l="1"/>
  <c r="N31" i="26" s="1"/>
  <c r="O43" i="16"/>
  <c r="O16" i="21" s="1"/>
  <c r="O18" i="19" s="1"/>
  <c r="N17" i="4"/>
  <c r="O11" i="26"/>
  <c r="O15" i="21"/>
  <c r="O18" i="20" l="1"/>
  <c r="O13" i="26"/>
  <c r="O14" i="26" s="1"/>
  <c r="N22" i="4"/>
  <c r="N18" i="4"/>
  <c r="N25" i="26"/>
  <c r="O17" i="19"/>
  <c r="O17" i="20"/>
  <c r="O23" i="23"/>
  <c r="O25" i="23" s="1"/>
  <c r="O31" i="23" s="1"/>
  <c r="O17" i="21"/>
  <c r="O17" i="26" l="1"/>
  <c r="O18" i="26" s="1"/>
  <c r="N26" i="26"/>
  <c r="O27" i="23"/>
  <c r="O29" i="23" s="1"/>
  <c r="O57" i="19"/>
  <c r="O22" i="19"/>
  <c r="O58" i="19" s="1"/>
  <c r="O22" i="20"/>
  <c r="O44" i="4"/>
  <c r="O42" i="4" s="1"/>
  <c r="O21" i="21"/>
  <c r="C37" i="26" l="1"/>
  <c r="N27" i="26"/>
  <c r="O13" i="20"/>
  <c r="O23" i="20" s="1"/>
  <c r="O13" i="19"/>
  <c r="O23" i="19" s="1"/>
  <c r="O36" i="23"/>
  <c r="O33" i="23"/>
  <c r="O20" i="24"/>
  <c r="O34" i="23"/>
  <c r="O7" i="22"/>
  <c r="O42" i="20" l="1"/>
  <c r="O43" i="20"/>
  <c r="O44" i="20" s="1"/>
  <c r="O41" i="19"/>
  <c r="O42" i="19"/>
  <c r="O43" i="19" s="1"/>
  <c r="O8" i="22"/>
  <c r="O21" i="24" l="1"/>
  <c r="O45" i="20"/>
  <c r="O46" i="20" s="1"/>
  <c r="O44" i="19"/>
  <c r="O45" i="19" s="1"/>
  <c r="O16" i="22"/>
  <c r="O32" i="22" s="1"/>
  <c r="O24" i="20" l="1"/>
  <c r="O25" i="20" s="1"/>
  <c r="O52" i="19"/>
  <c r="O53" i="19" s="1"/>
  <c r="O54" i="19" s="1"/>
  <c r="O74" i="19" s="1"/>
  <c r="O24" i="19"/>
  <c r="O25" i="19" s="1"/>
  <c r="O52" i="20" l="1"/>
  <c r="O60" i="20"/>
  <c r="O58" i="20"/>
  <c r="O59" i="20"/>
  <c r="O26" i="20"/>
  <c r="O54" i="20" s="1"/>
  <c r="O59" i="19"/>
  <c r="O60" i="19" s="1"/>
  <c r="O64" i="19" s="1"/>
  <c r="O65" i="19" s="1"/>
  <c r="O26" i="19"/>
  <c r="O76" i="19"/>
  <c r="O27" i="20" l="1"/>
  <c r="O53" i="20"/>
  <c r="O55" i="20" s="1"/>
  <c r="O61" i="19"/>
  <c r="O68" i="19"/>
  <c r="O28" i="19"/>
  <c r="O29" i="20" l="1"/>
  <c r="O70" i="20"/>
  <c r="O72" i="20" s="1"/>
  <c r="O22" i="21"/>
  <c r="O61" i="20"/>
  <c r="O62" i="20" s="1"/>
  <c r="O63" i="20" s="1"/>
  <c r="O82" i="20" s="1"/>
  <c r="O84" i="20" s="1"/>
  <c r="O56" i="20"/>
  <c r="O76" i="20" s="1"/>
  <c r="O80" i="19"/>
  <c r="O82" i="19" s="1"/>
  <c r="O70" i="19"/>
  <c r="O24" i="21" l="1"/>
  <c r="O66" i="20"/>
  <c r="O67" i="20" s="1"/>
  <c r="O78" i="20"/>
  <c r="O13" i="24" s="1"/>
  <c r="O19" i="26"/>
  <c r="O87" i="20"/>
  <c r="O23" i="24"/>
  <c r="O25" i="24" s="1"/>
  <c r="O85" i="19"/>
  <c r="O87" i="19"/>
  <c r="O39" i="22"/>
  <c r="O61" i="22" l="1"/>
  <c r="O64" i="22" s="1"/>
  <c r="O41" i="22"/>
  <c r="O51" i="22" s="1"/>
  <c r="O89" i="20"/>
  <c r="O20" i="26"/>
  <c r="O16" i="24"/>
  <c r="O10" i="4"/>
  <c r="O8" i="4" s="1"/>
  <c r="O15" i="4" s="1"/>
  <c r="O16" i="4" s="1"/>
  <c r="O11" i="4"/>
  <c r="O66" i="22" l="1"/>
  <c r="O68" i="22" s="1"/>
  <c r="O32" i="24"/>
  <c r="O18" i="24"/>
  <c r="O27" i="24" s="1"/>
  <c r="O37" i="24"/>
  <c r="O22" i="26" s="1"/>
  <c r="O17" i="4"/>
  <c r="O33" i="24" l="1"/>
  <c r="O35" i="24" s="1"/>
  <c r="O39" i="4"/>
  <c r="O22" i="4"/>
  <c r="O18" i="4"/>
  <c r="O25" i="26"/>
  <c r="O23" i="26"/>
  <c r="O32" i="4" l="1"/>
  <c r="O43" i="4"/>
  <c r="O33" i="4" s="1"/>
  <c r="O24" i="26"/>
  <c r="O47" i="3"/>
  <c r="O81" i="3"/>
  <c r="O89" i="3"/>
  <c r="O97" i="3"/>
  <c r="O79" i="3"/>
  <c r="O41" i="3"/>
  <c r="O31" i="3"/>
  <c r="O93" i="3"/>
  <c r="O38" i="3"/>
  <c r="O22" i="3"/>
  <c r="O55" i="3"/>
  <c r="O69" i="3"/>
  <c r="O80" i="3"/>
  <c r="O49" i="3"/>
  <c r="O51" i="3"/>
  <c r="O57" i="3"/>
  <c r="O28" i="3"/>
  <c r="O92" i="3"/>
  <c r="O88" i="3"/>
  <c r="O25" i="3"/>
  <c r="O62" i="3"/>
  <c r="O36" i="3"/>
  <c r="O56" i="3"/>
  <c r="O115" i="3"/>
  <c r="O20" i="3"/>
  <c r="O91" i="3"/>
  <c r="O66" i="3"/>
  <c r="O108" i="3"/>
  <c r="O46" i="3"/>
  <c r="O48" i="3"/>
  <c r="O68" i="3"/>
  <c r="O83" i="3"/>
  <c r="O45" i="3"/>
  <c r="O24" i="3"/>
  <c r="O101" i="3"/>
  <c r="O113" i="3"/>
  <c r="O74" i="3"/>
  <c r="O103" i="3"/>
  <c r="O35" i="3"/>
  <c r="O70" i="3"/>
  <c r="O105" i="3"/>
  <c r="O30" i="3"/>
  <c r="O116" i="3"/>
  <c r="O112" i="3"/>
  <c r="O65" i="3"/>
  <c r="O40" i="3"/>
  <c r="O107" i="3"/>
  <c r="O63" i="3"/>
  <c r="O94" i="3"/>
  <c r="O99" i="3"/>
  <c r="O90" i="3"/>
  <c r="O118" i="3"/>
  <c r="O29" i="3"/>
  <c r="O75" i="3"/>
  <c r="O32" i="3"/>
  <c r="O64" i="3"/>
  <c r="O44" i="3"/>
  <c r="O87" i="3"/>
  <c r="O96" i="3"/>
  <c r="O23" i="3"/>
  <c r="O110" i="3"/>
  <c r="O102" i="3"/>
  <c r="O82" i="3"/>
  <c r="O98" i="3"/>
  <c r="O53" i="3"/>
  <c r="O33" i="3"/>
  <c r="O114" i="3"/>
  <c r="O109" i="3"/>
  <c r="O77" i="3"/>
  <c r="O111" i="3"/>
  <c r="O21" i="3"/>
  <c r="O117" i="3"/>
  <c r="O86" i="3"/>
  <c r="O34" i="3"/>
  <c r="O84" i="3"/>
  <c r="O73" i="3"/>
  <c r="O72" i="3"/>
  <c r="O78" i="3"/>
  <c r="O106" i="3"/>
  <c r="O54" i="3"/>
  <c r="O71" i="3"/>
  <c r="O43" i="3"/>
  <c r="O85" i="3"/>
  <c r="O37" i="3"/>
  <c r="O26" i="3"/>
  <c r="O27" i="3"/>
  <c r="O58" i="3"/>
  <c r="O19" i="3"/>
  <c r="O50" i="3"/>
  <c r="O100" i="3"/>
  <c r="O39" i="3"/>
  <c r="O60" i="3"/>
  <c r="O42" i="3"/>
  <c r="O59" i="3"/>
  <c r="O67" i="3"/>
  <c r="O61" i="3"/>
  <c r="O76" i="3"/>
  <c r="O104" i="3"/>
  <c r="O95" i="3"/>
  <c r="O52" i="3"/>
  <c r="O26" i="26" l="1"/>
  <c r="C38" i="26" s="1"/>
  <c r="O30" i="26"/>
  <c r="C34" i="26" s="1"/>
  <c r="O119" i="3"/>
  <c r="O27" i="26" l="1"/>
  <c r="O31" i="26"/>
  <c r="C39" i="26"/>
  <c r="C41" i="26" l="1"/>
  <c r="C43" i="26" l="1"/>
  <c r="C45" i="26" s="1"/>
</calcChain>
</file>

<file path=xl/comments1.xml><?xml version="1.0" encoding="utf-8"?>
<comments xmlns="http://schemas.openxmlformats.org/spreadsheetml/2006/main">
  <authors>
    <author>JAPIN</author>
    <author>FREDY ALEJANDRO MARIN BUILES</author>
  </authors>
  <commentList>
    <comment ref="G20" authorId="0">
      <text>
        <r>
          <rPr>
            <b/>
            <sz val="9"/>
            <color indexed="81"/>
            <rFont val="Tahoma"/>
            <family val="2"/>
          </rPr>
          <t>JAPIN:</t>
        </r>
        <r>
          <rPr>
            <sz val="9"/>
            <color indexed="81"/>
            <rFont val="Tahoma"/>
            <family val="2"/>
          </rPr>
          <t xml:space="preserve">
Se replica el precio de Cusiana porque solo hasta Enero de 2017 entraría en operación la planta de GNL en la costa, por tanto antes de esa fecha cualquier opción de gas será diferente a GNL.</t>
        </r>
      </text>
    </comment>
    <comment ref="C58" authorId="1">
      <text>
        <r>
          <rPr>
            <b/>
            <sz val="9"/>
            <color indexed="81"/>
            <rFont val="Tahoma"/>
            <family val="2"/>
          </rPr>
          <t>FREDY ALEJANDRO MARIN BUILES:</t>
        </r>
        <r>
          <rPr>
            <sz val="9"/>
            <color indexed="81"/>
            <rFont val="Tahoma"/>
            <family val="2"/>
          </rPr>
          <t xml:space="preserve">
Asumiendo que entra en operación en Diciembre de 2014.</t>
        </r>
      </text>
    </comment>
    <comment ref="C61" authorId="1">
      <text>
        <r>
          <rPr>
            <b/>
            <sz val="9"/>
            <color indexed="81"/>
            <rFont val="Tahoma"/>
            <family val="2"/>
          </rPr>
          <t>FREDY ALEJANDRO MARIN BUILES:</t>
        </r>
        <r>
          <rPr>
            <sz val="9"/>
            <color indexed="81"/>
            <rFont val="Tahoma"/>
            <family val="2"/>
          </rPr>
          <t xml:space="preserve">
Asumiendo que entra en operación en Diciembre de 2014.</t>
        </r>
      </text>
    </comment>
  </commentList>
</comments>
</file>

<file path=xl/comments2.xml><?xml version="1.0" encoding="utf-8"?>
<comments xmlns="http://schemas.openxmlformats.org/spreadsheetml/2006/main">
  <authors>
    <author>JAPIN</author>
  </authors>
  <commentList>
    <comment ref="B75" authorId="0">
      <text>
        <r>
          <rPr>
            <b/>
            <sz val="9"/>
            <color indexed="81"/>
            <rFont val="Tahoma"/>
            <family val="2"/>
          </rPr>
          <t>JAPIN:</t>
        </r>
        <r>
          <rPr>
            <sz val="9"/>
            <color indexed="81"/>
            <rFont val="Tahoma"/>
            <family val="2"/>
          </rPr>
          <t xml:space="preserve">
Referente Hidrosogamoso</t>
        </r>
      </text>
    </comment>
  </commentList>
</comments>
</file>

<file path=xl/comments3.xml><?xml version="1.0" encoding="utf-8"?>
<comments xmlns="http://schemas.openxmlformats.org/spreadsheetml/2006/main">
  <authors>
    <author>JAPIN</author>
  </authors>
  <commentList>
    <comment ref="C23" authorId="0">
      <text>
        <r>
          <rPr>
            <b/>
            <sz val="9"/>
            <color indexed="81"/>
            <rFont val="Tahoma"/>
            <family val="2"/>
          </rPr>
          <t>JAPIN:</t>
        </r>
        <r>
          <rPr>
            <sz val="9"/>
            <color indexed="81"/>
            <rFont val="Tahoma"/>
            <family val="2"/>
          </rPr>
          <t xml:space="preserve">
Beneficio tributario de Activo productor de renta por tener contrato de estabilidad jurídica.</t>
        </r>
      </text>
    </comment>
  </commentList>
</comments>
</file>

<file path=xl/comments4.xml><?xml version="1.0" encoding="utf-8"?>
<comments xmlns="http://schemas.openxmlformats.org/spreadsheetml/2006/main">
  <authors>
    <author>JAPIN</author>
    <author>Fredy Alejandro</author>
  </authors>
  <commentList>
    <comment ref="M7" authorId="0">
      <text>
        <r>
          <rPr>
            <b/>
            <sz val="9"/>
            <color indexed="81"/>
            <rFont val="Tahoma"/>
            <family val="2"/>
          </rPr>
          <t>JAPIN:</t>
        </r>
        <r>
          <rPr>
            <sz val="9"/>
            <color indexed="81"/>
            <rFont val="Tahoma"/>
            <family val="2"/>
          </rPr>
          <t xml:space="preserve">
Ver histórico F56</t>
        </r>
      </text>
    </comment>
    <comment ref="E16" authorId="1">
      <text>
        <r>
          <rPr>
            <b/>
            <sz val="9"/>
            <color indexed="81"/>
            <rFont val="Tahoma"/>
            <family val="2"/>
          </rPr>
          <t>Fredy Alejandro:</t>
        </r>
        <r>
          <rPr>
            <sz val="9"/>
            <color indexed="81"/>
            <rFont val="Tahoma"/>
            <family val="2"/>
          </rPr>
          <t xml:space="preserve">
Segundo Semestre
</t>
        </r>
      </text>
    </comment>
    <comment ref="E49" authorId="1">
      <text>
        <r>
          <rPr>
            <b/>
            <sz val="9"/>
            <color indexed="81"/>
            <rFont val="Tahoma"/>
            <family val="2"/>
          </rPr>
          <t>Fredy Alejandro:</t>
        </r>
        <r>
          <rPr>
            <sz val="9"/>
            <color indexed="81"/>
            <rFont val="Tahoma"/>
            <family val="2"/>
          </rPr>
          <t xml:space="preserve">
formula de celdas diferente porque Termocentro tiene contrato de suministro de GAS hasta 2015.</t>
        </r>
      </text>
    </comment>
    <comment ref="O49" authorId="1">
      <text>
        <r>
          <rPr>
            <b/>
            <sz val="9"/>
            <color indexed="81"/>
            <rFont val="Tahoma"/>
            <family val="2"/>
          </rPr>
          <t>Fredy Alejandro:</t>
        </r>
        <r>
          <rPr>
            <sz val="9"/>
            <color indexed="81"/>
            <rFont val="Tahoma"/>
            <family val="2"/>
          </rPr>
          <t xml:space="preserve">
Fórmula diferente dado que depende de selección de valor residual o no para Termocentro.</t>
        </r>
      </text>
    </comment>
    <comment ref="E55" authorId="0">
      <text>
        <r>
          <rPr>
            <b/>
            <sz val="9"/>
            <color indexed="81"/>
            <rFont val="Tahoma"/>
            <family val="2"/>
          </rPr>
          <t>JAPIN:</t>
        </r>
        <r>
          <rPr>
            <sz val="9"/>
            <color indexed="81"/>
            <rFont val="Tahoma"/>
            <family val="2"/>
          </rPr>
          <t xml:space="preserve">
Costo de Operación y Mantenimiento (COM), para plantas con combustible principal gas, en $/kWh. Tomado del archivo tdiasis0521.tx1 de XM</t>
        </r>
      </text>
    </comment>
    <comment ref="E56" authorId="0">
      <text>
        <r>
          <rPr>
            <b/>
            <sz val="9"/>
            <color indexed="81"/>
            <rFont val="Tahoma"/>
            <family val="2"/>
          </rPr>
          <t>JAPIN:</t>
        </r>
        <r>
          <rPr>
            <sz val="9"/>
            <color indexed="81"/>
            <rFont val="Tahoma"/>
            <family val="2"/>
          </rPr>
          <t xml:space="preserve">
Calculado a partir de costo declarado en XM</t>
        </r>
      </text>
    </comment>
    <comment ref="E62" authorId="0">
      <text>
        <r>
          <rPr>
            <b/>
            <sz val="9"/>
            <color indexed="81"/>
            <rFont val="Tahoma"/>
            <family val="2"/>
          </rPr>
          <t>JAPIN:</t>
        </r>
        <r>
          <rPr>
            <sz val="9"/>
            <color indexed="81"/>
            <rFont val="Tahoma"/>
            <family val="2"/>
          </rPr>
          <t xml:space="preserve">
Costo de Operación y Mantenimiento (COM), para plantas con combustible principal gas, en $/kWh. Tomado del archivo tdiasis0521.tx1 de XM</t>
        </r>
      </text>
    </comment>
    <comment ref="E63" authorId="0">
      <text>
        <r>
          <rPr>
            <b/>
            <sz val="9"/>
            <color indexed="81"/>
            <rFont val="Tahoma"/>
            <family val="2"/>
          </rPr>
          <t>JAPIN:</t>
        </r>
        <r>
          <rPr>
            <sz val="9"/>
            <color indexed="81"/>
            <rFont val="Tahoma"/>
            <family val="2"/>
          </rPr>
          <t xml:space="preserve">
Calculado a partir de costo declarado en XM</t>
        </r>
      </text>
    </comment>
    <comment ref="E69" authorId="0">
      <text>
        <r>
          <rPr>
            <b/>
            <sz val="9"/>
            <color indexed="81"/>
            <rFont val="Tahoma"/>
            <family val="2"/>
          </rPr>
          <t>JAPIN:</t>
        </r>
        <r>
          <rPr>
            <sz val="9"/>
            <color indexed="81"/>
            <rFont val="Tahoma"/>
            <family val="2"/>
          </rPr>
          <t xml:space="preserve">
Costo de Operación y Mantenimiento (COM), para plantas con combustible principal diferente a gas o carbón, en $/kWh. Tomado del archivo tdiasis0521.tx1 de XM</t>
        </r>
      </text>
    </comment>
    <comment ref="E70" authorId="0">
      <text>
        <r>
          <rPr>
            <b/>
            <sz val="9"/>
            <color indexed="81"/>
            <rFont val="Tahoma"/>
            <family val="2"/>
          </rPr>
          <t>JAPIN:</t>
        </r>
        <r>
          <rPr>
            <sz val="9"/>
            <color indexed="81"/>
            <rFont val="Tahoma"/>
            <family val="2"/>
          </rPr>
          <t xml:space="preserve">
Calculado a partir de costo declarado en XM</t>
        </r>
      </text>
    </comment>
    <comment ref="E99" authorId="1">
      <text>
        <r>
          <rPr>
            <b/>
            <sz val="9"/>
            <color indexed="81"/>
            <rFont val="Tahoma"/>
            <family val="2"/>
          </rPr>
          <t>Fredy Alejandro:</t>
        </r>
        <r>
          <rPr>
            <sz val="9"/>
            <color indexed="81"/>
            <rFont val="Tahoma"/>
            <family val="2"/>
          </rPr>
          <t xml:space="preserve">
Cero porque hasta diciembre de 2015, la Empresa tiene contrato de suministro de GAS, por tanto la EOF de la planta térmica está declarada con Gas natural.</t>
        </r>
      </text>
    </comment>
    <comment ref="E107" authorId="0">
      <text>
        <r>
          <rPr>
            <b/>
            <sz val="9"/>
            <color indexed="81"/>
            <rFont val="Tahoma"/>
            <family val="2"/>
          </rPr>
          <t>JAPIN:</t>
        </r>
        <r>
          <rPr>
            <sz val="9"/>
            <color indexed="81"/>
            <rFont val="Tahoma"/>
            <family val="2"/>
          </rPr>
          <t xml:space="preserve">
Independiente del combustible seleccionado para entrega de la OEF de Termocentro, durante los años 2014 y 2015, siempre generará con GAS pues tiene contrato vigente hasta Diciembre 2015.</t>
        </r>
      </text>
    </comment>
    <comment ref="B158" authorId="0">
      <text>
        <r>
          <rPr>
            <b/>
            <sz val="9"/>
            <color indexed="81"/>
            <rFont val="Tahoma"/>
            <family val="2"/>
          </rPr>
          <t>JAPIN:</t>
        </r>
        <r>
          <rPr>
            <sz val="9"/>
            <color indexed="81"/>
            <rFont val="Tahoma"/>
            <family val="2"/>
          </rPr>
          <t xml:space="preserve">
Pendiente sensibilidad con tasa una vez se tengan los activos.</t>
        </r>
      </text>
    </comment>
    <comment ref="C158" authorId="0">
      <text>
        <r>
          <rPr>
            <b/>
            <sz val="9"/>
            <color indexed="81"/>
            <rFont val="Tahoma"/>
            <family val="2"/>
          </rPr>
          <t>JAPIN:</t>
        </r>
        <r>
          <rPr>
            <sz val="9"/>
            <color indexed="81"/>
            <rFont val="Tahoma"/>
            <family val="2"/>
          </rPr>
          <t xml:space="preserve">
Valor calculado a partir de los Estados financieros históricos.</t>
        </r>
      </text>
    </comment>
    <comment ref="B174" authorId="0">
      <text>
        <r>
          <rPr>
            <b/>
            <sz val="9"/>
            <color indexed="81"/>
            <rFont val="Tahoma"/>
            <family val="2"/>
          </rPr>
          <t>JAPIN:</t>
        </r>
        <r>
          <rPr>
            <sz val="9"/>
            <color indexed="81"/>
            <rFont val="Tahoma"/>
            <family val="2"/>
          </rPr>
          <t xml:space="preserve">
Deja de calcularse si la Nación vende su participación accionaria controlante, ya que la entidad deja de ser vigilada por la Contraloría General de la república.</t>
        </r>
      </text>
    </comment>
    <comment ref="B175" authorId="0">
      <text>
        <r>
          <rPr>
            <b/>
            <sz val="9"/>
            <color indexed="81"/>
            <rFont val="Tahoma"/>
            <family val="2"/>
          </rPr>
          <t>JAPIN:</t>
        </r>
        <r>
          <rPr>
            <sz val="9"/>
            <color indexed="81"/>
            <rFont val="Tahoma"/>
            <family val="2"/>
          </rPr>
          <t xml:space="preserve">
El cobro se calcula como un porcentaje de los costos de funcionamiento de la Empresa del año anterior. Para facilidad se toma el valor mensual y se ajusta anualmente por IPC.</t>
        </r>
      </text>
    </comment>
  </commentList>
</comments>
</file>

<file path=xl/comments5.xml><?xml version="1.0" encoding="utf-8"?>
<comments xmlns="http://schemas.openxmlformats.org/spreadsheetml/2006/main">
  <authors>
    <author>JAPIN</author>
  </authors>
  <commentList>
    <comment ref="G15" authorId="0">
      <text>
        <r>
          <rPr>
            <b/>
            <sz val="9"/>
            <color indexed="81"/>
            <rFont val="Tahoma"/>
            <family val="2"/>
          </rPr>
          <t>JAPIN:</t>
        </r>
        <r>
          <rPr>
            <sz val="9"/>
            <color indexed="81"/>
            <rFont val="Tahoma"/>
            <family val="2"/>
          </rPr>
          <t xml:space="preserve">
Cifra construcciones en curso de estados fros a Dic 2013</t>
        </r>
      </text>
    </comment>
  </commentList>
</comments>
</file>

<file path=xl/comments6.xml><?xml version="1.0" encoding="utf-8"?>
<comments xmlns="http://schemas.openxmlformats.org/spreadsheetml/2006/main">
  <authors>
    <author>JAPIN</author>
  </authors>
  <commentList>
    <comment ref="A11" authorId="0">
      <text>
        <r>
          <rPr>
            <b/>
            <sz val="9"/>
            <color indexed="81"/>
            <rFont val="Tahoma"/>
            <family val="2"/>
          </rPr>
          <t>JAPIN:</t>
        </r>
        <r>
          <rPr>
            <sz val="9"/>
            <color indexed="81"/>
            <rFont val="Tahoma"/>
            <family val="2"/>
          </rPr>
          <t xml:space="preserve">
Incluye Infraestructura, campamentos, obras sustitutivas, administración  y PMA </t>
        </r>
      </text>
    </comment>
  </commentList>
</comments>
</file>

<file path=xl/comments7.xml><?xml version="1.0" encoding="utf-8"?>
<comments xmlns="http://schemas.openxmlformats.org/spreadsheetml/2006/main">
  <authors>
    <author>JAPIN</author>
  </authors>
  <commentList>
    <comment ref="B38" authorId="0">
      <text>
        <r>
          <rPr>
            <b/>
            <sz val="9"/>
            <color indexed="81"/>
            <rFont val="Tahoma"/>
            <family val="2"/>
          </rPr>
          <t>JAPIN:</t>
        </r>
        <r>
          <rPr>
            <sz val="9"/>
            <color indexed="81"/>
            <rFont val="Tahoma"/>
            <family val="2"/>
          </rPr>
          <t xml:space="preserve">
Cifra a 2012.</t>
        </r>
      </text>
    </comment>
    <comment ref="C95" authorId="0">
      <text>
        <r>
          <rPr>
            <b/>
            <sz val="9"/>
            <color indexed="81"/>
            <rFont val="Tahoma"/>
            <family val="2"/>
          </rPr>
          <t>JAPIN:</t>
        </r>
        <r>
          <rPr>
            <sz val="9"/>
            <color indexed="81"/>
            <rFont val="Tahoma"/>
            <family val="2"/>
          </rPr>
          <t xml:space="preserve">
Valor contable y fiscal de las plantas de generación es diferente, pues fiscalmente hay plantas ya agotadas pero que siguen generando ingreso</t>
        </r>
      </text>
    </comment>
  </commentList>
</comments>
</file>

<file path=xl/comments8.xml><?xml version="1.0" encoding="utf-8"?>
<comments xmlns="http://schemas.openxmlformats.org/spreadsheetml/2006/main">
  <authors>
    <author>JAPIN</author>
    <author>FREDY ALEJANDRO MARIN BUILES</author>
  </authors>
  <commentList>
    <comment ref="A31" authorId="0">
      <text>
        <r>
          <rPr>
            <b/>
            <sz val="9"/>
            <color indexed="81"/>
            <rFont val="Tahoma"/>
            <family val="2"/>
          </rPr>
          <t>JAPIN:</t>
        </r>
        <r>
          <rPr>
            <sz val="9"/>
            <color indexed="81"/>
            <rFont val="Tahoma"/>
            <family val="2"/>
          </rPr>
          <t xml:space="preserve">
Este beneficio no aplica para el CREE</t>
        </r>
      </text>
    </comment>
    <comment ref="B39" authorId="0">
      <text>
        <r>
          <rPr>
            <b/>
            <sz val="9"/>
            <color indexed="81"/>
            <rFont val="Tahoma"/>
            <family val="2"/>
          </rPr>
          <t>JAPIN:</t>
        </r>
        <r>
          <rPr>
            <sz val="9"/>
            <color indexed="81"/>
            <rFont val="Tahoma"/>
            <family val="2"/>
          </rPr>
          <t xml:space="preserve">
Cifra a 2012.</t>
        </r>
      </text>
    </comment>
    <comment ref="A42" authorId="0">
      <text>
        <r>
          <rPr>
            <b/>
            <sz val="9"/>
            <color indexed="81"/>
            <rFont val="Tahoma"/>
            <family val="2"/>
          </rPr>
          <t>JAPIN:</t>
        </r>
        <r>
          <rPr>
            <sz val="9"/>
            <color indexed="81"/>
            <rFont val="Tahoma"/>
            <family val="2"/>
          </rPr>
          <t xml:space="preserve">
Las pérdidas fiscales no son deducibles del CREE</t>
        </r>
      </text>
    </comment>
    <comment ref="E42" authorId="1">
      <text>
        <r>
          <rPr>
            <b/>
            <sz val="9"/>
            <color indexed="81"/>
            <rFont val="Tahoma"/>
            <family val="2"/>
          </rPr>
          <t>FREDY ALEJANDRO MARIN BUILES:</t>
        </r>
        <r>
          <rPr>
            <sz val="9"/>
            <color indexed="81"/>
            <rFont val="Tahoma"/>
            <family val="2"/>
          </rPr>
          <t xml:space="preserve">
Reforma tributaria permitió compensar pérdidas fiscales en el CREE</t>
        </r>
      </text>
    </comment>
    <comment ref="C97" authorId="0">
      <text>
        <r>
          <rPr>
            <b/>
            <sz val="9"/>
            <color indexed="81"/>
            <rFont val="Tahoma"/>
            <family val="2"/>
          </rPr>
          <t>JAPIN:</t>
        </r>
        <r>
          <rPr>
            <sz val="9"/>
            <color indexed="81"/>
            <rFont val="Tahoma"/>
            <family val="2"/>
          </rPr>
          <t xml:space="preserve">
Valor contable y fiscal de las plantas de generación es diferente, pues fiscalmente hay plantas ya agotadas pero que siguen generando ingreso</t>
        </r>
      </text>
    </comment>
  </commentList>
</comments>
</file>

<file path=xl/sharedStrings.xml><?xml version="1.0" encoding="utf-8"?>
<sst xmlns="http://schemas.openxmlformats.org/spreadsheetml/2006/main" count="1927" uniqueCount="1049">
  <si>
    <t>CONCEPTO</t>
  </si>
  <si>
    <t>Variables</t>
  </si>
  <si>
    <t>Tasa de Cambio Promedio</t>
  </si>
  <si>
    <t>Libor</t>
  </si>
  <si>
    <t>Otras variables</t>
  </si>
  <si>
    <t>DTF (E.A.)</t>
  </si>
  <si>
    <t>Factor de ajuste IPC Colombia</t>
  </si>
  <si>
    <t>Factor de ajuste IPP Colombia</t>
  </si>
  <si>
    <t>PROYECCIONES PARA VALORACION ISAGEN</t>
  </si>
  <si>
    <t>IPC</t>
  </si>
  <si>
    <t>Devaluación año</t>
  </si>
  <si>
    <t xml:space="preserve">Costo Marginal PROMEDIO                           </t>
  </si>
  <si>
    <t>Fuente:</t>
  </si>
  <si>
    <t>http://www.xm.com.co/Pages/AnalisisEnergeticodeLargoPlazoMPODE.aspx</t>
  </si>
  <si>
    <t xml:space="preserve">                              </t>
  </si>
  <si>
    <t>Escenario de demanda:</t>
  </si>
  <si>
    <t xml:space="preserve">Escenario medio de UPME (Marzo/14)
</t>
  </si>
  <si>
    <t xml:space="preserve">USD/MWh        </t>
  </si>
  <si>
    <t xml:space="preserve">         </t>
  </si>
  <si>
    <t xml:space="preserve">Costo marginal de demanda        </t>
  </si>
  <si>
    <t xml:space="preserve">Colombia    </t>
  </si>
  <si>
    <t xml:space="preserve">ETAPA    </t>
  </si>
  <si>
    <t xml:space="preserve">Serie 001   </t>
  </si>
  <si>
    <t xml:space="preserve">Serie 002   </t>
  </si>
  <si>
    <t xml:space="preserve">Serie 003   </t>
  </si>
  <si>
    <t xml:space="preserve">Serie 004   </t>
  </si>
  <si>
    <t xml:space="preserve">Serie 005   </t>
  </si>
  <si>
    <t xml:space="preserve">Serie 006   </t>
  </si>
  <si>
    <t xml:space="preserve">Serie 007   </t>
  </si>
  <si>
    <t xml:space="preserve">Serie 008   </t>
  </si>
  <si>
    <t xml:space="preserve">Serie 009   </t>
  </si>
  <si>
    <t xml:space="preserve">Serie 010   </t>
  </si>
  <si>
    <t xml:space="preserve">Serie 011   </t>
  </si>
  <si>
    <t xml:space="preserve">Serie 012   </t>
  </si>
  <si>
    <t xml:space="preserve">Serie 013   </t>
  </si>
  <si>
    <t xml:space="preserve">Serie 014   </t>
  </si>
  <si>
    <t xml:space="preserve">Serie 015   </t>
  </si>
  <si>
    <t xml:space="preserve">Serie 016   </t>
  </si>
  <si>
    <t xml:space="preserve">Serie 017   </t>
  </si>
  <si>
    <t xml:space="preserve">Serie 018   </t>
  </si>
  <si>
    <t xml:space="preserve">Serie 019   </t>
  </si>
  <si>
    <t xml:space="preserve">Serie 020   </t>
  </si>
  <si>
    <t xml:space="preserve">Serie 021   </t>
  </si>
  <si>
    <t xml:space="preserve">Serie 022   </t>
  </si>
  <si>
    <t xml:space="preserve">Serie 023   </t>
  </si>
  <si>
    <t xml:space="preserve">Serie 024   </t>
  </si>
  <si>
    <t xml:space="preserve">Serie 025   </t>
  </si>
  <si>
    <t xml:space="preserve">Serie 026   </t>
  </si>
  <si>
    <t xml:space="preserve">Serie 027   </t>
  </si>
  <si>
    <t xml:space="preserve">Serie 028   </t>
  </si>
  <si>
    <t xml:space="preserve">Serie 029   </t>
  </si>
  <si>
    <t xml:space="preserve">Serie 030   </t>
  </si>
  <si>
    <t xml:space="preserve">Serie 031   </t>
  </si>
  <si>
    <t xml:space="preserve">Serie 032   </t>
  </si>
  <si>
    <t xml:space="preserve">Serie 033   </t>
  </si>
  <si>
    <t xml:space="preserve">Serie 034   </t>
  </si>
  <si>
    <t xml:space="preserve">Serie 035   </t>
  </si>
  <si>
    <t xml:space="preserve">Serie 036   </t>
  </si>
  <si>
    <t xml:space="preserve">Serie 037   </t>
  </si>
  <si>
    <t xml:space="preserve">Serie 038   </t>
  </si>
  <si>
    <t xml:space="preserve">Serie 039   </t>
  </si>
  <si>
    <t xml:space="preserve">Serie 040   </t>
  </si>
  <si>
    <t xml:space="preserve">Serie 041   </t>
  </si>
  <si>
    <t xml:space="preserve">Serie 042   </t>
  </si>
  <si>
    <t xml:space="preserve">Serie 043   </t>
  </si>
  <si>
    <t xml:space="preserve">Serie 044   </t>
  </si>
  <si>
    <t xml:space="preserve">Serie 045   </t>
  </si>
  <si>
    <t xml:space="preserve">Serie 046   </t>
  </si>
  <si>
    <t xml:space="preserve">Serie 047   </t>
  </si>
  <si>
    <t xml:space="preserve">Serie 048   </t>
  </si>
  <si>
    <t xml:space="preserve">Serie 049   </t>
  </si>
  <si>
    <t xml:space="preserve">Serie 050   </t>
  </si>
  <si>
    <t xml:space="preserve">Serie 051   </t>
  </si>
  <si>
    <t xml:space="preserve">Serie 052   </t>
  </si>
  <si>
    <t xml:space="preserve">Serie 053   </t>
  </si>
  <si>
    <t xml:space="preserve">Serie 054   </t>
  </si>
  <si>
    <t xml:space="preserve">Serie 055   </t>
  </si>
  <si>
    <t xml:space="preserve">Serie 056   </t>
  </si>
  <si>
    <t xml:space="preserve">Serie 057   </t>
  </si>
  <si>
    <t xml:space="preserve">Serie 058   </t>
  </si>
  <si>
    <t xml:space="preserve">Serie 059   </t>
  </si>
  <si>
    <t xml:space="preserve">Serie 060   </t>
  </si>
  <si>
    <t xml:space="preserve">Serie 061   </t>
  </si>
  <si>
    <t xml:space="preserve">Serie 062   </t>
  </si>
  <si>
    <t xml:space="preserve">Serie 063   </t>
  </si>
  <si>
    <t xml:space="preserve">Serie 064   </t>
  </si>
  <si>
    <t xml:space="preserve">Serie 065   </t>
  </si>
  <si>
    <t xml:space="preserve">Serie 066   </t>
  </si>
  <si>
    <t xml:space="preserve">Serie 067   </t>
  </si>
  <si>
    <t xml:space="preserve">Serie 068   </t>
  </si>
  <si>
    <t xml:space="preserve">Serie 069   </t>
  </si>
  <si>
    <t xml:space="preserve">Serie 070   </t>
  </si>
  <si>
    <t xml:space="preserve">Serie 071   </t>
  </si>
  <si>
    <t xml:space="preserve">Serie 072   </t>
  </si>
  <si>
    <t xml:space="preserve">Serie 073   </t>
  </si>
  <si>
    <t xml:space="preserve">Serie 074   </t>
  </si>
  <si>
    <t xml:space="preserve">Serie 075   </t>
  </si>
  <si>
    <t xml:space="preserve">Serie 076   </t>
  </si>
  <si>
    <t xml:space="preserve">Serie 077   </t>
  </si>
  <si>
    <t xml:space="preserve">Serie 078   </t>
  </si>
  <si>
    <t xml:space="preserve">Serie 079   </t>
  </si>
  <si>
    <t xml:space="preserve">Serie 080   </t>
  </si>
  <si>
    <t xml:space="preserve">Serie 081   </t>
  </si>
  <si>
    <t xml:space="preserve">Serie 082   </t>
  </si>
  <si>
    <t xml:space="preserve">Serie 083   </t>
  </si>
  <si>
    <t xml:space="preserve">Serie 084   </t>
  </si>
  <si>
    <t xml:space="preserve">Serie 085   </t>
  </si>
  <si>
    <t xml:space="preserve">Serie 086   </t>
  </si>
  <si>
    <t xml:space="preserve">Serie 087   </t>
  </si>
  <si>
    <t xml:space="preserve">Serie 088   </t>
  </si>
  <si>
    <t xml:space="preserve">Serie 089   </t>
  </si>
  <si>
    <t xml:space="preserve">Serie 090   </t>
  </si>
  <si>
    <t xml:space="preserve">Serie 091   </t>
  </si>
  <si>
    <t xml:space="preserve">Serie 092   </t>
  </si>
  <si>
    <t xml:space="preserve">Serie 093   </t>
  </si>
  <si>
    <t xml:space="preserve">Serie 094   </t>
  </si>
  <si>
    <t xml:space="preserve">Serie 095   </t>
  </si>
  <si>
    <t xml:space="preserve">Serie 096   </t>
  </si>
  <si>
    <t xml:space="preserve">Serie 097   </t>
  </si>
  <si>
    <t xml:space="preserve">Serie 098   </t>
  </si>
  <si>
    <t xml:space="preserve">Serie 099   </t>
  </si>
  <si>
    <t xml:space="preserve">Serie 100   </t>
  </si>
  <si>
    <t xml:space="preserve">Prom.       </t>
  </si>
  <si>
    <t>x</t>
  </si>
  <si>
    <t>Patrimonio</t>
  </si>
  <si>
    <t>Beta apalancado</t>
  </si>
  <si>
    <t>Promedio</t>
  </si>
  <si>
    <t>PSS</t>
  </si>
  <si>
    <t>Constantes</t>
  </si>
  <si>
    <t>Año</t>
  </si>
  <si>
    <t>Año base</t>
  </si>
  <si>
    <t>Fazni</t>
  </si>
  <si>
    <t>% energía generada vendida en bolsa</t>
  </si>
  <si>
    <t>Período niño (No=0 ; Sí=1)</t>
  </si>
  <si>
    <t>Sí</t>
  </si>
  <si>
    <t>Termocentro con perpetuidad</t>
  </si>
  <si>
    <t>No</t>
  </si>
  <si>
    <t>Jet fuel</t>
  </si>
  <si>
    <t>Cargo por confiabilidad 2006 (U$D/MWh)</t>
  </si>
  <si>
    <t>Cargo por confiabilidad 2008 (U$D/MWh)</t>
  </si>
  <si>
    <t>Cargo por confiabilidad 2011 (U$D/MWh)</t>
  </si>
  <si>
    <t>Cálculos precio Cargo por Confiabilidad</t>
  </si>
  <si>
    <t>Plantas</t>
  </si>
  <si>
    <t>San Carlos</t>
  </si>
  <si>
    <t>Miel I</t>
  </si>
  <si>
    <t>Termocentro</t>
  </si>
  <si>
    <t>Amoyá</t>
  </si>
  <si>
    <t>Calderas</t>
  </si>
  <si>
    <t>Jaguas</t>
  </si>
  <si>
    <t>Cargo por confiabilidad plantas existentes (U$D/MWh)</t>
  </si>
  <si>
    <t>Total plantas existentes</t>
  </si>
  <si>
    <t>Costo marginal ($COP Corrientes/KWh)</t>
  </si>
  <si>
    <t>Componentes del WACC</t>
  </si>
  <si>
    <t>Prima mercado</t>
  </si>
  <si>
    <t xml:space="preserve">Escudo tributario por tasa de impuestos </t>
  </si>
  <si>
    <t>Devaluación de largo plazo</t>
  </si>
  <si>
    <t>Tasa de deuda en COP</t>
  </si>
  <si>
    <t>WACC (COP)</t>
  </si>
  <si>
    <t>Ke (COP)</t>
  </si>
  <si>
    <t>Tasa libre de riesgo (Bonos tesoro americano 10 años)</t>
  </si>
  <si>
    <t>①</t>
  </si>
  <si>
    <t>http://finance.yahoo.com/bonds/composite_bond_rates</t>
  </si>
  <si>
    <t>Tasa último mes</t>
  </si>
  <si>
    <t>②</t>
  </si>
  <si>
    <t>http://www.ambito.com/economia/mercados/riesgo-pais/info/?id=4</t>
  </si>
  <si>
    <t>Riesgo país (EMBI Colombia)</t>
  </si>
  <si>
    <t>Beta activos(Beta desapalancado sector Power)</t>
  </si>
  <si>
    <t>Fuente</t>
  </si>
  <si>
    <t>③</t>
  </si>
  <si>
    <t>http://pages.stern.nyu.edu/~adamodar/New_Home_Page/datafile/Betas.html</t>
  </si>
  <si>
    <t>④</t>
  </si>
  <si>
    <t>http://pages.stern.nyu.edu/~adamodar/New_Home_Page/datafile/histretSP.html</t>
  </si>
  <si>
    <t>Para el período 2004-2013</t>
  </si>
  <si>
    <t>⑤</t>
  </si>
  <si>
    <t>Contable</t>
  </si>
  <si>
    <t>Objetivo</t>
  </si>
  <si>
    <t>Mercado</t>
  </si>
  <si>
    <t>Estructura financiera para cálculo del WACC</t>
  </si>
  <si>
    <t>Deuda Financiera</t>
  </si>
  <si>
    <t>Opic</t>
  </si>
  <si>
    <t>Bonos 7 años</t>
  </si>
  <si>
    <t>Bonos 10 años</t>
  </si>
  <si>
    <t>Bonos 15 años</t>
  </si>
  <si>
    <t>Club Deal</t>
  </si>
  <si>
    <t>Leasing Siemens</t>
  </si>
  <si>
    <t>Leasing Imocom</t>
  </si>
  <si>
    <t>JBIC</t>
  </si>
  <si>
    <t>BTMU</t>
  </si>
  <si>
    <t>Banco Santander</t>
  </si>
  <si>
    <t>Estructura contable</t>
  </si>
  <si>
    <t>Estructura objetivo</t>
  </si>
  <si>
    <t>Covenants deuda/Ebitda: &lt;3.5</t>
  </si>
  <si>
    <t>Ebitda</t>
  </si>
  <si>
    <t>Estructura de mercado</t>
  </si>
  <si>
    <t>Debt/equity ratio</t>
  </si>
  <si>
    <t>%Deuda</t>
  </si>
  <si>
    <t>%Patrimonio</t>
  </si>
  <si>
    <t>Deuda/Equity</t>
  </si>
  <si>
    <t>%Deuda + %Patrimonio</t>
  </si>
  <si>
    <t>Costo de la deuda ponderado</t>
  </si>
  <si>
    <t>Saldo</t>
  </si>
  <si>
    <t>Tasa</t>
  </si>
  <si>
    <t>IPC+5.25%</t>
  </si>
  <si>
    <t>IPC+5.93%</t>
  </si>
  <si>
    <t>IPC+6.48%</t>
  </si>
  <si>
    <t>IPC+6.99%</t>
  </si>
  <si>
    <t>Libor+2.85%</t>
  </si>
  <si>
    <t>Libor+1.40%</t>
  </si>
  <si>
    <t>Libor+1.00%</t>
  </si>
  <si>
    <t>DTF+4.40%</t>
  </si>
  <si>
    <t>IBR+4.30%</t>
  </si>
  <si>
    <t>IBR</t>
  </si>
  <si>
    <t>Tasa efectiva COP</t>
  </si>
  <si>
    <t>Tasa ponderada de deuda largo plazo (COP)</t>
  </si>
  <si>
    <t>Ke (USD)</t>
  </si>
  <si>
    <t>Betas</t>
  </si>
  <si>
    <t>Sector Power promedio últimos 5 años</t>
  </si>
  <si>
    <t>http://pages.stern.nyu.edu/~adamodar/</t>
  </si>
  <si>
    <t>Estructura financiera para calcular WACC</t>
  </si>
  <si>
    <t>Enficc plantas existentes</t>
  </si>
  <si>
    <t>Enficc (KWh/día)</t>
  </si>
  <si>
    <t>Enficc(MWh)</t>
  </si>
  <si>
    <t>Enficc plantas existentes(MWh)</t>
  </si>
  <si>
    <t>Prorrata de asignación para OEF</t>
  </si>
  <si>
    <t>Precio de bolsa ($COP corrientes/KWh)</t>
  </si>
  <si>
    <t>Costo equivalente real de Energia (CERE)</t>
  </si>
  <si>
    <t>PPI USA</t>
  </si>
  <si>
    <t>AGC para plantas hidráulicas</t>
  </si>
  <si>
    <t>2. http://www.eia.gov/forecasts/steo/report/us_eco.cfm (2014 a 2015, 2016 en adelante, construcción propia)</t>
  </si>
  <si>
    <r>
      <t xml:space="preserve">PPI (EEUU.) </t>
    </r>
    <r>
      <rPr>
        <b/>
        <sz val="10"/>
        <rFont val="Calibri"/>
        <family val="2"/>
      </rPr>
      <t>②</t>
    </r>
  </si>
  <si>
    <t>Prima precio de contratos sobre precio de bolsa</t>
  </si>
  <si>
    <t>Mix de ventas de energía Isagen</t>
  </si>
  <si>
    <t>Exceso en ventas respecto a Generación en unidades</t>
  </si>
  <si>
    <t xml:space="preserve">SOGAMOSO    </t>
  </si>
  <si>
    <t xml:space="preserve">MIEL I      </t>
  </si>
  <si>
    <t xml:space="preserve">AMOYA       </t>
  </si>
  <si>
    <t xml:space="preserve">CALDERAS    </t>
  </si>
  <si>
    <t xml:space="preserve">SAN CARLOS  </t>
  </si>
  <si>
    <t xml:space="preserve">JAGUAS      </t>
  </si>
  <si>
    <t xml:space="preserve">               </t>
  </si>
  <si>
    <t>GWh/dia</t>
  </si>
  <si>
    <t xml:space="preserve">Generacion Hidro por Planta                       </t>
  </si>
  <si>
    <t>TERMOCENTRO GAS</t>
  </si>
  <si>
    <t xml:space="preserve">TCENTRO JET-A1  </t>
  </si>
  <si>
    <t xml:space="preserve">Generacion termica               </t>
  </si>
  <si>
    <t xml:space="preserve">Generacion Termica por Planta                     </t>
  </si>
  <si>
    <t>AÑO</t>
  </si>
  <si>
    <t>Total</t>
  </si>
  <si>
    <t>Compras en bolsa (GWh/año)</t>
  </si>
  <si>
    <t>Precio promedio ponderado bolsa nacional - histórico ($/kWh)</t>
  </si>
  <si>
    <t xml:space="preserve">Precio promedio contratos - históricos ($/kWh) </t>
  </si>
  <si>
    <t>IPP Colombia</t>
  </si>
  <si>
    <t xml:space="preserve">Precio promedio contratos históricos calculado a partir del IPP COL ($/kWh) </t>
  </si>
  <si>
    <t>Delta precio contrato sobre precio de bolsa a partir del valor real</t>
  </si>
  <si>
    <t>Spread contratos sobre precio de bolsa en el momento de firma</t>
  </si>
  <si>
    <t>Información obtenida de informes anuales de operación de mercado de XM</t>
  </si>
  <si>
    <t>Precio de remuneración en Niño a Termocentro con Jet Fuel</t>
  </si>
  <si>
    <t>Mix histórico de ventas de energía Isagen</t>
  </si>
  <si>
    <t>GWh</t>
  </si>
  <si>
    <t>Ventas en bolsa</t>
  </si>
  <si>
    <t>Ventas en contratos</t>
  </si>
  <si>
    <t>Total unidades vendidas (GWh)</t>
  </si>
  <si>
    <t>Participación contratos</t>
  </si>
  <si>
    <t>Participación bolsa</t>
  </si>
  <si>
    <t>Períodos no niño</t>
  </si>
  <si>
    <t>Períodos niño</t>
  </si>
  <si>
    <t>Generación hidráulica (GWh/año)</t>
  </si>
  <si>
    <t>Generación Térmica con Gas (GWh/año)</t>
  </si>
  <si>
    <t>Generación Térmica con Jet Fuel (GWh/año)</t>
  </si>
  <si>
    <t>Generación por mérito</t>
  </si>
  <si>
    <t>Ventas en unidades Vs Generación histórica</t>
  </si>
  <si>
    <t>Ventas (GWh/año)</t>
  </si>
  <si>
    <t>Generación (GWh/año)</t>
  </si>
  <si>
    <t>Déficit de generación que requiere comprar en bolsa</t>
  </si>
  <si>
    <t>Índice de sobreventa respecto a la generación</t>
  </si>
  <si>
    <t>Pruebas con GAS realizadas al año</t>
  </si>
  <si>
    <t>Pruebas de generación Termocentro</t>
  </si>
  <si>
    <t>Pruebas con Jet realizadas al año</t>
  </si>
  <si>
    <r>
      <t>Heat rate con Jet Fuel (Mbtu/MWh)</t>
    </r>
    <r>
      <rPr>
        <b/>
        <sz val="11"/>
        <color theme="1"/>
        <rFont val="Calibri"/>
        <family val="2"/>
      </rPr>
      <t>①</t>
    </r>
  </si>
  <si>
    <t>① http://kosmos.upb.edu.co/web/uploads/articulos/(A)_Analisis_Energetico_y_Economico_Para_el_Cambio_de_Combustible_en_una_Central_de_Ciclo_Combinado_en_Thermoflex_1041.pdf</t>
  </si>
  <si>
    <t>② http://www.sui.gov.co/MEM/archivos/informesexpert/informe44.pdf</t>
  </si>
  <si>
    <t>③ http://www.isagen.com.co/informe-de-gestion/2012/nuestroportafolio.html</t>
  </si>
  <si>
    <r>
      <t xml:space="preserve">Heat rate con Gas (Mbtu/MWh) </t>
    </r>
    <r>
      <rPr>
        <b/>
        <sz val="11"/>
        <color theme="1"/>
        <rFont val="Calibri"/>
        <family val="2"/>
      </rPr>
      <t>④</t>
    </r>
  </si>
  <si>
    <t>④ http://apolo.creg.gov.co/Publicac.nsf/1aed427ff782911965256751001e9e55/30382cf20ca7b6bc0525785a007a71d3/$FILE/CIRCULAR045-2009%20ANEXO.pdf</t>
  </si>
  <si>
    <t>⑤ http://www.sui.gov.co/MEM/archivos/informesexpert/informe88.pdf</t>
  </si>
  <si>
    <t>GENERACIÓN TOTAL ISAGEN EN MERITO (GWh/año)</t>
  </si>
  <si>
    <t>GENERACIÓN TOTAL ISAGEN FUERA DE MERITO (GWh/año)</t>
  </si>
  <si>
    <t>Capacidad instalada de las plantas</t>
  </si>
  <si>
    <t>Sogamoso</t>
  </si>
  <si>
    <t>Miel</t>
  </si>
  <si>
    <t>Termocentro GAS</t>
  </si>
  <si>
    <t>Termocentro JET Fuel</t>
  </si>
  <si>
    <t>MW</t>
  </si>
  <si>
    <t>Factor de planta teórico</t>
  </si>
  <si>
    <t>http://www.isagen.com.co/comunicados/ISAGEN_CORTA_PRESENTACION.pdf</t>
  </si>
  <si>
    <t>Generación Térmica por pruebas a Gas (GWh/año)</t>
  </si>
  <si>
    <t>Precio de venta de AGC ($/KWh)</t>
  </si>
  <si>
    <t>Precio en planta de generación US$/MBTU 2013</t>
  </si>
  <si>
    <t>Precio-Referencia</t>
  </si>
  <si>
    <t xml:space="preserve">Precio-Alto </t>
  </si>
  <si>
    <t xml:space="preserve">Precio-Bajo </t>
  </si>
  <si>
    <t>Gas Cusiana</t>
  </si>
  <si>
    <t>Precio Referencia Boca Pozo</t>
  </si>
  <si>
    <t>Transporte Marítimo (TT)+Regasificación(LMG)</t>
  </si>
  <si>
    <t>Transporte Gasoducto</t>
  </si>
  <si>
    <t>Total Referencia</t>
  </si>
  <si>
    <t>Precio Alto Boca Pozo</t>
  </si>
  <si>
    <t>Total Alto</t>
  </si>
  <si>
    <t>Precio Bajo Boca Pozo</t>
  </si>
  <si>
    <t>(JET A1)</t>
  </si>
  <si>
    <t xml:space="preserve">Precio en planta de generación US$/MBTU 2013 Termocentro </t>
  </si>
  <si>
    <t>Mes</t>
  </si>
  <si>
    <t>Escenario precio de combustibles</t>
  </si>
  <si>
    <t>Medio</t>
  </si>
  <si>
    <t>Alto</t>
  </si>
  <si>
    <t>Bajo</t>
  </si>
  <si>
    <t>Total Bajo</t>
  </si>
  <si>
    <t>Precio en planta de regasificación</t>
  </si>
  <si>
    <t>Gas GNL</t>
  </si>
  <si>
    <t>Planta Termocentro - En período Niño</t>
  </si>
  <si>
    <t>Planta Termocentro - Eficiencia</t>
  </si>
  <si>
    <t>Precio Energía en Bolsa - Spot</t>
  </si>
  <si>
    <t>Precio reconciliación (+) para Termocentro - GAS Cusiana</t>
  </si>
  <si>
    <t>Costo del combustible puesto en planta ($/KWh)</t>
  </si>
  <si>
    <t>Costo de arranque y parada</t>
  </si>
  <si>
    <t>Precio de reconciliación positiva con GAS Cusiana</t>
  </si>
  <si>
    <t>Precio reconciliación (+) para Termocentro - GAS GNL</t>
  </si>
  <si>
    <t>Precio de reconciliación positiva con GAS GNL</t>
  </si>
  <si>
    <t>Precio reconciliación (+) para Termocentro - Jet Fuel</t>
  </si>
  <si>
    <t>Precio de reconciliación positiva con Jet Fuel</t>
  </si>
  <si>
    <t>Galones por MBTU</t>
  </si>
  <si>
    <t>Galones por MWh</t>
  </si>
  <si>
    <t>Ventas Totales Isagen en Unidades (GWh/año)</t>
  </si>
  <si>
    <t>Días de generación térmica en niño</t>
  </si>
  <si>
    <t>Ventas de GAS en el mercado Secundario (MBTU/Año)</t>
  </si>
  <si>
    <t>Consumo de Gas (MBTU/Año)</t>
  </si>
  <si>
    <t>Consumo Jet Fuel (MBTU/Año)</t>
  </si>
  <si>
    <r>
      <t xml:space="preserve">Contrato de suministro de GAS (MBTUD) </t>
    </r>
    <r>
      <rPr>
        <b/>
        <sz val="11"/>
        <color theme="1"/>
        <rFont val="Calibri"/>
        <family val="2"/>
      </rPr>
      <t>⑤</t>
    </r>
  </si>
  <si>
    <t>PSS seleccionado para precio de bolsa</t>
  </si>
  <si>
    <t>Combustible Termocentro después de contrato de gas actual</t>
  </si>
  <si>
    <t xml:space="preserve">Días de importación del JET Fuel </t>
  </si>
  <si>
    <t>http://www.sipg.gov.co/sipg/documentos/Proyecciones/2012/PROYECC_DEMDO_GM_GNV_2012-2031.pdf</t>
  </si>
  <si>
    <t>Delta por remuneración del servicio de AGC</t>
  </si>
  <si>
    <t>Servicios de AGC (GWh/año no generados)</t>
  </si>
  <si>
    <t>Servicio AGC prestado respecto a la generación total histórica</t>
  </si>
  <si>
    <t>Consumo de combustible</t>
  </si>
  <si>
    <t>Datos para calcular los costos de operación comercial</t>
  </si>
  <si>
    <t>Datos para calcular los ingresos</t>
  </si>
  <si>
    <t>Periodo de gracia</t>
  </si>
  <si>
    <t>Tasa anual de seguro y vigilancia</t>
  </si>
  <si>
    <t>P          E          R          I          O          D          O                     E          X          P          L          Í          C          I          T          O</t>
  </si>
  <si>
    <t>APR</t>
  </si>
  <si>
    <t>Inmuebles</t>
  </si>
  <si>
    <t>Costos financieros</t>
  </si>
  <si>
    <t>Vida útil contable (años)</t>
  </si>
  <si>
    <t>Vida útil fiscal (años)</t>
  </si>
  <si>
    <t>Capital</t>
  </si>
  <si>
    <t>Deuda</t>
  </si>
  <si>
    <t>Restricciones de crédito</t>
  </si>
  <si>
    <t>Cobertura de Intereses</t>
  </si>
  <si>
    <t>Años de Pago</t>
  </si>
  <si>
    <t>Endeudamiento</t>
  </si>
  <si>
    <t>Impuestos</t>
  </si>
  <si>
    <t>Tasa de impuesto de renta</t>
  </si>
  <si>
    <t>Deduccion del gravamen a movimientos fros</t>
  </si>
  <si>
    <t>Impuesto al patrimonio</t>
  </si>
  <si>
    <t>Otros conceptos</t>
  </si>
  <si>
    <r>
      <t>Delta precio contrato sobre precio de bolsa a partir del IPP</t>
    </r>
    <r>
      <rPr>
        <b/>
        <i/>
        <sz val="12"/>
        <color theme="1"/>
        <rFont val="Calibri"/>
        <family val="2"/>
      </rPr>
      <t>*</t>
    </r>
  </si>
  <si>
    <r>
      <rPr>
        <b/>
        <i/>
        <sz val="12"/>
        <color theme="1"/>
        <rFont val="Calibri"/>
        <family val="2"/>
      </rPr>
      <t>*</t>
    </r>
    <r>
      <rPr>
        <b/>
        <i/>
        <sz val="11"/>
        <color theme="1"/>
        <rFont val="Calibri"/>
        <family val="2"/>
        <scheme val="minor"/>
      </rPr>
      <t xml:space="preserve"> Asume vigencia de contratos de dos años</t>
    </r>
  </si>
  <si>
    <t>Datos Generales de la Empresa</t>
  </si>
  <si>
    <t>Calderas devuelve Cere</t>
  </si>
  <si>
    <t>Primer mes de proyección del año base</t>
  </si>
  <si>
    <t>Año de entrada operación Sogamoso</t>
  </si>
  <si>
    <t>Mes de entrada de operación Sogamoso</t>
  </si>
  <si>
    <t>Meses de proyección de año base</t>
  </si>
  <si>
    <t>Factor de moneda a millones</t>
  </si>
  <si>
    <t>Factor conversión de GWh/KWh</t>
  </si>
  <si>
    <t>Factor conversión MWh a KWh o de GWh a MWh</t>
  </si>
  <si>
    <t>Tasa deuda Largo Plazo</t>
  </si>
  <si>
    <t>Provisión Cartera</t>
  </si>
  <si>
    <t>Días Caja mínima</t>
  </si>
  <si>
    <t>PROYECTO HIDROELÉCTRICO SOGAMOSO</t>
  </si>
  <si>
    <t>TOTAL</t>
  </si>
  <si>
    <t>% del total</t>
  </si>
  <si>
    <t>Imprevistos</t>
  </si>
  <si>
    <t>TOTAL SIN COSTOS FINANCIEROS</t>
  </si>
  <si>
    <t>Precio Energía en Contratos - Mercado regulado y Mayorista</t>
  </si>
  <si>
    <t>Planta Termocentro - Pruebas técnicas</t>
  </si>
  <si>
    <t>Planta Termocentro - combustible para respaldar OEF</t>
  </si>
  <si>
    <t>Cargo por confiabilidad - Precios y cantidades</t>
  </si>
  <si>
    <t>Generación fuera de mérito</t>
  </si>
  <si>
    <t>AGC - Precios y cantidades</t>
  </si>
  <si>
    <t>Ventas de energía</t>
  </si>
  <si>
    <t xml:space="preserve">Ventas de Gas </t>
  </si>
  <si>
    <t>Compras en bolsa</t>
  </si>
  <si>
    <t>Balance energético (Generación + compras - ventas bolsa - ventas contratos)</t>
  </si>
  <si>
    <t>Variables a sensibilizar</t>
  </si>
  <si>
    <t xml:space="preserve">Empresa: </t>
  </si>
  <si>
    <t>ISAGEN</t>
  </si>
  <si>
    <t>Precios de bolsa históricos</t>
  </si>
  <si>
    <t>Precios de contratos históricos</t>
  </si>
  <si>
    <t>Índices macroeconómicos</t>
  </si>
  <si>
    <t>FACTORES MACROECONOMICOS 2013 - 2024</t>
  </si>
  <si>
    <t>Tasa de Cambio de Cierre de período</t>
  </si>
  <si>
    <r>
      <t xml:space="preserve">Precio del GAS en planta - Cusiana </t>
    </r>
    <r>
      <rPr>
        <b/>
        <sz val="8"/>
        <rFont val="Arial"/>
        <family val="2"/>
      </rPr>
      <t>(U$D/MBTU)</t>
    </r>
  </si>
  <si>
    <r>
      <t xml:space="preserve">Precio del GAS en planta - GNL </t>
    </r>
    <r>
      <rPr>
        <b/>
        <sz val="8"/>
        <rFont val="Arial"/>
        <family val="2"/>
      </rPr>
      <t>(U$D/MBTU)</t>
    </r>
  </si>
  <si>
    <r>
      <t xml:space="preserve">Prima Oferta compra de GAS -OCG- </t>
    </r>
    <r>
      <rPr>
        <b/>
        <sz val="8"/>
        <rFont val="Arial"/>
        <family val="2"/>
      </rPr>
      <t>(U$D/MBTU)</t>
    </r>
  </si>
  <si>
    <r>
      <t xml:space="preserve">Prima operación de combustible </t>
    </r>
    <r>
      <rPr>
        <b/>
        <sz val="8"/>
        <rFont val="Arial"/>
        <family val="2"/>
      </rPr>
      <t>($/Galón Mes)</t>
    </r>
  </si>
  <si>
    <t>2014-1</t>
  </si>
  <si>
    <t>2014-2</t>
  </si>
  <si>
    <t>Factores de Ajuste Diciembre 2013</t>
  </si>
  <si>
    <t>Factores de Ajuste Junio 2014</t>
  </si>
  <si>
    <t xml:space="preserve">         Ejecutar Macro</t>
  </si>
  <si>
    <t>Carácter</t>
  </si>
  <si>
    <t>Significado</t>
  </si>
  <si>
    <t>Datos Generales</t>
  </si>
  <si>
    <t>Hoja en las que se encuentra</t>
  </si>
  <si>
    <t>Qué hace</t>
  </si>
  <si>
    <t>Sogamoso subasta 2008 (KWh/día)</t>
  </si>
  <si>
    <t>Sogamoso subasta 2011 (KWh/día)</t>
  </si>
  <si>
    <t xml:space="preserve">OEF asignada plantas nuevas </t>
  </si>
  <si>
    <t>Poder Calorífico (MBTU/Galón)</t>
  </si>
  <si>
    <t>Índice</t>
  </si>
  <si>
    <t>Celda selección de variables</t>
  </si>
  <si>
    <t>• Supuestos Operación
• Datos Generales</t>
  </si>
  <si>
    <t>En la parte superior de estas hojas se encontrarán tablas denominadas "Variables para sensibilizar", en estas, varías de las celdas que las componen tienen esta caracterísitica. Su intención es lograr múltiples resultados que permitan la construcción de rangos de valor de manera que el resultado sea estocástico y no determinístico.</t>
  </si>
  <si>
    <t>Dato no modificable</t>
  </si>
  <si>
    <t>Costo marginal (U$D constantes Junio 2014/MWh)</t>
  </si>
  <si>
    <t>1er Semestre</t>
  </si>
  <si>
    <t>2do Semestre</t>
  </si>
  <si>
    <t>Días de operación al año</t>
  </si>
  <si>
    <t>Horas de operación al día</t>
  </si>
  <si>
    <t>Otros Costos Variables ($/KWh)</t>
  </si>
  <si>
    <t>Ley 99 de 1993 plantas hidráulicas</t>
  </si>
  <si>
    <t>Ley 99 de 1993 plantas térmicas</t>
  </si>
  <si>
    <t>Macro 1</t>
  </si>
  <si>
    <t>Histórico a:</t>
  </si>
  <si>
    <t>Maquinaria y Equipo de generación</t>
  </si>
  <si>
    <t>Activar condición Verdadero o falso</t>
  </si>
  <si>
    <t>Hoja datos generales celdas C24 a C29</t>
  </si>
  <si>
    <t>Si el click aparece activo como se muestra en la figura, indica que la inversión en activos fijos que allí se detalla, tiene el beneficio de activo productor de renta (APR), el cual consiste en que de dicha inversión, puede aplicarse una deducción tributaria en renta, del 30% como gasto deducible, esto según el contrato de estabilidad jurídica que tiene suscrito Isagén con la Nación y vigente para inversiones que se realicen hasta el año 2030.</t>
  </si>
  <si>
    <t>Tarifa CREE después del año 2015</t>
  </si>
  <si>
    <t>Terrenos</t>
  </si>
  <si>
    <t>Obras Civiles, Infraestructura, campamentos, obras sustitutivas, administración  y PMA</t>
  </si>
  <si>
    <t>Costos financieros hasta Diciembre de 2013</t>
  </si>
  <si>
    <t>TOTAL CON COSTOS FINANCIEROS</t>
  </si>
  <si>
    <t>Cumplimiento del cronograma hasta 2013 respecto al plan inicial</t>
  </si>
  <si>
    <t>Estas celdas no deben ser modificadas pues corresponden a datos ciertos ya corroborados con la información de la Empresa. Si se modifica el valor de la celda el modelo lo permitirá pero el resultado de la valoración de la Empresa y de la Acción será incoherente con los resultados financieros que ha presentado la Empresa hasta Junio de 2014.</t>
  </si>
  <si>
    <t>Celdas Color marrón</t>
  </si>
  <si>
    <t>Supuestos de operación celda K4 y Datos generales varias celdas</t>
  </si>
  <si>
    <t>Estructura de deuda construcción Hidrosogamoso</t>
  </si>
  <si>
    <t>Inversión en Hidrosogamoso</t>
  </si>
  <si>
    <t>Plantas de generación</t>
  </si>
  <si>
    <t>Edificios</t>
  </si>
  <si>
    <t>Política de financiación de activos nuevos</t>
  </si>
  <si>
    <t>Costo crédito corto plazo (Tesorerías)</t>
  </si>
  <si>
    <t>Condiciones Financieras corto plazo</t>
  </si>
  <si>
    <t>Tarifa Impuesto de renta</t>
  </si>
  <si>
    <t>Tasa de impuesto para la equidad (CREE)</t>
  </si>
  <si>
    <t>Anticipo impuesto de renta</t>
  </si>
  <si>
    <t>Anticipo de impuesto de renta</t>
  </si>
  <si>
    <t>Beneficio tributario por inversión en activosfijos  productores de renta</t>
  </si>
  <si>
    <t>Gravamen a los movimientos financieros ①</t>
  </si>
  <si>
    <t xml:space="preserve"> ①</t>
  </si>
  <si>
    <t>Continuidad gravamen a los movimientos financieros</t>
  </si>
  <si>
    <t>Continuidad del Impuesto Patrimonio</t>
  </si>
  <si>
    <t>Inputs no modificables</t>
  </si>
  <si>
    <t>Reserva Legal apropiación anual de las utilidades</t>
  </si>
  <si>
    <t>Límite obligatorio de la reserva legal sobre el capital</t>
  </si>
  <si>
    <t>Payout ratio de dividendos sobre utilidad neta</t>
  </si>
  <si>
    <t>Ingresos</t>
  </si>
  <si>
    <t>Precio contratos largo plazo ($/KWh)</t>
  </si>
  <si>
    <t>Ingreso neto Cargo por Confiabilidad</t>
  </si>
  <si>
    <t>Ventas de Gas</t>
  </si>
  <si>
    <t>Total Ingresos</t>
  </si>
  <si>
    <t>Días de operación al mes</t>
  </si>
  <si>
    <t>Meses de operación al año</t>
  </si>
  <si>
    <t>Ventas en Bolsa por pruebas (térmica)</t>
  </si>
  <si>
    <t>Ventas en Bolsa por seguridad (térmica en niño)</t>
  </si>
  <si>
    <t>Ventas en Bolsa por mérito</t>
  </si>
  <si>
    <t>Costos Comerciales</t>
  </si>
  <si>
    <t>Spread tasa de colocacion (Sobre el IPC)</t>
  </si>
  <si>
    <t>Spread deuda corto plazo (Sobre la DTF T.A.)</t>
  </si>
  <si>
    <t>Sector generación energía</t>
  </si>
  <si>
    <t>Número de empresas de la muestra</t>
  </si>
  <si>
    <t>Participación mercado regulado y no regulado</t>
  </si>
  <si>
    <t>Promedio de contratación histórico - Termocentro con GAS</t>
  </si>
  <si>
    <t>% de ventas de energía de largo plazo destinados al mercado regulado</t>
  </si>
  <si>
    <t>% de ventas de energía de largo plazo destinados al mercado no regulado</t>
  </si>
  <si>
    <t>Ventas en contratos mercado regulado</t>
  </si>
  <si>
    <t>Ventas en contratos mercado no regulado</t>
  </si>
  <si>
    <t>Promedio contratación histórico (Estimado) - Termocentro con JET A1</t>
  </si>
  <si>
    <t>Subtotal OCV´s</t>
  </si>
  <si>
    <t>Spread de precio compra bolsa Vs Venta en bolsa</t>
  </si>
  <si>
    <t>Total otros costos variables hidráulicos (OCV´s-h)</t>
  </si>
  <si>
    <t>Total otros costos variables térmicos (OCV´s-t)</t>
  </si>
  <si>
    <t>Costo de OCV térmico</t>
  </si>
  <si>
    <t>Prima GNL  opción de compra de Gas -OCG- (U$/MBTU)</t>
  </si>
  <si>
    <t>Take or pay suministro de GAS CUSIANA</t>
  </si>
  <si>
    <t>Fecha final contrato transporte GAS TGI</t>
  </si>
  <si>
    <t>Otros cargos y contribuciones</t>
  </si>
  <si>
    <t>Cargo por uso de redes del STN y STR en ventas al MNR ($/KWh)</t>
  </si>
  <si>
    <t>Total Capacidad instalada con Sogamoso</t>
  </si>
  <si>
    <t>Contribución CND y ASIC ($/KW mes)</t>
  </si>
  <si>
    <t>Cuota de fiscalización Contraloría General de la República</t>
  </si>
  <si>
    <t>Costo fijo contrato de transporte de gas con TGI (U$/MBTU)</t>
  </si>
  <si>
    <t>Costos por respaldo de OEF y generación térmica</t>
  </si>
  <si>
    <t>Puntos adicionales al IPC para incremento salarial</t>
  </si>
  <si>
    <t>Costo por arranque  Termocentro con Gas (U$D/Arranque)</t>
  </si>
  <si>
    <t>Costo por arranque  Termocentro con Jet Fuel (U$D/Arranque)</t>
  </si>
  <si>
    <t>Seguros y vigilancia</t>
  </si>
  <si>
    <t>Plan de manejo ambiental</t>
  </si>
  <si>
    <t>Otros costos (Honorarios, arrendamientos, cafetería, publicidad, etc)</t>
  </si>
  <si>
    <t>Costos del personal de operación y mantenimiento</t>
  </si>
  <si>
    <t>Mantenimiento plantas de generación</t>
  </si>
  <si>
    <t>Costo proyectado de mantenimiento plantas de generación</t>
  </si>
  <si>
    <t>Histórico Isagén</t>
  </si>
  <si>
    <t>Ref. internacional</t>
  </si>
  <si>
    <t>① COST AND PERFORMANCE DATA FOR POWER GENERATION TECHNOLOGIES, Prepared for the National Renewable Energy Laboratory, FEBRUARY 2012</t>
  </si>
  <si>
    <t>O&amp;M variable (U$/MWh)</t>
  </si>
  <si>
    <r>
      <t>O&amp;M variable referente internacional (U$D/MWh)</t>
    </r>
    <r>
      <rPr>
        <b/>
        <sz val="11"/>
        <color theme="1"/>
        <rFont val="Calibri"/>
        <family val="2"/>
      </rPr>
      <t>①</t>
    </r>
  </si>
  <si>
    <t>O&amp;M Fijo referente internacional (U$D/KW Inst) ①</t>
  </si>
  <si>
    <t>IPC anual para ajuste del impuesto</t>
  </si>
  <si>
    <t>Valor impuesto de industria y Comercio ($COP/KW instalado)</t>
  </si>
  <si>
    <t>Cálculo Impuesto predial ($COP/KW) Art 4 Ley 56 de 1981</t>
  </si>
  <si>
    <t>Obras civiles + inmuebles</t>
  </si>
  <si>
    <t>Tarifa promedio bienes urbanizables no urbanizados</t>
  </si>
  <si>
    <t>Tarifa por compensación sobre el impuesto predial</t>
  </si>
  <si>
    <t>base aplicación compensación impuesto predial para generadores de energía: Avalúo catastral de:</t>
  </si>
  <si>
    <t>O&amp;M Fijo (U$/KW instalado año)</t>
  </si>
  <si>
    <t>Arrendamiento Edificio administración Central ($COP mes)</t>
  </si>
  <si>
    <t>Contribución a la SSPP ($COP mes)</t>
  </si>
  <si>
    <t>Contribución a la Creg ($COP mes)</t>
  </si>
  <si>
    <t>Costo fijo de O&amp;M a partir de históricos (USD/KW instalado año)</t>
  </si>
  <si>
    <t>Costo variable de O&amp;M a partir de históricos (USD/MWh)</t>
  </si>
  <si>
    <t>Total costos de operar fijos (U$D/KW instalado año)</t>
  </si>
  <si>
    <t>Total costos de operar variable (U$D/MWh)</t>
  </si>
  <si>
    <t>Costos de operar - referente Internacional</t>
  </si>
  <si>
    <t>Impto Industria y Comercio y complementarios ($/KW instalado mes)</t>
  </si>
  <si>
    <t>Costos del personal administrativo ($COP mes)</t>
  </si>
  <si>
    <t>Otros Gastos: Honorarios, etc ($COP mes)</t>
  </si>
  <si>
    <t>Gastos de Administración fijos mensuales</t>
  </si>
  <si>
    <t>Otros gastos de administración</t>
  </si>
  <si>
    <t>Subtotal Gastos de Administración fijos mensuales</t>
  </si>
  <si>
    <t>Compras de energía en bolsa</t>
  </si>
  <si>
    <t>Costo del Gas consumido (suministro y transporte)</t>
  </si>
  <si>
    <t>Costo del Jet Fuel Consumido</t>
  </si>
  <si>
    <t>Egreso neto Cargo por Confiabilidad</t>
  </si>
  <si>
    <t>Egreso neto AGC</t>
  </si>
  <si>
    <t>Ingreso neto AGC</t>
  </si>
  <si>
    <t>Costo contrato oneroso transporte Gas Nacional TGI</t>
  </si>
  <si>
    <t>Contribución ley 99 de 1993 plantas hidráulicas</t>
  </si>
  <si>
    <t>Contribución ley 99 de 1993 plantas térmicas</t>
  </si>
  <si>
    <t>Contribución CND y ASIC</t>
  </si>
  <si>
    <t>Cargos por uso de redes del STN y STR (Solo MNR)</t>
  </si>
  <si>
    <t>Total Costos Comerciales</t>
  </si>
  <si>
    <t>Costo firmeza Jet Fuel (Operación y almacenamiento)</t>
  </si>
  <si>
    <t>Costo prima OCG Gas GNL</t>
  </si>
  <si>
    <t>Costos comerciales térmicos</t>
  </si>
  <si>
    <t>Total costos comerciales térmicos</t>
  </si>
  <si>
    <t>Utilidad bruta de la operación comercial</t>
  </si>
  <si>
    <t>Margen de utilidad bruta de operación comercial</t>
  </si>
  <si>
    <t>VPN</t>
  </si>
  <si>
    <t>Costos variables de operación de las centrales</t>
  </si>
  <si>
    <t>Costos fijos de operación de las centrales</t>
  </si>
  <si>
    <t>Otros costos fijos</t>
  </si>
  <si>
    <t>Costos fijos según referente internacional</t>
  </si>
  <si>
    <t>Total costos fijos de operación</t>
  </si>
  <si>
    <t>Costo del personal de operación y mantenimiento</t>
  </si>
  <si>
    <t>Mantenimiento de las plantas de generación</t>
  </si>
  <si>
    <t>Costos variables según referente internacional</t>
  </si>
  <si>
    <t>Total costos variables de operación</t>
  </si>
  <si>
    <t>Costos de arranque térmico fuera de mérito</t>
  </si>
  <si>
    <t>Gastos de Administración</t>
  </si>
  <si>
    <t>Cuota de fiscalización y auditaje</t>
  </si>
  <si>
    <t>Contribución a la Superservicios</t>
  </si>
  <si>
    <t>Contribución a la Creg</t>
  </si>
  <si>
    <t>Arrendamiento edificio administración central</t>
  </si>
  <si>
    <t>Gastos del personal administrativo</t>
  </si>
  <si>
    <t>Otros gastos administrativos</t>
  </si>
  <si>
    <t>Impuesto de industria y comercio</t>
  </si>
  <si>
    <t>Compensación del impuesto predial</t>
  </si>
  <si>
    <t>Inversiones</t>
  </si>
  <si>
    <t>Act Product Renta</t>
  </si>
  <si>
    <t>Depreciacion</t>
  </si>
  <si>
    <t>Depreciacion 2013</t>
  </si>
  <si>
    <t>Depreciacion 2015</t>
  </si>
  <si>
    <t>Depreciacion 2016</t>
  </si>
  <si>
    <t>Depreciacion 2017</t>
  </si>
  <si>
    <t>Depreciacion 2018</t>
  </si>
  <si>
    <t>Depreciacion 2019</t>
  </si>
  <si>
    <t>Depreciacion 2020</t>
  </si>
  <si>
    <t>Depreciacion 2021</t>
  </si>
  <si>
    <t>Depreciacion 2022</t>
  </si>
  <si>
    <t>Depreciacion 2023</t>
  </si>
  <si>
    <t>Depreciacion 2024</t>
  </si>
  <si>
    <t>Depreciación total del periodo</t>
  </si>
  <si>
    <t>Depreciación acumulada</t>
  </si>
  <si>
    <t>Propiedad planta y equipos bruta</t>
  </si>
  <si>
    <t>Propiedad planta y equipos neta</t>
  </si>
  <si>
    <t>Meses de proyección al año</t>
  </si>
  <si>
    <t>Inmuebles en construcción</t>
  </si>
  <si>
    <t>Imprevistos de activos en construcción</t>
  </si>
  <si>
    <t>Costos financieros de activos en construcción</t>
  </si>
  <si>
    <t>Terrenos de plantas en construcción</t>
  </si>
  <si>
    <t>Terreno</t>
  </si>
  <si>
    <t>Equipo de generación en montaje</t>
  </si>
  <si>
    <t>Obras Civiles en construcción</t>
  </si>
  <si>
    <t>Inversión en activos en construcción</t>
  </si>
  <si>
    <t>Equipos</t>
  </si>
  <si>
    <t>Total inversión en activos fijos en construcción</t>
  </si>
  <si>
    <t>Último mes de proyección del año base</t>
  </si>
  <si>
    <t>Depreciación diferida</t>
  </si>
  <si>
    <t>Depreciación contable</t>
  </si>
  <si>
    <t>Provisión activos fijos</t>
  </si>
  <si>
    <t>Provisión del período</t>
  </si>
  <si>
    <t>Reposición histórica de activos fijos</t>
  </si>
  <si>
    <t>Valor en millones de pesos</t>
  </si>
  <si>
    <t>Inversión en reposición por KW instalado</t>
  </si>
  <si>
    <t>Capacidad instalada histórica (MW)</t>
  </si>
  <si>
    <t>TRM promedio año</t>
  </si>
  <si>
    <t>Propiedad, planta y equipo a operación (Ojo no acumulado)</t>
  </si>
  <si>
    <t>Total activos fijos que ingresan a operación</t>
  </si>
  <si>
    <t>Total activos fijos en construcción</t>
  </si>
  <si>
    <t>Total propiedad planta y equipo en operación</t>
  </si>
  <si>
    <t>Depreciacion a Junio 2014</t>
  </si>
  <si>
    <t>Depreciacion a Diciembre 2014</t>
  </si>
  <si>
    <t>Requerimientos de inversión</t>
  </si>
  <si>
    <t>Politica de Financiacion</t>
  </si>
  <si>
    <t>Periodo de pago a capital</t>
  </si>
  <si>
    <t>Plazo Total</t>
  </si>
  <si>
    <t>Costo</t>
  </si>
  <si>
    <t>Desembolso</t>
  </si>
  <si>
    <t>Porción corriente</t>
  </si>
  <si>
    <t>Saldo a largo plazo</t>
  </si>
  <si>
    <t>Saldo Total</t>
  </si>
  <si>
    <t>Amortización</t>
  </si>
  <si>
    <t>Intereses</t>
  </si>
  <si>
    <t>Servicio de la deuda</t>
  </si>
  <si>
    <t>Créditos de tesorería</t>
  </si>
  <si>
    <t>Tasa de créditos de tesorería</t>
  </si>
  <si>
    <t>Vencimiento</t>
  </si>
  <si>
    <t>Plazo</t>
  </si>
  <si>
    <t>Sumaproducto tasa</t>
  </si>
  <si>
    <t>Sumaproducto plazo</t>
  </si>
  <si>
    <t>Último año completo con cierre</t>
  </si>
  <si>
    <t>Financiación de proyecto Sogamoso</t>
  </si>
  <si>
    <t>Resumen de créditos para Sogamoso</t>
  </si>
  <si>
    <t>Nota: Isagén tiene diversas líneas de crédito para el proyecto Sogamoso. Dado que no contamos con los contratos de crédito para conocer las especificaciones de los mismos (Fecha de desembolso, valor amortizado a la fecha, etc), calculamos una tasa y un plazo de pago ponderado para todas las líneas de crédito.</t>
  </si>
  <si>
    <t>Impuesto de Renta</t>
  </si>
  <si>
    <t xml:space="preserve">INGRESOS </t>
  </si>
  <si>
    <t>(-) COSTOS</t>
  </si>
  <si>
    <t>Costos de la operación Comercial</t>
  </si>
  <si>
    <t>RENTA BRUTA</t>
  </si>
  <si>
    <t>(-) DEDUCCIONES</t>
  </si>
  <si>
    <t>Gastos de admon</t>
  </si>
  <si>
    <t>Depreciacion Fiscal</t>
  </si>
  <si>
    <t>Gravamen a los movimientos financieros</t>
  </si>
  <si>
    <t>gastos financieros</t>
  </si>
  <si>
    <t>Activos productores de renta</t>
  </si>
  <si>
    <t>Renta Líquida para recuperación de pérdidas</t>
  </si>
  <si>
    <t>Recuperación de pérdidas y exceso renta presuntiva</t>
  </si>
  <si>
    <t>RENTA LÍQUIDA GRAVABLE</t>
  </si>
  <si>
    <t>IMPUESTO DE RENTA CORRIENTE</t>
  </si>
  <si>
    <t>Impuesto de renta diferido</t>
  </si>
  <si>
    <t xml:space="preserve">PROVISIÓN IMPUESTO </t>
  </si>
  <si>
    <t>Deduccion por APR</t>
  </si>
  <si>
    <t>Total Dep Fiscal</t>
  </si>
  <si>
    <t>Total Dep Contable</t>
  </si>
  <si>
    <t>Diferencia temporal</t>
  </si>
  <si>
    <t>Impuesto diferido</t>
  </si>
  <si>
    <t>Impuesto diferido Acumulado</t>
  </si>
  <si>
    <t>Recuperación de Pérdidas Período de Proyección</t>
  </si>
  <si>
    <t>Saldo de Pérdidas Ajustadas</t>
  </si>
  <si>
    <t>Recuperación</t>
  </si>
  <si>
    <t>Renta Liquida</t>
  </si>
  <si>
    <t>Depuración del impuesto Fiscal</t>
  </si>
  <si>
    <t>Renta líquida Operativa</t>
  </si>
  <si>
    <t>Recuperacion de perdidas fiscales</t>
  </si>
  <si>
    <t>Total renta liquida operativa</t>
  </si>
  <si>
    <t>Impuesto Operativo</t>
  </si>
  <si>
    <t>Ingresos no Operativos</t>
  </si>
  <si>
    <t>Gastos financieros</t>
  </si>
  <si>
    <t>Recuperacion de perdida liquida fiscal</t>
  </si>
  <si>
    <t>Total Renta liquida no operativa</t>
  </si>
  <si>
    <t>Impuesto No Operativo</t>
  </si>
  <si>
    <t>Renta líquida total</t>
  </si>
  <si>
    <t>Control de Renta líquida</t>
  </si>
  <si>
    <t>Provisión de impuestos</t>
  </si>
  <si>
    <t>Provisión de impuestos Renta</t>
  </si>
  <si>
    <t>Anticipo de impuestos</t>
  </si>
  <si>
    <t>Impuesto por pagar</t>
  </si>
  <si>
    <t>Pago de impuestos efectivo</t>
  </si>
  <si>
    <t>Impuesto operativo</t>
  </si>
  <si>
    <t>Provisión operativa</t>
  </si>
  <si>
    <t>Anticipo operativo</t>
  </si>
  <si>
    <t>Impuesto por pagar operativo</t>
  </si>
  <si>
    <t>Pago de impuesto operativo</t>
  </si>
  <si>
    <t>Impuesto no operativo</t>
  </si>
  <si>
    <t>Provisión no operativa</t>
  </si>
  <si>
    <t>Anticipo no operativo</t>
  </si>
  <si>
    <t>Impuesto por pagar no  operativo</t>
  </si>
  <si>
    <t>Pago de impuesto no operativo</t>
  </si>
  <si>
    <t xml:space="preserve">Provisión </t>
  </si>
  <si>
    <t xml:space="preserve">Anticipo </t>
  </si>
  <si>
    <t xml:space="preserve">Impuesto por pagar </t>
  </si>
  <si>
    <t xml:space="preserve">Pago de impuesto </t>
  </si>
  <si>
    <t>Inversión en propiedad planta y equipo</t>
  </si>
  <si>
    <t>Resumen de otros créditos</t>
  </si>
  <si>
    <t>Costos de operación y mantenimiento</t>
  </si>
  <si>
    <t>Total Gastos de Administración</t>
  </si>
  <si>
    <t>Gastos no deducibles e ingresos no gravables</t>
  </si>
  <si>
    <t>Depreciacion del período</t>
  </si>
  <si>
    <t>Perdidas del Período</t>
  </si>
  <si>
    <t>Estado de Resultados</t>
  </si>
  <si>
    <t>Costos de la operación comercial</t>
  </si>
  <si>
    <t>Costo de operación y mantenimiento</t>
  </si>
  <si>
    <t>Utilidad bruta</t>
  </si>
  <si>
    <t>Gastos de administarción y ventas</t>
  </si>
  <si>
    <t>Provisión Cuentas por Cobrar</t>
  </si>
  <si>
    <t>Utilidad operativa</t>
  </si>
  <si>
    <t>Gravamen a los movimientos fros</t>
  </si>
  <si>
    <t>Impuesto al Patrimonio</t>
  </si>
  <si>
    <t>Utilidad antes de impuestos</t>
  </si>
  <si>
    <t>Utilidad neta</t>
  </si>
  <si>
    <t>Proyecto de Reparto de dividendos</t>
  </si>
  <si>
    <t>Limite de reserva</t>
  </si>
  <si>
    <t>Porcentaje de reserva</t>
  </si>
  <si>
    <t xml:space="preserve">Reparto Utilidad Neta </t>
  </si>
  <si>
    <t>Reserva legal</t>
  </si>
  <si>
    <t>Utilidades retenidas</t>
  </si>
  <si>
    <t>Depreciaciones de activos fijos</t>
  </si>
  <si>
    <t>Ingresos operacionales</t>
  </si>
  <si>
    <t>Amortizaciones de activos diferidos</t>
  </si>
  <si>
    <t>Otros gastos</t>
  </si>
  <si>
    <t>Ingresos no operacionales</t>
  </si>
  <si>
    <t>Provisión de impuesto de renta corriente</t>
  </si>
  <si>
    <t>Provisión de impuesto de renta Diferido</t>
  </si>
  <si>
    <t>Reserva del art 130 del E.T.</t>
  </si>
  <si>
    <t>Dividendos pagados</t>
  </si>
  <si>
    <t>Utilidad disponible para reparto de dividendos</t>
  </si>
  <si>
    <t>Dividendos calculados sobre la utilidad neta (payout ratio)</t>
  </si>
  <si>
    <t>Dividendos calculados sobre la utilidad disponible (100%)</t>
  </si>
  <si>
    <t>Balance General</t>
  </si>
  <si>
    <t>Activos corrientes</t>
  </si>
  <si>
    <t>Caja y Banco</t>
  </si>
  <si>
    <t>Excedentes de tesorería</t>
  </si>
  <si>
    <t>Inventarios</t>
  </si>
  <si>
    <t>Anticipo de Impuestos</t>
  </si>
  <si>
    <t>Total activo corriente</t>
  </si>
  <si>
    <t>Activos de largo plazo</t>
  </si>
  <si>
    <t>Propiedad planta y equipo neta</t>
  </si>
  <si>
    <t>Total activos no corrientes</t>
  </si>
  <si>
    <t>Total activos</t>
  </si>
  <si>
    <t>Pasivos corrientes</t>
  </si>
  <si>
    <t>Total pasivos corrientes</t>
  </si>
  <si>
    <t>Pasivos no corrientes</t>
  </si>
  <si>
    <t>Deuda Largo Plazo</t>
  </si>
  <si>
    <t>Impuesto Diferido</t>
  </si>
  <si>
    <t>Total pasivos no corrientes</t>
  </si>
  <si>
    <t>Total pasivos</t>
  </si>
  <si>
    <t>Reserva Legal</t>
  </si>
  <si>
    <t>Utilidad del periodo</t>
  </si>
  <si>
    <t>Total patrimonio</t>
  </si>
  <si>
    <t>Total pasivo y patrimonio</t>
  </si>
  <si>
    <t>Control de cierre</t>
  </si>
  <si>
    <t>Anticipo a contratistas</t>
  </si>
  <si>
    <t>Otros activos corrientes</t>
  </si>
  <si>
    <t>Otros activos no corrientes</t>
  </si>
  <si>
    <t>Propiedad planta y equipos en operación</t>
  </si>
  <si>
    <t>Activos en construcción y montaje</t>
  </si>
  <si>
    <t>Valorización de activos</t>
  </si>
  <si>
    <t>Costos y Gastos por pagar</t>
  </si>
  <si>
    <t>Impuesto de renta por pagar</t>
  </si>
  <si>
    <t>Pensiones de jubilación por pagar</t>
  </si>
  <si>
    <t>Cuentas por pagar Contratista</t>
  </si>
  <si>
    <t>Cuentas por pagar a contratistas</t>
  </si>
  <si>
    <t>Reserva Art. 130 E.T.</t>
  </si>
  <si>
    <t>Reservas ocasionales por inversiones</t>
  </si>
  <si>
    <t>Superavit de capital</t>
  </si>
  <si>
    <t>Revalorización del patrimonio</t>
  </si>
  <si>
    <t>Cuenta por Cobrar clientes</t>
  </si>
  <si>
    <t>Gastos pagados por anticipado</t>
  </si>
  <si>
    <t>Cargos diferidos</t>
  </si>
  <si>
    <t>Bienes en arrendamiento financiero</t>
  </si>
  <si>
    <t>Flujo de caja</t>
  </si>
  <si>
    <t>Recaudo en ventas</t>
  </si>
  <si>
    <t>Aportes de capital</t>
  </si>
  <si>
    <t>Desembolsos de créditos</t>
  </si>
  <si>
    <t>Aportes de Capital</t>
  </si>
  <si>
    <t>Rendimientos financieros</t>
  </si>
  <si>
    <t>Total ingresos</t>
  </si>
  <si>
    <t>Egresos</t>
  </si>
  <si>
    <t>Pago a proveedores</t>
  </si>
  <si>
    <t>Pago a contratistas</t>
  </si>
  <si>
    <t>Intereses Creditos</t>
  </si>
  <si>
    <t>Amortizacion Creditos</t>
  </si>
  <si>
    <t>Pago de Impuestos</t>
  </si>
  <si>
    <t>Total egresos</t>
  </si>
  <si>
    <t>Variación de período</t>
  </si>
  <si>
    <t>Caja inicial</t>
  </si>
  <si>
    <t>Caja final</t>
  </si>
  <si>
    <t>Caja mínima</t>
  </si>
  <si>
    <t>Déficit</t>
  </si>
  <si>
    <t>Superavit</t>
  </si>
  <si>
    <t>Excedentes</t>
  </si>
  <si>
    <t>Rendimientos</t>
  </si>
  <si>
    <t>Recaudo otras cuentas por cobrar</t>
  </si>
  <si>
    <t>Recursos propios</t>
  </si>
  <si>
    <t>Capital Empleado</t>
  </si>
  <si>
    <t>Capital de trabajo</t>
  </si>
  <si>
    <t>Cuenta por Cobrar</t>
  </si>
  <si>
    <t>Anticipo de impuestos operativo</t>
  </si>
  <si>
    <t>Cuenta por Pagar Proveedores</t>
  </si>
  <si>
    <t>Capital de trabajo neto operativo</t>
  </si>
  <si>
    <t>PPE Neta</t>
  </si>
  <si>
    <t>Capital empleado en la operación</t>
  </si>
  <si>
    <t>Anticipo de impuesto no operativo</t>
  </si>
  <si>
    <t>Impuesto por pagar no operativo</t>
  </si>
  <si>
    <t>Capital Empleado No operativo</t>
  </si>
  <si>
    <t>Capital Empleado Total</t>
  </si>
  <si>
    <t>Porción Corriente</t>
  </si>
  <si>
    <t>Deuda a Largo Plazo</t>
  </si>
  <si>
    <t>Total Deuda Financiera</t>
  </si>
  <si>
    <t>Control Capital Empleado</t>
  </si>
  <si>
    <t>Variación de Capital de Trabajo</t>
  </si>
  <si>
    <t>Otros activos y pasivos operativos</t>
  </si>
  <si>
    <t>Cuentas por pagar contratistas neto</t>
  </si>
  <si>
    <t>Otros activos y pasivos no operativos</t>
  </si>
  <si>
    <t>Días Cartera e Inventarios</t>
  </si>
  <si>
    <t>Calcula el porcentaje de avance de obra del proyecto Sogamoso a Junio de 2014 (Histórico) de manera que iguale el modelo con el rubro de construcciones en curso en los Estados Financieros</t>
  </si>
  <si>
    <t>Total amortización otros activos no corrientes</t>
  </si>
  <si>
    <t>Otros activos no corrientes amortizables</t>
  </si>
  <si>
    <t>Servidumbres</t>
  </si>
  <si>
    <t>Costos indirectos asociados a la construcción de proyectos</t>
  </si>
  <si>
    <t>Amortización hasta</t>
  </si>
  <si>
    <t>Saldo a 2013</t>
  </si>
  <si>
    <t>Total amortización cargos diferidos</t>
  </si>
  <si>
    <t>Licencias y software</t>
  </si>
  <si>
    <t>Prima contrato estabilidad jurídica</t>
  </si>
  <si>
    <t>Garantía crédito Banco Santander</t>
  </si>
  <si>
    <t>Cargos Diferidos</t>
  </si>
  <si>
    <t>Total amortización gastos pagados por anticipado</t>
  </si>
  <si>
    <t>Seguros</t>
  </si>
  <si>
    <t>Concepto</t>
  </si>
  <si>
    <t>Cálculo de amortización de activos intangibles</t>
  </si>
  <si>
    <t>Amortización de activos intangibles</t>
  </si>
  <si>
    <t>Otros pasivos corrientes - Anticipos recibidos</t>
  </si>
  <si>
    <t>Otros Pasivos (Prima en emisión de bonos)</t>
  </si>
  <si>
    <t>Reserva por covenants (30% de la deuda financiera)</t>
  </si>
  <si>
    <t>Otros Ingresos no operacionales</t>
  </si>
  <si>
    <t>Amortización prima emisión de bonos (ingreso)</t>
  </si>
  <si>
    <t>Múltiplo base para cálculo de costo de seguros</t>
  </si>
  <si>
    <t>Valor de reposición a nuevo activos operativos (U$/KW instalado)</t>
  </si>
  <si>
    <t>Impuesto Predial ($/KW instalado año)</t>
  </si>
  <si>
    <t>Aplicación contable del Impuesto al Patrimonio</t>
  </si>
  <si>
    <t>Aplicación impuesto al Patrimonio</t>
  </si>
  <si>
    <t>Saldo inicial Revalorización del Patrimonio</t>
  </si>
  <si>
    <t>Saldo Final Revalorización del Patrimonio</t>
  </si>
  <si>
    <t>Impuesto al Patrimonio que se lleva a resultados</t>
  </si>
  <si>
    <t>Dividendos pagados de utilidades del período</t>
  </si>
  <si>
    <t>Utilidades retenidas acumuladas</t>
  </si>
  <si>
    <t>Capital Suscrito y Pagado</t>
  </si>
  <si>
    <t>Capital aportado adicional</t>
  </si>
  <si>
    <t>Obligaciones financieras créditos corporativos</t>
  </si>
  <si>
    <t>Obligaciones financieras créditos de tesorería</t>
  </si>
  <si>
    <t>Macro 2</t>
  </si>
  <si>
    <t>Flujo de Efectivo</t>
  </si>
  <si>
    <t>Ejecutar Macro</t>
  </si>
  <si>
    <t>Hoja Flujo de Efectivo celda A39 "Control"</t>
  </si>
  <si>
    <t>Si el click aparece activo como se muestra en la figura, indica que si en la Hoja Flujo de Efectivo fila (Rango) Déficit, aparece algún valor diferente de cero que haga que la caja sea negativa, al correr la macro de ajuste de caja se solucionará mediante el aporte de capital de los accionistas, de lo contrario si no aparece activo el déficit de caja se solucionará con un crédito de tesorería.</t>
  </si>
  <si>
    <t>Convenciones del modelo</t>
  </si>
  <si>
    <t>Validaciones en el modelo</t>
  </si>
  <si>
    <t>Hoja</t>
  </si>
  <si>
    <t>Celda</t>
  </si>
  <si>
    <t>Actividad</t>
  </si>
  <si>
    <t>Detalle</t>
  </si>
  <si>
    <t>Proyecto Sogamoso</t>
  </si>
  <si>
    <t>I15</t>
  </si>
  <si>
    <t>Validar que el valor de la celda sea igual a cero</t>
  </si>
  <si>
    <t>La Celda D16 Ajusta el porcentaje de avance de obras del Proyecto Sogamoso a Diciembre de 2013, de modo tal que el valor que arrojen los cálculos del modelo concuerde con el valor de las construcciones en curso del Balance General publicado por la Empresa. Si el valor de la Celda I15 es diferente de cero, la celda se tornará de color rojo y para solucionarse deberá correr la Macro 1.</t>
  </si>
  <si>
    <t>Renta y CREE</t>
  </si>
  <si>
    <t>Fila 65 y Filas 85 a 88</t>
  </si>
  <si>
    <t>Validar que todos los valores de las filas sean iguales a cero</t>
  </si>
  <si>
    <t>Estas filas validan el cuadre de impuestos a nivel total y a nivel operativo y no operativo. Si aparece en una o varias celdas un valor diferente de cero, indica que la sumatoria de la base gravable y de los impuestos operativos y no operativos no es equivalente a la base gravable total y al impuesto total causado.</t>
  </si>
  <si>
    <t>Fila 68</t>
  </si>
  <si>
    <t>Validar que todas las celdas de la fila marcadas, sean iguales a cero</t>
  </si>
  <si>
    <t>Esta fila hace las veces de validador del cuadre del Balance General, verificando que se cumpla la ecuación contable donde Activos = Pasivos + Patrimonio</t>
  </si>
  <si>
    <t>Fila 33</t>
  </si>
  <si>
    <t>Esta fila refleja los déficit de caja proyectados de la Compañía durante el horizonte de valoración. Si en alguna de las celdas de dicho horizonte da como resultado un valor diferente de cero, se hace necesario solucionar el déficit de caja para lo cual se debe ejecutar la Macro 2 definiendo si la fuente de tales recursos provienen de aportes de capital o de crédito de tesorería.</t>
  </si>
  <si>
    <t>Fila 35</t>
  </si>
  <si>
    <t>Esta fila hace las veces de validador del cuadre del Capital Empleado que servirá de base para valorar la Empresa por la metodología del EVA. Si se obtiene en cualquiera de las celdas de dicha fila un valor diferente de cero, indica que la sumatoria del capital empleado operativo y el capital empleado no operativo difiere del resultado del capital empleado total.</t>
  </si>
  <si>
    <t xml:space="preserve">Mercado </t>
  </si>
  <si>
    <t>Gastos de Admón. y Ventas</t>
  </si>
  <si>
    <t>EBITDA</t>
  </si>
  <si>
    <t>Utilidad Operativa (EBIT)</t>
  </si>
  <si>
    <t>Impuestos operativos</t>
  </si>
  <si>
    <t>Utilidad neta Operativa después de Impuestos</t>
  </si>
  <si>
    <t>Variación de capital de trabajo</t>
  </si>
  <si>
    <t xml:space="preserve">Inversiones </t>
  </si>
  <si>
    <t>Factor de descuento</t>
  </si>
  <si>
    <t>VP FCL</t>
  </si>
  <si>
    <t>ACUMULADO VP FCL</t>
  </si>
  <si>
    <t>Flujo de Caja Libre en el Período explícito</t>
  </si>
  <si>
    <t>Flujo de Caja Libre en la Perpetuidad</t>
  </si>
  <si>
    <t>Flujo de Caja Libre para calcular TIR del Proyecto</t>
  </si>
  <si>
    <t>Valor de continuidad</t>
  </si>
  <si>
    <t>Valor Presente del valor de continuidad</t>
  </si>
  <si>
    <t>Valor de la operación</t>
  </si>
  <si>
    <t>Valor patrimonial operativo</t>
  </si>
  <si>
    <t>Valor Patrimonial</t>
  </si>
  <si>
    <t>Flujo de caja libre de la Empresa</t>
  </si>
  <si>
    <t>Gravamen a las transacciones financieras operativo</t>
  </si>
  <si>
    <t>Gravamen a las transacciones financieras no operativo</t>
  </si>
  <si>
    <t>MARGEN EBITDA</t>
  </si>
  <si>
    <t>Depreciación y amortización de activos</t>
  </si>
  <si>
    <t>MARGEN OPERACIONAL</t>
  </si>
  <si>
    <t>Depreciaciones, Amortizaciones y Provisiones</t>
  </si>
  <si>
    <t>Flujo de Caja Libre de la Empresa</t>
  </si>
  <si>
    <t>Gradiente de crecimiento a perpetuidad con:</t>
  </si>
  <si>
    <t>Gradiente perpetuidad con:</t>
  </si>
  <si>
    <t>IPP</t>
  </si>
  <si>
    <t>TACC</t>
  </si>
  <si>
    <t>Diciembre</t>
  </si>
  <si>
    <t>Precio de la Acción a:</t>
  </si>
  <si>
    <t>Número de acciones en circulación</t>
  </si>
  <si>
    <t>Valor patrimonial por accion</t>
  </si>
  <si>
    <t>Deuda financiera neta</t>
  </si>
  <si>
    <t>Otros Activos y Pasivos no operativos</t>
  </si>
  <si>
    <t>WACC (COP) Mensual</t>
  </si>
  <si>
    <t>Periodo de gracia de la deuda</t>
  </si>
  <si>
    <t>Cuotas de pago a capital del crédito</t>
  </si>
  <si>
    <t>Valor presente del período explicito</t>
  </si>
  <si>
    <t>Renta Liquida Gravable</t>
  </si>
  <si>
    <t>Contrato de Gas vigente hasta Cusiana</t>
  </si>
  <si>
    <t>Transporte de GAS desde Guajira con TGI se rescinde</t>
  </si>
  <si>
    <t>Supuestos de operación</t>
  </si>
  <si>
    <t>Fila 125</t>
  </si>
  <si>
    <t>Validar que el balance energético de la Empresa cierre</t>
  </si>
  <si>
    <t>Dado que la energía no se puede almacenar, es necesario validar que las ventas de energía en unidades, sean iguales a las unidades generadas más las unidades compradas. Si el Balance energético está cerrado, en cada celda de la fila debe aparecer la expresión "OK", de lo contrario debe verificar la diferencia.</t>
  </si>
  <si>
    <t>Septiembre</t>
  </si>
  <si>
    <t>Días Acreedores</t>
  </si>
  <si>
    <t>Inventario mínimo (repuestos y equipos)</t>
  </si>
  <si>
    <t>Valor</t>
  </si>
  <si>
    <t>Heat rate con Gas</t>
  </si>
  <si>
    <t>MBTU por MWh</t>
  </si>
  <si>
    <t>WACC (COP) en constantes de 2014</t>
  </si>
  <si>
    <t>LP</t>
  </si>
  <si>
    <t>Generación Calderas para calcular devolución de CERE (GWh/año)</t>
  </si>
  <si>
    <t>COLCAP</t>
  </si>
  <si>
    <t>PRECIO ISAGEN</t>
  </si>
  <si>
    <t>RENDIMIENTO ISAGEN</t>
  </si>
  <si>
    <t>RENDIMIENTO COLCAP</t>
  </si>
  <si>
    <t>IGBC</t>
  </si>
  <si>
    <t>RENDIMIENTOS IGBC</t>
  </si>
  <si>
    <t>BETA FRENTE  COLCAP</t>
  </si>
  <si>
    <t>FECHA</t>
  </si>
  <si>
    <t>BETA DESAPALANCADO</t>
  </si>
  <si>
    <t>BETA FRENTE  IGBC</t>
  </si>
  <si>
    <t>Beta Desapalancado a Utilizar</t>
  </si>
  <si>
    <t>Bloomberg</t>
  </si>
  <si>
    <t>Damodaran 5 años</t>
  </si>
  <si>
    <t>Calculado COLCAP</t>
  </si>
  <si>
    <t>Calculado IGBC</t>
  </si>
  <si>
    <t>Damodaran 1 año</t>
  </si>
  <si>
    <t>TACC HISTORICO</t>
  </si>
  <si>
    <t>Operaciones (Mill COP)</t>
  </si>
  <si>
    <t>Costo de ventas</t>
  </si>
  <si>
    <t>Gastos de administración</t>
  </si>
  <si>
    <t>Costos y gastos operacionales</t>
  </si>
  <si>
    <t>Utilidad antes de impuesto</t>
  </si>
  <si>
    <t>Provisión impuesto de renta</t>
  </si>
  <si>
    <t>Resultados financieros Históricos</t>
  </si>
  <si>
    <t>BETA BLOOMBERG APALANCADO</t>
  </si>
  <si>
    <t>BETA BLOOMBERG DESAPALANCADO</t>
  </si>
  <si>
    <t>Valoración DCF</t>
  </si>
  <si>
    <t>Fuente: 1. Construcción propia a partir de opinión de diferentes fuentes y analistas del mercado colombiano, excepto numerales 2 y 3.</t>
  </si>
  <si>
    <t>3. http://www.sipg.gov.co/sipg/documentos/precios_combustibles/Termicas_Marzo_2014.pdf págs 47-48</t>
  </si>
  <si>
    <t xml:space="preserve">IPP </t>
  </si>
  <si>
    <t>Combustibles ③</t>
  </si>
  <si>
    <t>Factor de ajuste PPI USA</t>
  </si>
  <si>
    <t>MBTUD Gas natural</t>
  </si>
  <si>
    <t>Galones de Jet A1</t>
  </si>
  <si>
    <t>Cantidades contratadas para respaldar OEF hasta 2015</t>
  </si>
  <si>
    <t>Información obtenida de informes anuales de operación de ISAGEN</t>
  </si>
  <si>
    <t>Contratos</t>
  </si>
  <si>
    <t>Bolsa</t>
  </si>
  <si>
    <t>Información obtenida de informes anuales financieros de ISAGEN</t>
  </si>
  <si>
    <t>Porcentaje  del cargo fijo que se paga en el contrato de transporte de GAS con TGI desde Guajira</t>
  </si>
  <si>
    <t>% de ventas en contratos en mercado regulado (MEM)</t>
  </si>
  <si>
    <t>Costo marginal de la Energía en el largo plazo (U$D/MWh) - Mínimo y Máximo</t>
  </si>
  <si>
    <t>Costo equivalente real de Energia (CERE) - índice subasta 2006</t>
  </si>
  <si>
    <t>Ley 99 de 1993 - precio base 2013</t>
  </si>
  <si>
    <t>Fazni - Precio base 2013</t>
  </si>
  <si>
    <t>Costo de arranque y parada - precio base 2013</t>
  </si>
  <si>
    <t>Precio de escacez ($COP/KWh) - precio base Junio 2014</t>
  </si>
  <si>
    <t>Costo de Operar y mantener - Dato a Junio de 2014</t>
  </si>
  <si>
    <t>Costo de arranque y parada - Dato a Junio de 2014</t>
  </si>
  <si>
    <r>
      <t xml:space="preserve">Precio Jet Fuel en planta </t>
    </r>
    <r>
      <rPr>
        <b/>
        <sz val="8"/>
        <rFont val="Arial"/>
        <family val="2"/>
      </rPr>
      <t>(U$D/MBTU)</t>
    </r>
  </si>
  <si>
    <t>JET Fuel Almacenado para garantizar firmeza OEF (Glns) ③</t>
  </si>
  <si>
    <t>Equivalencias combustible Jet Fuel</t>
  </si>
  <si>
    <t>% energía generada vendida en contratos de largo plazo</t>
  </si>
  <si>
    <t>Períodos niño o si no se asume perpetuidad de Termocentro</t>
  </si>
  <si>
    <t>OEF asignada Sogamoso y Amoyá</t>
  </si>
  <si>
    <t>Amoyá subasta 2008 (KWh/día)</t>
  </si>
  <si>
    <t>Total cargo 2008 plantas nuevas (KWh/día)</t>
  </si>
  <si>
    <t>Total OEF MWh con cargo de 2011</t>
  </si>
  <si>
    <t>Total OEF MWh con cargo de 2008</t>
  </si>
  <si>
    <t>OEF asignada (MWh) plantas existentes</t>
  </si>
  <si>
    <t>Cargo por confiabilidad plantas nuevas 2008 (U$D/MWh)</t>
  </si>
  <si>
    <t>OEF Asignadas plantas nuevas 2008 (MWh)</t>
  </si>
  <si>
    <t>Cargo por confiabilidad plantas nuevas 2011 (U$D/MWh)</t>
  </si>
  <si>
    <t>OEF Asignadas plantas nuevas 2011 (MWh)</t>
  </si>
  <si>
    <t>Duración horaria por prueba</t>
  </si>
  <si>
    <t>Generación Térmica por pruebas a Jet fuel (GWh/año)</t>
  </si>
  <si>
    <t>Generación Térmica en Niño a GAS (GWh/año)</t>
  </si>
  <si>
    <t>Generación Térmica en Niño a Jet Fuel (GWh/año)</t>
  </si>
  <si>
    <t>Termocentro con Gas o con Jet Fuel</t>
  </si>
  <si>
    <t>Porcentaje del precio de escacez que se remunera en la generación en niño</t>
  </si>
  <si>
    <t>Termocentro: Días de generación al año en Niño con Gas</t>
  </si>
  <si>
    <t>Termocentro: Días de generación al año en Niño con Jet Fuel</t>
  </si>
  <si>
    <t>Cálculo Impuesto Industria y Comercio ($COP/KW) Art 7 Ley 56 1981</t>
  </si>
  <si>
    <t>Porcentaje del costo del gas incluido el transporte que se recupera en la venta al mercado secundario.</t>
  </si>
  <si>
    <t>Cuadre balance energético</t>
  </si>
  <si>
    <t>Compras en bolsa (Millones de pesos)</t>
  </si>
  <si>
    <t>Cantidad de compras en Bolsa (GWh/año)</t>
  </si>
  <si>
    <t>Ventas en bolsa (Millones de pesos)</t>
  </si>
  <si>
    <t>Cantidad de ventas en Bolsa (GWh/año)</t>
  </si>
  <si>
    <t>Precio promedio compra en bolsa ($/KWh)</t>
  </si>
  <si>
    <t>Precio promedio venta en bolsa ($/KWh)</t>
  </si>
  <si>
    <t>Prima promedio histórica en compras en bolsa respecto al precio de venta</t>
  </si>
  <si>
    <t>Cálculo histórico del spread del precio en compras en bolsa</t>
  </si>
  <si>
    <t>Costo operación y almacenamiento de Jet Fuel ($COP/Galón mes)</t>
  </si>
  <si>
    <t>Valida la fila Déficit de la Hoja Flujo de Efectivo. Si en algún período encuentra valor, indica que la caja de la Compañía para ese período es negativa y la soluciona calculando un crédito de tesorería o una capitalización en dicho período.</t>
  </si>
  <si>
    <t>Otros inmuebles</t>
  </si>
  <si>
    <t>RESIDUAL</t>
  </si>
  <si>
    <t>Otros equipos</t>
  </si>
  <si>
    <t>Tasa de colocación de excedentes de liquidez</t>
  </si>
  <si>
    <t>Impuesto al patrimonio o a la riqueza ①</t>
  </si>
  <si>
    <t>http://www.comunidadcontable.com/BancoConocimiento/N/noti_0310201403_este_es_el_proyecto_de_ley_para_la_reforma_tributaria_2014/noti_0310201403_este_es_el_proyecto_de_ley_para_la_reforma_tributaria_2014.asp?Miga=1&amp;IDobjetose=14350&amp;CodSeccion=109</t>
  </si>
  <si>
    <r>
      <t xml:space="preserve">INVERSIÓN </t>
    </r>
    <r>
      <rPr>
        <b/>
        <sz val="10"/>
        <rFont val="Arial"/>
        <family val="2"/>
      </rPr>
      <t>(MILLONES DE PESOS CORRIENTES): Fuente: Página web de Isagén</t>
    </r>
  </si>
  <si>
    <t>Porcentaje precio de escacez que se remunera en la generación en niño</t>
  </si>
  <si>
    <t>AGC para plantasde generación - precio base 2013</t>
  </si>
  <si>
    <t>Superavit por valorización</t>
  </si>
  <si>
    <t>Reposición equipos de generación</t>
  </si>
  <si>
    <t>SECTORIAL</t>
  </si>
  <si>
    <t>Reposición de activos (U$ 2013/KW instalado)</t>
  </si>
  <si>
    <t>Renta presuntiva sobre el CREE</t>
  </si>
  <si>
    <t>RENTA PRESUNTIVA</t>
  </si>
</sst>
</file>

<file path=xl/styles.xml><?xml version="1.0" encoding="utf-8"?>
<styleSheet xmlns="http://schemas.openxmlformats.org/spreadsheetml/2006/main" xmlns:mc="http://schemas.openxmlformats.org/markup-compatibility/2006" xmlns:x14ac="http://schemas.microsoft.com/office/spreadsheetml/2009/9/ac" mc:Ignorable="x14ac">
  <numFmts count="56">
    <numFmt numFmtId="6" formatCode="&quot;$&quot;#,##0;[Red]\-&quot;$&quot;#,##0"/>
    <numFmt numFmtId="8" formatCode="&quot;$&quot;#,##0.00;[Red]\-&quot;$&quot;#,##0.00"/>
    <numFmt numFmtId="43" formatCode="_-* #,##0.00_-;\-* #,##0.00_-;_-* &quot;-&quot;??_-;_-@_-"/>
    <numFmt numFmtId="164" formatCode="&quot;$&quot;\ #,##0_);[Red]\(&quot;$&quot;\ #,##0\)"/>
    <numFmt numFmtId="165" formatCode="&quot;$&quot;\ #,##0.00_);[Red]\(&quot;$&quot;\ #,##0.00\)"/>
    <numFmt numFmtId="166" formatCode="_(* #,##0_);_(* \(#,##0\);_(* &quot;-&quot;_);_(@_)"/>
    <numFmt numFmtId="167" formatCode="_(* #,##0.00_);_(* \(#,##0.00\);_(* &quot;-&quot;??_);_(@_)"/>
    <numFmt numFmtId="168" formatCode="[$$-240A]\ #,##0.00"/>
    <numFmt numFmtId="169" formatCode="_ * #,##0.00_ ;_ * \-#,##0.00_ ;_ * &quot;-&quot;??_ ;_ @_ "/>
    <numFmt numFmtId="170" formatCode="#,##0.000"/>
    <numFmt numFmtId="171" formatCode="0.0000"/>
    <numFmt numFmtId="172" formatCode="0.000_)"/>
    <numFmt numFmtId="173" formatCode="0.00000"/>
    <numFmt numFmtId="174" formatCode="_(&quot;$&quot;* #,##0_);_(&quot;$&quot;* \(#,##0\);_(&quot;$&quot;* &quot;-&quot;_);_(@_)"/>
    <numFmt numFmtId="175" formatCode="_-&quot;£&quot;* #,##0.00_-;\-&quot;£&quot;* #,##0.00_-;_-&quot;£&quot;* &quot;-&quot;??_-;_-@_-"/>
    <numFmt numFmtId="176" formatCode="_-[$€-2]* #,##0.00_-;\-[$€-2]* #,##0.00_-;_-[$€-2]* &quot;-&quot;??_-"/>
    <numFmt numFmtId="177" formatCode="_-* #,##0.00\ [$€]_-;\-* #,##0.00\ [$€]_-;_-* &quot;-&quot;??\ [$€]_-;_-@_-"/>
    <numFmt numFmtId="178" formatCode="#,##0.0___);\-#,##0.0___);* @___)"/>
    <numFmt numFmtId="179" formatCode="#,##0.0_____);\-#,##0.0_____);* @_____)"/>
    <numFmt numFmtId="180" formatCode="#,##0.0________;\-#,##0.0________;* @________"/>
    <numFmt numFmtId="181" formatCode="#,##0.0__________;\-#,##0.0__________;* @__________"/>
    <numFmt numFmtId="182" formatCode="#,##0.0____________;\-#,##0.0____________;* @____________"/>
    <numFmt numFmtId="183" formatCode="#,##0.0_______________);\-#,##0.0_______________);* @_______________)"/>
    <numFmt numFmtId="184" formatCode="#,##0.0%___);\-#,##0.0%___);* @___)"/>
    <numFmt numFmtId="185" formatCode="#,##0.0%_____);\-#,##0.0%_____);* @_____)"/>
    <numFmt numFmtId="186" formatCode="#,##0.0%________;\-#,##0.0%________;* @________"/>
    <numFmt numFmtId="187" formatCode="#,##0.0%__________;\-#,##0.0%__________;* @__________"/>
    <numFmt numFmtId="188" formatCode="#,##0.0%____________;\-#,##0.0%____________;* @____________"/>
    <numFmt numFmtId="189" formatCode="&quot;$&quot;\ #,##0.00;&quot;$&quot;\ \-#,##0.00"/>
    <numFmt numFmtId="190" formatCode="&quot;$&quot;\ #,##0.00;[Red]&quot;$&quot;\ \-#,##0.00"/>
    <numFmt numFmtId="191" formatCode="_-* #,##0.00\ _$_-;\-* #,##0.00\ _$_-;_-* &quot;-&quot;??\ _$_-;_-@_-"/>
    <numFmt numFmtId="192" formatCode="0.00_)"/>
    <numFmt numFmtId="193" formatCode="General_)"/>
    <numFmt numFmtId="194" formatCode="0.0%"/>
    <numFmt numFmtId="195" formatCode="mmm\ dd\,\ yyyy"/>
    <numFmt numFmtId="196" formatCode="\$#,##0.00\ ;\(\$#,##0.00\)"/>
    <numFmt numFmtId="197" formatCode="[$$-240A]\ #,##0.0000"/>
    <numFmt numFmtId="198" formatCode="mm/yyyy"/>
    <numFmt numFmtId="199" formatCode="_-* #,##0_-;\-* #,##0_-;_-* &quot;-&quot;??_-;_-@_-"/>
    <numFmt numFmtId="200" formatCode="[$$-240A]\ #,##0.000"/>
    <numFmt numFmtId="201" formatCode="_-* #,##0.0_-;\-* #,##0.0_-;_-* &quot;-&quot;??_-;_-@_-"/>
    <numFmt numFmtId="202" formatCode="0.000"/>
    <numFmt numFmtId="203" formatCode="0.000000000"/>
    <numFmt numFmtId="204" formatCode="0.0000000"/>
    <numFmt numFmtId="205" formatCode="_-* #,##0.000_-;\-* #,##0.000_-;_-* &quot;-&quot;??_-;_-@_-"/>
    <numFmt numFmtId="206" formatCode="_-* #,##0.0000_-;\-* #,##0.0000_-;_-* &quot;-&quot;??_-;_-@_-"/>
    <numFmt numFmtId="207" formatCode="0.000%"/>
    <numFmt numFmtId="208" formatCode="#,##0;[Red]\(#,##0\)"/>
    <numFmt numFmtId="209" formatCode="_ * #,##0_ ;_ * \-#,##0_ ;_ * &quot;-&quot;??_ ;_ @_ "/>
    <numFmt numFmtId="210" formatCode="0.0000%"/>
    <numFmt numFmtId="211" formatCode="_(* #,##0_);_(* \(#,##0\);_(* &quot;-&quot;??_);_(@_)"/>
    <numFmt numFmtId="212" formatCode="&quot;Hasta&quot;\ General"/>
    <numFmt numFmtId="213" formatCode="#,##0.00;[Red]\(#,##0.00\)"/>
    <numFmt numFmtId="214" formatCode="#,##0.0"/>
    <numFmt numFmtId="215" formatCode="#,##0.0000"/>
    <numFmt numFmtId="216" formatCode="_(* #,##0.000_);_(* \(#,##0.000\);_(* &quot;-&quot;???_);_(@_)"/>
  </numFmts>
  <fonts count="122">
    <font>
      <sz val="11"/>
      <color theme="1"/>
      <name val="Calibri"/>
      <family val="2"/>
      <scheme val="minor"/>
    </font>
    <font>
      <sz val="11"/>
      <color theme="1"/>
      <name val="Calibri"/>
      <family val="2"/>
      <scheme val="minor"/>
    </font>
    <font>
      <b/>
      <sz val="12"/>
      <name val="Arial"/>
      <family val="2"/>
    </font>
    <font>
      <b/>
      <sz val="14"/>
      <name val="Arial"/>
      <family val="2"/>
    </font>
    <font>
      <sz val="11"/>
      <color indexed="8"/>
      <name val="Calibri"/>
      <family val="2"/>
    </font>
    <font>
      <b/>
      <sz val="10"/>
      <name val="Arial"/>
      <family val="2"/>
    </font>
    <font>
      <sz val="10"/>
      <name val="Arial"/>
      <family val="2"/>
    </font>
    <font>
      <sz val="10"/>
      <name val="Verdana"/>
      <family val="2"/>
    </font>
    <font>
      <b/>
      <i/>
      <sz val="10"/>
      <name val="Arial"/>
      <family val="2"/>
    </font>
    <font>
      <sz val="10"/>
      <color indexed="9"/>
      <name val="Arial"/>
      <family val="2"/>
    </font>
    <font>
      <sz val="10"/>
      <color indexed="8"/>
      <name val="Arial"/>
      <family val="2"/>
    </font>
    <font>
      <sz val="10"/>
      <color indexed="16"/>
      <name val="Arial"/>
      <family val="2"/>
    </font>
    <font>
      <b/>
      <sz val="10"/>
      <color indexed="53"/>
      <name val="Arial"/>
      <family val="2"/>
    </font>
    <font>
      <b/>
      <sz val="10"/>
      <color indexed="9"/>
      <name val="Arial"/>
      <family val="2"/>
    </font>
    <font>
      <sz val="11"/>
      <name val="Tms Rmn"/>
      <family val="1"/>
    </font>
    <font>
      <sz val="12"/>
      <name val="Arial"/>
      <family val="2"/>
    </font>
    <font>
      <sz val="10"/>
      <name val="BERNHARD"/>
    </font>
    <font>
      <sz val="10"/>
      <name val="Helv"/>
    </font>
    <font>
      <sz val="12"/>
      <color indexed="24"/>
      <name val="Arial"/>
      <family val="2"/>
    </font>
    <font>
      <sz val="1"/>
      <color indexed="8"/>
      <name val="Courier"/>
      <family val="3"/>
    </font>
    <font>
      <b/>
      <sz val="10"/>
      <color indexed="8"/>
      <name val="Arial"/>
      <family val="2"/>
    </font>
    <font>
      <b/>
      <sz val="1"/>
      <color indexed="8"/>
      <name val="Courier"/>
      <family val="3"/>
    </font>
    <font>
      <sz val="9"/>
      <color indexed="8"/>
      <name val="Arial"/>
      <family val="2"/>
    </font>
    <font>
      <sz val="9"/>
      <name val="Arial"/>
      <family val="2"/>
    </font>
    <font>
      <u/>
      <sz val="10"/>
      <color indexed="14"/>
      <name val="MS Sans Serif"/>
      <family val="2"/>
    </font>
    <font>
      <sz val="10"/>
      <color indexed="17"/>
      <name val="Arial"/>
      <family val="2"/>
    </font>
    <font>
      <b/>
      <sz val="15"/>
      <color indexed="62"/>
      <name val="Arial"/>
      <family val="2"/>
    </font>
    <font>
      <b/>
      <sz val="13"/>
      <color indexed="62"/>
      <name val="Arial"/>
      <family val="2"/>
    </font>
    <font>
      <b/>
      <sz val="11"/>
      <color indexed="62"/>
      <name val="Arial"/>
      <family val="2"/>
    </font>
    <font>
      <b/>
      <sz val="18"/>
      <color indexed="24"/>
      <name val="Arial"/>
      <family val="2"/>
    </font>
    <font>
      <b/>
      <sz val="12"/>
      <color indexed="24"/>
      <name val="Arial"/>
      <family val="2"/>
    </font>
    <font>
      <u/>
      <sz val="10"/>
      <color indexed="12"/>
      <name val="Arial"/>
      <family val="2"/>
    </font>
    <font>
      <sz val="10"/>
      <color indexed="62"/>
      <name val="Arial"/>
      <family val="2"/>
    </font>
    <font>
      <sz val="10"/>
      <color indexed="53"/>
      <name val="Arial"/>
      <family val="2"/>
    </font>
    <font>
      <sz val="10"/>
      <name val="Tahoma"/>
      <family val="2"/>
    </font>
    <font>
      <sz val="7"/>
      <name val="Small Fonts"/>
      <family val="2"/>
    </font>
    <font>
      <b/>
      <i/>
      <sz val="16"/>
      <name val="Helv"/>
    </font>
    <font>
      <sz val="8"/>
      <color theme="1"/>
      <name val="Arial"/>
      <family val="2"/>
    </font>
    <font>
      <sz val="10"/>
      <name val="Courier"/>
      <family val="3"/>
    </font>
    <font>
      <sz val="10"/>
      <color theme="1"/>
      <name val="Verdana"/>
      <family val="2"/>
    </font>
    <font>
      <b/>
      <sz val="10"/>
      <color indexed="63"/>
      <name val="Arial"/>
      <family val="2"/>
    </font>
    <font>
      <b/>
      <sz val="8"/>
      <name val="Times New Roman"/>
      <family val="1"/>
    </font>
    <font>
      <sz val="8"/>
      <name val="Helv"/>
    </font>
    <font>
      <b/>
      <sz val="18"/>
      <color indexed="62"/>
      <name val="Cambria"/>
      <family val="2"/>
    </font>
    <font>
      <sz val="10"/>
      <color indexed="10"/>
      <name val="Arial"/>
      <family val="2"/>
    </font>
    <font>
      <sz val="12"/>
      <color indexed="24"/>
      <name val="Modern"/>
      <family val="3"/>
      <charset val="255"/>
    </font>
    <font>
      <b/>
      <sz val="18"/>
      <color indexed="24"/>
      <name val="Modern"/>
      <family val="3"/>
      <charset val="255"/>
    </font>
    <font>
      <b/>
      <sz val="12"/>
      <color indexed="24"/>
      <name val="Modern"/>
      <family val="3"/>
      <charset val="255"/>
    </font>
    <font>
      <b/>
      <sz val="12"/>
      <color indexed="9"/>
      <name val="Calibri"/>
      <family val="2"/>
    </font>
    <font>
      <b/>
      <sz val="12"/>
      <name val="Calibri"/>
      <family val="2"/>
    </font>
    <font>
      <b/>
      <i/>
      <sz val="11"/>
      <color theme="1"/>
      <name val="Calibri"/>
      <family val="2"/>
      <scheme val="minor"/>
    </font>
    <font>
      <i/>
      <sz val="8"/>
      <color theme="1"/>
      <name val="Arial"/>
      <family val="2"/>
    </font>
    <font>
      <b/>
      <sz val="8"/>
      <color theme="5" tint="-0.249977111117893"/>
      <name val="Arial"/>
      <family val="2"/>
    </font>
    <font>
      <b/>
      <i/>
      <sz val="8"/>
      <color theme="5" tint="-0.249977111117893"/>
      <name val="Arial"/>
      <family val="2"/>
    </font>
    <font>
      <sz val="11"/>
      <color theme="1"/>
      <name val="Calibri"/>
      <family val="2"/>
    </font>
    <font>
      <u/>
      <sz val="11"/>
      <color theme="10"/>
      <name val="Calibri"/>
      <family val="2"/>
      <scheme val="minor"/>
    </font>
    <font>
      <b/>
      <sz val="11"/>
      <color theme="1"/>
      <name val="Calibri"/>
      <family val="2"/>
      <scheme val="minor"/>
    </font>
    <font>
      <b/>
      <sz val="10"/>
      <name val="Calibri"/>
      <family val="2"/>
    </font>
    <font>
      <i/>
      <sz val="10"/>
      <name val="Arial"/>
      <family val="2"/>
    </font>
    <font>
      <i/>
      <sz val="10"/>
      <color indexed="53"/>
      <name val="Arial"/>
      <family val="2"/>
    </font>
    <font>
      <sz val="11"/>
      <color rgb="FF0070C0"/>
      <name val="Calibri"/>
      <family val="2"/>
      <scheme val="minor"/>
    </font>
    <font>
      <b/>
      <sz val="11"/>
      <color theme="1"/>
      <name val="Calibri"/>
      <family val="2"/>
    </font>
    <font>
      <sz val="9"/>
      <color indexed="81"/>
      <name val="Tahoma"/>
      <family val="2"/>
    </font>
    <font>
      <b/>
      <sz val="9"/>
      <color indexed="81"/>
      <name val="Tahoma"/>
      <family val="2"/>
    </font>
    <font>
      <b/>
      <sz val="11"/>
      <color theme="0"/>
      <name val="Calibri"/>
      <family val="2"/>
      <scheme val="minor"/>
    </font>
    <font>
      <b/>
      <sz val="11"/>
      <color theme="4" tint="-0.249977111117893"/>
      <name val="Calibri"/>
      <family val="2"/>
      <scheme val="minor"/>
    </font>
    <font>
      <sz val="8"/>
      <color rgb="FF000000"/>
      <name val="Tahoma"/>
      <family val="2"/>
    </font>
    <font>
      <sz val="12"/>
      <color theme="0"/>
      <name val="Calibri"/>
      <family val="2"/>
    </font>
    <font>
      <sz val="12"/>
      <color indexed="12"/>
      <name val="Calibri"/>
      <family val="2"/>
    </font>
    <font>
      <sz val="12"/>
      <name val="Calibri"/>
      <family val="2"/>
    </font>
    <font>
      <b/>
      <sz val="11"/>
      <name val="Arial"/>
      <family val="2"/>
    </font>
    <font>
      <b/>
      <sz val="12"/>
      <color indexed="12"/>
      <name val="Calibri"/>
      <family val="2"/>
    </font>
    <font>
      <sz val="11"/>
      <color indexed="12"/>
      <name val="Calibri"/>
      <family val="2"/>
    </font>
    <font>
      <sz val="20"/>
      <name val="Calibri"/>
      <family val="2"/>
    </font>
    <font>
      <b/>
      <i/>
      <sz val="12"/>
      <name val="Calibri"/>
      <family val="2"/>
    </font>
    <font>
      <sz val="12"/>
      <color indexed="9"/>
      <name val="Calibri"/>
      <family val="2"/>
    </font>
    <font>
      <b/>
      <sz val="10"/>
      <name val="Verdana"/>
      <family val="2"/>
    </font>
    <font>
      <b/>
      <i/>
      <sz val="12"/>
      <color theme="1"/>
      <name val="Calibri"/>
      <family val="2"/>
    </font>
    <font>
      <b/>
      <sz val="8"/>
      <name val="Arial"/>
      <family val="2"/>
    </font>
    <font>
      <sz val="11"/>
      <color theme="9" tint="-0.249977111117893"/>
      <name val="Calibri"/>
      <family val="2"/>
      <scheme val="minor"/>
    </font>
    <font>
      <b/>
      <sz val="12"/>
      <color theme="9" tint="-0.249977111117893"/>
      <name val="Calibri"/>
      <family val="2"/>
    </font>
    <font>
      <b/>
      <sz val="11"/>
      <color theme="9" tint="-0.249977111117893"/>
      <name val="Calibri"/>
      <family val="2"/>
      <scheme val="minor"/>
    </font>
    <font>
      <sz val="12"/>
      <color theme="1"/>
      <name val="Calibri"/>
      <family val="2"/>
    </font>
    <font>
      <sz val="10"/>
      <name val="Arial     "/>
    </font>
    <font>
      <b/>
      <sz val="10"/>
      <name val="Arial     "/>
    </font>
    <font>
      <b/>
      <sz val="10"/>
      <color rgb="FFFF0000"/>
      <name val="Arial"/>
      <family val="2"/>
    </font>
    <font>
      <u/>
      <sz val="11"/>
      <color rgb="FF002060"/>
      <name val="Calibri"/>
      <family val="2"/>
      <scheme val="minor"/>
    </font>
    <font>
      <sz val="11"/>
      <color theme="0"/>
      <name val="Calibri"/>
      <family val="2"/>
      <scheme val="minor"/>
    </font>
    <font>
      <b/>
      <sz val="11"/>
      <color rgb="FF00B0F0"/>
      <name val="Calibri"/>
      <family val="2"/>
      <scheme val="minor"/>
    </font>
    <font>
      <b/>
      <i/>
      <sz val="11"/>
      <color theme="3"/>
      <name val="Calibri"/>
      <family val="2"/>
      <scheme val="minor"/>
    </font>
    <font>
      <b/>
      <sz val="16"/>
      <color indexed="57"/>
      <name val="Calibri"/>
      <family val="2"/>
    </font>
    <font>
      <b/>
      <sz val="12"/>
      <color indexed="57"/>
      <name val="Calibri"/>
      <family val="2"/>
    </font>
    <font>
      <sz val="10"/>
      <name val="Calibri"/>
      <family val="2"/>
    </font>
    <font>
      <sz val="12"/>
      <color rgb="FF0070C0"/>
      <name val="Calibri"/>
      <family val="2"/>
    </font>
    <font>
      <b/>
      <sz val="11"/>
      <name val="Calibri"/>
      <family val="2"/>
    </font>
    <font>
      <sz val="12"/>
      <color rgb="FFFF0000"/>
      <name val="Calibri"/>
      <family val="2"/>
    </font>
    <font>
      <b/>
      <sz val="12"/>
      <color indexed="16"/>
      <name val="Calibri"/>
      <family val="2"/>
    </font>
    <font>
      <b/>
      <sz val="12"/>
      <color indexed="21"/>
      <name val="Calibri"/>
      <family val="2"/>
    </font>
    <font>
      <b/>
      <sz val="12"/>
      <color indexed="60"/>
      <name val="Calibri"/>
      <family val="2"/>
    </font>
    <font>
      <sz val="11"/>
      <name val="Calibri"/>
      <family val="2"/>
    </font>
    <font>
      <b/>
      <sz val="10"/>
      <color rgb="FF000000"/>
      <name val="Verdana"/>
      <family val="2"/>
    </font>
    <font>
      <b/>
      <i/>
      <sz val="14"/>
      <color theme="0"/>
      <name val="Calibri"/>
      <family val="2"/>
      <scheme val="minor"/>
    </font>
    <font>
      <b/>
      <sz val="12"/>
      <color indexed="56"/>
      <name val="Calibri"/>
      <family val="2"/>
    </font>
    <font>
      <b/>
      <sz val="12"/>
      <color theme="3"/>
      <name val="Calibri"/>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sz val="12"/>
      <color theme="1"/>
      <name val="Calibri"/>
      <family val="2"/>
    </font>
    <font>
      <sz val="8"/>
      <color rgb="FF003366"/>
      <name val="Tahoma"/>
      <family val="2"/>
    </font>
    <font>
      <sz val="11"/>
      <name val="Calibri"/>
      <family val="2"/>
      <scheme val="minor"/>
    </font>
    <font>
      <b/>
      <sz val="11"/>
      <name val="Calibri"/>
      <family val="2"/>
      <scheme val="minor"/>
    </font>
    <font>
      <b/>
      <sz val="11"/>
      <color rgb="FF993300"/>
      <name val="Calibri"/>
      <family val="2"/>
      <scheme val="minor"/>
    </font>
  </fonts>
  <fills count="76">
    <fill>
      <patternFill patternType="none"/>
    </fill>
    <fill>
      <patternFill patternType="gray125"/>
    </fill>
    <fill>
      <patternFill patternType="solid">
        <fgColor indexed="22"/>
        <bgColor indexed="64"/>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45"/>
        <bgColor indexed="45"/>
      </patternFill>
    </fill>
    <fill>
      <patternFill patternType="solid">
        <fgColor indexed="9"/>
        <bgColor indexed="9"/>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8"/>
      </patternFill>
    </fill>
    <fill>
      <patternFill patternType="solid">
        <fgColor indexed="43"/>
        <bgColor indexed="8"/>
      </patternFill>
    </fill>
    <fill>
      <patternFill patternType="solid">
        <fgColor theme="0" tint="-0.34998626667073579"/>
        <bgColor indexed="64"/>
      </patternFill>
    </fill>
    <fill>
      <patternFill patternType="solid">
        <fgColor theme="0" tint="-4.9989318521683403E-2"/>
        <bgColor indexed="64"/>
      </patternFill>
    </fill>
    <fill>
      <patternFill patternType="solid">
        <fgColor rgb="FF0070C0"/>
        <bgColor indexed="64"/>
      </patternFill>
    </fill>
    <fill>
      <patternFill patternType="solid">
        <fgColor theme="8" tint="-0.249977111117893"/>
        <bgColor indexed="64"/>
      </patternFill>
    </fill>
    <fill>
      <patternFill patternType="solid">
        <fgColor rgb="FF00B0F0"/>
        <bgColor indexed="64"/>
      </patternFill>
    </fill>
    <fill>
      <patternFill patternType="solid">
        <fgColor theme="8" tint="0.39997558519241921"/>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indexed="11"/>
        <bgColor indexed="64"/>
      </patternFill>
    </fill>
    <fill>
      <patternFill patternType="solid">
        <fgColor indexed="51"/>
        <bgColor indexed="64"/>
      </patternFill>
    </fill>
    <fill>
      <patternFill patternType="solid">
        <fgColor theme="3" tint="0.59999389629810485"/>
        <bgColor indexed="64"/>
      </patternFill>
    </fill>
    <fill>
      <patternFill patternType="solid">
        <fgColor indexed="13"/>
        <bgColor indexed="64"/>
      </patternFill>
    </fill>
    <fill>
      <patternFill patternType="solid">
        <fgColor theme="0" tint="-0.14999847407452621"/>
        <bgColor indexed="64"/>
      </patternFill>
    </fill>
    <fill>
      <patternFill patternType="solid">
        <fgColor indexed="10"/>
        <bgColor indexed="64"/>
      </patternFill>
    </fill>
    <fill>
      <patternFill patternType="solid">
        <fgColor indexed="42"/>
        <bgColor indexed="64"/>
      </patternFill>
    </fill>
    <fill>
      <patternFill patternType="solid">
        <fgColor rgb="FF92D05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
      <patternFill patternType="solid">
        <fgColor rgb="FFFFFFFF"/>
        <bgColor indexed="64"/>
      </patternFill>
    </fill>
    <fill>
      <patternFill patternType="solid">
        <fgColor rgb="FFF4F5F7"/>
        <bgColor indexed="64"/>
      </patternFill>
    </fill>
    <fill>
      <patternFill patternType="solid">
        <fgColor rgb="FFE1E1E1"/>
        <bgColor indexed="64"/>
      </patternFill>
    </fill>
    <fill>
      <patternFill patternType="solid">
        <fgColor rgb="FFF3F3F3"/>
        <bgColor indexed="64"/>
      </patternFill>
    </fill>
    <fill>
      <patternFill patternType="solid">
        <fgColor theme="3" tint="0.79998168889431442"/>
        <bgColor indexed="64"/>
      </patternFill>
    </fill>
    <fill>
      <patternFill patternType="solid">
        <fgColor theme="4" tint="0.59999389629810485"/>
        <bgColor indexed="64"/>
      </patternFill>
    </fill>
  </fills>
  <borders count="69">
    <border>
      <left/>
      <right/>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style="thin">
        <color indexed="64"/>
      </right>
      <top style="medium">
        <color indexed="64"/>
      </top>
      <bottom/>
      <diagonal/>
    </border>
    <border>
      <left/>
      <right style="thin">
        <color indexed="64"/>
      </right>
      <top/>
      <bottom/>
      <diagonal/>
    </border>
    <border>
      <left style="thin">
        <color indexed="64"/>
      </left>
      <right style="medium">
        <color indexed="64"/>
      </right>
      <top style="medium">
        <color indexed="64"/>
      </top>
      <bottom/>
      <diagonal/>
    </border>
    <border>
      <left/>
      <right/>
      <top/>
      <bottom style="thick">
        <color indexed="54"/>
      </bottom>
      <diagonal/>
    </border>
    <border>
      <left/>
      <right/>
      <top/>
      <bottom style="thick">
        <color indexed="22"/>
      </bottom>
      <diagonal/>
    </border>
    <border>
      <left/>
      <right/>
      <top/>
      <bottom style="medium">
        <color indexed="4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medium">
        <color indexed="39"/>
      </top>
      <bottom/>
      <diagonal/>
    </border>
    <border>
      <left/>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top/>
      <bottom style="medium">
        <color indexed="64"/>
      </bottom>
      <diagonal/>
    </border>
    <border>
      <left/>
      <right/>
      <top/>
      <bottom style="thin">
        <color indexed="64"/>
      </bottom>
      <diagonal/>
    </border>
    <border>
      <left style="medium">
        <color indexed="64"/>
      </left>
      <right style="medium">
        <color indexed="64"/>
      </right>
      <top style="thin">
        <color indexed="64"/>
      </top>
      <bottom/>
      <diagonal/>
    </border>
    <border>
      <left/>
      <right/>
      <top style="thin">
        <color indexed="64"/>
      </top>
      <bottom/>
      <diagonal/>
    </border>
    <border>
      <left/>
      <right/>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style="medium">
        <color indexed="64"/>
      </left>
      <right/>
      <top/>
      <bottom style="double">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rgb="FFE8EAEE"/>
      </left>
      <right style="medium">
        <color rgb="FFE8EAEE"/>
      </right>
      <top style="medium">
        <color rgb="FFE8EAEE"/>
      </top>
      <bottom style="medium">
        <color rgb="FFE8EAEE"/>
      </bottom>
      <diagonal/>
    </border>
    <border>
      <left style="thick">
        <color rgb="FFFFFFFF"/>
      </left>
      <right style="thick">
        <color rgb="FFFFFFFF"/>
      </right>
      <top style="thick">
        <color rgb="FFFFFFFF"/>
      </top>
      <bottom style="thick">
        <color rgb="FFFFFFFF"/>
      </bottom>
      <diagonal/>
    </border>
    <border>
      <left style="thick">
        <color rgb="FFFFFFFF"/>
      </left>
      <right/>
      <top style="thick">
        <color rgb="FFFFFFFF"/>
      </top>
      <bottom style="thick">
        <color rgb="FFFFFFFF"/>
      </bottom>
      <diagonal/>
    </border>
    <border>
      <left/>
      <right/>
      <top style="thick">
        <color rgb="FFFFFFFF"/>
      </top>
      <bottom style="thick">
        <color rgb="FFFFFFFF"/>
      </bottom>
      <diagonal/>
    </border>
    <border>
      <left/>
      <right style="thick">
        <color rgb="FFFFFFFF"/>
      </right>
      <top style="thick">
        <color rgb="FFFFFFFF"/>
      </top>
      <bottom style="thick">
        <color rgb="FFFFFFFF"/>
      </bottom>
      <diagonal/>
    </border>
  </borders>
  <cellStyleXfs count="279">
    <xf numFmtId="0" fontId="0"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167" fontId="4" fillId="0" borderId="0" applyFont="0" applyFill="0" applyBorder="0" applyAlignment="0" applyProtection="0"/>
    <xf numFmtId="167" fontId="4" fillId="0" borderId="0" applyFont="0" applyFill="0" applyBorder="0" applyAlignment="0" applyProtection="0"/>
    <xf numFmtId="168" fontId="6" fillId="0" borderId="0"/>
    <xf numFmtId="9" fontId="4"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168" fontId="6" fillId="0" borderId="0"/>
    <xf numFmtId="168" fontId="9" fillId="3" borderId="0" applyNumberFormat="0" applyBorder="0" applyAlignment="0" applyProtection="0"/>
    <xf numFmtId="168" fontId="10" fillId="4" borderId="0" applyNumberFormat="0" applyBorder="0" applyAlignment="0" applyProtection="0"/>
    <xf numFmtId="168" fontId="10" fillId="4" borderId="0" applyNumberFormat="0" applyBorder="0" applyAlignment="0" applyProtection="0"/>
    <xf numFmtId="168" fontId="9" fillId="5" borderId="0" applyNumberFormat="0" applyBorder="0" applyAlignment="0" applyProtection="0"/>
    <xf numFmtId="168" fontId="9" fillId="3" borderId="0" applyNumberFormat="0" applyBorder="0" applyAlignment="0" applyProtection="0"/>
    <xf numFmtId="168" fontId="9" fillId="6" borderId="0" applyNumberFormat="0" applyBorder="0" applyAlignment="0" applyProtection="0"/>
    <xf numFmtId="168" fontId="10" fillId="7" borderId="0" applyNumberFormat="0" applyBorder="0" applyAlignment="0" applyProtection="0"/>
    <xf numFmtId="168" fontId="10" fillId="8" borderId="0" applyNumberFormat="0" applyBorder="0" applyAlignment="0" applyProtection="0"/>
    <xf numFmtId="168" fontId="9" fillId="9" borderId="0" applyNumberFormat="0" applyBorder="0" applyAlignment="0" applyProtection="0"/>
    <xf numFmtId="168" fontId="9" fillId="6" borderId="0" applyNumberFormat="0" applyBorder="0" applyAlignment="0" applyProtection="0"/>
    <xf numFmtId="168" fontId="9" fillId="9" borderId="0" applyNumberFormat="0" applyBorder="0" applyAlignment="0" applyProtection="0"/>
    <xf numFmtId="168" fontId="10" fillId="7" borderId="0" applyNumberFormat="0" applyBorder="0" applyAlignment="0" applyProtection="0"/>
    <xf numFmtId="168" fontId="10" fillId="10" borderId="0" applyNumberFormat="0" applyBorder="0" applyAlignment="0" applyProtection="0"/>
    <xf numFmtId="168" fontId="9" fillId="8" borderId="0" applyNumberFormat="0" applyBorder="0" applyAlignment="0" applyProtection="0"/>
    <xf numFmtId="168" fontId="9" fillId="9" borderId="0" applyNumberFormat="0" applyBorder="0" applyAlignment="0" applyProtection="0"/>
    <xf numFmtId="168" fontId="9" fillId="3" borderId="0" applyNumberFormat="0" applyBorder="0" applyAlignment="0" applyProtection="0"/>
    <xf numFmtId="168" fontId="10" fillId="4" borderId="0" applyNumberFormat="0" applyBorder="0" applyAlignment="0" applyProtection="0"/>
    <xf numFmtId="168" fontId="10" fillId="8" borderId="0" applyNumberFormat="0" applyBorder="0" applyAlignment="0" applyProtection="0"/>
    <xf numFmtId="168" fontId="9" fillId="8" borderId="0" applyNumberFormat="0" applyBorder="0" applyAlignment="0" applyProtection="0"/>
    <xf numFmtId="168" fontId="9" fillId="3" borderId="0" applyNumberFormat="0" applyBorder="0" applyAlignment="0" applyProtection="0"/>
    <xf numFmtId="168" fontId="9" fillId="11" borderId="0" applyNumberFormat="0" applyBorder="0" applyAlignment="0" applyProtection="0"/>
    <xf numFmtId="168" fontId="10" fillId="12" borderId="0" applyNumberFormat="0" applyBorder="0" applyAlignment="0" applyProtection="0"/>
    <xf numFmtId="168" fontId="10" fillId="4" borderId="0" applyNumberFormat="0" applyBorder="0" applyAlignment="0" applyProtection="0"/>
    <xf numFmtId="168" fontId="9" fillId="5" borderId="0" applyNumberFormat="0" applyBorder="0" applyAlignment="0" applyProtection="0"/>
    <xf numFmtId="168" fontId="9" fillId="11" borderId="0" applyNumberFormat="0" applyBorder="0" applyAlignment="0" applyProtection="0"/>
    <xf numFmtId="168" fontId="9" fillId="13" borderId="0" applyNumberFormat="0" applyBorder="0" applyAlignment="0" applyProtection="0"/>
    <xf numFmtId="168" fontId="10" fillId="7" borderId="0" applyNumberFormat="0" applyBorder="0" applyAlignment="0" applyProtection="0"/>
    <xf numFmtId="168" fontId="10" fillId="14" borderId="0" applyNumberFormat="0" applyBorder="0" applyAlignment="0" applyProtection="0"/>
    <xf numFmtId="168" fontId="9" fillId="14" borderId="0" applyNumberFormat="0" applyBorder="0" applyAlignment="0" applyProtection="0"/>
    <xf numFmtId="168" fontId="9" fillId="13" borderId="0" applyNumberFormat="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168" fontId="11" fillId="15" borderId="0" applyNumberFormat="0" applyBorder="0" applyAlignment="0" applyProtection="0"/>
    <xf numFmtId="168" fontId="12" fillId="16" borderId="11" applyNumberFormat="0" applyAlignment="0" applyProtection="0"/>
    <xf numFmtId="168" fontId="13" fillId="9" borderId="12" applyNumberFormat="0" applyAlignment="0" applyProtection="0"/>
    <xf numFmtId="172" fontId="14" fillId="0" borderId="0"/>
    <xf numFmtId="172" fontId="14" fillId="0" borderId="0"/>
    <xf numFmtId="172" fontId="14" fillId="0" borderId="0"/>
    <xf numFmtId="172" fontId="14" fillId="0" borderId="0"/>
    <xf numFmtId="172" fontId="14" fillId="0" borderId="0"/>
    <xf numFmtId="172" fontId="14" fillId="0" borderId="0"/>
    <xf numFmtId="172" fontId="14" fillId="0" borderId="0"/>
    <xf numFmtId="172" fontId="14" fillId="0" borderId="0"/>
    <xf numFmtId="166" fontId="15" fillId="0" borderId="0" applyFont="0" applyFill="0" applyBorder="0" applyAlignment="0" applyProtection="0"/>
    <xf numFmtId="173" fontId="6" fillId="0" borderId="0" applyFont="0" applyFill="0" applyBorder="0" applyAlignment="0" applyProtection="0"/>
    <xf numFmtId="0" fontId="16" fillId="0" borderId="0"/>
    <xf numFmtId="0" fontId="17" fillId="0" borderId="0"/>
    <xf numFmtId="0" fontId="16" fillId="0" borderId="0"/>
    <xf numFmtId="0" fontId="17" fillId="0" borderId="0"/>
    <xf numFmtId="174" fontId="15" fillId="0" borderId="0" applyFont="0" applyFill="0" applyBorder="0" applyAlignment="0" applyProtection="0"/>
    <xf numFmtId="175" fontId="6" fillId="0" borderId="0" applyFont="0" applyFill="0" applyBorder="0" applyAlignment="0" applyProtection="0"/>
    <xf numFmtId="168" fontId="18" fillId="0" borderId="0" applyFill="0" applyBorder="0" applyAlignment="0" applyProtection="0"/>
    <xf numFmtId="0" fontId="19" fillId="0" borderId="0">
      <protection locked="0"/>
    </xf>
    <xf numFmtId="168" fontId="20" fillId="17" borderId="0" applyNumberFormat="0" applyBorder="0" applyAlignment="0" applyProtection="0"/>
    <xf numFmtId="168" fontId="20" fillId="18" borderId="0" applyNumberFormat="0" applyBorder="0" applyAlignment="0" applyProtection="0"/>
    <xf numFmtId="168" fontId="20" fillId="19" borderId="0" applyNumberFormat="0" applyBorder="0" applyAlignment="0" applyProtection="0"/>
    <xf numFmtId="0" fontId="21" fillId="0" borderId="0">
      <protection locked="0"/>
    </xf>
    <xf numFmtId="0" fontId="21" fillId="0" borderId="0">
      <protection locked="0"/>
    </xf>
    <xf numFmtId="176" fontId="7" fillId="0" borderId="0" applyFont="0" applyFill="0" applyBorder="0" applyAlignment="0" applyProtection="0"/>
    <xf numFmtId="168" fontId="6" fillId="0" borderId="0" applyFont="0" applyFill="0" applyBorder="0" applyAlignment="0" applyProtection="0"/>
    <xf numFmtId="177" fontId="6" fillId="0" borderId="0" applyFont="0" applyFill="0" applyBorder="0" applyAlignment="0" applyProtection="0"/>
    <xf numFmtId="178" fontId="22" fillId="0" borderId="13" applyFont="0" applyFill="0" applyBorder="0" applyProtection="0"/>
    <xf numFmtId="179" fontId="22" fillId="0" borderId="14" applyFont="0" applyFill="0" applyBorder="0" applyProtection="0"/>
    <xf numFmtId="180" fontId="22" fillId="0" borderId="14" applyFont="0" applyFill="0" applyBorder="0" applyProtection="0"/>
    <xf numFmtId="181" fontId="22" fillId="0" borderId="14" applyFont="0" applyFill="0" applyBorder="0" applyProtection="0"/>
    <xf numFmtId="182" fontId="22" fillId="0" borderId="14" applyFont="0" applyFill="0" applyBorder="0" applyProtection="0"/>
    <xf numFmtId="183" fontId="22" fillId="0" borderId="13" applyFont="0" applyFill="0" applyBorder="0" applyProtection="0"/>
    <xf numFmtId="184" fontId="23" fillId="0" borderId="4" applyFont="0" applyFill="0" applyBorder="0" applyProtection="0"/>
    <xf numFmtId="185" fontId="6" fillId="0" borderId="0" applyFont="0" applyFill="0" applyBorder="0" applyProtection="0"/>
    <xf numFmtId="186" fontId="6" fillId="0" borderId="0" applyFont="0" applyFill="0" applyBorder="0" applyProtection="0"/>
    <xf numFmtId="187" fontId="22" fillId="0" borderId="15" applyFont="0" applyFill="0" applyBorder="0" applyProtection="0"/>
    <xf numFmtId="188" fontId="22" fillId="0" borderId="15" applyFont="0" applyFill="0" applyBorder="0" applyProtection="0"/>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0" fontId="19" fillId="0" borderId="0">
      <protection locked="0"/>
    </xf>
    <xf numFmtId="2" fontId="18" fillId="0" borderId="0" applyFill="0" applyBorder="0" applyAlignment="0" applyProtection="0"/>
    <xf numFmtId="168" fontId="24" fillId="0" borderId="0" applyNumberFormat="0" applyFill="0" applyBorder="0" applyAlignment="0" applyProtection="0"/>
    <xf numFmtId="168" fontId="25" fillId="10" borderId="0" applyNumberFormat="0" applyBorder="0" applyAlignment="0" applyProtection="0"/>
    <xf numFmtId="168" fontId="26" fillId="0" borderId="16" applyNumberFormat="0" applyFill="0" applyAlignment="0" applyProtection="0"/>
    <xf numFmtId="168" fontId="27" fillId="0" borderId="17" applyNumberFormat="0" applyFill="0" applyAlignment="0" applyProtection="0"/>
    <xf numFmtId="168" fontId="28" fillId="0" borderId="18" applyNumberFormat="0" applyFill="0" applyAlignment="0" applyProtection="0"/>
    <xf numFmtId="168" fontId="28" fillId="0" borderId="0" applyNumberFormat="0" applyFill="0" applyBorder="0" applyAlignment="0" applyProtection="0"/>
    <xf numFmtId="168" fontId="29" fillId="0" borderId="0" applyNumberFormat="0" applyFill="0" applyBorder="0" applyAlignment="0" applyProtection="0"/>
    <xf numFmtId="168" fontId="30" fillId="0" borderId="0" applyNumberFormat="0" applyFill="0" applyBorder="0" applyAlignment="0" applyProtection="0"/>
    <xf numFmtId="168" fontId="31" fillId="0" borderId="0" applyNumberFormat="0" applyFill="0" applyBorder="0" applyAlignment="0" applyProtection="0">
      <alignment vertical="top"/>
      <protection locked="0"/>
    </xf>
    <xf numFmtId="0" fontId="31" fillId="0" borderId="0" applyNumberFormat="0" applyFill="0" applyBorder="0" applyAlignment="0" applyProtection="0"/>
    <xf numFmtId="168" fontId="32" fillId="14" borderId="11" applyNumberFormat="0" applyAlignment="0" applyProtection="0"/>
    <xf numFmtId="168" fontId="33" fillId="0" borderId="19" applyNumberFormat="0" applyFill="0" applyAlignment="0" applyProtection="0"/>
    <xf numFmtId="189" fontId="6"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89" fontId="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74" fontId="10" fillId="0" borderId="0"/>
    <xf numFmtId="171" fontId="6" fillId="0" borderId="0" applyFont="0" applyFill="0" applyBorder="0" applyAlignment="0" applyProtection="0"/>
    <xf numFmtId="190" fontId="6" fillId="0" borderId="0" applyFont="0" applyFill="0" applyBorder="0" applyAlignment="0" applyProtection="0"/>
    <xf numFmtId="190" fontId="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4" fillId="0" borderId="0" applyFont="0" applyFill="0" applyBorder="0" applyAlignment="0" applyProtection="0"/>
    <xf numFmtId="191" fontId="6" fillId="0" borderId="0" applyFont="0" applyFill="0" applyBorder="0" applyAlignment="0" applyProtection="0"/>
    <xf numFmtId="190" fontId="6" fillId="0" borderId="0" applyFont="0" applyFill="0" applyBorder="0" applyAlignment="0" applyProtection="0"/>
    <xf numFmtId="190" fontId="6" fillId="0" borderId="0" applyFont="0" applyFill="0" applyBorder="0" applyAlignment="0" applyProtection="0"/>
    <xf numFmtId="43" fontId="6" fillId="0" borderId="0" applyFont="0" applyFill="0" applyBorder="0" applyAlignment="0" applyProtection="0"/>
    <xf numFmtId="190" fontId="6" fillId="0" borderId="0" applyFont="0" applyFill="0" applyBorder="0" applyAlignment="0" applyProtection="0"/>
    <xf numFmtId="190" fontId="6" fillId="0" borderId="0" applyFont="0" applyFill="0" applyBorder="0" applyAlignment="0" applyProtection="0"/>
    <xf numFmtId="190" fontId="6" fillId="0" borderId="0" applyFont="0" applyFill="0" applyBorder="0" applyAlignment="0" applyProtection="0"/>
    <xf numFmtId="190" fontId="6" fillId="0" borderId="0" applyFont="0" applyFill="0" applyBorder="0" applyAlignment="0" applyProtection="0"/>
    <xf numFmtId="167" fontId="34"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7" fontId="1" fillId="0" borderId="0" applyFont="0" applyFill="0" applyBorder="0" applyAlignment="0" applyProtection="0"/>
    <xf numFmtId="4" fontId="6" fillId="0" borderId="0"/>
    <xf numFmtId="171" fontId="6" fillId="0" borderId="0" applyFont="0" applyFill="0" applyBorder="0" applyAlignment="0" applyProtection="0"/>
    <xf numFmtId="171" fontId="6" fillId="0" borderId="0" applyFont="0" applyFill="0" applyBorder="0" applyAlignment="0" applyProtection="0"/>
    <xf numFmtId="0" fontId="19" fillId="0" borderId="0">
      <protection locked="0"/>
    </xf>
    <xf numFmtId="37" fontId="35" fillId="0" borderId="0"/>
    <xf numFmtId="192"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7" fillId="0" borderId="0"/>
    <xf numFmtId="168" fontId="10" fillId="0" borderId="0"/>
    <xf numFmtId="168" fontId="6" fillId="0" borderId="0"/>
    <xf numFmtId="0" fontId="6" fillId="0" borderId="0"/>
    <xf numFmtId="0" fontId="6" fillId="0" borderId="0"/>
    <xf numFmtId="0" fontId="1" fillId="0" borderId="0"/>
    <xf numFmtId="0" fontId="1" fillId="0" borderId="0"/>
    <xf numFmtId="0" fontId="1" fillId="0" borderId="0"/>
    <xf numFmtId="0" fontId="1" fillId="0" borderId="0"/>
    <xf numFmtId="168" fontId="10" fillId="0" borderId="0"/>
    <xf numFmtId="168" fontId="6" fillId="0" borderId="0"/>
    <xf numFmtId="0" fontId="38" fillId="0" borderId="0"/>
    <xf numFmtId="0" fontId="6" fillId="0" borderId="0"/>
    <xf numFmtId="0" fontId="6" fillId="0" borderId="0"/>
    <xf numFmtId="168" fontId="39" fillId="0" borderId="0"/>
    <xf numFmtId="0" fontId="38" fillId="0" borderId="0"/>
    <xf numFmtId="193" fontId="17" fillId="0" borderId="0"/>
    <xf numFmtId="168" fontId="6" fillId="0" borderId="0"/>
    <xf numFmtId="0" fontId="1" fillId="0" borderId="0"/>
    <xf numFmtId="168" fontId="6" fillId="7" borderId="20" applyNumberFormat="0" applyFont="0" applyAlignment="0" applyProtection="0"/>
    <xf numFmtId="168" fontId="40" fillId="16" borderId="21" applyNumberFormat="0" applyAlignment="0" applyProtection="0"/>
    <xf numFmtId="9" fontId="6" fillId="0" borderId="0" applyFont="0" applyFill="0" applyBorder="0" applyAlignment="0" applyProtection="0"/>
    <xf numFmtId="10" fontId="18" fillId="0" borderId="0" applyFill="0" applyBorder="0" applyAlignment="0" applyProtection="0"/>
    <xf numFmtId="9" fontId="6" fillId="0" borderId="0" applyFont="0" applyFill="0" applyBorder="0" applyAlignment="0" applyProtection="0"/>
    <xf numFmtId="9" fontId="4" fillId="0" borderId="0" applyFont="0" applyFill="0" applyBorder="0" applyAlignment="0" applyProtection="0"/>
    <xf numFmtId="194" fontId="6" fillId="0" borderId="0" applyFont="0" applyFill="0" applyBorder="0" applyAlignment="0" applyProtection="0"/>
    <xf numFmtId="194" fontId="6" fillId="0" borderId="0" applyFont="0" applyFill="0" applyBorder="0" applyAlignment="0" applyProtection="0"/>
    <xf numFmtId="9" fontId="10" fillId="0" borderId="0"/>
    <xf numFmtId="9" fontId="6" fillId="0" borderId="0" applyFont="0" applyFill="0" applyBorder="0" applyAlignment="0" applyProtection="0"/>
    <xf numFmtId="9" fontId="10" fillId="0" borderId="0"/>
    <xf numFmtId="9" fontId="6" fillId="0" borderId="0" applyFont="0" applyFill="0" applyBorder="0" applyAlignment="0" applyProtection="0"/>
    <xf numFmtId="9" fontId="1" fillId="0" borderId="0" applyFont="0" applyFill="0" applyBorder="0" applyAlignment="0" applyProtection="0"/>
    <xf numFmtId="9" fontId="6" fillId="0" borderId="0" applyFont="0" applyFill="0" applyBorder="0" applyAlignment="0" applyProtection="0"/>
    <xf numFmtId="9" fontId="1" fillId="0" borderId="0" applyFont="0" applyFill="0" applyBorder="0" applyAlignment="0" applyProtection="0"/>
    <xf numFmtId="9" fontId="6" fillId="0" borderId="0" applyFont="0" applyFill="0" applyBorder="0" applyAlignment="0" applyProtection="0"/>
    <xf numFmtId="9" fontId="1" fillId="0" borderId="0" applyFont="0" applyFill="0" applyBorder="0" applyAlignment="0" applyProtection="0"/>
    <xf numFmtId="193" fontId="41" fillId="0" borderId="0">
      <alignment horizontal="left"/>
    </xf>
    <xf numFmtId="38" fontId="42" fillId="0" borderId="0"/>
    <xf numFmtId="168" fontId="43" fillId="0" borderId="0" applyNumberFormat="0" applyFill="0" applyBorder="0" applyAlignment="0" applyProtection="0"/>
    <xf numFmtId="0" fontId="5" fillId="20" borderId="22" applyNumberFormat="0" applyProtection="0">
      <alignment horizontal="center" wrapText="1"/>
    </xf>
    <xf numFmtId="0" fontId="6" fillId="21" borderId="0" applyNumberFormat="0" applyBorder="0">
      <alignment horizontal="center" wrapText="1"/>
    </xf>
    <xf numFmtId="195" fontId="6" fillId="0" borderId="0" applyFill="0" applyBorder="0" applyAlignment="0" applyProtection="0">
      <alignment wrapText="1"/>
    </xf>
    <xf numFmtId="0" fontId="5" fillId="0" borderId="0" applyNumberFormat="0" applyFill="0" applyBorder="0">
      <alignment horizontal="center" wrapText="1"/>
    </xf>
    <xf numFmtId="0" fontId="5" fillId="0" borderId="0" applyNumberFormat="0" applyFill="0" applyBorder="0">
      <alignment horizontal="center" wrapText="1"/>
    </xf>
    <xf numFmtId="168" fontId="6" fillId="0" borderId="0" applyNumberFormat="0"/>
    <xf numFmtId="0" fontId="6" fillId="0" borderId="0" applyNumberFormat="0"/>
    <xf numFmtId="168" fontId="44" fillId="0" borderId="0" applyNumberFormat="0" applyFill="0" applyBorder="0" applyAlignment="0" applyProtection="0"/>
    <xf numFmtId="168" fontId="45" fillId="0" borderId="0" applyProtection="0"/>
    <xf numFmtId="0" fontId="45" fillId="0" borderId="0" applyProtection="0"/>
    <xf numFmtId="196" fontId="45" fillId="0" borderId="0" applyProtection="0"/>
    <xf numFmtId="168" fontId="46" fillId="0" borderId="0" applyProtection="0"/>
    <xf numFmtId="0" fontId="46" fillId="0" borderId="0" applyProtection="0"/>
    <xf numFmtId="168" fontId="47" fillId="0" borderId="0" applyProtection="0"/>
    <xf numFmtId="0" fontId="47" fillId="0" borderId="0" applyProtection="0"/>
    <xf numFmtId="168" fontId="45" fillId="0" borderId="23" applyProtection="0"/>
    <xf numFmtId="0" fontId="45" fillId="0" borderId="23" applyProtection="0"/>
    <xf numFmtId="168" fontId="45" fillId="0" borderId="0"/>
    <xf numFmtId="10" fontId="45" fillId="0" borderId="0" applyProtection="0"/>
    <xf numFmtId="168" fontId="45" fillId="0" borderId="0"/>
    <xf numFmtId="0" fontId="45" fillId="0" borderId="0"/>
    <xf numFmtId="2" fontId="45" fillId="0" borderId="0" applyProtection="0"/>
    <xf numFmtId="4" fontId="45" fillId="0" borderId="0" applyProtection="0"/>
    <xf numFmtId="0" fontId="6" fillId="0" borderId="0"/>
    <xf numFmtId="0" fontId="6" fillId="0" borderId="0"/>
    <xf numFmtId="0" fontId="55" fillId="0" borderId="0" applyNumberFormat="0" applyFill="0" applyBorder="0" applyAlignment="0" applyProtection="0"/>
    <xf numFmtId="0" fontId="33" fillId="0" borderId="0"/>
    <xf numFmtId="9" fontId="6" fillId="0" borderId="0" applyFont="0" applyFill="0" applyBorder="0" applyAlignment="0" applyProtection="0"/>
    <xf numFmtId="0" fontId="7" fillId="0" borderId="0"/>
    <xf numFmtId="169" fontId="7" fillId="0" borderId="0" applyFont="0" applyFill="0" applyBorder="0" applyAlignment="0" applyProtection="0"/>
    <xf numFmtId="9" fontId="7" fillId="0" borderId="0" applyFont="0" applyFill="0" applyBorder="0" applyAlignment="0" applyProtection="0"/>
    <xf numFmtId="0" fontId="6" fillId="0" borderId="0"/>
    <xf numFmtId="0" fontId="104" fillId="0" borderId="0" applyNumberFormat="0" applyFill="0" applyBorder="0" applyAlignment="0" applyProtection="0"/>
    <xf numFmtId="0" fontId="105" fillId="0" borderId="55" applyNumberFormat="0" applyFill="0" applyAlignment="0" applyProtection="0"/>
    <xf numFmtId="0" fontId="106" fillId="0" borderId="56" applyNumberFormat="0" applyFill="0" applyAlignment="0" applyProtection="0"/>
    <xf numFmtId="0" fontId="107" fillId="0" borderId="57" applyNumberFormat="0" applyFill="0" applyAlignment="0" applyProtection="0"/>
    <xf numFmtId="0" fontId="107" fillId="0" borderId="0" applyNumberFormat="0" applyFill="0" applyBorder="0" applyAlignment="0" applyProtection="0"/>
    <xf numFmtId="0" fontId="108" fillId="38" borderId="0" applyNumberFormat="0" applyBorder="0" applyAlignment="0" applyProtection="0"/>
    <xf numFmtId="0" fontId="109" fillId="39" borderId="0" applyNumberFormat="0" applyBorder="0" applyAlignment="0" applyProtection="0"/>
    <xf numFmtId="0" fontId="110" fillId="40" borderId="0" applyNumberFormat="0" applyBorder="0" applyAlignment="0" applyProtection="0"/>
    <xf numFmtId="0" fontId="111" fillId="41" borderId="58" applyNumberFormat="0" applyAlignment="0" applyProtection="0"/>
    <xf numFmtId="0" fontId="112" fillId="42" borderId="59" applyNumberFormat="0" applyAlignment="0" applyProtection="0"/>
    <xf numFmtId="0" fontId="113" fillId="42" borderId="58" applyNumberFormat="0" applyAlignment="0" applyProtection="0"/>
    <xf numFmtId="0" fontId="114" fillId="0" borderId="60" applyNumberFormat="0" applyFill="0" applyAlignment="0" applyProtection="0"/>
    <xf numFmtId="0" fontId="64" fillId="43" borderId="61" applyNumberFormat="0" applyAlignment="0" applyProtection="0"/>
    <xf numFmtId="0" fontId="115" fillId="0" borderId="0" applyNumberFormat="0" applyFill="0" applyBorder="0" applyAlignment="0" applyProtection="0"/>
    <xf numFmtId="0" fontId="1" fillId="44" borderId="62" applyNumberFormat="0" applyFont="0" applyAlignment="0" applyProtection="0"/>
    <xf numFmtId="0" fontId="116" fillId="0" borderId="0" applyNumberFormat="0" applyFill="0" applyBorder="0" applyAlignment="0" applyProtection="0"/>
    <xf numFmtId="0" fontId="56" fillId="0" borderId="63" applyNumberFormat="0" applyFill="0" applyAlignment="0" applyProtection="0"/>
    <xf numFmtId="0" fontId="87" fillId="45" borderId="0" applyNumberFormat="0" applyBorder="0" applyAlignment="0" applyProtection="0"/>
    <xf numFmtId="0" fontId="1" fillId="46" borderId="0" applyNumberFormat="0" applyBorder="0" applyAlignment="0" applyProtection="0"/>
    <xf numFmtId="0" fontId="1" fillId="47" borderId="0" applyNumberFormat="0" applyBorder="0" applyAlignment="0" applyProtection="0"/>
    <xf numFmtId="0" fontId="87" fillId="48" borderId="0" applyNumberFormat="0" applyBorder="0" applyAlignment="0" applyProtection="0"/>
    <xf numFmtId="0" fontId="87" fillId="49" borderId="0" applyNumberFormat="0" applyBorder="0" applyAlignment="0" applyProtection="0"/>
    <xf numFmtId="0" fontId="1" fillId="50" borderId="0" applyNumberFormat="0" applyBorder="0" applyAlignment="0" applyProtection="0"/>
    <xf numFmtId="0" fontId="1" fillId="51" borderId="0" applyNumberFormat="0" applyBorder="0" applyAlignment="0" applyProtection="0"/>
    <xf numFmtId="0" fontId="87" fillId="52" borderId="0" applyNumberFormat="0" applyBorder="0" applyAlignment="0" applyProtection="0"/>
    <xf numFmtId="0" fontId="87"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87" fillId="56" borderId="0" applyNumberFormat="0" applyBorder="0" applyAlignment="0" applyProtection="0"/>
    <xf numFmtId="0" fontId="87"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87" fillId="60" borderId="0" applyNumberFormat="0" applyBorder="0" applyAlignment="0" applyProtection="0"/>
    <xf numFmtId="0" fontId="87" fillId="61" borderId="0" applyNumberFormat="0" applyBorder="0" applyAlignment="0" applyProtection="0"/>
    <xf numFmtId="0" fontId="1" fillId="62" borderId="0" applyNumberFormat="0" applyBorder="0" applyAlignment="0" applyProtection="0"/>
    <xf numFmtId="0" fontId="1" fillId="63" borderId="0" applyNumberFormat="0" applyBorder="0" applyAlignment="0" applyProtection="0"/>
    <xf numFmtId="0" fontId="87" fillId="64" borderId="0" applyNumberFormat="0" applyBorder="0" applyAlignment="0" applyProtection="0"/>
    <xf numFmtId="0" fontId="87" fillId="65" borderId="0" applyNumberFormat="0" applyBorder="0" applyAlignment="0" applyProtection="0"/>
    <xf numFmtId="0" fontId="1" fillId="66" borderId="0" applyNumberFormat="0" applyBorder="0" applyAlignment="0" applyProtection="0"/>
    <xf numFmtId="0" fontId="1" fillId="67" borderId="0" applyNumberFormat="0" applyBorder="0" applyAlignment="0" applyProtection="0"/>
    <xf numFmtId="0" fontId="87" fillId="68" borderId="0" applyNumberFormat="0" applyBorder="0" applyAlignment="0" applyProtection="0"/>
  </cellStyleXfs>
  <cellXfs count="679">
    <xf numFmtId="0" fontId="0" fillId="0" borderId="0" xfId="0"/>
    <xf numFmtId="168" fontId="1" fillId="0" borderId="0" xfId="3" applyNumberFormat="1"/>
    <xf numFmtId="0" fontId="2" fillId="0" borderId="0" xfId="4" applyFont="1"/>
    <xf numFmtId="0" fontId="3" fillId="0" borderId="0" xfId="5" applyFont="1"/>
    <xf numFmtId="0" fontId="3" fillId="0" borderId="0" xfId="3" applyNumberFormat="1" applyFont="1"/>
    <xf numFmtId="168" fontId="1" fillId="0" borderId="0" xfId="3" applyNumberFormat="1" applyAlignment="1">
      <alignment vertical="center"/>
    </xf>
    <xf numFmtId="10" fontId="5" fillId="0" borderId="3" xfId="3" applyNumberFormat="1" applyFont="1" applyBorder="1" applyAlignment="1">
      <alignment vertical="center"/>
    </xf>
    <xf numFmtId="0" fontId="1" fillId="0" borderId="5" xfId="3" applyNumberFormat="1" applyBorder="1" applyAlignment="1">
      <alignment vertical="center"/>
    </xf>
    <xf numFmtId="0" fontId="5" fillId="0" borderId="6" xfId="3" applyNumberFormat="1" applyFont="1" applyBorder="1" applyAlignment="1">
      <alignment vertical="center"/>
    </xf>
    <xf numFmtId="10" fontId="6" fillId="0" borderId="5" xfId="9" applyNumberFormat="1" applyFont="1" applyFill="1" applyBorder="1" applyAlignment="1">
      <alignment vertical="center"/>
    </xf>
    <xf numFmtId="169" fontId="5" fillId="0" borderId="6" xfId="6" applyNumberFormat="1" applyFont="1" applyBorder="1" applyAlignment="1">
      <alignment vertical="center"/>
    </xf>
    <xf numFmtId="169" fontId="6" fillId="0" borderId="5" xfId="6" applyNumberFormat="1" applyFont="1" applyFill="1" applyBorder="1" applyAlignment="1">
      <alignment vertical="center"/>
    </xf>
    <xf numFmtId="169" fontId="6" fillId="0" borderId="7" xfId="6" applyNumberFormat="1" applyFont="1" applyFill="1" applyBorder="1" applyAlignment="1">
      <alignment vertical="center"/>
    </xf>
    <xf numFmtId="169" fontId="6" fillId="0" borderId="0" xfId="6" applyNumberFormat="1" applyFont="1" applyAlignment="1">
      <alignment vertical="center"/>
    </xf>
    <xf numFmtId="10" fontId="6" fillId="0" borderId="9" xfId="9" applyNumberFormat="1" applyFont="1" applyFill="1" applyBorder="1" applyAlignment="1">
      <alignment vertical="center"/>
    </xf>
    <xf numFmtId="4" fontId="1" fillId="0" borderId="5" xfId="3" applyNumberFormat="1" applyFill="1" applyBorder="1" applyAlignment="1">
      <alignment vertical="center"/>
    </xf>
    <xf numFmtId="4" fontId="1" fillId="0" borderId="7" xfId="3" applyNumberFormat="1" applyFill="1" applyBorder="1" applyAlignment="1">
      <alignment vertical="center"/>
    </xf>
    <xf numFmtId="0" fontId="8" fillId="0" borderId="10" xfId="3" applyNumberFormat="1" applyFont="1" applyFill="1" applyBorder="1" applyAlignment="1">
      <alignment vertical="center"/>
    </xf>
    <xf numFmtId="4" fontId="6" fillId="0" borderId="10" xfId="3" applyNumberFormat="1" applyFont="1" applyFill="1" applyBorder="1" applyAlignment="1">
      <alignment vertical="center"/>
    </xf>
    <xf numFmtId="169" fontId="5" fillId="0" borderId="8" xfId="6" applyNumberFormat="1" applyFont="1" applyBorder="1" applyAlignment="1">
      <alignment vertical="center"/>
    </xf>
    <xf numFmtId="197" fontId="1" fillId="0" borderId="0" xfId="3" applyNumberFormat="1"/>
    <xf numFmtId="198" fontId="0" fillId="0" borderId="0" xfId="0" applyNumberFormat="1" applyAlignment="1">
      <alignment horizontal="left"/>
    </xf>
    <xf numFmtId="49" fontId="0" fillId="0" borderId="0" xfId="0" applyNumberFormat="1" applyAlignment="1">
      <alignment horizontal="left"/>
    </xf>
    <xf numFmtId="0" fontId="0" fillId="22" borderId="24" xfId="0" applyFill="1" applyBorder="1"/>
    <xf numFmtId="0" fontId="0" fillId="0" borderId="10" xfId="0" applyBorder="1"/>
    <xf numFmtId="198" fontId="0" fillId="22" borderId="10" xfId="0" applyNumberFormat="1" applyFill="1" applyBorder="1" applyAlignment="1">
      <alignment horizontal="left"/>
    </xf>
    <xf numFmtId="43" fontId="0" fillId="0" borderId="10" xfId="1" applyFont="1" applyBorder="1"/>
    <xf numFmtId="0" fontId="0" fillId="22" borderId="10" xfId="0" applyFill="1" applyBorder="1" applyAlignment="1">
      <alignment horizontal="center"/>
    </xf>
    <xf numFmtId="0" fontId="0" fillId="0" borderId="10" xfId="0" applyBorder="1" applyAlignment="1">
      <alignment horizontal="right"/>
    </xf>
    <xf numFmtId="43" fontId="0" fillId="0" borderId="10" xfId="0" applyNumberFormat="1" applyBorder="1"/>
    <xf numFmtId="0" fontId="50" fillId="0" borderId="10" xfId="0" applyFont="1" applyBorder="1"/>
    <xf numFmtId="0" fontId="0" fillId="0" borderId="10" xfId="0" applyBorder="1" applyAlignment="1">
      <alignment horizontal="center"/>
    </xf>
    <xf numFmtId="0" fontId="0" fillId="0" borderId="10" xfId="0" applyBorder="1" applyAlignment="1">
      <alignment horizontal="center" vertical="center"/>
    </xf>
    <xf numFmtId="0" fontId="50" fillId="0" borderId="10" xfId="0" applyFont="1" applyFill="1" applyBorder="1"/>
    <xf numFmtId="198" fontId="50" fillId="0" borderId="0" xfId="0" applyNumberFormat="1" applyFont="1" applyAlignment="1">
      <alignment horizontal="left"/>
    </xf>
    <xf numFmtId="43" fontId="0" fillId="0" borderId="0" xfId="1" applyFont="1" applyBorder="1"/>
    <xf numFmtId="9" fontId="0" fillId="0" borderId="10" xfId="1" applyNumberFormat="1" applyFont="1" applyBorder="1"/>
    <xf numFmtId="9" fontId="0" fillId="0" borderId="10" xfId="2" applyFont="1" applyBorder="1"/>
    <xf numFmtId="10" fontId="1" fillId="0" borderId="0" xfId="2" applyNumberFormat="1"/>
    <xf numFmtId="10" fontId="1" fillId="0" borderId="10" xfId="2" applyNumberFormat="1" applyBorder="1"/>
    <xf numFmtId="200" fontId="1" fillId="0" borderId="10" xfId="3" applyNumberFormat="1" applyBorder="1"/>
    <xf numFmtId="168" fontId="1" fillId="0" borderId="10" xfId="3" applyNumberFormat="1" applyBorder="1"/>
    <xf numFmtId="168" fontId="50" fillId="0" borderId="10" xfId="3" applyNumberFormat="1" applyFont="1" applyBorder="1"/>
    <xf numFmtId="0" fontId="50" fillId="0" borderId="10" xfId="1" applyNumberFormat="1" applyFont="1" applyBorder="1" applyAlignment="1">
      <alignment horizontal="center" vertical="center"/>
    </xf>
    <xf numFmtId="199" fontId="0" fillId="0" borderId="10" xfId="1" applyNumberFormat="1" applyFont="1" applyBorder="1"/>
    <xf numFmtId="199" fontId="1" fillId="0" borderId="10" xfId="1" applyNumberFormat="1" applyBorder="1" applyAlignment="1"/>
    <xf numFmtId="199" fontId="0" fillId="0" borderId="10" xfId="1" applyNumberFormat="1" applyFont="1" applyFill="1" applyBorder="1"/>
    <xf numFmtId="0" fontId="48" fillId="22" borderId="26" xfId="0" applyFont="1" applyFill="1" applyBorder="1" applyAlignment="1">
      <alignment horizontal="center" wrapText="1"/>
    </xf>
    <xf numFmtId="0" fontId="1" fillId="0" borderId="0" xfId="5" applyBorder="1"/>
    <xf numFmtId="0" fontId="49" fillId="0" borderId="23" xfId="5" applyFont="1" applyBorder="1" applyAlignment="1">
      <alignment horizontal="center"/>
    </xf>
    <xf numFmtId="0" fontId="49" fillId="0" borderId="0" xfId="5" applyFont="1" applyBorder="1" applyAlignment="1">
      <alignment horizontal="center"/>
    </xf>
    <xf numFmtId="0" fontId="51" fillId="0" borderId="10" xfId="167" applyFont="1" applyFill="1" applyBorder="1" applyAlignment="1">
      <alignment horizontal="left" vertical="center"/>
    </xf>
    <xf numFmtId="10" fontId="52" fillId="0" borderId="24" xfId="2" applyNumberFormat="1" applyFont="1" applyFill="1" applyBorder="1" applyAlignment="1">
      <alignment horizontal="center" wrapText="1"/>
    </xf>
    <xf numFmtId="10" fontId="52" fillId="0" borderId="10" xfId="2" applyNumberFormat="1" applyFont="1" applyFill="1" applyBorder="1" applyAlignment="1">
      <alignment horizontal="center"/>
    </xf>
    <xf numFmtId="10" fontId="53" fillId="0" borderId="10" xfId="167" applyNumberFormat="1" applyFont="1" applyFill="1" applyBorder="1" applyAlignment="1">
      <alignment horizontal="center"/>
    </xf>
    <xf numFmtId="0" fontId="51" fillId="0" borderId="10" xfId="167" applyFont="1" applyFill="1" applyBorder="1" applyAlignment="1">
      <alignment vertical="center"/>
    </xf>
    <xf numFmtId="0" fontId="54" fillId="0" borderId="0" xfId="0" applyFont="1"/>
    <xf numFmtId="0" fontId="55" fillId="0" borderId="0" xfId="231"/>
    <xf numFmtId="0" fontId="0" fillId="0" borderId="0" xfId="0" applyBorder="1" applyAlignment="1">
      <alignment horizontal="center"/>
    </xf>
    <xf numFmtId="0" fontId="0" fillId="0" borderId="0" xfId="0" applyBorder="1" applyAlignment="1">
      <alignment horizontal="left"/>
    </xf>
    <xf numFmtId="199" fontId="0" fillId="0" borderId="0" xfId="1" applyNumberFormat="1" applyFont="1"/>
    <xf numFmtId="43" fontId="0" fillId="0" borderId="0" xfId="0" applyNumberFormat="1"/>
    <xf numFmtId="10" fontId="0" fillId="0" borderId="0" xfId="2" applyNumberFormat="1" applyFont="1"/>
    <xf numFmtId="10" fontId="0" fillId="0" borderId="0" xfId="0" applyNumberFormat="1"/>
    <xf numFmtId="2" fontId="52" fillId="0" borderId="10" xfId="167" applyNumberFormat="1" applyFont="1" applyFill="1" applyBorder="1" applyAlignment="1">
      <alignment horizontal="center"/>
    </xf>
    <xf numFmtId="10" fontId="6" fillId="0" borderId="5" xfId="2" applyNumberFormat="1" applyFont="1" applyFill="1" applyBorder="1" applyAlignment="1">
      <alignment vertical="center"/>
    </xf>
    <xf numFmtId="0" fontId="50" fillId="0" borderId="0" xfId="0" applyFont="1"/>
    <xf numFmtId="10" fontId="53" fillId="0" borderId="10" xfId="2" applyNumberFormat="1" applyFont="1" applyFill="1" applyBorder="1" applyAlignment="1">
      <alignment horizontal="center"/>
    </xf>
    <xf numFmtId="2" fontId="0" fillId="0" borderId="0" xfId="0" applyNumberFormat="1"/>
    <xf numFmtId="168" fontId="50" fillId="0" borderId="9" xfId="3" applyNumberFormat="1" applyFont="1" applyBorder="1"/>
    <xf numFmtId="0" fontId="50" fillId="0" borderId="28" xfId="1" applyNumberFormat="1" applyFont="1" applyBorder="1" applyAlignment="1">
      <alignment horizontal="center" vertical="center"/>
    </xf>
    <xf numFmtId="43" fontId="0" fillId="0" borderId="10" xfId="1" applyFont="1" applyFill="1" applyBorder="1"/>
    <xf numFmtId="194" fontId="0" fillId="0" borderId="10" xfId="1" applyNumberFormat="1" applyFont="1" applyBorder="1"/>
    <xf numFmtId="0" fontId="50" fillId="0" borderId="0" xfId="0" applyFont="1" applyFill="1" applyBorder="1"/>
    <xf numFmtId="43" fontId="56" fillId="0" borderId="10" xfId="1" applyFont="1" applyBorder="1"/>
    <xf numFmtId="199" fontId="56" fillId="0" borderId="10" xfId="1" applyNumberFormat="1" applyFont="1" applyBorder="1" applyAlignment="1"/>
    <xf numFmtId="199" fontId="56" fillId="0" borderId="10" xfId="1" applyNumberFormat="1" applyFont="1" applyBorder="1"/>
    <xf numFmtId="0" fontId="0" fillId="0" borderId="0" xfId="0" applyAlignment="1">
      <alignment horizontal="left"/>
    </xf>
    <xf numFmtId="169" fontId="5" fillId="0" borderId="10" xfId="6" applyNumberFormat="1" applyFont="1" applyBorder="1" applyAlignment="1">
      <alignment vertical="center"/>
    </xf>
    <xf numFmtId="169" fontId="6" fillId="0" borderId="10" xfId="6" applyNumberFormat="1" applyFont="1" applyFill="1" applyBorder="1" applyAlignment="1">
      <alignment vertical="center"/>
    </xf>
    <xf numFmtId="0" fontId="0" fillId="0" borderId="0" xfId="0" applyBorder="1"/>
    <xf numFmtId="10" fontId="0" fillId="0" borderId="10" xfId="0" applyNumberFormat="1" applyBorder="1"/>
    <xf numFmtId="0" fontId="33" fillId="0" borderId="0" xfId="232" applyFill="1" applyBorder="1" applyAlignment="1">
      <alignment wrapText="1"/>
    </xf>
    <xf numFmtId="14" fontId="33" fillId="0" borderId="0" xfId="232" applyNumberFormat="1" applyFill="1" applyBorder="1" applyAlignment="1">
      <alignment wrapText="1"/>
    </xf>
    <xf numFmtId="0" fontId="6" fillId="0" borderId="0" xfId="232" applyFont="1"/>
    <xf numFmtId="11" fontId="6" fillId="0" borderId="0" xfId="232" applyNumberFormat="1" applyFont="1"/>
    <xf numFmtId="203" fontId="6" fillId="0" borderId="0" xfId="232" applyNumberFormat="1" applyFont="1"/>
    <xf numFmtId="0" fontId="33" fillId="0" borderId="0" xfId="232"/>
    <xf numFmtId="14" fontId="33" fillId="0" borderId="0" xfId="232" applyNumberFormat="1"/>
    <xf numFmtId="204" fontId="6" fillId="0" borderId="0" xfId="232" applyNumberFormat="1" applyFont="1"/>
    <xf numFmtId="0" fontId="0" fillId="0" borderId="0" xfId="0" applyNumberFormat="1"/>
    <xf numFmtId="1" fontId="33" fillId="0" borderId="0" xfId="232" applyNumberFormat="1" applyFill="1" applyBorder="1" applyAlignment="1">
      <alignment wrapText="1"/>
    </xf>
    <xf numFmtId="1" fontId="0" fillId="0" borderId="10" xfId="0" applyNumberFormat="1" applyBorder="1" applyAlignment="1">
      <alignment horizontal="center" vertical="center"/>
    </xf>
    <xf numFmtId="17" fontId="6" fillId="0" borderId="0" xfId="232" applyNumberFormat="1" applyFont="1"/>
    <xf numFmtId="0" fontId="58" fillId="0" borderId="0" xfId="232" applyFont="1" applyAlignment="1">
      <alignment horizontal="center"/>
    </xf>
    <xf numFmtId="0" fontId="59" fillId="0" borderId="0" xfId="232" applyFont="1" applyFill="1" applyBorder="1" applyAlignment="1">
      <alignment horizontal="center" wrapText="1"/>
    </xf>
    <xf numFmtId="0" fontId="50" fillId="0" borderId="24" xfId="0" applyFont="1" applyBorder="1" applyAlignment="1">
      <alignment horizontal="center"/>
    </xf>
    <xf numFmtId="43" fontId="0" fillId="0" borderId="0" xfId="1" applyFont="1"/>
    <xf numFmtId="43" fontId="56" fillId="0" borderId="0" xfId="1" applyFont="1"/>
    <xf numFmtId="0" fontId="0" fillId="0" borderId="10" xfId="0" applyFont="1" applyBorder="1"/>
    <xf numFmtId="43" fontId="1" fillId="0" borderId="10" xfId="1" applyFont="1" applyBorder="1"/>
    <xf numFmtId="10" fontId="1" fillId="0" borderId="24" xfId="2" applyNumberFormat="1" applyFont="1" applyBorder="1"/>
    <xf numFmtId="194" fontId="0" fillId="0" borderId="10" xfId="2" applyNumberFormat="1" applyFont="1" applyBorder="1"/>
    <xf numFmtId="9" fontId="0" fillId="0" borderId="10" xfId="0" applyNumberFormat="1" applyBorder="1"/>
    <xf numFmtId="0" fontId="60" fillId="0" borderId="0" xfId="0" applyFont="1"/>
    <xf numFmtId="0" fontId="50" fillId="0" borderId="10" xfId="0" applyFont="1" applyBorder="1" applyAlignment="1">
      <alignment horizontal="center"/>
    </xf>
    <xf numFmtId="10" fontId="0" fillId="0" borderId="10" xfId="2" applyNumberFormat="1" applyFont="1" applyBorder="1"/>
    <xf numFmtId="43" fontId="56" fillId="0" borderId="0" xfId="1" applyFont="1" applyBorder="1"/>
    <xf numFmtId="199" fontId="56" fillId="0" borderId="0" xfId="1" applyNumberFormat="1" applyFont="1" applyBorder="1" applyAlignment="1"/>
    <xf numFmtId="205" fontId="56" fillId="0" borderId="0" xfId="1" applyNumberFormat="1" applyFont="1" applyBorder="1" applyAlignment="1"/>
    <xf numFmtId="0" fontId="55" fillId="0" borderId="0" xfId="231" applyFill="1" applyBorder="1"/>
    <xf numFmtId="3" fontId="1" fillId="0" borderId="10" xfId="3" applyNumberFormat="1" applyBorder="1" applyAlignment="1">
      <alignment horizontal="center"/>
    </xf>
    <xf numFmtId="9" fontId="1" fillId="0" borderId="10" xfId="2" applyBorder="1" applyAlignment="1">
      <alignment horizontal="center"/>
    </xf>
    <xf numFmtId="0" fontId="56" fillId="26" borderId="10" xfId="0" applyFont="1" applyFill="1" applyBorder="1" applyAlignment="1">
      <alignment horizontal="center" wrapText="1"/>
    </xf>
    <xf numFmtId="17" fontId="64" fillId="24" borderId="9" xfId="0" applyNumberFormat="1" applyFont="1" applyFill="1" applyBorder="1"/>
    <xf numFmtId="167" fontId="0" fillId="0" borderId="10" xfId="117" applyNumberFormat="1" applyFont="1" applyBorder="1" applyAlignment="1">
      <alignment horizontal="left" vertical="center"/>
    </xf>
    <xf numFmtId="17" fontId="64" fillId="24" borderId="10" xfId="0" applyNumberFormat="1" applyFont="1" applyFill="1" applyBorder="1"/>
    <xf numFmtId="167" fontId="0" fillId="0" borderId="10" xfId="117" applyNumberFormat="1" applyFont="1" applyBorder="1"/>
    <xf numFmtId="17" fontId="64" fillId="24" borderId="28" xfId="0" applyNumberFormat="1" applyFont="1" applyFill="1" applyBorder="1"/>
    <xf numFmtId="0" fontId="56" fillId="29" borderId="10" xfId="0" applyFont="1" applyFill="1" applyBorder="1" applyAlignment="1">
      <alignment horizontal="center" vertical="center" wrapText="1"/>
    </xf>
    <xf numFmtId="0" fontId="64" fillId="24" borderId="10" xfId="0" applyFont="1" applyFill="1" applyBorder="1" applyAlignment="1">
      <alignment horizontal="center" vertical="center" wrapText="1"/>
    </xf>
    <xf numFmtId="17" fontId="0" fillId="27" borderId="10" xfId="0" applyNumberFormat="1" applyFill="1" applyBorder="1"/>
    <xf numFmtId="167" fontId="0" fillId="0" borderId="10" xfId="117" applyFont="1" applyBorder="1" applyAlignment="1">
      <alignment horizontal="center" vertical="center"/>
    </xf>
    <xf numFmtId="167" fontId="64" fillId="24" borderId="10" xfId="117" applyFont="1" applyFill="1" applyBorder="1" applyAlignment="1">
      <alignment horizontal="left" vertical="center"/>
    </xf>
    <xf numFmtId="167" fontId="64" fillId="24" borderId="10" xfId="117" applyFont="1" applyFill="1" applyBorder="1" applyAlignment="1">
      <alignment horizontal="center" vertical="center"/>
    </xf>
    <xf numFmtId="168" fontId="55" fillId="0" borderId="0" xfId="231" applyNumberFormat="1"/>
    <xf numFmtId="0" fontId="64" fillId="24" borderId="9" xfId="0" applyNumberFormat="1" applyFont="1" applyFill="1" applyBorder="1"/>
    <xf numFmtId="0" fontId="0" fillId="27" borderId="10" xfId="0" applyNumberFormat="1" applyFill="1" applyBorder="1"/>
    <xf numFmtId="169" fontId="5" fillId="0" borderId="10" xfId="6" applyNumberFormat="1" applyFont="1" applyFill="1" applyBorder="1" applyAlignment="1">
      <alignment vertical="center"/>
    </xf>
    <xf numFmtId="168" fontId="0" fillId="0" borderId="10" xfId="3" applyNumberFormat="1" applyFont="1" applyBorder="1"/>
    <xf numFmtId="43" fontId="1" fillId="0" borderId="10" xfId="1" applyBorder="1"/>
    <xf numFmtId="168" fontId="50" fillId="0" borderId="10" xfId="3" applyNumberFormat="1" applyFont="1" applyBorder="1" applyAlignment="1">
      <alignment horizontal="left"/>
    </xf>
    <xf numFmtId="197" fontId="0" fillId="0" borderId="0" xfId="3" applyNumberFormat="1" applyFont="1"/>
    <xf numFmtId="168" fontId="1" fillId="0" borderId="10" xfId="3" applyNumberFormat="1" applyFont="1" applyBorder="1" applyAlignment="1">
      <alignment horizontal="left"/>
    </xf>
    <xf numFmtId="43" fontId="1" fillId="0" borderId="10" xfId="1" applyNumberFormat="1" applyBorder="1"/>
    <xf numFmtId="10" fontId="56" fillId="0" borderId="0" xfId="2" applyNumberFormat="1" applyFont="1"/>
    <xf numFmtId="0" fontId="0" fillId="0" borderId="10" xfId="0" applyFill="1" applyBorder="1"/>
    <xf numFmtId="0" fontId="0" fillId="0" borderId="0" xfId="0" applyFill="1"/>
    <xf numFmtId="9" fontId="0" fillId="0" borderId="0" xfId="2" applyFont="1"/>
    <xf numFmtId="206" fontId="1" fillId="0" borderId="10" xfId="1" applyNumberFormat="1" applyFont="1" applyFill="1" applyBorder="1" applyAlignment="1">
      <alignment horizontal="center"/>
    </xf>
    <xf numFmtId="0" fontId="50" fillId="0" borderId="0" xfId="0" applyFont="1" applyBorder="1"/>
    <xf numFmtId="0" fontId="67" fillId="0" borderId="0" xfId="234" applyFont="1" applyFill="1" applyAlignment="1">
      <alignment horizontal="center"/>
    </xf>
    <xf numFmtId="10" fontId="68" fillId="0" borderId="0" xfId="234" applyNumberFormat="1" applyFont="1" applyAlignment="1">
      <alignment horizontal="center"/>
    </xf>
    <xf numFmtId="0" fontId="69" fillId="0" borderId="0" xfId="234" applyFont="1"/>
    <xf numFmtId="0" fontId="69" fillId="0" borderId="0" xfId="234" applyFont="1" applyAlignment="1">
      <alignment horizontal="left"/>
    </xf>
    <xf numFmtId="0" fontId="70" fillId="0" borderId="0" xfId="234" applyFont="1" applyFill="1" applyBorder="1" applyAlignment="1">
      <alignment horizontal="center" wrapText="1"/>
    </xf>
    <xf numFmtId="169" fontId="68" fillId="0" borderId="0" xfId="235" applyFont="1" applyAlignment="1">
      <alignment horizontal="center"/>
    </xf>
    <xf numFmtId="4" fontId="5" fillId="0" borderId="0" xfId="234" applyNumberFormat="1" applyFont="1" applyFill="1" applyBorder="1"/>
    <xf numFmtId="10" fontId="5" fillId="0" borderId="0" xfId="236" applyNumberFormat="1" applyFont="1" applyFill="1" applyBorder="1"/>
    <xf numFmtId="9" fontId="72" fillId="0" borderId="0" xfId="236" applyFont="1" applyAlignment="1">
      <alignment horizontal="center"/>
    </xf>
    <xf numFmtId="167" fontId="69" fillId="0" borderId="0" xfId="234" applyNumberFormat="1" applyFont="1"/>
    <xf numFmtId="169" fontId="69" fillId="0" borderId="0" xfId="234" applyNumberFormat="1" applyFont="1"/>
    <xf numFmtId="0" fontId="2" fillId="0" borderId="0" xfId="234" applyFont="1" applyFill="1" applyBorder="1" applyAlignment="1">
      <alignment horizontal="right"/>
    </xf>
    <xf numFmtId="0" fontId="49" fillId="0" borderId="0" xfId="234" applyFont="1" applyBorder="1" applyAlignment="1">
      <alignment horizontal="left"/>
    </xf>
    <xf numFmtId="9" fontId="71" fillId="0" borderId="0" xfId="236" applyNumberFormat="1" applyFont="1" applyBorder="1" applyAlignment="1">
      <alignment horizontal="center"/>
    </xf>
    <xf numFmtId="0" fontId="69" fillId="0" borderId="0" xfId="234" applyFont="1" applyAlignment="1">
      <alignment horizontal="center"/>
    </xf>
    <xf numFmtId="0" fontId="49" fillId="0" borderId="0" xfId="234" applyFont="1" applyAlignment="1">
      <alignment horizontal="center"/>
    </xf>
    <xf numFmtId="3" fontId="69" fillId="0" borderId="0" xfId="234" applyNumberFormat="1" applyFont="1" applyFill="1"/>
    <xf numFmtId="0" fontId="49" fillId="0" borderId="0" xfId="234" applyFont="1"/>
    <xf numFmtId="0" fontId="69" fillId="0" borderId="0" xfId="234" applyFont="1" applyAlignment="1">
      <alignment horizontal="left" indent="1"/>
    </xf>
    <xf numFmtId="0" fontId="75" fillId="0" borderId="0" xfId="234" applyFont="1"/>
    <xf numFmtId="0" fontId="69" fillId="0" borderId="0" xfId="234" applyFont="1" applyFill="1" applyBorder="1" applyAlignment="1">
      <alignment horizontal="left" indent="1"/>
    </xf>
    <xf numFmtId="208" fontId="68" fillId="0" borderId="0" xfId="234" applyNumberFormat="1" applyFont="1"/>
    <xf numFmtId="0" fontId="68" fillId="0" borderId="0" xfId="234" applyFont="1"/>
    <xf numFmtId="0" fontId="76" fillId="0" borderId="0" xfId="234" applyFont="1" applyAlignment="1">
      <alignment horizontal="center"/>
    </xf>
    <xf numFmtId="10" fontId="68" fillId="0" borderId="0" xfId="234" applyNumberFormat="1" applyFont="1"/>
    <xf numFmtId="10" fontId="69" fillId="0" borderId="0" xfId="234" applyNumberFormat="1" applyFont="1"/>
    <xf numFmtId="0" fontId="69" fillId="0" borderId="0" xfId="234" applyFont="1" applyFill="1" applyBorder="1"/>
    <xf numFmtId="0" fontId="49" fillId="0" borderId="0" xfId="234" applyFont="1" applyFill="1" applyBorder="1" applyAlignment="1">
      <alignment horizontal="center"/>
    </xf>
    <xf numFmtId="2" fontId="68" fillId="0" borderId="0" xfId="234" applyNumberFormat="1" applyFont="1" applyFill="1" applyAlignment="1">
      <alignment horizontal="center"/>
    </xf>
    <xf numFmtId="10" fontId="68" fillId="0" borderId="0" xfId="236" applyNumberFormat="1" applyFont="1" applyFill="1" applyAlignment="1">
      <alignment horizontal="center"/>
    </xf>
    <xf numFmtId="9" fontId="69" fillId="0" borderId="0" xfId="234" applyNumberFormat="1" applyFont="1"/>
    <xf numFmtId="9" fontId="68" fillId="0" borderId="10" xfId="234" applyNumberFormat="1" applyFont="1" applyBorder="1" applyAlignment="1">
      <alignment horizontal="center"/>
    </xf>
    <xf numFmtId="169" fontId="5" fillId="0" borderId="0" xfId="6" applyNumberFormat="1" applyFont="1" applyBorder="1" applyAlignment="1">
      <alignment vertical="center"/>
    </xf>
    <xf numFmtId="169" fontId="5" fillId="0" borderId="0" xfId="6" applyNumberFormat="1" applyFont="1" applyFill="1" applyBorder="1" applyAlignment="1">
      <alignment vertical="center"/>
    </xf>
    <xf numFmtId="0" fontId="8" fillId="0" borderId="0" xfId="3" applyNumberFormat="1" applyFont="1" applyFill="1" applyBorder="1" applyAlignment="1">
      <alignment vertical="center"/>
    </xf>
    <xf numFmtId="4" fontId="6" fillId="0" borderId="0" xfId="3" applyNumberFormat="1" applyFont="1" applyFill="1" applyBorder="1" applyAlignment="1">
      <alignment vertical="center"/>
    </xf>
    <xf numFmtId="0" fontId="50" fillId="0" borderId="24" xfId="0" applyFont="1" applyBorder="1"/>
    <xf numFmtId="9" fontId="50" fillId="0" borderId="10" xfId="0" applyNumberFormat="1" applyFont="1" applyBorder="1"/>
    <xf numFmtId="0" fontId="67" fillId="23" borderId="0" xfId="234" applyFont="1" applyFill="1"/>
    <xf numFmtId="0" fontId="71" fillId="0" borderId="10" xfId="234" applyFont="1" applyBorder="1" applyAlignment="1">
      <alignment horizontal="center" vertical="center"/>
    </xf>
    <xf numFmtId="17" fontId="49" fillId="0" borderId="9" xfId="234" applyNumberFormat="1" applyFont="1" applyBorder="1" applyAlignment="1">
      <alignment horizontal="center"/>
    </xf>
    <xf numFmtId="0" fontId="49" fillId="0" borderId="9" xfId="234" applyNumberFormat="1" applyFont="1" applyBorder="1" applyAlignment="1">
      <alignment horizontal="center"/>
    </xf>
    <xf numFmtId="0" fontId="2" fillId="0" borderId="0" xfId="234" applyFont="1"/>
    <xf numFmtId="0" fontId="7" fillId="0" borderId="0" xfId="234"/>
    <xf numFmtId="0" fontId="7" fillId="0" borderId="10" xfId="234" applyBorder="1"/>
    <xf numFmtId="3" fontId="7" fillId="0" borderId="10" xfId="234" applyNumberFormat="1" applyBorder="1"/>
    <xf numFmtId="3" fontId="7" fillId="0" borderId="7" xfId="234" applyNumberFormat="1" applyFill="1" applyBorder="1"/>
    <xf numFmtId="0" fontId="5" fillId="0" borderId="10" xfId="234" applyFont="1" applyBorder="1"/>
    <xf numFmtId="3" fontId="5" fillId="0" borderId="10" xfId="234" applyNumberFormat="1" applyFont="1" applyBorder="1"/>
    <xf numFmtId="0" fontId="5" fillId="0" borderId="10" xfId="234" applyFont="1" applyBorder="1" applyAlignment="1">
      <alignment horizontal="left"/>
    </xf>
    <xf numFmtId="0" fontId="5" fillId="0" borderId="10" xfId="234" applyFont="1" applyBorder="1" applyAlignment="1">
      <alignment horizontal="center"/>
    </xf>
    <xf numFmtId="0" fontId="49" fillId="0" borderId="10" xfId="234" applyNumberFormat="1" applyFont="1" applyBorder="1" applyAlignment="1">
      <alignment horizontal="center"/>
    </xf>
    <xf numFmtId="17" fontId="5" fillId="0" borderId="10" xfId="234" applyNumberFormat="1" applyFont="1" applyBorder="1" applyAlignment="1">
      <alignment horizontal="center"/>
    </xf>
    <xf numFmtId="205" fontId="1" fillId="0" borderId="10" xfId="1" applyNumberFormat="1" applyFont="1" applyBorder="1" applyAlignment="1"/>
    <xf numFmtId="9" fontId="0" fillId="0" borderId="0" xfId="1" applyNumberFormat="1" applyFont="1" applyBorder="1"/>
    <xf numFmtId="9" fontId="56" fillId="0" borderId="0" xfId="1" applyNumberFormat="1" applyFont="1" applyBorder="1"/>
    <xf numFmtId="43" fontId="0" fillId="0" borderId="10" xfId="1" applyFont="1" applyBorder="1" applyAlignment="1">
      <alignment horizontal="center"/>
    </xf>
    <xf numFmtId="0" fontId="71" fillId="0" borderId="9" xfId="234" applyFont="1" applyBorder="1" applyAlignment="1">
      <alignment vertical="center"/>
    </xf>
    <xf numFmtId="0" fontId="50" fillId="0" borderId="10" xfId="0" applyFont="1" applyBorder="1" applyAlignment="1">
      <alignment vertical="center"/>
    </xf>
    <xf numFmtId="10" fontId="0" fillId="0" borderId="10" xfId="2" applyNumberFormat="1" applyFont="1" applyFill="1" applyBorder="1"/>
    <xf numFmtId="10" fontId="0" fillId="0" borderId="10" xfId="0" applyNumberFormat="1" applyFill="1" applyBorder="1"/>
    <xf numFmtId="194" fontId="0" fillId="0" borderId="10" xfId="2" applyNumberFormat="1" applyFont="1" applyFill="1" applyBorder="1"/>
    <xf numFmtId="0" fontId="5" fillId="0" borderId="2" xfId="3" applyNumberFormat="1" applyFont="1" applyFill="1" applyBorder="1" applyAlignment="1">
      <alignment horizontal="center" vertical="center"/>
    </xf>
    <xf numFmtId="0" fontId="5" fillId="0" borderId="1" xfId="3" applyNumberFormat="1" applyFont="1" applyFill="1" applyBorder="1" applyAlignment="1">
      <alignment horizontal="center" vertical="center"/>
    </xf>
    <xf numFmtId="168" fontId="1" fillId="0" borderId="0" xfId="3" applyNumberFormat="1" applyFill="1"/>
    <xf numFmtId="168" fontId="1" fillId="0" borderId="0" xfId="3" applyNumberFormat="1" applyFill="1" applyAlignment="1">
      <alignment vertical="center"/>
    </xf>
    <xf numFmtId="10" fontId="5" fillId="23" borderId="3" xfId="3" applyNumberFormat="1" applyFont="1" applyFill="1" applyBorder="1" applyAlignment="1">
      <alignment vertical="center"/>
    </xf>
    <xf numFmtId="10" fontId="6" fillId="23" borderId="5" xfId="9" applyNumberFormat="1" applyFont="1" applyFill="1" applyBorder="1" applyAlignment="1">
      <alignment vertical="center"/>
    </xf>
    <xf numFmtId="169" fontId="6" fillId="23" borderId="5" xfId="6" applyNumberFormat="1" applyFont="1" applyFill="1" applyBorder="1" applyAlignment="1">
      <alignment vertical="center"/>
    </xf>
    <xf numFmtId="10" fontId="6" fillId="23" borderId="5" xfId="2" applyNumberFormat="1" applyFont="1" applyFill="1" applyBorder="1" applyAlignment="1">
      <alignment vertical="center"/>
    </xf>
    <xf numFmtId="10" fontId="6" fillId="23" borderId="9" xfId="9" applyNumberFormat="1" applyFont="1" applyFill="1" applyBorder="1" applyAlignment="1">
      <alignment vertical="center"/>
    </xf>
    <xf numFmtId="170" fontId="6" fillId="23" borderId="5" xfId="3" applyNumberFormat="1" applyFont="1" applyFill="1" applyBorder="1" applyAlignment="1">
      <alignment vertical="center"/>
    </xf>
    <xf numFmtId="169" fontId="6" fillId="23" borderId="10" xfId="6" applyNumberFormat="1" applyFont="1" applyFill="1" applyBorder="1" applyAlignment="1">
      <alignment vertical="center"/>
    </xf>
    <xf numFmtId="17" fontId="5" fillId="0" borderId="1" xfId="3" applyNumberFormat="1" applyFont="1" applyFill="1" applyBorder="1" applyAlignment="1">
      <alignment horizontal="center" vertical="center"/>
    </xf>
    <xf numFmtId="169" fontId="5" fillId="23" borderId="10" xfId="6" applyNumberFormat="1" applyFont="1" applyFill="1" applyBorder="1" applyAlignment="1">
      <alignment vertical="center"/>
    </xf>
    <xf numFmtId="4" fontId="5" fillId="0" borderId="0" xfId="234" applyNumberFormat="1" applyFont="1" applyFill="1" applyBorder="1" applyAlignment="1">
      <alignment vertical="center"/>
    </xf>
    <xf numFmtId="0" fontId="50" fillId="0" borderId="0" xfId="0" applyFont="1" applyAlignment="1">
      <alignment vertical="center"/>
    </xf>
    <xf numFmtId="0" fontId="50" fillId="0" borderId="10" xfId="0" applyFont="1" applyBorder="1" applyAlignment="1">
      <alignment horizontal="center" vertical="center"/>
    </xf>
    <xf numFmtId="0" fontId="0" fillId="0" borderId="10" xfId="0" applyBorder="1" applyAlignment="1">
      <alignment vertical="center"/>
    </xf>
    <xf numFmtId="0" fontId="0" fillId="0" borderId="10" xfId="0" applyBorder="1" applyAlignment="1">
      <alignment vertical="center" wrapText="1"/>
    </xf>
    <xf numFmtId="0" fontId="0" fillId="0" borderId="0" xfId="0" applyAlignment="1">
      <alignment wrapText="1"/>
    </xf>
    <xf numFmtId="0" fontId="79" fillId="0" borderId="10" xfId="2" applyNumberFormat="1" applyFont="1" applyBorder="1" applyAlignment="1">
      <alignment horizontal="center" vertical="center" wrapText="1"/>
    </xf>
    <xf numFmtId="0" fontId="0" fillId="22" borderId="24" xfId="0" applyFill="1" applyBorder="1" applyAlignment="1">
      <alignment horizontal="center"/>
    </xf>
    <xf numFmtId="199" fontId="1" fillId="0" borderId="10" xfId="1" applyNumberFormat="1" applyFont="1" applyFill="1" applyBorder="1" applyAlignment="1"/>
    <xf numFmtId="199" fontId="1" fillId="0" borderId="10" xfId="1" applyNumberFormat="1" applyFont="1" applyBorder="1" applyAlignment="1"/>
    <xf numFmtId="0" fontId="0" fillId="0" borderId="0" xfId="0" applyAlignment="1">
      <alignment horizontal="left"/>
    </xf>
    <xf numFmtId="0" fontId="73" fillId="31" borderId="27" xfId="234" applyFont="1" applyFill="1" applyBorder="1" applyAlignment="1">
      <alignment horizontal="center"/>
    </xf>
    <xf numFmtId="0" fontId="0" fillId="0" borderId="10" xfId="0" applyBorder="1" applyAlignment="1">
      <alignment horizontal="left" vertical="center"/>
    </xf>
    <xf numFmtId="0" fontId="0" fillId="0" borderId="10" xfId="0" applyBorder="1" applyAlignment="1">
      <alignment horizontal="left" vertical="center" wrapText="1"/>
    </xf>
    <xf numFmtId="0" fontId="80" fillId="0" borderId="10" xfId="234" applyFont="1" applyBorder="1" applyAlignment="1">
      <alignment horizontal="center" vertical="center"/>
    </xf>
    <xf numFmtId="10" fontId="67" fillId="23" borderId="0" xfId="234" applyNumberFormat="1" applyFont="1" applyFill="1" applyAlignment="1">
      <alignment horizontal="center"/>
    </xf>
    <xf numFmtId="9" fontId="71" fillId="0" borderId="10" xfId="236" applyNumberFormat="1" applyFont="1" applyBorder="1" applyAlignment="1">
      <alignment horizontal="center" vertical="center"/>
    </xf>
    <xf numFmtId="0" fontId="49" fillId="0" borderId="9" xfId="234" applyFont="1" applyBorder="1" applyAlignment="1">
      <alignment horizontal="left" vertical="center"/>
    </xf>
    <xf numFmtId="0" fontId="49" fillId="0" borderId="10" xfId="234" applyFont="1" applyBorder="1" applyAlignment="1">
      <alignment horizontal="left" vertical="center"/>
    </xf>
    <xf numFmtId="207" fontId="71" fillId="0" borderId="10" xfId="236" applyNumberFormat="1" applyFont="1" applyBorder="1" applyAlignment="1">
      <alignment horizontal="center" vertical="center"/>
    </xf>
    <xf numFmtId="207" fontId="71" fillId="0" borderId="9" xfId="236" applyNumberFormat="1" applyFont="1" applyBorder="1" applyAlignment="1">
      <alignment horizontal="center" vertical="center"/>
    </xf>
    <xf numFmtId="0" fontId="49" fillId="0" borderId="10" xfId="234" applyFont="1" applyBorder="1" applyAlignment="1">
      <alignment horizontal="left" vertical="center" wrapText="1"/>
    </xf>
    <xf numFmtId="10" fontId="71" fillId="0" borderId="10" xfId="236" applyNumberFormat="1" applyFont="1" applyBorder="1" applyAlignment="1">
      <alignment horizontal="center" vertical="center"/>
    </xf>
    <xf numFmtId="0" fontId="5" fillId="0" borderId="10" xfId="234" applyFont="1" applyFill="1" applyBorder="1" applyAlignment="1">
      <alignment horizontal="center"/>
    </xf>
    <xf numFmtId="10" fontId="0" fillId="0" borderId="10" xfId="236" applyNumberFormat="1" applyFont="1" applyFill="1" applyBorder="1"/>
    <xf numFmtId="0" fontId="5" fillId="0" borderId="0" xfId="234" applyFont="1" applyBorder="1"/>
    <xf numFmtId="3" fontId="5" fillId="0" borderId="0" xfId="234" applyNumberFormat="1" applyFont="1" applyBorder="1"/>
    <xf numFmtId="10" fontId="0" fillId="0" borderId="0" xfId="236" applyNumberFormat="1" applyFont="1" applyFill="1" applyBorder="1"/>
    <xf numFmtId="4" fontId="7" fillId="0" borderId="10" xfId="234" applyNumberFormat="1" applyBorder="1"/>
    <xf numFmtId="3" fontId="7" fillId="0" borderId="0" xfId="234" applyNumberFormat="1"/>
    <xf numFmtId="9" fontId="80" fillId="0" borderId="10" xfId="236" applyNumberFormat="1" applyFont="1" applyBorder="1" applyAlignment="1">
      <alignment horizontal="center" vertical="center"/>
    </xf>
    <xf numFmtId="0" fontId="81" fillId="0" borderId="10" xfId="2" applyNumberFormat="1" applyFont="1" applyBorder="1" applyAlignment="1">
      <alignment horizontal="center" vertical="center" wrapText="1"/>
    </xf>
    <xf numFmtId="208" fontId="80" fillId="0" borderId="10" xfId="234" applyNumberFormat="1" applyFont="1" applyBorder="1" applyAlignment="1">
      <alignment horizontal="center" vertical="center"/>
    </xf>
    <xf numFmtId="0" fontId="80" fillId="0" borderId="9" xfId="234" applyFont="1" applyBorder="1" applyAlignment="1">
      <alignment horizontal="center" vertical="center"/>
    </xf>
    <xf numFmtId="17" fontId="80" fillId="0" borderId="10" xfId="234" applyNumberFormat="1" applyFont="1" applyBorder="1" applyAlignment="1">
      <alignment horizontal="center" vertical="center"/>
    </xf>
    <xf numFmtId="43" fontId="69" fillId="2" borderId="10" xfId="1" applyFont="1" applyFill="1" applyBorder="1"/>
    <xf numFmtId="209" fontId="69" fillId="2" borderId="10" xfId="235" applyNumberFormat="1" applyFont="1" applyFill="1" applyBorder="1"/>
    <xf numFmtId="0" fontId="48" fillId="30" borderId="26" xfId="234" applyFont="1" applyFill="1" applyBorder="1" applyAlignment="1">
      <alignment horizontal="center" vertical="center"/>
    </xf>
    <xf numFmtId="3" fontId="69" fillId="2" borderId="10" xfId="234" applyNumberFormat="1" applyFont="1" applyFill="1" applyBorder="1"/>
    <xf numFmtId="10" fontId="82" fillId="0" borderId="10" xfId="234" applyNumberFormat="1" applyFont="1" applyBorder="1"/>
    <xf numFmtId="10" fontId="68" fillId="0" borderId="0" xfId="234" applyNumberFormat="1" applyFont="1" applyBorder="1"/>
    <xf numFmtId="10" fontId="80" fillId="0" borderId="10" xfId="234" applyNumberFormat="1" applyFont="1" applyBorder="1" applyAlignment="1">
      <alignment horizontal="center"/>
    </xf>
    <xf numFmtId="10" fontId="82" fillId="0" borderId="10" xfId="234" applyNumberFormat="1" applyFont="1" applyBorder="1" applyAlignment="1">
      <alignment horizontal="center"/>
    </xf>
    <xf numFmtId="0" fontId="49" fillId="0" borderId="0" xfId="234" applyFont="1" applyBorder="1" applyAlignment="1">
      <alignment horizontal="left" vertical="center" wrapText="1"/>
    </xf>
    <xf numFmtId="0" fontId="69" fillId="0" borderId="0" xfId="234" applyFont="1" applyAlignment="1">
      <alignment horizontal="left" vertical="center"/>
    </xf>
    <xf numFmtId="9" fontId="68" fillId="0" borderId="0" xfId="234" applyNumberFormat="1" applyFont="1" applyBorder="1" applyAlignment="1">
      <alignment horizontal="center"/>
    </xf>
    <xf numFmtId="207" fontId="71" fillId="0" borderId="0" xfId="236" applyNumberFormat="1" applyFont="1" applyBorder="1" applyAlignment="1">
      <alignment horizontal="center" vertical="center"/>
    </xf>
    <xf numFmtId="3" fontId="83" fillId="0" borderId="10" xfId="0" applyNumberFormat="1" applyFont="1" applyFill="1" applyBorder="1" applyAlignment="1">
      <alignment vertical="center"/>
    </xf>
    <xf numFmtId="0" fontId="56" fillId="0" borderId="0" xfId="0" applyFont="1"/>
    <xf numFmtId="0" fontId="49" fillId="23" borderId="10" xfId="234" applyNumberFormat="1" applyFont="1" applyFill="1" applyBorder="1" applyAlignment="1">
      <alignment horizontal="center"/>
    </xf>
    <xf numFmtId="17" fontId="49" fillId="23" borderId="10" xfId="234" applyNumberFormat="1" applyFont="1" applyFill="1" applyBorder="1" applyAlignment="1">
      <alignment horizontal="center"/>
    </xf>
    <xf numFmtId="0" fontId="0" fillId="23" borderId="0" xfId="0" applyFill="1"/>
    <xf numFmtId="3" fontId="84" fillId="0" borderId="10" xfId="0" applyNumberFormat="1" applyFont="1" applyFill="1" applyBorder="1" applyAlignment="1">
      <alignment vertical="center"/>
    </xf>
    <xf numFmtId="0" fontId="56" fillId="23" borderId="0" xfId="0" applyFont="1" applyFill="1"/>
    <xf numFmtId="199" fontId="56" fillId="0" borderId="10" xfId="2" applyNumberFormat="1" applyFont="1" applyBorder="1"/>
    <xf numFmtId="10" fontId="49" fillId="0" borderId="0" xfId="234" applyNumberFormat="1" applyFont="1" applyAlignment="1">
      <alignment horizontal="center"/>
    </xf>
    <xf numFmtId="210" fontId="49" fillId="0" borderId="0" xfId="234" applyNumberFormat="1" applyFont="1" applyAlignment="1">
      <alignment horizontal="center"/>
    </xf>
    <xf numFmtId="194" fontId="0" fillId="0" borderId="0" xfId="2" applyNumberFormat="1" applyFont="1" applyFill="1" applyBorder="1"/>
    <xf numFmtId="10" fontId="0" fillId="0" borderId="0" xfId="2" applyNumberFormat="1" applyFont="1" applyBorder="1"/>
    <xf numFmtId="3" fontId="85" fillId="0" borderId="0" xfId="234" applyNumberFormat="1" applyFont="1" applyBorder="1"/>
    <xf numFmtId="43" fontId="0" fillId="0" borderId="0" xfId="1" applyFont="1" applyFill="1" applyBorder="1"/>
    <xf numFmtId="9" fontId="0" fillId="0" borderId="10" xfId="2" applyFont="1" applyFill="1" applyBorder="1"/>
    <xf numFmtId="199" fontId="0" fillId="0" borderId="10" xfId="0" applyNumberFormat="1" applyFill="1" applyBorder="1"/>
    <xf numFmtId="198" fontId="0" fillId="0" borderId="10" xfId="0" applyNumberFormat="1" applyBorder="1" applyAlignment="1">
      <alignment horizontal="left"/>
    </xf>
    <xf numFmtId="0" fontId="0" fillId="22" borderId="10" xfId="0" applyNumberFormat="1" applyFill="1" applyBorder="1" applyAlignment="1">
      <alignment horizontal="left"/>
    </xf>
    <xf numFmtId="43" fontId="0" fillId="22" borderId="10" xfId="1" applyFont="1" applyFill="1" applyBorder="1"/>
    <xf numFmtId="49" fontId="0" fillId="0" borderId="10" xfId="0" applyNumberFormat="1" applyBorder="1"/>
    <xf numFmtId="198" fontId="86" fillId="0" borderId="0" xfId="0" applyNumberFormat="1" applyFont="1" applyAlignment="1">
      <alignment horizontal="left" vertical="center"/>
    </xf>
    <xf numFmtId="0" fontId="87" fillId="23" borderId="0" xfId="0" applyFont="1" applyFill="1"/>
    <xf numFmtId="9" fontId="1" fillId="0" borderId="0" xfId="2" applyBorder="1" applyAlignment="1">
      <alignment horizontal="center"/>
    </xf>
    <xf numFmtId="0" fontId="0" fillId="27" borderId="10" xfId="0" applyNumberFormat="1" applyFill="1" applyBorder="1" applyAlignment="1">
      <alignment horizontal="right"/>
    </xf>
    <xf numFmtId="43" fontId="0" fillId="0" borderId="10" xfId="0" applyNumberFormat="1" applyFill="1" applyBorder="1"/>
    <xf numFmtId="43" fontId="88" fillId="0" borderId="10" xfId="0" applyNumberFormat="1" applyFont="1" applyFill="1" applyBorder="1"/>
    <xf numFmtId="199" fontId="0" fillId="0" borderId="0" xfId="0" applyNumberFormat="1"/>
    <xf numFmtId="43" fontId="0" fillId="0" borderId="10" xfId="1" applyNumberFormat="1" applyFont="1" applyFill="1" applyBorder="1"/>
    <xf numFmtId="43" fontId="56" fillId="0" borderId="10" xfId="1" applyNumberFormat="1" applyFont="1" applyFill="1" applyBorder="1"/>
    <xf numFmtId="0" fontId="50" fillId="0" borderId="0" xfId="0" applyFont="1" applyFill="1" applyBorder="1" applyAlignment="1">
      <alignment horizontal="center" wrapText="1"/>
    </xf>
    <xf numFmtId="0" fontId="0" fillId="0" borderId="10" xfId="0" applyBorder="1" applyAlignment="1">
      <alignment horizontal="center" wrapText="1"/>
    </xf>
    <xf numFmtId="211" fontId="0" fillId="0" borderId="0" xfId="0" applyNumberFormat="1"/>
    <xf numFmtId="43" fontId="56" fillId="0" borderId="0" xfId="1" applyNumberFormat="1" applyFont="1" applyFill="1" applyBorder="1"/>
    <xf numFmtId="199" fontId="0" fillId="0" borderId="0" xfId="1" applyNumberFormat="1" applyFont="1" applyFill="1" applyBorder="1"/>
    <xf numFmtId="10" fontId="56" fillId="0" borderId="10" xfId="2" applyNumberFormat="1" applyFont="1" applyBorder="1"/>
    <xf numFmtId="165" fontId="0" fillId="0" borderId="0" xfId="0" applyNumberFormat="1"/>
    <xf numFmtId="165" fontId="0" fillId="0" borderId="10" xfId="2" applyNumberFormat="1" applyFont="1" applyBorder="1"/>
    <xf numFmtId="0" fontId="90" fillId="0" borderId="0" xfId="0" applyFont="1" applyAlignment="1">
      <alignment horizontal="left"/>
    </xf>
    <xf numFmtId="0" fontId="91" fillId="0" borderId="0" xfId="0" applyFont="1" applyAlignment="1">
      <alignment horizontal="center"/>
    </xf>
    <xf numFmtId="0" fontId="69" fillId="0" borderId="0" xfId="0" applyFont="1"/>
    <xf numFmtId="0" fontId="69" fillId="0" borderId="0" xfId="0" applyFont="1" applyAlignment="1">
      <alignment horizontal="center"/>
    </xf>
    <xf numFmtId="0" fontId="48" fillId="30" borderId="26" xfId="0" applyFont="1" applyFill="1" applyBorder="1" applyAlignment="1">
      <alignment horizontal="center"/>
    </xf>
    <xf numFmtId="0" fontId="49" fillId="0" borderId="23" xfId="0" applyFont="1" applyBorder="1" applyAlignment="1">
      <alignment horizontal="center"/>
    </xf>
    <xf numFmtId="0" fontId="49" fillId="0" borderId="0" xfId="0" applyFont="1" applyAlignment="1">
      <alignment horizontal="center"/>
    </xf>
    <xf numFmtId="0" fontId="49" fillId="0" borderId="0" xfId="0" applyFont="1"/>
    <xf numFmtId="0" fontId="69" fillId="0" borderId="0" xfId="0" applyFont="1" applyAlignment="1">
      <alignment horizontal="left" indent="1"/>
    </xf>
    <xf numFmtId="208" fontId="69" fillId="0" borderId="0" xfId="0" applyNumberFormat="1" applyFont="1"/>
    <xf numFmtId="0" fontId="49" fillId="33" borderId="23" xfId="0" applyFont="1" applyFill="1" applyBorder="1"/>
    <xf numFmtId="208" fontId="49" fillId="33" borderId="23" xfId="0" applyNumberFormat="1" applyFont="1" applyFill="1" applyBorder="1"/>
    <xf numFmtId="0" fontId="49" fillId="0" borderId="0" xfId="0" applyFont="1" applyFill="1" applyBorder="1"/>
    <xf numFmtId="208" fontId="49" fillId="0" borderId="0" xfId="0" applyNumberFormat="1" applyFont="1" applyFill="1" applyBorder="1"/>
    <xf numFmtId="0" fontId="69" fillId="0" borderId="0" xfId="0" applyFont="1" applyFill="1"/>
    <xf numFmtId="38" fontId="68" fillId="34" borderId="0" xfId="0" applyNumberFormat="1" applyFont="1" applyFill="1"/>
    <xf numFmtId="38" fontId="69" fillId="34" borderId="0" xfId="0" applyNumberFormat="1" applyFont="1" applyFill="1"/>
    <xf numFmtId="0" fontId="49" fillId="33" borderId="0" xfId="0" applyFont="1" applyFill="1"/>
    <xf numFmtId="38" fontId="69" fillId="33" borderId="0" xfId="0" applyNumberFormat="1" applyFont="1" applyFill="1"/>
    <xf numFmtId="38" fontId="49" fillId="33" borderId="0" xfId="0" applyNumberFormat="1" applyFont="1" applyFill="1"/>
    <xf numFmtId="169" fontId="69" fillId="0" borderId="0" xfId="235" applyFont="1"/>
    <xf numFmtId="167" fontId="69" fillId="0" borderId="0" xfId="0" applyNumberFormat="1" applyFont="1"/>
    <xf numFmtId="17" fontId="49" fillId="0" borderId="23" xfId="0" applyNumberFormat="1" applyFont="1" applyBorder="1" applyAlignment="1">
      <alignment horizontal="center"/>
    </xf>
    <xf numFmtId="0" fontId="69" fillId="23" borderId="23" xfId="0" applyFont="1" applyFill="1" applyBorder="1"/>
    <xf numFmtId="43" fontId="69" fillId="0" borderId="0" xfId="0" applyNumberFormat="1" applyFont="1"/>
    <xf numFmtId="199" fontId="69" fillId="0" borderId="0" xfId="1" applyNumberFormat="1" applyFont="1"/>
    <xf numFmtId="0" fontId="49" fillId="23" borderId="0" xfId="234" applyNumberFormat="1" applyFont="1" applyFill="1" applyBorder="1" applyAlignment="1">
      <alignment horizontal="center"/>
    </xf>
    <xf numFmtId="17" fontId="49" fillId="23" borderId="0" xfId="234" applyNumberFormat="1" applyFont="1" applyFill="1" applyBorder="1" applyAlignment="1">
      <alignment horizontal="center"/>
    </xf>
    <xf numFmtId="0" fontId="49" fillId="23" borderId="23" xfId="0" applyFont="1" applyFill="1" applyBorder="1" applyAlignment="1">
      <alignment horizontal="center"/>
    </xf>
    <xf numFmtId="0" fontId="74" fillId="0" borderId="0" xfId="0" applyFont="1"/>
    <xf numFmtId="0" fontId="92" fillId="0" borderId="0" xfId="0" applyFont="1"/>
    <xf numFmtId="0" fontId="92" fillId="0" borderId="23" xfId="0" applyFont="1" applyBorder="1" applyAlignment="1">
      <alignment horizontal="center"/>
    </xf>
    <xf numFmtId="199" fontId="74" fillId="0" borderId="10" xfId="1" applyNumberFormat="1" applyFont="1" applyBorder="1"/>
    <xf numFmtId="199" fontId="49" fillId="0" borderId="10" xfId="1" applyNumberFormat="1" applyFont="1" applyFill="1" applyBorder="1"/>
    <xf numFmtId="0" fontId="56" fillId="0" borderId="10" xfId="0" applyNumberFormat="1" applyFont="1" applyFill="1" applyBorder="1" applyAlignment="1">
      <alignment horizontal="center"/>
    </xf>
    <xf numFmtId="10" fontId="49" fillId="23" borderId="0" xfId="2" applyNumberFormat="1" applyFont="1" applyFill="1" applyBorder="1" applyAlignment="1">
      <alignment horizontal="center"/>
    </xf>
    <xf numFmtId="0" fontId="50" fillId="0" borderId="25" xfId="0" applyFont="1" applyBorder="1" applyAlignment="1">
      <alignment vertical="center"/>
    </xf>
    <xf numFmtId="17" fontId="80" fillId="0" borderId="9" xfId="234" applyNumberFormat="1" applyFont="1" applyBorder="1" applyAlignment="1">
      <alignment horizontal="center" vertical="center"/>
    </xf>
    <xf numFmtId="1" fontId="80" fillId="0" borderId="10" xfId="1" applyNumberFormat="1" applyFont="1" applyBorder="1" applyAlignment="1">
      <alignment horizontal="center" vertical="center"/>
    </xf>
    <xf numFmtId="199" fontId="1" fillId="0" borderId="10" xfId="1" applyNumberFormat="1" applyBorder="1"/>
    <xf numFmtId="38" fontId="69" fillId="0" borderId="0" xfId="0" applyNumberFormat="1" applyFont="1"/>
    <xf numFmtId="199" fontId="49" fillId="23" borderId="10" xfId="1" applyNumberFormat="1" applyFont="1" applyFill="1" applyBorder="1"/>
    <xf numFmtId="38" fontId="69" fillId="34" borderId="41" xfId="0" applyNumberFormat="1" applyFont="1" applyFill="1" applyBorder="1"/>
    <xf numFmtId="199" fontId="69" fillId="0" borderId="0" xfId="0" applyNumberFormat="1" applyFont="1"/>
    <xf numFmtId="212" fontId="49" fillId="0" borderId="9" xfId="234" applyNumberFormat="1" applyFont="1" applyBorder="1" applyAlignment="1">
      <alignment horizontal="center"/>
    </xf>
    <xf numFmtId="212" fontId="49" fillId="0" borderId="23" xfId="0" applyNumberFormat="1" applyFont="1" applyBorder="1" applyAlignment="1">
      <alignment horizontal="center"/>
    </xf>
    <xf numFmtId="0" fontId="49" fillId="0" borderId="0" xfId="0" applyFont="1" applyFill="1" applyAlignment="1">
      <alignment horizontal="left" indent="1"/>
    </xf>
    <xf numFmtId="0" fontId="69" fillId="0" borderId="0" xfId="0" applyFont="1" applyFill="1" applyAlignment="1">
      <alignment horizontal="left" indent="2"/>
    </xf>
    <xf numFmtId="0" fontId="69" fillId="0" borderId="0" xfId="0" applyNumberFormat="1" applyFont="1" applyFill="1"/>
    <xf numFmtId="17" fontId="69" fillId="0" borderId="0" xfId="0" applyNumberFormat="1" applyFont="1" applyFill="1"/>
    <xf numFmtId="0" fontId="69" fillId="0" borderId="41" xfId="0" applyFont="1" applyFill="1" applyBorder="1"/>
    <xf numFmtId="38" fontId="69" fillId="0" borderId="0" xfId="0" applyNumberFormat="1" applyFont="1" applyFill="1"/>
    <xf numFmtId="38" fontId="69" fillId="0" borderId="41" xfId="0" applyNumberFormat="1" applyFont="1" applyFill="1" applyBorder="1"/>
    <xf numFmtId="0" fontId="69" fillId="0" borderId="23" xfId="0" applyFont="1" applyBorder="1"/>
    <xf numFmtId="10" fontId="69" fillId="0" borderId="0" xfId="0" applyNumberFormat="1" applyFont="1"/>
    <xf numFmtId="213" fontId="69" fillId="0" borderId="0" xfId="0" applyNumberFormat="1" applyFont="1"/>
    <xf numFmtId="1" fontId="69" fillId="0" borderId="0" xfId="0" applyNumberFormat="1" applyFont="1"/>
    <xf numFmtId="208" fontId="49" fillId="0" borderId="0" xfId="0" applyNumberFormat="1" applyFont="1" applyFill="1"/>
    <xf numFmtId="10" fontId="93" fillId="0" borderId="0" xfId="0" applyNumberFormat="1" applyFont="1"/>
    <xf numFmtId="208" fontId="69" fillId="0" borderId="0" xfId="0" applyNumberFormat="1" applyFont="1" applyFill="1"/>
    <xf numFmtId="0" fontId="49" fillId="0" borderId="0" xfId="0" applyFont="1" applyFill="1"/>
    <xf numFmtId="208" fontId="0" fillId="0" borderId="0" xfId="0" applyNumberFormat="1"/>
    <xf numFmtId="0" fontId="49" fillId="0" borderId="42" xfId="0" applyFont="1" applyFill="1" applyBorder="1"/>
    <xf numFmtId="208" fontId="49" fillId="0" borderId="42" xfId="0" applyNumberFormat="1" applyFont="1" applyFill="1" applyBorder="1"/>
    <xf numFmtId="0" fontId="56" fillId="0" borderId="10" xfId="0" applyFont="1" applyBorder="1" applyAlignment="1">
      <alignment horizontal="center"/>
    </xf>
    <xf numFmtId="0" fontId="94" fillId="0" borderId="0" xfId="0" applyFont="1" applyFill="1" applyBorder="1"/>
    <xf numFmtId="0" fontId="49" fillId="0" borderId="23" xfId="0" applyFont="1" applyBorder="1"/>
    <xf numFmtId="38" fontId="49" fillId="0" borderId="23" xfId="0" applyNumberFormat="1" applyFont="1" applyBorder="1"/>
    <xf numFmtId="0" fontId="49" fillId="0" borderId="0" xfId="0" applyFont="1" applyBorder="1"/>
    <xf numFmtId="38" fontId="49" fillId="0" borderId="0" xfId="0" applyNumberFormat="1" applyFont="1" applyBorder="1"/>
    <xf numFmtId="0" fontId="69" fillId="0" borderId="7" xfId="237" applyFont="1" applyBorder="1"/>
    <xf numFmtId="0" fontId="69" fillId="0" borderId="0" xfId="237" applyFont="1" applyBorder="1"/>
    <xf numFmtId="0" fontId="48" fillId="30" borderId="23" xfId="0" applyFont="1" applyFill="1" applyBorder="1" applyAlignment="1">
      <alignment horizontal="left"/>
    </xf>
    <xf numFmtId="0" fontId="48" fillId="30" borderId="23" xfId="0" applyFont="1" applyFill="1" applyBorder="1"/>
    <xf numFmtId="208" fontId="48" fillId="30" borderId="23" xfId="0" applyNumberFormat="1" applyFont="1" applyFill="1" applyBorder="1"/>
    <xf numFmtId="0" fontId="75" fillId="0" borderId="0" xfId="0" applyFont="1"/>
    <xf numFmtId="0" fontId="69" fillId="0" borderId="7" xfId="237" applyFont="1" applyFill="1" applyBorder="1"/>
    <xf numFmtId="0" fontId="69" fillId="0" borderId="0" xfId="237" applyFont="1" applyFill="1" applyBorder="1"/>
    <xf numFmtId="0" fontId="49" fillId="0" borderId="0" xfId="0" applyFont="1" applyProtection="1"/>
    <xf numFmtId="0" fontId="49" fillId="2" borderId="10" xfId="0" applyFont="1" applyFill="1" applyBorder="1" applyAlignment="1" applyProtection="1">
      <alignment horizontal="center"/>
    </xf>
    <xf numFmtId="0" fontId="69" fillId="0" borderId="0" xfId="0" applyFont="1" applyProtection="1"/>
    <xf numFmtId="38" fontId="49" fillId="0" borderId="0" xfId="0" applyNumberFormat="1" applyFont="1"/>
    <xf numFmtId="0" fontId="48" fillId="35" borderId="0" xfId="0" applyFont="1" applyFill="1"/>
    <xf numFmtId="214" fontId="48" fillId="35" borderId="0" xfId="235" applyNumberFormat="1" applyFont="1" applyFill="1"/>
    <xf numFmtId="3" fontId="69" fillId="0" borderId="0" xfId="0" applyNumberFormat="1" applyFont="1"/>
    <xf numFmtId="0" fontId="49" fillId="36" borderId="23" xfId="0" applyFont="1" applyFill="1" applyBorder="1" applyProtection="1"/>
    <xf numFmtId="0" fontId="49" fillId="0" borderId="7" xfId="237" applyFont="1" applyBorder="1"/>
    <xf numFmtId="3" fontId="49" fillId="0" borderId="0" xfId="0" applyNumberFormat="1" applyFont="1"/>
    <xf numFmtId="4" fontId="48" fillId="35" borderId="0" xfId="235" applyNumberFormat="1" applyFont="1" applyFill="1"/>
    <xf numFmtId="0" fontId="69" fillId="0" borderId="0" xfId="0" applyFont="1" applyFill="1" applyBorder="1"/>
    <xf numFmtId="0" fontId="68" fillId="0" borderId="0" xfId="0" applyFont="1"/>
    <xf numFmtId="0" fontId="49" fillId="0" borderId="0" xfId="0" applyFont="1" applyAlignment="1">
      <alignment horizontal="left" indent="1"/>
    </xf>
    <xf numFmtId="38" fontId="68" fillId="0" borderId="0" xfId="0" applyNumberFormat="1" applyFont="1" applyFill="1"/>
    <xf numFmtId="38" fontId="68" fillId="0" borderId="0" xfId="0" applyNumberFormat="1" applyFont="1"/>
    <xf numFmtId="10" fontId="49" fillId="0" borderId="0" xfId="2" applyNumberFormat="1" applyFont="1" applyFill="1" applyBorder="1"/>
    <xf numFmtId="0" fontId="56" fillId="0" borderId="10" xfId="0" applyFont="1" applyFill="1" applyBorder="1" applyAlignment="1">
      <alignment horizontal="center"/>
    </xf>
    <xf numFmtId="0" fontId="69" fillId="0" borderId="23" xfId="0" applyFont="1" applyFill="1" applyBorder="1"/>
    <xf numFmtId="212" fontId="49" fillId="0" borderId="23" xfId="0" applyNumberFormat="1" applyFont="1" applyFill="1" applyBorder="1" applyAlignment="1">
      <alignment horizontal="center"/>
    </xf>
    <xf numFmtId="17" fontId="49" fillId="0" borderId="23" xfId="0" applyNumberFormat="1" applyFont="1" applyFill="1" applyBorder="1" applyAlignment="1">
      <alignment horizontal="center"/>
    </xf>
    <xf numFmtId="0" fontId="49" fillId="0" borderId="23" xfId="0" applyFont="1" applyFill="1" applyBorder="1" applyAlignment="1">
      <alignment horizontal="center"/>
    </xf>
    <xf numFmtId="0" fontId="56" fillId="0" borderId="0" xfId="0" applyNumberFormat="1" applyFont="1" applyFill="1" applyBorder="1" applyAlignment="1">
      <alignment horizontal="center"/>
    </xf>
    <xf numFmtId="17" fontId="69" fillId="0" borderId="0" xfId="0" applyNumberFormat="1" applyFont="1"/>
    <xf numFmtId="38" fontId="95" fillId="0" borderId="0" xfId="0" applyNumberFormat="1" applyFont="1" applyFill="1"/>
    <xf numFmtId="38" fontId="69" fillId="0" borderId="10" xfId="0" applyNumberFormat="1" applyFont="1" applyBorder="1"/>
    <xf numFmtId="38" fontId="82" fillId="34" borderId="0" xfId="0" applyNumberFormat="1" applyFont="1" applyFill="1"/>
    <xf numFmtId="10" fontId="69" fillId="0" borderId="0" xfId="2" applyNumberFormat="1" applyFont="1"/>
    <xf numFmtId="0" fontId="49" fillId="0" borderId="10" xfId="0" applyFont="1" applyFill="1" applyBorder="1" applyAlignment="1"/>
    <xf numFmtId="0" fontId="96" fillId="0" borderId="0" xfId="0" applyFont="1" applyAlignment="1">
      <alignment horizontal="center"/>
    </xf>
    <xf numFmtId="0" fontId="69" fillId="0" borderId="0" xfId="0" applyFont="1" applyFill="1" applyAlignment="1">
      <alignment horizontal="left"/>
    </xf>
    <xf numFmtId="9" fontId="69" fillId="0" borderId="0" xfId="236" applyFont="1"/>
    <xf numFmtId="9" fontId="69" fillId="0" borderId="0" xfId="0" applyNumberFormat="1" applyFont="1"/>
    <xf numFmtId="208" fontId="49" fillId="0" borderId="0" xfId="0" applyNumberFormat="1" applyFont="1"/>
    <xf numFmtId="0" fontId="97" fillId="0" borderId="0" xfId="0" applyFont="1" applyAlignment="1">
      <alignment horizontal="center"/>
    </xf>
    <xf numFmtId="38" fontId="49" fillId="0" borderId="0" xfId="0" applyNumberFormat="1" applyFont="1" applyAlignment="1">
      <alignment horizontal="center"/>
    </xf>
    <xf numFmtId="0" fontId="49" fillId="0" borderId="23" xfId="0" applyFont="1" applyFill="1" applyBorder="1"/>
    <xf numFmtId="38" fontId="49" fillId="0" borderId="23" xfId="0" applyNumberFormat="1" applyFont="1" applyFill="1" applyBorder="1"/>
    <xf numFmtId="0" fontId="49" fillId="0" borderId="0" xfId="0" applyFont="1" applyFill="1" applyAlignment="1">
      <alignment horizontal="center"/>
    </xf>
    <xf numFmtId="0" fontId="49" fillId="0" borderId="0" xfId="0" applyFont="1" applyFill="1" applyBorder="1" applyAlignment="1">
      <alignment horizontal="center"/>
    </xf>
    <xf numFmtId="0" fontId="48" fillId="35" borderId="23" xfId="0" applyFont="1" applyFill="1" applyBorder="1"/>
    <xf numFmtId="214" fontId="48" fillId="35" borderId="23" xfId="235" applyNumberFormat="1" applyFont="1" applyFill="1" applyBorder="1"/>
    <xf numFmtId="209" fontId="69" fillId="0" borderId="0" xfId="235" applyNumberFormat="1" applyFont="1"/>
    <xf numFmtId="169" fontId="69" fillId="0" borderId="0" xfId="235" applyNumberFormat="1" applyFont="1"/>
    <xf numFmtId="199" fontId="49" fillId="0" borderId="10" xfId="1" applyNumberFormat="1" applyFont="1" applyBorder="1"/>
    <xf numFmtId="0" fontId="98" fillId="0" borderId="0" xfId="0" applyFont="1" applyAlignment="1">
      <alignment horizontal="center"/>
    </xf>
    <xf numFmtId="0" fontId="69" fillId="2" borderId="0" xfId="0" applyFont="1" applyFill="1"/>
    <xf numFmtId="208" fontId="69" fillId="2" borderId="0" xfId="0" applyNumberFormat="1" applyFont="1" applyFill="1"/>
    <xf numFmtId="169" fontId="48" fillId="35" borderId="0" xfId="235" applyNumberFormat="1" applyFont="1" applyFill="1"/>
    <xf numFmtId="3" fontId="48" fillId="30" borderId="23" xfId="0" applyNumberFormat="1" applyFont="1" applyFill="1" applyBorder="1" applyProtection="1"/>
    <xf numFmtId="3" fontId="69" fillId="0" borderId="0" xfId="0" applyNumberFormat="1" applyFont="1" applyFill="1" applyBorder="1" applyProtection="1"/>
    <xf numFmtId="209" fontId="69" fillId="0" borderId="0" xfId="0" applyNumberFormat="1" applyFont="1"/>
    <xf numFmtId="209" fontId="48" fillId="35" borderId="0" xfId="235" applyNumberFormat="1" applyFont="1" applyFill="1"/>
    <xf numFmtId="208" fontId="69" fillId="0" borderId="0" xfId="0" applyNumberFormat="1" applyFont="1" applyAlignment="1">
      <alignment horizontal="center"/>
    </xf>
    <xf numFmtId="213" fontId="49" fillId="0" borderId="23" xfId="0" applyNumberFormat="1" applyFont="1" applyBorder="1"/>
    <xf numFmtId="213" fontId="48" fillId="30" borderId="23" xfId="0" applyNumberFormat="1" applyFont="1" applyFill="1" applyBorder="1"/>
    <xf numFmtId="213" fontId="69" fillId="0" borderId="0" xfId="0" applyNumberFormat="1" applyFont="1" applyAlignment="1">
      <alignment horizontal="center"/>
    </xf>
    <xf numFmtId="213" fontId="48" fillId="30" borderId="23" xfId="0" applyNumberFormat="1" applyFont="1" applyFill="1" applyBorder="1" applyProtection="1"/>
    <xf numFmtId="213" fontId="69" fillId="0" borderId="0" xfId="235" applyNumberFormat="1" applyFont="1"/>
    <xf numFmtId="208" fontId="49" fillId="0" borderId="23" xfId="0" applyNumberFormat="1" applyFont="1" applyBorder="1"/>
    <xf numFmtId="208" fontId="49" fillId="0" borderId="0" xfId="0" applyNumberFormat="1" applyFont="1" applyBorder="1"/>
    <xf numFmtId="208" fontId="49" fillId="0" borderId="23" xfId="0" applyNumberFormat="1" applyFont="1" applyFill="1" applyBorder="1"/>
    <xf numFmtId="208" fontId="69" fillId="0" borderId="0" xfId="1" applyNumberFormat="1" applyFont="1" applyFill="1"/>
    <xf numFmtId="38" fontId="48" fillId="30" borderId="23" xfId="0" applyNumberFormat="1" applyFont="1" applyFill="1" applyBorder="1"/>
    <xf numFmtId="10" fontId="7" fillId="0" borderId="0" xfId="234" applyNumberFormat="1"/>
    <xf numFmtId="0" fontId="5" fillId="0" borderId="10" xfId="234" applyNumberFormat="1" applyFont="1" applyBorder="1" applyAlignment="1">
      <alignment horizontal="center"/>
    </xf>
    <xf numFmtId="43" fontId="48" fillId="35" borderId="0" xfId="235" applyNumberFormat="1" applyFont="1" applyFill="1"/>
    <xf numFmtId="38" fontId="99" fillId="0" borderId="10" xfId="0" applyNumberFormat="1" applyFont="1" applyBorder="1"/>
    <xf numFmtId="3" fontId="5" fillId="0" borderId="10" xfId="234" applyNumberFormat="1" applyFont="1" applyFill="1" applyBorder="1"/>
    <xf numFmtId="9" fontId="7" fillId="0" borderId="10" xfId="2" applyFont="1" applyFill="1" applyBorder="1"/>
    <xf numFmtId="208" fontId="69" fillId="0" borderId="0" xfId="2" applyNumberFormat="1" applyFont="1"/>
    <xf numFmtId="208" fontId="48" fillId="30" borderId="23" xfId="0" applyNumberFormat="1" applyFont="1" applyFill="1" applyBorder="1" applyProtection="1"/>
    <xf numFmtId="208" fontId="69" fillId="0" borderId="0" xfId="0" applyNumberFormat="1" applyFont="1" applyFill="1" applyBorder="1" applyProtection="1"/>
    <xf numFmtId="199" fontId="48" fillId="35" borderId="0" xfId="1" applyNumberFormat="1" applyFont="1" applyFill="1"/>
    <xf numFmtId="213" fontId="69" fillId="0" borderId="0" xfId="0" applyNumberFormat="1" applyFont="1" applyFill="1"/>
    <xf numFmtId="169" fontId="69" fillId="0" borderId="0" xfId="235" applyFont="1" applyFill="1"/>
    <xf numFmtId="0" fontId="49" fillId="0" borderId="26" xfId="0" applyFont="1" applyFill="1" applyBorder="1" applyAlignment="1">
      <alignment horizontal="center"/>
    </xf>
    <xf numFmtId="0" fontId="0" fillId="0" borderId="10" xfId="0" applyBorder="1" applyAlignment="1">
      <alignment horizontal="center" vertical="center" wrapText="1"/>
    </xf>
    <xf numFmtId="0" fontId="50" fillId="0" borderId="10" xfId="0" applyFont="1" applyBorder="1" applyAlignment="1">
      <alignment horizontal="center"/>
    </xf>
    <xf numFmtId="211" fontId="50" fillId="0" borderId="10" xfId="0" applyNumberFormat="1" applyFont="1" applyBorder="1"/>
    <xf numFmtId="211" fontId="0" fillId="0" borderId="10" xfId="117" applyNumberFormat="1" applyFont="1" applyBorder="1" applyAlignment="1">
      <alignment vertical="center"/>
    </xf>
    <xf numFmtId="199" fontId="0" fillId="0" borderId="10" xfId="0" applyNumberFormat="1" applyBorder="1" applyAlignment="1">
      <alignment vertical="center"/>
    </xf>
    <xf numFmtId="211" fontId="0" fillId="0" borderId="10" xfId="0" applyNumberFormat="1" applyBorder="1" applyAlignment="1">
      <alignment vertical="center"/>
    </xf>
    <xf numFmtId="211" fontId="0" fillId="0" borderId="24" xfId="117" applyNumberFormat="1" applyFont="1" applyBorder="1" applyAlignment="1">
      <alignment vertical="center"/>
    </xf>
    <xf numFmtId="211" fontId="0" fillId="0" borderId="0" xfId="0" applyNumberFormat="1" applyAlignment="1">
      <alignment vertical="center"/>
    </xf>
    <xf numFmtId="0" fontId="0" fillId="0" borderId="0" xfId="0" applyAlignment="1">
      <alignment vertical="center"/>
    </xf>
    <xf numFmtId="0" fontId="69" fillId="0" borderId="42" xfId="0" applyFont="1" applyFill="1" applyBorder="1"/>
    <xf numFmtId="10" fontId="69" fillId="0" borderId="42" xfId="0" applyNumberFormat="1" applyFont="1" applyFill="1" applyBorder="1"/>
    <xf numFmtId="0" fontId="48" fillId="30" borderId="43" xfId="0" applyFont="1" applyFill="1" applyBorder="1" applyAlignment="1">
      <alignment horizontal="center"/>
    </xf>
    <xf numFmtId="0" fontId="69" fillId="0" borderId="10" xfId="0" applyFont="1" applyBorder="1"/>
    <xf numFmtId="9" fontId="69" fillId="0" borderId="10" xfId="0" applyNumberFormat="1" applyFont="1" applyBorder="1"/>
    <xf numFmtId="0" fontId="69" fillId="0" borderId="10" xfId="0" applyFont="1" applyFill="1" applyBorder="1"/>
    <xf numFmtId="0" fontId="49" fillId="0" borderId="10" xfId="0" applyFont="1" applyBorder="1"/>
    <xf numFmtId="208" fontId="49" fillId="0" borderId="10" xfId="0" applyNumberFormat="1" applyFont="1" applyBorder="1"/>
    <xf numFmtId="208" fontId="69" fillId="0" borderId="10" xfId="0" applyNumberFormat="1" applyFont="1" applyFill="1" applyBorder="1"/>
    <xf numFmtId="208" fontId="49" fillId="0" borderId="10" xfId="0" applyNumberFormat="1" applyFont="1" applyFill="1" applyBorder="1"/>
    <xf numFmtId="208" fontId="69" fillId="34" borderId="10" xfId="0" applyNumberFormat="1" applyFont="1" applyFill="1" applyBorder="1"/>
    <xf numFmtId="208" fontId="69" fillId="0" borderId="10" xfId="0" applyNumberFormat="1" applyFont="1" applyBorder="1"/>
    <xf numFmtId="2" fontId="0" fillId="0" borderId="10" xfId="0" applyNumberFormat="1" applyBorder="1"/>
    <xf numFmtId="199" fontId="0" fillId="0" borderId="10" xfId="0" applyNumberFormat="1" applyBorder="1"/>
    <xf numFmtId="10" fontId="50" fillId="0" borderId="10" xfId="2" applyNumberFormat="1" applyFont="1" applyBorder="1"/>
    <xf numFmtId="199" fontId="50" fillId="0" borderId="10" xfId="1" applyNumberFormat="1" applyFont="1" applyBorder="1"/>
    <xf numFmtId="0" fontId="50" fillId="0" borderId="0" xfId="0" applyFont="1" applyAlignment="1">
      <alignment horizontal="center"/>
    </xf>
    <xf numFmtId="0" fontId="50" fillId="0" borderId="10" xfId="0" applyFont="1" applyBorder="1" applyAlignment="1">
      <alignment horizontal="center" vertical="center" wrapText="1"/>
    </xf>
    <xf numFmtId="0" fontId="0" fillId="0" borderId="25" xfId="0" applyFill="1" applyBorder="1"/>
    <xf numFmtId="10" fontId="0" fillId="0" borderId="28" xfId="2" applyNumberFormat="1" applyFont="1" applyBorder="1"/>
    <xf numFmtId="10" fontId="101" fillId="37" borderId="27" xfId="2" applyNumberFormat="1" applyFont="1" applyFill="1" applyBorder="1"/>
    <xf numFmtId="201" fontId="0" fillId="0" borderId="10" xfId="1" applyNumberFormat="1" applyFont="1" applyBorder="1"/>
    <xf numFmtId="0" fontId="102" fillId="0" borderId="0" xfId="0" applyFont="1" applyAlignment="1">
      <alignment horizontal="center"/>
    </xf>
    <xf numFmtId="209" fontId="95" fillId="0" borderId="0" xfId="235" applyNumberFormat="1" applyFont="1"/>
    <xf numFmtId="209" fontId="49" fillId="0" borderId="23" xfId="235" applyNumberFormat="1" applyFont="1" applyBorder="1"/>
    <xf numFmtId="0" fontId="49" fillId="30" borderId="23" xfId="0" applyFont="1" applyFill="1" applyBorder="1" applyAlignment="1">
      <alignment horizontal="left"/>
    </xf>
    <xf numFmtId="208" fontId="49" fillId="30" borderId="23" xfId="0" applyNumberFormat="1" applyFont="1" applyFill="1" applyBorder="1"/>
    <xf numFmtId="202" fontId="69" fillId="0" borderId="0" xfId="0" applyNumberFormat="1" applyFont="1"/>
    <xf numFmtId="0" fontId="49" fillId="30" borderId="44" xfId="0" applyFont="1" applyFill="1" applyBorder="1" applyAlignment="1">
      <alignment horizontal="left"/>
    </xf>
    <xf numFmtId="208" fontId="49" fillId="30" borderId="44" xfId="0" applyNumberFormat="1" applyFont="1" applyFill="1" applyBorder="1"/>
    <xf numFmtId="0" fontId="49" fillId="30" borderId="0" xfId="0" applyFont="1" applyFill="1" applyBorder="1" applyAlignment="1">
      <alignment horizontal="left"/>
    </xf>
    <xf numFmtId="208" fontId="49" fillId="30" borderId="0" xfId="0" applyNumberFormat="1" applyFont="1" applyFill="1" applyBorder="1"/>
    <xf numFmtId="169" fontId="49" fillId="30" borderId="0" xfId="235" applyFont="1" applyFill="1" applyBorder="1"/>
    <xf numFmtId="209" fontId="49" fillId="30" borderId="0" xfId="235" applyNumberFormat="1" applyFont="1" applyFill="1" applyBorder="1"/>
    <xf numFmtId="0" fontId="49" fillId="30" borderId="45" xfId="0" applyFont="1" applyFill="1" applyBorder="1" applyAlignment="1">
      <alignment horizontal="left"/>
    </xf>
    <xf numFmtId="208" fontId="49" fillId="30" borderId="45" xfId="0" applyNumberFormat="1" applyFont="1" applyFill="1" applyBorder="1"/>
    <xf numFmtId="38" fontId="49" fillId="30" borderId="45" xfId="235" applyNumberFormat="1" applyFont="1" applyFill="1" applyBorder="1"/>
    <xf numFmtId="0" fontId="49" fillId="36" borderId="46" xfId="0" applyFont="1" applyFill="1" applyBorder="1"/>
    <xf numFmtId="0" fontId="69" fillId="36" borderId="47" xfId="0" applyFont="1" applyFill="1" applyBorder="1"/>
    <xf numFmtId="208" fontId="49" fillId="36" borderId="48" xfId="0" applyNumberFormat="1" applyFont="1" applyFill="1" applyBorder="1"/>
    <xf numFmtId="0" fontId="69" fillId="36" borderId="49" xfId="0" applyFont="1" applyFill="1" applyBorder="1"/>
    <xf numFmtId="0" fontId="69" fillId="36" borderId="0" xfId="0" applyFont="1" applyFill="1" applyBorder="1"/>
    <xf numFmtId="208" fontId="49" fillId="36" borderId="50" xfId="0" applyNumberFormat="1" applyFont="1" applyFill="1" applyBorder="1"/>
    <xf numFmtId="9" fontId="69" fillId="0" borderId="0" xfId="236" applyNumberFormat="1" applyFont="1"/>
    <xf numFmtId="208" fontId="49" fillId="36" borderId="50" xfId="235" applyNumberFormat="1" applyFont="1" applyFill="1" applyBorder="1"/>
    <xf numFmtId="10" fontId="69" fillId="0" borderId="0" xfId="236" applyNumberFormat="1" applyFont="1"/>
    <xf numFmtId="0" fontId="69" fillId="36" borderId="51" xfId="0" applyFont="1" applyFill="1" applyBorder="1"/>
    <xf numFmtId="0" fontId="69" fillId="36" borderId="41" xfId="0" applyFont="1" applyFill="1" applyBorder="1"/>
    <xf numFmtId="208" fontId="69" fillId="0" borderId="0" xfId="0" applyNumberFormat="1" applyFont="1" applyFill="1" applyBorder="1"/>
    <xf numFmtId="212" fontId="49" fillId="0" borderId="0" xfId="0" applyNumberFormat="1" applyFont="1" applyFill="1" applyBorder="1" applyAlignment="1">
      <alignment horizontal="center"/>
    </xf>
    <xf numFmtId="209" fontId="69" fillId="0" borderId="0" xfId="235" applyNumberFormat="1" applyFont="1" applyFill="1" applyBorder="1"/>
    <xf numFmtId="209" fontId="95" fillId="0" borderId="0" xfId="235" applyNumberFormat="1" applyFont="1" applyFill="1" applyBorder="1"/>
    <xf numFmtId="209" fontId="49" fillId="0" borderId="0" xfId="235" applyNumberFormat="1" applyFont="1" applyFill="1" applyBorder="1"/>
    <xf numFmtId="202" fontId="69" fillId="0" borderId="0" xfId="0" applyNumberFormat="1" applyFont="1" applyFill="1" applyBorder="1"/>
    <xf numFmtId="0" fontId="69" fillId="0" borderId="0" xfId="0" applyFont="1" applyFill="1" applyBorder="1" applyAlignment="1">
      <alignment horizontal="center"/>
    </xf>
    <xf numFmtId="169" fontId="49" fillId="0" borderId="0" xfId="235" applyFont="1" applyFill="1" applyBorder="1"/>
    <xf numFmtId="38" fontId="49" fillId="0" borderId="0" xfId="235" applyNumberFormat="1" applyFont="1" applyFill="1" applyBorder="1"/>
    <xf numFmtId="10" fontId="49" fillId="0" borderId="0" xfId="0" applyNumberFormat="1" applyFont="1" applyFill="1" applyBorder="1"/>
    <xf numFmtId="164" fontId="69" fillId="0" borderId="0" xfId="0" applyNumberFormat="1" applyFont="1" applyFill="1" applyBorder="1"/>
    <xf numFmtId="209" fontId="69" fillId="0" borderId="0" xfId="0" applyNumberFormat="1" applyFont="1" applyFill="1" applyBorder="1"/>
    <xf numFmtId="38" fontId="49" fillId="0" borderId="0" xfId="0" applyNumberFormat="1" applyFont="1" applyFill="1" applyBorder="1"/>
    <xf numFmtId="15" fontId="49" fillId="0" borderId="23" xfId="0" applyNumberFormat="1" applyFont="1" applyBorder="1" applyAlignment="1">
      <alignment horizontal="center"/>
    </xf>
    <xf numFmtId="0" fontId="49" fillId="0" borderId="45" xfId="0" applyFont="1" applyBorder="1"/>
    <xf numFmtId="0" fontId="49" fillId="0" borderId="44" xfId="0" applyFont="1" applyBorder="1"/>
    <xf numFmtId="209" fontId="49" fillId="0" borderId="44" xfId="235" applyNumberFormat="1" applyFont="1" applyBorder="1"/>
    <xf numFmtId="10" fontId="49" fillId="0" borderId="45" xfId="2" applyNumberFormat="1" applyFont="1" applyBorder="1"/>
    <xf numFmtId="17" fontId="67" fillId="23" borderId="0" xfId="234" applyNumberFormat="1" applyFont="1" applyFill="1"/>
    <xf numFmtId="15" fontId="71" fillId="0" borderId="10" xfId="236" applyNumberFormat="1" applyFont="1" applyBorder="1" applyAlignment="1">
      <alignment horizontal="center" vertical="center"/>
    </xf>
    <xf numFmtId="202" fontId="103" fillId="0" borderId="0" xfId="0" applyNumberFormat="1" applyFont="1" applyFill="1" applyBorder="1"/>
    <xf numFmtId="202" fontId="103" fillId="0" borderId="0" xfId="0" applyNumberFormat="1" applyFont="1"/>
    <xf numFmtId="213" fontId="49" fillId="36" borderId="52" xfId="235" applyNumberFormat="1" applyFont="1" applyFill="1" applyBorder="1"/>
    <xf numFmtId="43" fontId="69" fillId="0" borderId="0" xfId="1" applyFont="1"/>
    <xf numFmtId="206" fontId="0" fillId="0" borderId="0" xfId="1" applyNumberFormat="1" applyFont="1"/>
    <xf numFmtId="0" fontId="0" fillId="0" borderId="0" xfId="0"/>
    <xf numFmtId="198" fontId="0" fillId="69" borderId="10" xfId="0" applyNumberFormat="1" applyFill="1" applyBorder="1" applyAlignment="1">
      <alignment horizontal="left"/>
    </xf>
    <xf numFmtId="43" fontId="0" fillId="69" borderId="10" xfId="1" applyFont="1" applyFill="1" applyBorder="1"/>
    <xf numFmtId="0" fontId="0" fillId="69" borderId="0" xfId="0" applyFill="1"/>
    <xf numFmtId="0" fontId="0" fillId="0" borderId="0" xfId="0" applyNumberFormat="1" applyAlignment="1">
      <alignment horizontal="left"/>
    </xf>
    <xf numFmtId="194" fontId="0" fillId="0" borderId="10" xfId="0" applyNumberFormat="1" applyBorder="1"/>
    <xf numFmtId="206" fontId="1" fillId="0" borderId="10" xfId="1" applyNumberFormat="1" applyBorder="1"/>
    <xf numFmtId="0" fontId="51" fillId="0" borderId="0" xfId="167" applyFont="1" applyFill="1" applyBorder="1" applyAlignment="1">
      <alignment vertical="center"/>
    </xf>
    <xf numFmtId="10" fontId="53" fillId="0" borderId="0" xfId="167" applyNumberFormat="1" applyFont="1" applyFill="1" applyBorder="1" applyAlignment="1">
      <alignment horizontal="center"/>
    </xf>
    <xf numFmtId="9" fontId="0" fillId="0" borderId="0" xfId="0" applyNumberFormat="1"/>
    <xf numFmtId="14" fontId="118" fillId="70" borderId="64" xfId="0" applyNumberFormat="1" applyFont="1" applyFill="1" applyBorder="1" applyAlignment="1">
      <alignment horizontal="center" wrapText="1"/>
    </xf>
    <xf numFmtId="4" fontId="118" fillId="70" borderId="64" xfId="0" applyNumberFormat="1" applyFont="1" applyFill="1" applyBorder="1" applyAlignment="1">
      <alignment horizontal="center" wrapText="1"/>
    </xf>
    <xf numFmtId="215" fontId="118" fillId="70" borderId="64" xfId="0" applyNumberFormat="1" applyFont="1" applyFill="1" applyBorder="1" applyAlignment="1">
      <alignment horizontal="center" vertical="center" wrapText="1"/>
    </xf>
    <xf numFmtId="4" fontId="118" fillId="70" borderId="64" xfId="0" applyNumberFormat="1" applyFont="1" applyFill="1" applyBorder="1" applyAlignment="1">
      <alignment horizontal="center" vertical="center" wrapText="1"/>
    </xf>
    <xf numFmtId="171" fontId="0" fillId="0" borderId="0" xfId="0" applyNumberFormat="1"/>
    <xf numFmtId="14" fontId="118" fillId="70" borderId="64" xfId="0" applyNumberFormat="1" applyFont="1" applyFill="1" applyBorder="1" applyAlignment="1">
      <alignment horizontal="center" vertical="center" wrapText="1"/>
    </xf>
    <xf numFmtId="167" fontId="0" fillId="0" borderId="0" xfId="117" applyFont="1"/>
    <xf numFmtId="14" fontId="118" fillId="71" borderId="64" xfId="0" applyNumberFormat="1" applyFont="1" applyFill="1" applyBorder="1" applyAlignment="1">
      <alignment horizontal="center" wrapText="1"/>
    </xf>
    <xf numFmtId="4" fontId="118" fillId="71" borderId="64" xfId="0" applyNumberFormat="1" applyFont="1" applyFill="1" applyBorder="1" applyAlignment="1">
      <alignment horizontal="center" wrapText="1"/>
    </xf>
    <xf numFmtId="4" fontId="118" fillId="71" borderId="64" xfId="0" applyNumberFormat="1" applyFont="1" applyFill="1" applyBorder="1" applyAlignment="1">
      <alignment horizontal="center" vertical="center" wrapText="1"/>
    </xf>
    <xf numFmtId="14" fontId="118" fillId="71" borderId="64" xfId="0" applyNumberFormat="1" applyFont="1" applyFill="1" applyBorder="1" applyAlignment="1">
      <alignment horizontal="center" vertical="center" wrapText="1"/>
    </xf>
    <xf numFmtId="1" fontId="0" fillId="0" borderId="0" xfId="0" applyNumberFormat="1"/>
    <xf numFmtId="0" fontId="0" fillId="0" borderId="0" xfId="0" applyAlignment="1">
      <alignment horizontal="center" vertical="center" wrapText="1"/>
    </xf>
    <xf numFmtId="0" fontId="119" fillId="23" borderId="0" xfId="0" applyFont="1" applyFill="1"/>
    <xf numFmtId="0" fontId="119" fillId="0" borderId="0" xfId="0" applyFont="1"/>
    <xf numFmtId="0" fontId="119" fillId="0" borderId="0" xfId="0" applyFont="1" applyFill="1"/>
    <xf numFmtId="0" fontId="0" fillId="0" borderId="0" xfId="0" applyAlignment="1">
      <alignment vertical="center" wrapText="1"/>
    </xf>
    <xf numFmtId="0" fontId="0" fillId="73" borderId="65" xfId="0" applyFill="1" applyBorder="1" applyAlignment="1">
      <alignment horizontal="left" vertical="center" wrapText="1" indent="1"/>
    </xf>
    <xf numFmtId="0" fontId="0" fillId="72" borderId="65" xfId="0" applyFill="1" applyBorder="1" applyAlignment="1">
      <alignment horizontal="left" vertical="top" wrapText="1" indent="1"/>
    </xf>
    <xf numFmtId="199" fontId="0" fillId="73" borderId="65" xfId="1" applyNumberFormat="1" applyFont="1" applyFill="1" applyBorder="1" applyAlignment="1">
      <alignment horizontal="center" vertical="center" wrapText="1"/>
    </xf>
    <xf numFmtId="199" fontId="0" fillId="72" borderId="65" xfId="1" applyNumberFormat="1" applyFont="1" applyFill="1" applyBorder="1" applyAlignment="1">
      <alignment horizontal="center" vertical="top" wrapText="1"/>
    </xf>
    <xf numFmtId="10" fontId="0" fillId="73" borderId="65" xfId="2" applyNumberFormat="1" applyFont="1" applyFill="1" applyBorder="1" applyAlignment="1">
      <alignment horizontal="center" vertical="center" wrapText="1"/>
    </xf>
    <xf numFmtId="10" fontId="0" fillId="72" borderId="65" xfId="2" applyNumberFormat="1" applyFont="1" applyFill="1" applyBorder="1" applyAlignment="1">
      <alignment horizontal="center" vertical="top" wrapText="1"/>
    </xf>
    <xf numFmtId="0" fontId="49" fillId="30" borderId="26" xfId="234" applyFont="1" applyFill="1" applyBorder="1" applyAlignment="1">
      <alignment horizontal="center"/>
    </xf>
    <xf numFmtId="8" fontId="69" fillId="0" borderId="0" xfId="0" applyNumberFormat="1" applyFont="1" applyFill="1" applyBorder="1"/>
    <xf numFmtId="6" fontId="69" fillId="0" borderId="0" xfId="0" applyNumberFormat="1" applyFont="1" applyFill="1" applyBorder="1"/>
    <xf numFmtId="0" fontId="49" fillId="30" borderId="26" xfId="234" applyFont="1" applyFill="1" applyBorder="1" applyAlignment="1">
      <alignment horizontal="center" vertical="center" wrapText="1"/>
    </xf>
    <xf numFmtId="168" fontId="0" fillId="0" borderId="0" xfId="3" applyNumberFormat="1" applyFont="1" applyFill="1"/>
    <xf numFmtId="168" fontId="55" fillId="0" borderId="0" xfId="231" applyNumberFormat="1" applyFill="1"/>
    <xf numFmtId="10" fontId="5" fillId="0" borderId="0" xfId="2" applyNumberFormat="1" applyFont="1" applyFill="1" applyBorder="1" applyAlignment="1">
      <alignment vertical="center"/>
    </xf>
    <xf numFmtId="43" fontId="5" fillId="0" borderId="0" xfId="1" applyFont="1" applyFill="1" applyBorder="1" applyAlignment="1">
      <alignment vertical="center"/>
    </xf>
    <xf numFmtId="194" fontId="56" fillId="0" borderId="10" xfId="2" applyNumberFormat="1" applyFont="1" applyBorder="1"/>
    <xf numFmtId="10" fontId="0" fillId="0" borderId="0" xfId="2" applyNumberFormat="1" applyFont="1" applyFill="1" applyBorder="1"/>
    <xf numFmtId="10" fontId="56" fillId="0" borderId="10" xfId="2" applyNumberFormat="1" applyFont="1" applyFill="1" applyBorder="1"/>
    <xf numFmtId="9" fontId="56" fillId="0" borderId="10" xfId="2" applyFont="1" applyFill="1" applyBorder="1"/>
    <xf numFmtId="10" fontId="56" fillId="0" borderId="0" xfId="2" applyNumberFormat="1" applyFont="1" applyFill="1" applyBorder="1"/>
    <xf numFmtId="0" fontId="49" fillId="30" borderId="26" xfId="234" applyFont="1" applyFill="1" applyBorder="1" applyAlignment="1">
      <alignment horizontal="center" wrapText="1"/>
    </xf>
    <xf numFmtId="0" fontId="56" fillId="0" borderId="25" xfId="0" applyFont="1" applyBorder="1" applyAlignment="1">
      <alignment vertical="center"/>
    </xf>
    <xf numFmtId="199" fontId="1" fillId="74" borderId="10" xfId="1" applyNumberFormat="1" applyFont="1" applyFill="1" applyBorder="1" applyAlignment="1"/>
    <xf numFmtId="199" fontId="65" fillId="74" borderId="10" xfId="1" applyNumberFormat="1" applyFont="1" applyFill="1" applyBorder="1" applyAlignment="1"/>
    <xf numFmtId="43" fontId="0" fillId="75" borderId="10" xfId="1" applyFont="1" applyFill="1" applyBorder="1"/>
    <xf numFmtId="0" fontId="50" fillId="0" borderId="10" xfId="0" applyFont="1" applyBorder="1" applyAlignment="1">
      <alignment horizontal="center"/>
    </xf>
    <xf numFmtId="0" fontId="48" fillId="75" borderId="26" xfId="234" applyFont="1" applyFill="1" applyBorder="1" applyAlignment="1">
      <alignment horizontal="left"/>
    </xf>
    <xf numFmtId="199" fontId="56" fillId="75" borderId="10" xfId="1" applyNumberFormat="1" applyFont="1" applyFill="1" applyBorder="1" applyAlignment="1"/>
    <xf numFmtId="199" fontId="1" fillId="75" borderId="10" xfId="1" applyNumberFormat="1" applyFont="1" applyFill="1" applyBorder="1" applyAlignment="1"/>
    <xf numFmtId="9" fontId="1" fillId="0" borderId="10" xfId="2" applyFont="1" applyFill="1" applyBorder="1"/>
    <xf numFmtId="9" fontId="1" fillId="75" borderId="10" xfId="1" applyNumberFormat="1" applyFont="1" applyFill="1" applyBorder="1"/>
    <xf numFmtId="199" fontId="0" fillId="75" borderId="10" xfId="1" applyNumberFormat="1" applyFont="1" applyFill="1" applyBorder="1"/>
    <xf numFmtId="199" fontId="120" fillId="0" borderId="10" xfId="1" applyNumberFormat="1" applyFont="1" applyBorder="1" applyAlignment="1"/>
    <xf numFmtId="199" fontId="120" fillId="75" borderId="10" xfId="1" applyNumberFormat="1" applyFont="1" applyFill="1" applyBorder="1" applyAlignment="1"/>
    <xf numFmtId="43" fontId="56" fillId="75" borderId="10" xfId="1" applyFont="1" applyFill="1" applyBorder="1"/>
    <xf numFmtId="0" fontId="0" fillId="0" borderId="10" xfId="2" applyNumberFormat="1" applyFont="1" applyBorder="1" applyAlignment="1">
      <alignment horizontal="center" vertical="center"/>
    </xf>
    <xf numFmtId="216" fontId="0" fillId="0" borderId="0" xfId="0" applyNumberFormat="1" applyBorder="1"/>
    <xf numFmtId="167" fontId="0" fillId="0" borderId="0" xfId="0" applyNumberFormat="1" applyBorder="1"/>
    <xf numFmtId="9" fontId="0" fillId="0" borderId="10" xfId="2" applyNumberFormat="1" applyFont="1" applyBorder="1" applyAlignment="1">
      <alignment horizontal="center" vertical="center"/>
    </xf>
    <xf numFmtId="0" fontId="81" fillId="0" borderId="10" xfId="2" applyNumberFormat="1" applyFont="1" applyBorder="1" applyAlignment="1">
      <alignment horizontal="center" vertical="center"/>
    </xf>
    <xf numFmtId="4" fontId="81" fillId="0" borderId="10" xfId="1" applyNumberFormat="1" applyFont="1" applyBorder="1" applyAlignment="1">
      <alignment horizontal="center" vertical="center"/>
    </xf>
    <xf numFmtId="3" fontId="81" fillId="0" borderId="10" xfId="1" applyNumberFormat="1" applyFont="1" applyBorder="1" applyAlignment="1">
      <alignment horizontal="center" vertical="center"/>
    </xf>
    <xf numFmtId="9" fontId="0" fillId="0" borderId="10" xfId="2" applyFont="1" applyBorder="1" applyAlignment="1">
      <alignment horizontal="center" vertical="center"/>
    </xf>
    <xf numFmtId="194" fontId="0" fillId="0" borderId="10" xfId="2" applyNumberFormat="1" applyFont="1" applyBorder="1" applyAlignment="1">
      <alignment horizontal="center" vertical="center"/>
    </xf>
    <xf numFmtId="3" fontId="0" fillId="0" borderId="10" xfId="1" applyNumberFormat="1" applyFont="1" applyBorder="1" applyAlignment="1">
      <alignment horizontal="center" vertical="center"/>
    </xf>
    <xf numFmtId="0" fontId="49" fillId="32" borderId="26" xfId="234" applyFont="1" applyFill="1" applyBorder="1" applyAlignment="1">
      <alignment horizontal="center"/>
    </xf>
    <xf numFmtId="43" fontId="56" fillId="0" borderId="10" xfId="2" applyNumberFormat="1" applyFont="1" applyFill="1" applyBorder="1"/>
    <xf numFmtId="10" fontId="0" fillId="0" borderId="25" xfId="2" applyNumberFormat="1" applyFont="1" applyFill="1" applyBorder="1"/>
    <xf numFmtId="43" fontId="56" fillId="0" borderId="24" xfId="2" applyNumberFormat="1" applyFont="1" applyFill="1" applyBorder="1"/>
    <xf numFmtId="10" fontId="56" fillId="0" borderId="27" xfId="2" applyNumberFormat="1" applyFont="1" applyFill="1" applyBorder="1"/>
    <xf numFmtId="9" fontId="0" fillId="0" borderId="10" xfId="2" applyFont="1" applyFill="1" applyBorder="1" applyAlignment="1">
      <alignment horizontal="center" vertical="center"/>
    </xf>
    <xf numFmtId="43" fontId="0" fillId="75" borderId="10" xfId="1" applyNumberFormat="1" applyFont="1" applyFill="1" applyBorder="1"/>
    <xf numFmtId="43" fontId="1" fillId="0" borderId="10" xfId="1" applyNumberFormat="1" applyFont="1" applyFill="1" applyBorder="1"/>
    <xf numFmtId="10" fontId="80" fillId="0" borderId="10" xfId="236" applyNumberFormat="1" applyFont="1" applyBorder="1" applyAlignment="1">
      <alignment horizontal="center" vertical="center"/>
    </xf>
    <xf numFmtId="43" fontId="0" fillId="69" borderId="10" xfId="0" applyNumberFormat="1" applyFill="1" applyBorder="1"/>
    <xf numFmtId="3" fontId="7" fillId="75" borderId="10" xfId="234" applyNumberFormat="1" applyFill="1" applyBorder="1"/>
    <xf numFmtId="10" fontId="82" fillId="75" borderId="10" xfId="234" applyNumberFormat="1" applyFont="1" applyFill="1" applyBorder="1" applyAlignment="1">
      <alignment horizontal="center"/>
    </xf>
    <xf numFmtId="0" fontId="117" fillId="30" borderId="26" xfId="234" applyFont="1" applyFill="1" applyBorder="1" applyAlignment="1">
      <alignment horizontal="center" vertical="center"/>
    </xf>
    <xf numFmtId="0" fontId="49" fillId="30" borderId="26" xfId="234" applyFont="1" applyFill="1" applyBorder="1" applyAlignment="1">
      <alignment horizontal="center" vertical="center"/>
    </xf>
    <xf numFmtId="0" fontId="49" fillId="30" borderId="26" xfId="0" applyFont="1" applyFill="1" applyBorder="1" applyAlignment="1">
      <alignment horizontal="center"/>
    </xf>
    <xf numFmtId="164" fontId="0" fillId="0" borderId="0" xfId="0" applyNumberFormat="1"/>
    <xf numFmtId="43" fontId="49" fillId="0" borderId="0" xfId="235" applyNumberFormat="1" applyFont="1" applyFill="1" applyBorder="1"/>
    <xf numFmtId="199" fontId="48" fillId="35" borderId="23" xfId="235" applyNumberFormat="1" applyFont="1" applyFill="1" applyBorder="1"/>
    <xf numFmtId="199" fontId="48" fillId="35" borderId="23" xfId="1" applyNumberFormat="1" applyFont="1" applyFill="1" applyBorder="1"/>
    <xf numFmtId="0" fontId="50" fillId="0" borderId="25" xfId="0" applyFont="1" applyBorder="1" applyAlignment="1">
      <alignment horizontal="center"/>
    </xf>
    <xf numFmtId="0" fontId="50" fillId="0" borderId="28" xfId="0" applyFont="1" applyBorder="1" applyAlignment="1">
      <alignment horizontal="center"/>
    </xf>
    <xf numFmtId="0" fontId="49" fillId="30" borderId="34" xfId="234" applyFont="1" applyFill="1" applyBorder="1" applyAlignment="1">
      <alignment horizontal="center"/>
    </xf>
    <xf numFmtId="0" fontId="49" fillId="30" borderId="23" xfId="234" applyFont="1" applyFill="1" applyBorder="1" applyAlignment="1">
      <alignment horizontal="center"/>
    </xf>
    <xf numFmtId="0" fontId="49" fillId="30" borderId="35" xfId="234" applyFont="1" applyFill="1" applyBorder="1" applyAlignment="1">
      <alignment horizontal="center"/>
    </xf>
    <xf numFmtId="168" fontId="50" fillId="0" borderId="9" xfId="3" applyNumberFormat="1" applyFont="1" applyBorder="1" applyAlignment="1">
      <alignment horizontal="center"/>
    </xf>
    <xf numFmtId="199" fontId="1" fillId="0" borderId="10" xfId="1" applyNumberFormat="1" applyBorder="1" applyAlignment="1">
      <alignment horizontal="center"/>
    </xf>
    <xf numFmtId="199" fontId="50" fillId="0" borderId="10" xfId="1" applyNumberFormat="1" applyFont="1" applyBorder="1" applyAlignment="1">
      <alignment horizontal="center"/>
    </xf>
    <xf numFmtId="0" fontId="49" fillId="30" borderId="29" xfId="234" applyFont="1" applyFill="1" applyBorder="1" applyAlignment="1">
      <alignment horizontal="center"/>
    </xf>
    <xf numFmtId="0" fontId="49" fillId="30" borderId="30" xfId="234" applyFont="1" applyFill="1" applyBorder="1" applyAlignment="1">
      <alignment horizontal="center"/>
    </xf>
    <xf numFmtId="0" fontId="49" fillId="30" borderId="31" xfId="234" applyFont="1" applyFill="1" applyBorder="1" applyAlignment="1">
      <alignment horizontal="center"/>
    </xf>
    <xf numFmtId="0" fontId="56" fillId="72" borderId="66" xfId="0" applyFont="1" applyFill="1" applyBorder="1" applyAlignment="1">
      <alignment horizontal="left" vertical="top" wrapText="1" indent="1"/>
    </xf>
    <xf numFmtId="0" fontId="56" fillId="72" borderId="67" xfId="0" applyFont="1" applyFill="1" applyBorder="1" applyAlignment="1">
      <alignment horizontal="left" vertical="top" wrapText="1" indent="1"/>
    </xf>
    <xf numFmtId="0" fontId="56" fillId="72" borderId="68" xfId="0" applyFont="1" applyFill="1" applyBorder="1" applyAlignment="1">
      <alignment horizontal="left" vertical="top" wrapText="1" indent="1"/>
    </xf>
    <xf numFmtId="0" fontId="49" fillId="32" borderId="33" xfId="234" applyFont="1" applyFill="1" applyBorder="1" applyAlignment="1">
      <alignment horizontal="center"/>
    </xf>
    <xf numFmtId="0" fontId="74" fillId="0" borderId="25" xfId="234" applyFont="1" applyBorder="1" applyAlignment="1">
      <alignment horizontal="center"/>
    </xf>
    <xf numFmtId="0" fontId="74" fillId="0" borderId="28" xfId="234" applyFont="1" applyBorder="1" applyAlignment="1">
      <alignment horizontal="center"/>
    </xf>
    <xf numFmtId="0" fontId="73" fillId="31" borderId="2" xfId="234" applyFont="1" applyFill="1" applyBorder="1" applyAlignment="1">
      <alignment horizontal="center"/>
    </xf>
    <xf numFmtId="0" fontId="73" fillId="31" borderId="30" xfId="234" applyFont="1" applyFill="1" applyBorder="1" applyAlignment="1">
      <alignment horizontal="center"/>
    </xf>
    <xf numFmtId="0" fontId="73" fillId="31" borderId="31" xfId="234" applyFont="1" applyFill="1" applyBorder="1" applyAlignment="1">
      <alignment horizontal="center"/>
    </xf>
    <xf numFmtId="0" fontId="56" fillId="0" borderId="10" xfId="0" applyFont="1" applyBorder="1" applyAlignment="1">
      <alignment horizontal="left" vertical="center" wrapText="1"/>
    </xf>
    <xf numFmtId="0" fontId="56" fillId="0" borderId="25" xfId="0" applyFont="1" applyBorder="1" applyAlignment="1">
      <alignment horizontal="left" vertical="center" wrapText="1"/>
    </xf>
    <xf numFmtId="0" fontId="56" fillId="0" borderId="32" xfId="0" applyFont="1" applyBorder="1" applyAlignment="1">
      <alignment horizontal="left" vertical="center" wrapText="1"/>
    </xf>
    <xf numFmtId="0" fontId="56" fillId="0" borderId="28" xfId="0" applyFont="1" applyBorder="1" applyAlignment="1">
      <alignment horizontal="left" vertical="center" wrapText="1"/>
    </xf>
    <xf numFmtId="0" fontId="56" fillId="0" borderId="25" xfId="0" applyFont="1" applyBorder="1" applyAlignment="1">
      <alignment horizontal="left" vertical="center"/>
    </xf>
    <xf numFmtId="0" fontId="56" fillId="0" borderId="32" xfId="0" applyFont="1" applyBorder="1" applyAlignment="1">
      <alignment horizontal="left" vertical="center"/>
    </xf>
    <xf numFmtId="0" fontId="56" fillId="0" borderId="28" xfId="0" applyFont="1" applyBorder="1" applyAlignment="1">
      <alignment horizontal="left" vertical="center"/>
    </xf>
    <xf numFmtId="0" fontId="49" fillId="32" borderId="36" xfId="234" applyFont="1" applyFill="1" applyBorder="1" applyAlignment="1">
      <alignment horizontal="center"/>
    </xf>
    <xf numFmtId="0" fontId="49" fillId="32" borderId="23" xfId="234" applyFont="1" applyFill="1" applyBorder="1" applyAlignment="1">
      <alignment horizontal="center"/>
    </xf>
    <xf numFmtId="0" fontId="49" fillId="32" borderId="37" xfId="234" applyFont="1" applyFill="1" applyBorder="1" applyAlignment="1">
      <alignment horizontal="center"/>
    </xf>
    <xf numFmtId="0" fontId="56" fillId="0" borderId="38" xfId="0" applyFont="1" applyBorder="1" applyAlignment="1">
      <alignment horizontal="left" vertical="center"/>
    </xf>
    <xf numFmtId="0" fontId="56" fillId="0" borderId="39" xfId="0" applyFont="1" applyBorder="1" applyAlignment="1">
      <alignment horizontal="left" vertical="center"/>
    </xf>
    <xf numFmtId="0" fontId="56" fillId="0" borderId="40" xfId="0" applyFont="1" applyBorder="1" applyAlignment="1">
      <alignment horizontal="left" vertical="center"/>
    </xf>
    <xf numFmtId="0" fontId="89" fillId="0" borderId="0" xfId="0" applyFont="1" applyFill="1" applyBorder="1" applyAlignment="1">
      <alignment horizontal="left" wrapText="1"/>
    </xf>
    <xf numFmtId="0" fontId="50" fillId="0" borderId="25" xfId="0" applyFont="1" applyBorder="1" applyAlignment="1">
      <alignment horizontal="left" vertical="center"/>
    </xf>
    <xf numFmtId="0" fontId="50" fillId="0" borderId="32" xfId="0" applyFont="1" applyBorder="1" applyAlignment="1">
      <alignment horizontal="left" vertical="center"/>
    </xf>
    <xf numFmtId="0" fontId="50" fillId="0" borderId="28" xfId="0" applyFont="1" applyBorder="1" applyAlignment="1">
      <alignment horizontal="left" vertical="center"/>
    </xf>
    <xf numFmtId="0" fontId="0" fillId="0" borderId="44" xfId="0" applyBorder="1" applyAlignment="1">
      <alignment horizontal="center"/>
    </xf>
    <xf numFmtId="0" fontId="74" fillId="0" borderId="25" xfId="0" applyFont="1" applyBorder="1" applyAlignment="1">
      <alignment horizontal="left"/>
    </xf>
    <xf numFmtId="0" fontId="74" fillId="0" borderId="28" xfId="0" applyFont="1" applyBorder="1" applyAlignment="1">
      <alignment horizontal="left"/>
    </xf>
    <xf numFmtId="0" fontId="50" fillId="0" borderId="10" xfId="0" applyFont="1" applyBorder="1" applyAlignment="1">
      <alignment horizontal="center"/>
    </xf>
    <xf numFmtId="0" fontId="54" fillId="0" borderId="14" xfId="0" applyFont="1" applyBorder="1" applyAlignment="1">
      <alignment horizontal="left" vertical="center"/>
    </xf>
    <xf numFmtId="0" fontId="117" fillId="30" borderId="53" xfId="0" applyFont="1" applyFill="1" applyBorder="1" applyAlignment="1">
      <alignment horizontal="center" vertical="center"/>
    </xf>
    <xf numFmtId="0" fontId="117" fillId="30" borderId="54" xfId="0" applyFont="1" applyFill="1" applyBorder="1" applyAlignment="1">
      <alignment horizontal="center" vertical="center"/>
    </xf>
    <xf numFmtId="0" fontId="0" fillId="0" borderId="0" xfId="0" applyAlignment="1">
      <alignment horizontal="left"/>
    </xf>
    <xf numFmtId="0" fontId="64" fillId="24" borderId="10" xfId="0" applyFont="1" applyFill="1" applyBorder="1" applyAlignment="1">
      <alignment horizontal="center" vertical="center"/>
    </xf>
    <xf numFmtId="0" fontId="64" fillId="25" borderId="10" xfId="0" applyFont="1" applyFill="1" applyBorder="1" applyAlignment="1">
      <alignment horizontal="center" wrapText="1"/>
    </xf>
    <xf numFmtId="0" fontId="64" fillId="25" borderId="10" xfId="0" applyFont="1" applyFill="1" applyBorder="1" applyAlignment="1">
      <alignment horizontal="center"/>
    </xf>
    <xf numFmtId="0" fontId="64" fillId="25" borderId="10" xfId="0" applyFont="1" applyFill="1" applyBorder="1" applyAlignment="1">
      <alignment horizontal="center" vertical="center"/>
    </xf>
    <xf numFmtId="0" fontId="56" fillId="27" borderId="10" xfId="0" applyFont="1" applyFill="1" applyBorder="1" applyAlignment="1">
      <alignment horizontal="center" vertical="center"/>
    </xf>
    <xf numFmtId="0" fontId="56" fillId="28" borderId="24" xfId="0" applyFont="1" applyFill="1" applyBorder="1" applyAlignment="1">
      <alignment horizontal="center"/>
    </xf>
    <xf numFmtId="0" fontId="56" fillId="28" borderId="9" xfId="0" applyFont="1" applyFill="1" applyBorder="1" applyAlignment="1">
      <alignment horizontal="center"/>
    </xf>
  </cellXfs>
  <cellStyles count="279">
    <cellStyle name="%" xfId="12"/>
    <cellStyle name="20% - Énfasis1" xfId="256" builtinId="30" customBuiltin="1"/>
    <cellStyle name="20% - Énfasis2" xfId="260" builtinId="34" customBuiltin="1"/>
    <cellStyle name="20% - Énfasis3" xfId="264" builtinId="38" customBuiltin="1"/>
    <cellStyle name="20% - Énfasis4" xfId="268" builtinId="42" customBuiltin="1"/>
    <cellStyle name="20% - Énfasis5" xfId="272" builtinId="46" customBuiltin="1"/>
    <cellStyle name="20% - Énfasis6" xfId="276" builtinId="50" customBuiltin="1"/>
    <cellStyle name="40% - Énfasis1" xfId="257" builtinId="31" customBuiltin="1"/>
    <cellStyle name="40% - Énfasis2" xfId="261" builtinId="35" customBuiltin="1"/>
    <cellStyle name="40% - Énfasis3" xfId="265" builtinId="39" customBuiltin="1"/>
    <cellStyle name="40% - Énfasis4" xfId="269" builtinId="43" customBuiltin="1"/>
    <cellStyle name="40% - Énfasis5" xfId="273" builtinId="47" customBuiltin="1"/>
    <cellStyle name="40% - Énfasis6" xfId="277" builtinId="51" customBuiltin="1"/>
    <cellStyle name="60% - Énfasis1" xfId="258" builtinId="32" customBuiltin="1"/>
    <cellStyle name="60% - Énfasis2" xfId="262" builtinId="36" customBuiltin="1"/>
    <cellStyle name="60% - Énfasis3" xfId="266" builtinId="40" customBuiltin="1"/>
    <cellStyle name="60% - Énfasis4" xfId="270" builtinId="44" customBuiltin="1"/>
    <cellStyle name="60% - Énfasis5" xfId="274" builtinId="48" customBuiltin="1"/>
    <cellStyle name="60% - Énfasis6" xfId="278" builtinId="52" customBuiltin="1"/>
    <cellStyle name="Accent1" xfId="13"/>
    <cellStyle name="Accent1 - 20%" xfId="14"/>
    <cellStyle name="Accent1 - 40%" xfId="15"/>
    <cellStyle name="Accent1 - 60%" xfId="16"/>
    <cellStyle name="Accent1_Prefactibilidad Urabá 2" xfId="17"/>
    <cellStyle name="Accent2" xfId="18"/>
    <cellStyle name="Accent2 - 20%" xfId="19"/>
    <cellStyle name="Accent2 - 40%" xfId="20"/>
    <cellStyle name="Accent2 - 60%" xfId="21"/>
    <cellStyle name="Accent2_Prefactibilidad Urabá 2" xfId="22"/>
    <cellStyle name="Accent3" xfId="23"/>
    <cellStyle name="Accent3 - 20%" xfId="24"/>
    <cellStyle name="Accent3 - 40%" xfId="25"/>
    <cellStyle name="Accent3 - 60%" xfId="26"/>
    <cellStyle name="Accent3_Prefactibilidad Urabá 2" xfId="27"/>
    <cellStyle name="Accent4" xfId="28"/>
    <cellStyle name="Accent4 - 20%" xfId="29"/>
    <cellStyle name="Accent4 - 40%" xfId="30"/>
    <cellStyle name="Accent4 - 60%" xfId="31"/>
    <cellStyle name="Accent4_Prefactibilidad Urabá 2" xfId="32"/>
    <cellStyle name="Accent5" xfId="33"/>
    <cellStyle name="Accent5 - 20%" xfId="34"/>
    <cellStyle name="Accent5 - 40%" xfId="35"/>
    <cellStyle name="Accent5 - 60%" xfId="36"/>
    <cellStyle name="Accent5_Prefactibilidad Urabá 2" xfId="37"/>
    <cellStyle name="Accent6" xfId="38"/>
    <cellStyle name="Accent6 - 20%" xfId="39"/>
    <cellStyle name="Accent6 - 40%" xfId="40"/>
    <cellStyle name="Accent6 - 60%" xfId="41"/>
    <cellStyle name="Accent6_Prefactibilidad Urabá 2" xfId="42"/>
    <cellStyle name="ANCLAS,REZONES Y SUS PARTES,DE FUNDICION,DE HIERRO O DE ACERO" xfId="43"/>
    <cellStyle name="ANCLAS,REZONES Y SUS PARTES,DE FUNDICION,DE HIERRO O DE ACERO 2" xfId="44"/>
    <cellStyle name="ANCLAS,REZONES Y SUS PARTES,DE FUNDICION,DE HIERRO O DE ACERO 2 2" xfId="45"/>
    <cellStyle name="ANCLAS,REZONES Y SUS PARTES,DE FUNDICION,DE HIERRO O DE ACERO 3" xfId="46"/>
    <cellStyle name="Bad" xfId="47"/>
    <cellStyle name="Buena" xfId="243" builtinId="26" customBuiltin="1"/>
    <cellStyle name="Calculation" xfId="48"/>
    <cellStyle name="Cálculo" xfId="248" builtinId="22" customBuiltin="1"/>
    <cellStyle name="Celda de comprobación" xfId="250" builtinId="23" customBuiltin="1"/>
    <cellStyle name="Celda vinculada" xfId="249" builtinId="24" customBuiltin="1"/>
    <cellStyle name="Check Cell" xfId="49"/>
    <cellStyle name="Comma  - Style1" xfId="50"/>
    <cellStyle name="Comma  - Style2" xfId="51"/>
    <cellStyle name="Comma  - Style3" xfId="52"/>
    <cellStyle name="Comma  - Style4" xfId="53"/>
    <cellStyle name="Comma  - Style5" xfId="54"/>
    <cellStyle name="Comma  - Style6" xfId="55"/>
    <cellStyle name="Comma  - Style7" xfId="56"/>
    <cellStyle name="Comma  - Style8" xfId="57"/>
    <cellStyle name="Comma [0]" xfId="58"/>
    <cellStyle name="Comma_A" xfId="59"/>
    <cellStyle name="Comma0 - Modelo1" xfId="60"/>
    <cellStyle name="Comma0 - Style1" xfId="61"/>
    <cellStyle name="Comma1 - Modelo2" xfId="62"/>
    <cellStyle name="Comma1 - Style2" xfId="63"/>
    <cellStyle name="Currency [0]" xfId="64"/>
    <cellStyle name="Currency_A" xfId="65"/>
    <cellStyle name="DATE" xfId="66"/>
    <cellStyle name="Dia" xfId="67"/>
    <cellStyle name="Emphasis 1" xfId="68"/>
    <cellStyle name="Emphasis 2" xfId="69"/>
    <cellStyle name="Emphasis 3" xfId="70"/>
    <cellStyle name="Encabez1" xfId="71"/>
    <cellStyle name="Encabez2" xfId="72"/>
    <cellStyle name="Encabezado 4" xfId="242" builtinId="19" customBuiltin="1"/>
    <cellStyle name="Énfasis1" xfId="255" builtinId="29" customBuiltin="1"/>
    <cellStyle name="Énfasis2" xfId="259" builtinId="33" customBuiltin="1"/>
    <cellStyle name="Énfasis3" xfId="263" builtinId="37" customBuiltin="1"/>
    <cellStyle name="Énfasis4" xfId="267" builtinId="41" customBuiltin="1"/>
    <cellStyle name="Énfasis5" xfId="271" builtinId="45" customBuiltin="1"/>
    <cellStyle name="Énfasis6" xfId="275" builtinId="49" customBuiltin="1"/>
    <cellStyle name="Entrada" xfId="246" builtinId="20" customBuiltin="1"/>
    <cellStyle name="Euro" xfId="73"/>
    <cellStyle name="Euro 2" xfId="74"/>
    <cellStyle name="Euro 3" xfId="75"/>
    <cellStyle name="F#1" xfId="76"/>
    <cellStyle name="F#2" xfId="77"/>
    <cellStyle name="F#3" xfId="78"/>
    <cellStyle name="F#4" xfId="79"/>
    <cellStyle name="F#5" xfId="80"/>
    <cellStyle name="F#6" xfId="81"/>
    <cellStyle name="F%1" xfId="82"/>
    <cellStyle name="F%2" xfId="83"/>
    <cellStyle name="F%3" xfId="84"/>
    <cellStyle name="F%4" xfId="85"/>
    <cellStyle name="F%5" xfId="86"/>
    <cellStyle name="F2" xfId="87"/>
    <cellStyle name="F3" xfId="88"/>
    <cellStyle name="F4" xfId="89"/>
    <cellStyle name="F5" xfId="90"/>
    <cellStyle name="F6" xfId="91"/>
    <cellStyle name="F7" xfId="92"/>
    <cellStyle name="F8" xfId="93"/>
    <cellStyle name="Fijo" xfId="94"/>
    <cellStyle name="Financiero" xfId="95"/>
    <cellStyle name="FIXED" xfId="96"/>
    <cellStyle name="Followed Hyperlink_0331longsht" xfId="97"/>
    <cellStyle name="Good" xfId="98"/>
    <cellStyle name="Heading 1" xfId="99"/>
    <cellStyle name="Heading 2" xfId="100"/>
    <cellStyle name="Heading 3" xfId="101"/>
    <cellStyle name="Heading 4" xfId="102"/>
    <cellStyle name="HEADING1" xfId="103"/>
    <cellStyle name="HEADING2" xfId="104"/>
    <cellStyle name="Hipervínculo" xfId="231" builtinId="8"/>
    <cellStyle name="Hipervínculo 2" xfId="105"/>
    <cellStyle name="Hyperlink" xfId="106"/>
    <cellStyle name="Incorrecto" xfId="244" builtinId="27" customBuiltin="1"/>
    <cellStyle name="Input" xfId="107"/>
    <cellStyle name="Linked Cell" xfId="108"/>
    <cellStyle name="Millares" xfId="1" builtinId="3"/>
    <cellStyle name="Millares [0] 2" xfId="109"/>
    <cellStyle name="Millares [0] 2 2" xfId="110"/>
    <cellStyle name="Millares [0] 3" xfId="111"/>
    <cellStyle name="Millares [0] 3 2" xfId="112"/>
    <cellStyle name="Millares [0] 4" xfId="113"/>
    <cellStyle name="Millares [0] 4 2" xfId="114"/>
    <cellStyle name="Millares [0] 5" xfId="115"/>
    <cellStyle name="Millares [0] 5 2" xfId="116"/>
    <cellStyle name="Millares 10" xfId="117"/>
    <cellStyle name="Millares 11" xfId="118"/>
    <cellStyle name="Millares 12" xfId="119"/>
    <cellStyle name="Millares 13" xfId="120"/>
    <cellStyle name="Millares 14" xfId="121"/>
    <cellStyle name="Millares 15" xfId="122"/>
    <cellStyle name="Millares 16" xfId="123"/>
    <cellStyle name="Millares 17" xfId="124"/>
    <cellStyle name="Millares 18" xfId="125"/>
    <cellStyle name="Millares 19" xfId="126"/>
    <cellStyle name="Millares 2" xfId="6"/>
    <cellStyle name="Millares 2 2" xfId="127"/>
    <cellStyle name="Millares 2 2 2" xfId="128"/>
    <cellStyle name="Millares 2 2 3" xfId="129"/>
    <cellStyle name="Millares 2 3" xfId="130"/>
    <cellStyle name="Millares 2 4" xfId="131"/>
    <cellStyle name="Millares 20" xfId="132"/>
    <cellStyle name="Millares 21" xfId="133"/>
    <cellStyle name="Millares 22" xfId="134"/>
    <cellStyle name="Millares 23" xfId="135"/>
    <cellStyle name="Millares 24" xfId="136"/>
    <cellStyle name="Millares 25" xfId="235"/>
    <cellStyle name="Millares 3" xfId="137"/>
    <cellStyle name="Millares 3 2" xfId="138"/>
    <cellStyle name="Millares 3 2 2" xfId="139"/>
    <cellStyle name="Millares 3 3" xfId="7"/>
    <cellStyle name="Millares 3 3 2" xfId="140"/>
    <cellStyle name="Millares 4" xfId="141"/>
    <cellStyle name="Millares 4 2" xfId="142"/>
    <cellStyle name="Millares 4 3" xfId="143"/>
    <cellStyle name="Millares 5" xfId="10"/>
    <cellStyle name="Millares 5 2" xfId="144"/>
    <cellStyle name="Millares 5 3" xfId="145"/>
    <cellStyle name="Millares 6" xfId="146"/>
    <cellStyle name="Millares 6 2" xfId="147"/>
    <cellStyle name="Millares 7" xfId="148"/>
    <cellStyle name="Millares 8" xfId="149"/>
    <cellStyle name="Millares 9" xfId="150"/>
    <cellStyle name="mio" xfId="151"/>
    <cellStyle name="Moneda 2" xfId="152"/>
    <cellStyle name="Moneda 2 2" xfId="153"/>
    <cellStyle name="Monetario" xfId="154"/>
    <cellStyle name="Neutral" xfId="245" builtinId="28" customBuiltin="1"/>
    <cellStyle name="no dec" xfId="155"/>
    <cellStyle name="Normal" xfId="0" builtinId="0"/>
    <cellStyle name="Normal - Style1" xfId="156"/>
    <cellStyle name="Normal 10" xfId="157"/>
    <cellStyle name="Normal 11" xfId="158"/>
    <cellStyle name="Normal 12" xfId="159"/>
    <cellStyle name="Normal 13" xfId="160"/>
    <cellStyle name="Normal 14" xfId="161"/>
    <cellStyle name="Normal 15" xfId="162"/>
    <cellStyle name="Normal 16" xfId="163"/>
    <cellStyle name="Normal 17" xfId="164"/>
    <cellStyle name="Normal 18" xfId="165"/>
    <cellStyle name="Normal 19" xfId="166"/>
    <cellStyle name="Normal 2" xfId="3"/>
    <cellStyle name="Normal 2 16" xfId="167"/>
    <cellStyle name="Normal 2 2" xfId="168"/>
    <cellStyle name="Normal 2 2 2" xfId="169"/>
    <cellStyle name="Normal 2 2 3" xfId="170"/>
    <cellStyle name="Normal 2 3" xfId="171"/>
    <cellStyle name="Normal 2 4" xfId="172"/>
    <cellStyle name="Normal 2 5" xfId="232"/>
    <cellStyle name="Normal 20" xfId="173"/>
    <cellStyle name="Normal 21" xfId="174"/>
    <cellStyle name="Normal 22" xfId="175"/>
    <cellStyle name="Normal 23" xfId="229"/>
    <cellStyle name="Normal 24" xfId="230"/>
    <cellStyle name="Normal 25" xfId="234"/>
    <cellStyle name="Normal 3" xfId="176"/>
    <cellStyle name="Normal 3 2" xfId="177"/>
    <cellStyle name="Normal 3 2 2" xfId="178"/>
    <cellStyle name="Normal 3 3" xfId="179"/>
    <cellStyle name="Normal 4" xfId="8"/>
    <cellStyle name="Normal 4 2" xfId="180"/>
    <cellStyle name="Normal 5" xfId="181"/>
    <cellStyle name="Normal 5 2" xfId="182"/>
    <cellStyle name="Normal 55" xfId="183"/>
    <cellStyle name="Normal 6" xfId="184"/>
    <cellStyle name="Normal 7" xfId="4"/>
    <cellStyle name="Normal 8" xfId="5"/>
    <cellStyle name="Normal 9" xfId="185"/>
    <cellStyle name="Normal_Libro6" xfId="237"/>
    <cellStyle name="Notas" xfId="252" builtinId="10" customBuiltin="1"/>
    <cellStyle name="Note" xfId="186"/>
    <cellStyle name="Output" xfId="187"/>
    <cellStyle name="Percent 5" xfId="188"/>
    <cellStyle name="Percent_FORM22" xfId="189"/>
    <cellStyle name="Porcentaje" xfId="2" builtinId="5"/>
    <cellStyle name="Porcentaje 2" xfId="233"/>
    <cellStyle name="Porcentaje 3" xfId="236"/>
    <cellStyle name="Porcentual 10" xfId="190"/>
    <cellStyle name="Porcentual 2" xfId="191"/>
    <cellStyle name="Porcentual 2 2" xfId="9"/>
    <cellStyle name="Porcentual 2 2 2" xfId="11"/>
    <cellStyle name="Porcentual 2 2 3" xfId="192"/>
    <cellStyle name="Porcentual 2 3" xfId="193"/>
    <cellStyle name="Porcentual 3" xfId="194"/>
    <cellStyle name="Porcentual 3 2" xfId="195"/>
    <cellStyle name="Porcentual 4" xfId="196"/>
    <cellStyle name="Porcentual 4 2" xfId="197"/>
    <cellStyle name="Porcentual 4 3" xfId="198"/>
    <cellStyle name="Porcentual 5" xfId="199"/>
    <cellStyle name="Porcentual 5 2" xfId="200"/>
    <cellStyle name="Porcentual 6" xfId="201"/>
    <cellStyle name="Porcentual 7" xfId="202"/>
    <cellStyle name="Priceheader" xfId="203"/>
    <cellStyle name="RM" xfId="204"/>
    <cellStyle name="Salida" xfId="247" builtinId="21" customBuiltin="1"/>
    <cellStyle name="Sheet Title" xfId="205"/>
    <cellStyle name="Style 21" xfId="206"/>
    <cellStyle name="Style 23" xfId="207"/>
    <cellStyle name="Style 27" xfId="208"/>
    <cellStyle name="Style 35" xfId="209"/>
    <cellStyle name="Style 36" xfId="210"/>
    <cellStyle name="Text" xfId="211"/>
    <cellStyle name="Text 2" xfId="212"/>
    <cellStyle name="Texto de advertencia" xfId="251" builtinId="11" customBuiltin="1"/>
    <cellStyle name="Texto explicativo" xfId="253" builtinId="53" customBuiltin="1"/>
    <cellStyle name="Título" xfId="238" builtinId="15" customBuiltin="1"/>
    <cellStyle name="Título 1" xfId="239" builtinId="16" customBuiltin="1"/>
    <cellStyle name="Título 2" xfId="240" builtinId="17" customBuiltin="1"/>
    <cellStyle name="Título 3" xfId="241" builtinId="18" customBuiltin="1"/>
    <cellStyle name="Total" xfId="254" builtinId="25" customBuiltin="1"/>
    <cellStyle name="Warning Text" xfId="213"/>
    <cellStyle name="ДАТА" xfId="214"/>
    <cellStyle name="ДАТА 2" xfId="215"/>
    <cellStyle name="ДЕНЕЖНЫЙ_BOPENGC" xfId="216"/>
    <cellStyle name="ЗАГОЛОВОК1" xfId="217"/>
    <cellStyle name="ЗАГОЛОВОК1 2" xfId="218"/>
    <cellStyle name="ЗАГОЛОВОК2" xfId="219"/>
    <cellStyle name="ЗАГОЛОВОК2 2" xfId="220"/>
    <cellStyle name="ИТОГОВЫЙ" xfId="221"/>
    <cellStyle name="ИТОГОВЫЙ 2" xfId="222"/>
    <cellStyle name="Обычный_BOPENGC" xfId="223"/>
    <cellStyle name="ПРОЦЕНТНЫЙ_BOPENGC" xfId="224"/>
    <cellStyle name="ТЕКСТ" xfId="225"/>
    <cellStyle name="ТЕКСТ 2" xfId="226"/>
    <cellStyle name="ФИКСИРОВАННЫЙ" xfId="227"/>
    <cellStyle name="ФИНАНСОВЫЙ_BOPENGC" xfId="228"/>
  </cellStyles>
  <dxfs count="5">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theme" Target="theme/theme1.xml"/></Relationships>
</file>

<file path=xl/ctrlProps/ctrlProp1.xml><?xml version="1.0" encoding="utf-8"?>
<formControlPr xmlns="http://schemas.microsoft.com/office/spreadsheetml/2009/9/main" objectType="CheckBox" checked="Checked" fmlaLink="$C$25" lockText="1" noThreeD="1"/>
</file>

<file path=xl/ctrlProps/ctrlProp2.xml><?xml version="1.0" encoding="utf-8"?>
<formControlPr xmlns="http://schemas.microsoft.com/office/spreadsheetml/2009/9/main" objectType="CheckBox" checked="Checked" fmlaLink="$C$26" lockText="1" noThreeD="1"/>
</file>

<file path=xl/ctrlProps/ctrlProp3.xml><?xml version="1.0" encoding="utf-8"?>
<formControlPr xmlns="http://schemas.microsoft.com/office/spreadsheetml/2009/9/main" objectType="CheckBox" checked="Checked" fmlaLink="$C$27" lockText="1" noThreeD="1"/>
</file>

<file path=xl/ctrlProps/ctrlProp4.xml><?xml version="1.0" encoding="utf-8"?>
<formControlPr xmlns="http://schemas.microsoft.com/office/spreadsheetml/2009/9/main" objectType="CheckBox" checked="Checked" fmlaLink="$C$28" lockText="1" noThreeD="1"/>
</file>

<file path=xl/ctrlProps/ctrlProp5.xml><?xml version="1.0" encoding="utf-8"?>
<formControlPr xmlns="http://schemas.microsoft.com/office/spreadsheetml/2009/9/main" objectType="CheckBox" checked="Checked" fmlaLink="$C$29" lockText="1" noThreeD="1"/>
</file>

<file path=xl/ctrlProps/ctrlProp6.xml><?xml version="1.0" encoding="utf-8"?>
<formControlPr xmlns="http://schemas.microsoft.com/office/spreadsheetml/2009/9/main" objectType="CheckBox" checked="Checked" fmlaLink="$C$29" lockText="1" noThreeD="1"/>
</file>

<file path=xl/ctrlProps/ctrlProp7.xml><?xml version="1.0" encoding="utf-8"?>
<formControlPr xmlns="http://schemas.microsoft.com/office/spreadsheetml/2009/9/main" objectType="CheckBox" fmlaLink="$C$24" lockText="1" noThreeD="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CheckBox" fmlaLink="$A$39" lockText="1" noThreeD="1"/>
</file>

<file path=xl/ctrlProps/ctrlProp10.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NULL"/></Relationships>
</file>

<file path=xl/drawings/drawing1.xml><?xml version="1.0" encoding="utf-8"?>
<xdr:wsDr xmlns:xdr="http://schemas.openxmlformats.org/drawingml/2006/spreadsheetDrawing" xmlns:a="http://schemas.openxmlformats.org/drawingml/2006/main">
  <xdr:twoCellAnchor>
    <xdr:from>
      <xdr:col>1</xdr:col>
      <xdr:colOff>371475</xdr:colOff>
      <xdr:row>4</xdr:row>
      <xdr:rowOff>95251</xdr:rowOff>
    </xdr:from>
    <xdr:to>
      <xdr:col>1</xdr:col>
      <xdr:colOff>587475</xdr:colOff>
      <xdr:row>4</xdr:row>
      <xdr:rowOff>275251</xdr:rowOff>
    </xdr:to>
    <xdr:sp macro="" textlink="">
      <xdr:nvSpPr>
        <xdr:cNvPr id="2" name="1 Sol"/>
        <xdr:cNvSpPr/>
      </xdr:nvSpPr>
      <xdr:spPr>
        <a:xfrm>
          <a:off x="514350" y="533401"/>
          <a:ext cx="216000" cy="180000"/>
        </a:xfrm>
        <a:prstGeom prst="sun">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s-CO" sz="1100"/>
        </a:p>
      </xdr:txBody>
    </xdr:sp>
    <xdr:clientData/>
  </xdr:twoCellAnchor>
  <xdr:twoCellAnchor>
    <xdr:from>
      <xdr:col>1</xdr:col>
      <xdr:colOff>238125</xdr:colOff>
      <xdr:row>5</xdr:row>
      <xdr:rowOff>104775</xdr:rowOff>
    </xdr:from>
    <xdr:to>
      <xdr:col>1</xdr:col>
      <xdr:colOff>730350</xdr:colOff>
      <xdr:row>5</xdr:row>
      <xdr:rowOff>284775</xdr:rowOff>
    </xdr:to>
    <xdr:grpSp>
      <xdr:nvGrpSpPr>
        <xdr:cNvPr id="3" name="2 Grupo"/>
        <xdr:cNvGrpSpPr/>
      </xdr:nvGrpSpPr>
      <xdr:grpSpPr>
        <a:xfrm>
          <a:off x="381000" y="1304925"/>
          <a:ext cx="492225" cy="180000"/>
          <a:chOff x="238125" y="914400"/>
          <a:chExt cx="492225" cy="180000"/>
        </a:xfrm>
      </xdr:grpSpPr>
      <xdr:sp macro="" textlink="">
        <xdr:nvSpPr>
          <xdr:cNvPr id="5" name="4 Sol"/>
          <xdr:cNvSpPr/>
        </xdr:nvSpPr>
        <xdr:spPr>
          <a:xfrm>
            <a:off x="514350" y="914400"/>
            <a:ext cx="216000" cy="180000"/>
          </a:xfrm>
          <a:prstGeom prst="sun">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s-CO" sz="1100"/>
          </a:p>
        </xdr:txBody>
      </xdr:sp>
      <xdr:sp macro="" textlink="">
        <xdr:nvSpPr>
          <xdr:cNvPr id="6" name="5 Sol"/>
          <xdr:cNvSpPr/>
        </xdr:nvSpPr>
        <xdr:spPr>
          <a:xfrm>
            <a:off x="238125" y="914400"/>
            <a:ext cx="216000" cy="180000"/>
          </a:xfrm>
          <a:prstGeom prst="sun">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s-CO" sz="1100"/>
          </a:p>
        </xdr:txBody>
      </xdr:sp>
    </xdr:grpSp>
    <xdr:clientData/>
  </xdr:twoCellAnchor>
  <xdr:twoCellAnchor editAs="oneCell">
    <xdr:from>
      <xdr:col>1</xdr:col>
      <xdr:colOff>352425</xdr:colOff>
      <xdr:row>8</xdr:row>
      <xdr:rowOff>314325</xdr:rowOff>
    </xdr:from>
    <xdr:to>
      <xdr:col>1</xdr:col>
      <xdr:colOff>590550</xdr:colOff>
      <xdr:row>8</xdr:row>
      <xdr:rowOff>561975</xdr:rowOff>
    </xdr:to>
    <xdr:pic>
      <xdr:nvPicPr>
        <xdr:cNvPr id="12" name="11 Imagen"/>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5300" y="3038475"/>
          <a:ext cx="238125" cy="247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361950</xdr:colOff>
      <xdr:row>9</xdr:row>
      <xdr:rowOff>295275</xdr:rowOff>
    </xdr:from>
    <xdr:to>
      <xdr:col>1</xdr:col>
      <xdr:colOff>600075</xdr:colOff>
      <xdr:row>9</xdr:row>
      <xdr:rowOff>542925</xdr:rowOff>
    </xdr:to>
    <xdr:pic>
      <xdr:nvPicPr>
        <xdr:cNvPr id="14" name="13 Imagen"/>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4825" y="3838575"/>
          <a:ext cx="238125" cy="247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38100</xdr:colOff>
      <xdr:row>6</xdr:row>
      <xdr:rowOff>190500</xdr:rowOff>
    </xdr:from>
    <xdr:to>
      <xdr:col>1</xdr:col>
      <xdr:colOff>942975</xdr:colOff>
      <xdr:row>6</xdr:row>
      <xdr:rowOff>514350</xdr:rowOff>
    </xdr:to>
    <xdr:pic>
      <xdr:nvPicPr>
        <xdr:cNvPr id="15" name="14 Imagen"/>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80975" y="1771650"/>
          <a:ext cx="904875" cy="323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33629</xdr:colOff>
      <xdr:row>16</xdr:row>
      <xdr:rowOff>235324</xdr:rowOff>
    </xdr:from>
    <xdr:to>
      <xdr:col>7</xdr:col>
      <xdr:colOff>291364</xdr:colOff>
      <xdr:row>17</xdr:row>
      <xdr:rowOff>235324</xdr:rowOff>
    </xdr:to>
    <xdr:sp macro="" textlink="">
      <xdr:nvSpPr>
        <xdr:cNvPr id="2" name="1 Sol"/>
        <xdr:cNvSpPr/>
      </xdr:nvSpPr>
      <xdr:spPr>
        <a:xfrm>
          <a:off x="10096511" y="4807324"/>
          <a:ext cx="257735" cy="246529"/>
        </a:xfrm>
        <a:prstGeom prst="sun">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s-CO" sz="1100"/>
        </a:p>
      </xdr:txBody>
    </xdr:sp>
    <xdr:clientData/>
  </xdr:twoCellAnchor>
  <xdr:twoCellAnchor>
    <xdr:from>
      <xdr:col>6</xdr:col>
      <xdr:colOff>313764</xdr:colOff>
      <xdr:row>17</xdr:row>
      <xdr:rowOff>33617</xdr:rowOff>
    </xdr:from>
    <xdr:to>
      <xdr:col>6</xdr:col>
      <xdr:colOff>952500</xdr:colOff>
      <xdr:row>17</xdr:row>
      <xdr:rowOff>212912</xdr:rowOff>
    </xdr:to>
    <xdr:sp macro="" textlink="">
      <xdr:nvSpPr>
        <xdr:cNvPr id="3" name="2 Flecha izquierda"/>
        <xdr:cNvSpPr/>
      </xdr:nvSpPr>
      <xdr:spPr>
        <a:xfrm>
          <a:off x="9099176" y="4852146"/>
          <a:ext cx="638736" cy="17929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s-CO" sz="1100"/>
        </a:p>
      </xdr:txBody>
    </xdr:sp>
    <xdr:clientData/>
  </xdr:twoCellAnchor>
  <mc:AlternateContent xmlns:mc="http://schemas.openxmlformats.org/markup-compatibility/2006">
    <mc:Choice xmlns:a14="http://schemas.microsoft.com/office/drawing/2010/main" Requires="a14">
      <xdr:twoCellAnchor editAs="oneCell">
        <xdr:from>
          <xdr:col>2</xdr:col>
          <xdr:colOff>371475</xdr:colOff>
          <xdr:row>24</xdr:row>
          <xdr:rowOff>0</xdr:rowOff>
        </xdr:from>
        <xdr:to>
          <xdr:col>2</xdr:col>
          <xdr:colOff>676275</xdr:colOff>
          <xdr:row>24</xdr:row>
          <xdr:rowOff>209550</xdr:rowOff>
        </xdr:to>
        <xdr:sp macro="" textlink="">
          <xdr:nvSpPr>
            <xdr:cNvPr id="4097" name="Check Box 1" hidden="1">
              <a:extLst>
                <a:ext uri="{63B3BB69-23CF-44E3-9099-C40C66FF867C}">
                  <a14:compatExt spid="_x0000_s409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s-CO"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371475</xdr:colOff>
          <xdr:row>25</xdr:row>
          <xdr:rowOff>0</xdr:rowOff>
        </xdr:from>
        <xdr:to>
          <xdr:col>2</xdr:col>
          <xdr:colOff>676275</xdr:colOff>
          <xdr:row>25</xdr:row>
          <xdr:rowOff>209550</xdr:rowOff>
        </xdr:to>
        <xdr:sp macro="" textlink="">
          <xdr:nvSpPr>
            <xdr:cNvPr id="4098" name="Check Box 2" hidden="1">
              <a:extLst>
                <a:ext uri="{63B3BB69-23CF-44E3-9099-C40C66FF867C}">
                  <a14:compatExt spid="_x0000_s409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s-CO"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371475</xdr:colOff>
          <xdr:row>26</xdr:row>
          <xdr:rowOff>0</xdr:rowOff>
        </xdr:from>
        <xdr:to>
          <xdr:col>2</xdr:col>
          <xdr:colOff>676275</xdr:colOff>
          <xdr:row>26</xdr:row>
          <xdr:rowOff>209550</xdr:rowOff>
        </xdr:to>
        <xdr:sp macro="" textlink="">
          <xdr:nvSpPr>
            <xdr:cNvPr id="4099" name="Check Box 3" hidden="1">
              <a:extLst>
                <a:ext uri="{63B3BB69-23CF-44E3-9099-C40C66FF867C}">
                  <a14:compatExt spid="_x0000_s409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s-CO"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371475</xdr:colOff>
          <xdr:row>27</xdr:row>
          <xdr:rowOff>0</xdr:rowOff>
        </xdr:from>
        <xdr:to>
          <xdr:col>2</xdr:col>
          <xdr:colOff>676275</xdr:colOff>
          <xdr:row>27</xdr:row>
          <xdr:rowOff>209550</xdr:rowOff>
        </xdr:to>
        <xdr:sp macro="" textlink="">
          <xdr:nvSpPr>
            <xdr:cNvPr id="4100" name="Check Box 4" hidden="1">
              <a:extLst>
                <a:ext uri="{63B3BB69-23CF-44E3-9099-C40C66FF867C}">
                  <a14:compatExt spid="_x0000_s410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s-CO"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371475</xdr:colOff>
          <xdr:row>28</xdr:row>
          <xdr:rowOff>0</xdr:rowOff>
        </xdr:from>
        <xdr:to>
          <xdr:col>2</xdr:col>
          <xdr:colOff>676275</xdr:colOff>
          <xdr:row>28</xdr:row>
          <xdr:rowOff>209550</xdr:rowOff>
        </xdr:to>
        <xdr:sp macro="" textlink="">
          <xdr:nvSpPr>
            <xdr:cNvPr id="4101" name="Check Box 5" hidden="1">
              <a:extLst>
                <a:ext uri="{63B3BB69-23CF-44E3-9099-C40C66FF867C}">
                  <a14:compatExt spid="_x0000_s410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s-CO"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371475</xdr:colOff>
          <xdr:row>28</xdr:row>
          <xdr:rowOff>0</xdr:rowOff>
        </xdr:from>
        <xdr:to>
          <xdr:col>2</xdr:col>
          <xdr:colOff>676275</xdr:colOff>
          <xdr:row>28</xdr:row>
          <xdr:rowOff>209550</xdr:rowOff>
        </xdr:to>
        <xdr:sp macro="" textlink="">
          <xdr:nvSpPr>
            <xdr:cNvPr id="4102" name="Check Box 6" hidden="1">
              <a:extLst>
                <a:ext uri="{63B3BB69-23CF-44E3-9099-C40C66FF867C}">
                  <a14:compatExt spid="_x0000_s410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s-CO"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371475</xdr:colOff>
          <xdr:row>23</xdr:row>
          <xdr:rowOff>0</xdr:rowOff>
        </xdr:from>
        <xdr:to>
          <xdr:col>2</xdr:col>
          <xdr:colOff>676275</xdr:colOff>
          <xdr:row>23</xdr:row>
          <xdr:rowOff>209550</xdr:rowOff>
        </xdr:to>
        <xdr:sp macro="" textlink="">
          <xdr:nvSpPr>
            <xdr:cNvPr id="4103" name="Check Box 7" hidden="1">
              <a:extLst>
                <a:ext uri="{63B3BB69-23CF-44E3-9099-C40C66FF867C}">
                  <a14:compatExt spid="_x0000_s410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s-CO" sz="800" b="0" i="0" u="none" strike="noStrike" baseline="0">
                  <a:solidFill>
                    <a:srgbClr val="000000"/>
                  </a:solidFill>
                  <a:latin typeface="Tahoma"/>
                  <a:ea typeface="Tahoma"/>
                  <a:cs typeface="Tahoma"/>
                </a:rPr>
                <a:t> </a:t>
              </a:r>
            </a:p>
          </xdr:txBody>
        </xdr:sp>
        <xdr:clientData/>
      </xdr:twoCellAnchor>
    </mc:Choice>
    <mc:Fallback/>
  </mc:AlternateContent>
  <mc:AlternateContent xmlns:mc="http://schemas.openxmlformats.org/markup-compatibility/2006">
    <mc:Choice xmlns:a14="http://schemas.microsoft.com/office/drawing/2010/main" Requires="a14">
      <xdr:twoCellAnchor>
        <xdr:from>
          <xdr:col>3</xdr:col>
          <xdr:colOff>1343025</xdr:colOff>
          <xdr:row>16</xdr:row>
          <xdr:rowOff>123825</xdr:rowOff>
        </xdr:from>
        <xdr:to>
          <xdr:col>6</xdr:col>
          <xdr:colOff>0</xdr:colOff>
          <xdr:row>18</xdr:row>
          <xdr:rowOff>114300</xdr:rowOff>
        </xdr:to>
        <xdr:sp macro="" textlink="">
          <xdr:nvSpPr>
            <xdr:cNvPr id="4104" name="Button 8" hidden="1">
              <a:extLst>
                <a:ext uri="{63B3BB69-23CF-44E3-9099-C40C66FF867C}">
                  <a14:compatExt spid="_x0000_s410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s-CO" sz="1100" b="1" i="0" u="none" strike="noStrike" baseline="0">
                  <a:solidFill>
                    <a:srgbClr val="993300"/>
                  </a:solidFill>
                  <a:latin typeface="Calibri"/>
                </a:rPr>
                <a:t>Calcular Porcentaje de avance de Obras a Junio de 2014 para proyecto  Hidrosogamoso</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2</xdr:col>
      <xdr:colOff>0</xdr:colOff>
      <xdr:row>39</xdr:row>
      <xdr:rowOff>0</xdr:rowOff>
    </xdr:from>
    <xdr:to>
      <xdr:col>2</xdr:col>
      <xdr:colOff>638736</xdr:colOff>
      <xdr:row>39</xdr:row>
      <xdr:rowOff>179295</xdr:rowOff>
    </xdr:to>
    <xdr:sp macro="" textlink="">
      <xdr:nvSpPr>
        <xdr:cNvPr id="4" name="3 Flecha izquierda"/>
        <xdr:cNvSpPr/>
      </xdr:nvSpPr>
      <xdr:spPr>
        <a:xfrm>
          <a:off x="3352800" y="8020050"/>
          <a:ext cx="638736" cy="17929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s-CO" sz="1100"/>
        </a:p>
      </xdr:txBody>
    </xdr:sp>
    <xdr:clientData/>
  </xdr:twoCellAnchor>
  <xdr:twoCellAnchor>
    <xdr:from>
      <xdr:col>2</xdr:col>
      <xdr:colOff>790575</xdr:colOff>
      <xdr:row>39</xdr:row>
      <xdr:rowOff>0</xdr:rowOff>
    </xdr:from>
    <xdr:to>
      <xdr:col>2</xdr:col>
      <xdr:colOff>1282800</xdr:colOff>
      <xdr:row>39</xdr:row>
      <xdr:rowOff>180000</xdr:rowOff>
    </xdr:to>
    <xdr:grpSp>
      <xdr:nvGrpSpPr>
        <xdr:cNvPr id="5" name="4 Grupo"/>
        <xdr:cNvGrpSpPr/>
      </xdr:nvGrpSpPr>
      <xdr:grpSpPr>
        <a:xfrm>
          <a:off x="4143375" y="8020050"/>
          <a:ext cx="492225" cy="180000"/>
          <a:chOff x="238125" y="914400"/>
          <a:chExt cx="492225" cy="180000"/>
        </a:xfrm>
      </xdr:grpSpPr>
      <xdr:sp macro="" textlink="">
        <xdr:nvSpPr>
          <xdr:cNvPr id="6" name="5 Sol"/>
          <xdr:cNvSpPr/>
        </xdr:nvSpPr>
        <xdr:spPr>
          <a:xfrm>
            <a:off x="514350" y="914400"/>
            <a:ext cx="216000" cy="180000"/>
          </a:xfrm>
          <a:prstGeom prst="sun">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s-CO" sz="1100"/>
          </a:p>
        </xdr:txBody>
      </xdr:sp>
      <xdr:sp macro="" textlink="">
        <xdr:nvSpPr>
          <xdr:cNvPr id="7" name="6 Sol"/>
          <xdr:cNvSpPr/>
        </xdr:nvSpPr>
        <xdr:spPr>
          <a:xfrm>
            <a:off x="238125" y="914400"/>
            <a:ext cx="216000" cy="180000"/>
          </a:xfrm>
          <a:prstGeom prst="sun">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s-CO" sz="1100"/>
          </a:p>
        </xdr:txBody>
      </xdr:sp>
    </xdr:grpSp>
    <xdr:clientData/>
  </xdr:twoCellAnchor>
  <mc:AlternateContent xmlns:mc="http://schemas.openxmlformats.org/markup-compatibility/2006">
    <mc:Choice xmlns:a14="http://schemas.microsoft.com/office/drawing/2010/main" Requires="a14">
      <xdr:twoCellAnchor editAs="oneCell">
        <xdr:from>
          <xdr:col>0</xdr:col>
          <xdr:colOff>152400</xdr:colOff>
          <xdr:row>38</xdr:row>
          <xdr:rowOff>0</xdr:rowOff>
        </xdr:from>
        <xdr:to>
          <xdr:col>1</xdr:col>
          <xdr:colOff>95250</xdr:colOff>
          <xdr:row>39</xdr:row>
          <xdr:rowOff>142875</xdr:rowOff>
        </xdr:to>
        <xdr:sp macro="" textlink="">
          <xdr:nvSpPr>
            <xdr:cNvPr id="48129" name="Check Box 1" hidden="1">
              <a:extLst>
                <a:ext uri="{63B3BB69-23CF-44E3-9099-C40C66FF867C}">
                  <a14:compatExt spid="_x0000_s4812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es-CO" sz="800" b="0" i="0" u="none" strike="noStrike" baseline="0">
                  <a:solidFill>
                    <a:srgbClr val="000000"/>
                  </a:solidFill>
                  <a:latin typeface="Tahoma"/>
                  <a:ea typeface="Tahoma"/>
                  <a:cs typeface="Tahoma"/>
                </a:rPr>
                <a:t>Aportes de capital</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133350</xdr:colOff>
          <xdr:row>39</xdr:row>
          <xdr:rowOff>161925</xdr:rowOff>
        </xdr:from>
        <xdr:to>
          <xdr:col>1</xdr:col>
          <xdr:colOff>104775</xdr:colOff>
          <xdr:row>41</xdr:row>
          <xdr:rowOff>57150</xdr:rowOff>
        </xdr:to>
        <xdr:sp macro="" textlink="">
          <xdr:nvSpPr>
            <xdr:cNvPr id="48130" name="Button 2" hidden="1">
              <a:extLst>
                <a:ext uri="{63B3BB69-23CF-44E3-9099-C40C66FF867C}">
                  <a14:compatExt spid="_x0000_s48130"/>
                </a:ext>
              </a:extLst>
            </xdr:cNvPr>
            <xdr:cNvSpPr/>
          </xdr:nvSpPr>
          <xdr:spPr>
            <a:xfrm>
              <a:off x="0" y="0"/>
              <a:ext cx="0" cy="0"/>
            </a:xfrm>
            <a:prstGeom prst="rect">
              <a:avLst/>
            </a:prstGeom>
          </xdr:spPr>
          <xdr:txBody>
            <a:bodyPr vertOverflow="clip" wrap="square" lIns="36576" tIns="22860" rIns="36576" bIns="22860" anchor="ctr" upright="1"/>
            <a:lstStyle/>
            <a:p>
              <a:pPr algn="ctr" rtl="0">
                <a:defRPr sz="1000"/>
              </a:pPr>
              <a:r>
                <a:rPr lang="es-CO" sz="1000" b="1" i="0" u="none" strike="noStrike" baseline="0">
                  <a:solidFill>
                    <a:srgbClr val="000000"/>
                  </a:solidFill>
                  <a:latin typeface="Verdana"/>
                  <a:ea typeface="Verdana"/>
                  <a:cs typeface="Verdana"/>
                </a:rPr>
                <a:t>Ajustar Caja</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xdr:col>
      <xdr:colOff>685800</xdr:colOff>
      <xdr:row>75</xdr:row>
      <xdr:rowOff>28575</xdr:rowOff>
    </xdr:from>
    <xdr:to>
      <xdr:col>5</xdr:col>
      <xdr:colOff>914400</xdr:colOff>
      <xdr:row>91</xdr:row>
      <xdr:rowOff>66675</xdr:rowOff>
    </xdr:to>
    <xdr:pic>
      <xdr:nvPicPr>
        <xdr:cNvPr id="2" name="1 Imagen" descr="http://www.isagen.com.co/informe-de-gestion/2013/images/financiacion.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47800" y="13592175"/>
          <a:ext cx="5715000" cy="3086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ISIS\ISIS%20con%20datos%20del%20cuarto%20de%20datos\Modelo%20de%20valoraci&#243;n%20Sogamoso%20con%20datos%20del%20cuarto%20de%20dato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ISIS\ISIS%20con%20datos%20del%20cuarto%20de%20datos\Modelo%20de%20valoraci&#243;n%20Jaguas%20con%20datos%20del%20cuarto%20de%20dato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APIN/AppData/Local/Temp/Temp1_Res_LP_regAuto_Junio14.zip/LP_regCoor_Abril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mmy"/>
      <sheetName val="Macroeconomico"/>
      <sheetName val="Datos"/>
      <sheetName val="Ingresos"/>
      <sheetName val="Costos y Gastos"/>
      <sheetName val="Inversion"/>
      <sheetName val="Creditos"/>
      <sheetName val="Impuestos"/>
      <sheetName val="CREE"/>
      <sheetName val="ER"/>
      <sheetName val="BG"/>
      <sheetName val="FE"/>
      <sheetName val="CE"/>
      <sheetName val="CCPP"/>
      <sheetName val="EVA"/>
      <sheetName val="FCL"/>
      <sheetName val="FC Accionista"/>
      <sheetName val="Op Ccial"/>
      <sheetName val="Datos Proyecto"/>
      <sheetName val="Cálculos de TIR"/>
    </sheetNames>
    <sheetDataSet>
      <sheetData sheetId="0"/>
      <sheetData sheetId="1"/>
      <sheetData sheetId="2">
        <row r="13">
          <cell r="B13">
            <v>360</v>
          </cell>
        </row>
      </sheetData>
      <sheetData sheetId="3"/>
      <sheetData sheetId="4"/>
      <sheetData sheetId="5"/>
      <sheetData sheetId="6"/>
      <sheetData sheetId="7"/>
      <sheetData sheetId="8"/>
      <sheetData sheetId="9"/>
      <sheetData sheetId="10"/>
      <sheetData sheetId="11"/>
      <sheetData sheetId="12"/>
      <sheetData sheetId="13">
        <row r="27">
          <cell r="B27">
            <v>0.67403798733245501</v>
          </cell>
        </row>
      </sheetData>
      <sheetData sheetId="14"/>
      <sheetData sheetId="15"/>
      <sheetData sheetId="16"/>
      <sheetData sheetId="17"/>
      <sheetData sheetId="18"/>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mmy"/>
      <sheetName val="Macroeconomico"/>
      <sheetName val="Datos"/>
      <sheetName val="Ingresos"/>
      <sheetName val="Costos y Gastos"/>
      <sheetName val="Inversion"/>
      <sheetName val="Creditos"/>
      <sheetName val="Impuestos"/>
      <sheetName val="CREE"/>
      <sheetName val="ER"/>
      <sheetName val="BG"/>
      <sheetName val="FE"/>
      <sheetName val="CE"/>
      <sheetName val="CCPP"/>
      <sheetName val="EVA"/>
      <sheetName val="FCL"/>
      <sheetName val="FC Accionista"/>
      <sheetName val="Op Ccial"/>
      <sheetName val="Datos Activo"/>
      <sheetName val="Cálculos de TIR"/>
    </sheetNames>
    <sheetDataSet>
      <sheetData sheetId="0"/>
      <sheetData sheetId="1"/>
      <sheetData sheetId="2">
        <row r="13">
          <cell r="B13">
            <v>360</v>
          </cell>
        </row>
      </sheetData>
      <sheetData sheetId="3"/>
      <sheetData sheetId="4"/>
      <sheetData sheetId="5"/>
      <sheetData sheetId="6"/>
      <sheetData sheetId="7"/>
      <sheetData sheetId="8"/>
      <sheetData sheetId="9"/>
      <sheetData sheetId="10"/>
      <sheetData sheetId="11"/>
      <sheetData sheetId="12"/>
      <sheetData sheetId="13">
        <row r="27">
          <cell r="B27">
            <v>0.67403798733245501</v>
          </cell>
        </row>
      </sheetData>
      <sheetData sheetId="14"/>
      <sheetData sheetId="15"/>
      <sheetData sheetId="16"/>
      <sheetData sheetId="17"/>
      <sheetData sheetId="18"/>
      <sheetData sheetId="1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ficosAuto"/>
      <sheetName val="Graficos"/>
      <sheetName val="Graficos_"/>
      <sheetName val="Datos"/>
      <sheetName val="Box and Whisker"/>
      <sheetName val="Partir Archivo"/>
      <sheetName val="Termicas y menores"/>
      <sheetName val="Validacion"/>
      <sheetName val="Hidraulicas"/>
      <sheetName val="Embalses"/>
      <sheetName val="Fact Embalses"/>
      <sheetName val="Rios"/>
      <sheetName val="Fact Rios"/>
      <sheetName val="Balance Del SIN"/>
      <sheetName val="Generacion hidro"/>
      <sheetName val="Generacion Termica"/>
      <sheetName val="Costo Marginal"/>
      <sheetName val="Índices de Confiabilidad"/>
      <sheetName val="Indiconf"/>
      <sheetName val="Generacion Hidro por Planta"/>
      <sheetName val="Generacion Termica por Planta"/>
      <sheetName val="Generacion Termica por Recurso"/>
      <sheetName val="Consumo de combustibles"/>
      <sheetName val="Generacion Comb. Liquidos"/>
      <sheetName val="Aporte Total SIN(GWh)"/>
      <sheetName val="EMBALSE SIN"/>
      <sheetName val="Balance por Area"/>
      <sheetName val="VALOR MARGINAL AGUA"/>
      <sheetName val="Evo Embalses"/>
      <sheetName val="ImpoEcuador"/>
      <sheetName val="IntercambiosPanama"/>
      <sheetName val="Hoja1"/>
    </sheetNames>
    <sheetDataSet>
      <sheetData sheetId="0" refreshError="1"/>
      <sheetData sheetId="1" refreshError="1"/>
      <sheetData sheetId="2" refreshError="1"/>
      <sheetData sheetId="3"/>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isagen.com.co/comunicados/ISAGEN_CORTA_PRESENTACION.pdf" TargetMode="External"/><Relationship Id="rId2" Type="http://schemas.openxmlformats.org/officeDocument/2006/relationships/hyperlink" Target="http://www.sipg.gov.co/sipg/documentos/Proyecciones/2012/PROYECC_DEMDO_GM_GNV_2012-2031.pdf" TargetMode="External"/><Relationship Id="rId1" Type="http://schemas.openxmlformats.org/officeDocument/2006/relationships/hyperlink" Target="http://www.sipg.gov.co/sipg/documentos/precios_combustibles/Termicas_Marzo_2014.pdf%20p&#225;gs%2047-48"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omments" Target="../comments3.xml"/><Relationship Id="rId3" Type="http://schemas.openxmlformats.org/officeDocument/2006/relationships/drawing" Target="../drawings/drawing2.xml"/><Relationship Id="rId7" Type="http://schemas.openxmlformats.org/officeDocument/2006/relationships/ctrlProp" Target="../ctrlProps/ctrlProp3.xml"/><Relationship Id="rId12" Type="http://schemas.openxmlformats.org/officeDocument/2006/relationships/ctrlProp" Target="../ctrlProps/ctrlProp8.xml"/><Relationship Id="rId2" Type="http://schemas.openxmlformats.org/officeDocument/2006/relationships/printerSettings" Target="../printerSettings/printerSettings1.bin"/><Relationship Id="rId1" Type="http://schemas.openxmlformats.org/officeDocument/2006/relationships/hyperlink" Target="http://www.comunidadcontable.com/BancoConocimiento/N/noti_0310201403_este_es_el_proyecto_de_ley_para_la_reforma_tributaria_2014/noti_0310201403_este_es_el_proyecto_de_ley_para_la_reforma_tributaria_2014.asp?Miga=1&amp;IDobjetose=14350&amp;CodSeccion=109" TargetMode="External"/><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0" Type="http://schemas.openxmlformats.org/officeDocument/2006/relationships/ctrlProp" Target="../ctrlProps/ctrlProp6.xml"/><Relationship Id="rId4" Type="http://schemas.openxmlformats.org/officeDocument/2006/relationships/vmlDrawing" Target="../drawings/vmlDrawing3.vml"/><Relationship Id="rId9" Type="http://schemas.openxmlformats.org/officeDocument/2006/relationships/ctrlProp" Target="../ctrlProps/ctrlProp5.xml"/></Relationships>
</file>

<file path=xl/worksheets/_rels/sheet5.xml.rels><?xml version="1.0" encoding="UTF-8" standalone="yes"?>
<Relationships xmlns="http://schemas.openxmlformats.org/package/2006/relationships"><Relationship Id="rId3" Type="http://schemas.openxmlformats.org/officeDocument/2006/relationships/hyperlink" Target="http://apolo.creg.gov.co/Publicac.nsf/1aed427ff782911965256751001e9e55/30382cf20ca7b6bc0525785a007a71d3/$FILE/CIRCULAR045-2009%20ANEXO.pdf" TargetMode="External"/><Relationship Id="rId7" Type="http://schemas.openxmlformats.org/officeDocument/2006/relationships/comments" Target="../comments4.xml"/><Relationship Id="rId2" Type="http://schemas.openxmlformats.org/officeDocument/2006/relationships/hyperlink" Target="http://www.sui.gov.co/MEM/archivos/informesexpert/informe44.pdf" TargetMode="External"/><Relationship Id="rId1" Type="http://schemas.openxmlformats.org/officeDocument/2006/relationships/hyperlink" Target="http://kosmos.upb.edu.co/web/uploads/articulos/(A)_Analisis_Energetico_y_Economico_Para_el_Cambio_de_Combustible_en_una_Central_de_Ciclo_Combinado_en_Thermoflex_1041.pdf" TargetMode="External"/><Relationship Id="rId6" Type="http://schemas.openxmlformats.org/officeDocument/2006/relationships/vmlDrawing" Target="../drawings/vmlDrawing4.vml"/><Relationship Id="rId5" Type="http://schemas.openxmlformats.org/officeDocument/2006/relationships/printerSettings" Target="../printerSettings/printerSettings2.bin"/><Relationship Id="rId4" Type="http://schemas.openxmlformats.org/officeDocument/2006/relationships/hyperlink" Target="http://www.sui.gov.co/MEM/archivos/informesexpert/informe88.pdf"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3.xml"/><Relationship Id="rId1" Type="http://schemas.openxmlformats.org/officeDocument/2006/relationships/printerSettings" Target="../printerSettings/printerSettings6.bin"/><Relationship Id="rId5" Type="http://schemas.openxmlformats.org/officeDocument/2006/relationships/ctrlProp" Target="../ctrlProps/ctrlProp10.xml"/><Relationship Id="rId4" Type="http://schemas.openxmlformats.org/officeDocument/2006/relationships/ctrlProp" Target="../ctrlProps/ctrlProp9.xml"/></Relationships>
</file>

<file path=xl/worksheets/_rels/sheet18.xml.rels><?xml version="1.0" encoding="UTF-8" standalone="yes"?>
<Relationships xmlns="http://schemas.openxmlformats.org/package/2006/relationships"><Relationship Id="rId3" Type="http://schemas.openxmlformats.org/officeDocument/2006/relationships/hyperlink" Target="http://pages.stern.nyu.edu/~adamodar/New_Home_Page/datafile/histretSP.html" TargetMode="External"/><Relationship Id="rId2" Type="http://schemas.openxmlformats.org/officeDocument/2006/relationships/hyperlink" Target="http://www.ambito.com/economia/mercados/riesgo-pais/info/?id=4" TargetMode="External"/><Relationship Id="rId1" Type="http://schemas.openxmlformats.org/officeDocument/2006/relationships/hyperlink" Target="http://finance.yahoo.com/bonds/composite_bond_rates" TargetMode="External"/><Relationship Id="rId6" Type="http://schemas.openxmlformats.org/officeDocument/2006/relationships/drawing" Target="../drawings/drawing4.xml"/><Relationship Id="rId5" Type="http://schemas.openxmlformats.org/officeDocument/2006/relationships/hyperlink" Target="http://pages.stern.nyu.edu/~adamodar/" TargetMode="External"/><Relationship Id="rId4" Type="http://schemas.openxmlformats.org/officeDocument/2006/relationships/hyperlink" Target="http://pages.stern.nyu.edu/~adamodar/New_Home_Page/datafile/Betas.html" TargetMode="External"/></Relationships>
</file>

<file path=xl/worksheets/_rels/sheet20.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xm.com.co/Pages/AnalisisEnergeticodeLargoPlazoMPODE.aspx" TargetMode="Externa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B2:F22"/>
  <sheetViews>
    <sheetView showGridLines="0" workbookViewId="0">
      <selection activeCell="C10" sqref="C10"/>
    </sheetView>
  </sheetViews>
  <sheetFormatPr baseColWidth="10" defaultRowHeight="15"/>
  <cols>
    <col min="1" max="1" width="2.140625" customWidth="1"/>
    <col min="2" max="2" width="14.28515625" customWidth="1"/>
    <col min="3" max="3" width="14.7109375" bestFit="1" customWidth="1"/>
    <col min="4" max="4" width="27" bestFit="1" customWidth="1"/>
    <col min="5" max="5" width="109.7109375" bestFit="1" customWidth="1"/>
  </cols>
  <sheetData>
    <row r="2" spans="2:6">
      <c r="B2" s="627" t="s">
        <v>871</v>
      </c>
      <c r="C2" s="628"/>
    </row>
    <row r="4" spans="2:6" ht="20.100000000000001" customHeight="1">
      <c r="B4" s="218" t="s">
        <v>413</v>
      </c>
      <c r="C4" s="218" t="s">
        <v>414</v>
      </c>
      <c r="D4" s="218" t="s">
        <v>416</v>
      </c>
      <c r="E4" s="218" t="s">
        <v>417</v>
      </c>
      <c r="F4" s="217"/>
    </row>
    <row r="5" spans="2:6" ht="30" customHeight="1">
      <c r="B5" s="24"/>
      <c r="C5" s="228" t="s">
        <v>435</v>
      </c>
      <c r="D5" s="219" t="s">
        <v>415</v>
      </c>
      <c r="E5" s="220" t="s">
        <v>830</v>
      </c>
    </row>
    <row r="6" spans="2:6" ht="30" customHeight="1">
      <c r="B6" s="24"/>
      <c r="C6" s="228" t="s">
        <v>866</v>
      </c>
      <c r="D6" s="219" t="s">
        <v>867</v>
      </c>
      <c r="E6" s="220" t="s">
        <v>1033</v>
      </c>
    </row>
    <row r="7" spans="2:6" ht="45" customHeight="1">
      <c r="B7" s="24"/>
      <c r="C7" s="229" t="s">
        <v>423</v>
      </c>
      <c r="D7" s="220" t="s">
        <v>424</v>
      </c>
      <c r="E7" s="220" t="s">
        <v>425</v>
      </c>
    </row>
    <row r="8" spans="2:6" s="221" customFormat="1" ht="45" customHeight="1">
      <c r="B8" s="247" t="s">
        <v>448</v>
      </c>
      <c r="C8" s="229" t="s">
        <v>426</v>
      </c>
      <c r="D8" s="220" t="s">
        <v>449</v>
      </c>
      <c r="E8" s="220" t="s">
        <v>447</v>
      </c>
    </row>
    <row r="9" spans="2:6" s="221" customFormat="1" ht="65.099999999999994" customHeight="1">
      <c r="B9" s="222"/>
      <c r="C9" s="229" t="s">
        <v>438</v>
      </c>
      <c r="D9" s="220" t="s">
        <v>439</v>
      </c>
      <c r="E9" s="220" t="s">
        <v>440</v>
      </c>
    </row>
    <row r="10" spans="2:6" s="221" customFormat="1" ht="65.099999999999994" customHeight="1">
      <c r="B10" s="222"/>
      <c r="C10" s="229" t="s">
        <v>438</v>
      </c>
      <c r="D10" s="220" t="s">
        <v>869</v>
      </c>
      <c r="E10" s="220" t="s">
        <v>870</v>
      </c>
    </row>
    <row r="14" spans="2:6">
      <c r="B14" s="627" t="s">
        <v>872</v>
      </c>
      <c r="C14" s="628"/>
    </row>
    <row r="16" spans="2:6" ht="20.100000000000001" customHeight="1">
      <c r="B16" s="218" t="s">
        <v>873</v>
      </c>
      <c r="C16" s="218" t="s">
        <v>874</v>
      </c>
      <c r="D16" s="218" t="s">
        <v>875</v>
      </c>
      <c r="E16" s="218" t="s">
        <v>876</v>
      </c>
      <c r="F16" s="217"/>
    </row>
    <row r="17" spans="2:5" s="537" customFormat="1" ht="45">
      <c r="B17" s="455" t="s">
        <v>936</v>
      </c>
      <c r="C17" s="32" t="s">
        <v>937</v>
      </c>
      <c r="D17" s="455" t="s">
        <v>938</v>
      </c>
      <c r="E17" s="455" t="s">
        <v>939</v>
      </c>
    </row>
    <row r="18" spans="2:5" ht="60">
      <c r="B18" s="455" t="s">
        <v>877</v>
      </c>
      <c r="C18" s="32" t="s">
        <v>878</v>
      </c>
      <c r="D18" s="455" t="s">
        <v>879</v>
      </c>
      <c r="E18" s="455" t="s">
        <v>880</v>
      </c>
    </row>
    <row r="19" spans="2:5" ht="45">
      <c r="B19" s="455" t="s">
        <v>881</v>
      </c>
      <c r="C19" s="455" t="s">
        <v>882</v>
      </c>
      <c r="D19" s="455" t="s">
        <v>883</v>
      </c>
      <c r="E19" s="455" t="s">
        <v>884</v>
      </c>
    </row>
    <row r="20" spans="2:5" ht="45">
      <c r="B20" s="455" t="s">
        <v>743</v>
      </c>
      <c r="C20" s="455" t="s">
        <v>885</v>
      </c>
      <c r="D20" s="455" t="s">
        <v>886</v>
      </c>
      <c r="E20" s="455" t="s">
        <v>887</v>
      </c>
    </row>
    <row r="21" spans="2:5" ht="60">
      <c r="B21" s="455" t="s">
        <v>867</v>
      </c>
      <c r="C21" s="455" t="s">
        <v>888</v>
      </c>
      <c r="D21" s="455" t="s">
        <v>886</v>
      </c>
      <c r="E21" s="455" t="s">
        <v>889</v>
      </c>
    </row>
    <row r="22" spans="2:5" ht="60">
      <c r="B22" s="455" t="s">
        <v>809</v>
      </c>
      <c r="C22" s="455" t="s">
        <v>890</v>
      </c>
      <c r="D22" s="455" t="s">
        <v>886</v>
      </c>
      <c r="E22" s="455" t="s">
        <v>891</v>
      </c>
    </row>
  </sheetData>
  <mergeCells count="2">
    <mergeCell ref="B2:C2"/>
    <mergeCell ref="B14:C1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
  <dimension ref="A1:V90"/>
  <sheetViews>
    <sheetView showGridLines="0" tabSelected="1" topLeftCell="B1" workbookViewId="0">
      <selection activeCell="B23" sqref="B23"/>
    </sheetView>
  </sheetViews>
  <sheetFormatPr baseColWidth="10" defaultRowHeight="15"/>
  <cols>
    <col min="1" max="1" width="4.42578125" style="1" customWidth="1"/>
    <col min="2" max="2" width="41.28515625" style="1" customWidth="1"/>
    <col min="3" max="3" width="11.5703125" style="1" bestFit="1" customWidth="1"/>
    <col min="4" max="4" width="10.5703125" style="1" bestFit="1" customWidth="1"/>
    <col min="5" max="13" width="11.5703125" style="1" bestFit="1" customWidth="1"/>
    <col min="14" max="18" width="9.28515625" style="1" customWidth="1"/>
    <col min="19" max="16384" width="11.42578125" style="1"/>
  </cols>
  <sheetData>
    <row r="1" spans="2:18" ht="18">
      <c r="B1" s="2" t="s">
        <v>402</v>
      </c>
      <c r="C1" s="4"/>
    </row>
    <row r="2" spans="2:18" ht="18">
      <c r="B2" s="3" t="s">
        <v>8</v>
      </c>
    </row>
    <row r="3" spans="2:18" customFormat="1" ht="16.5" thickBot="1">
      <c r="B3" s="199" t="s">
        <v>600</v>
      </c>
      <c r="C3" s="326"/>
      <c r="D3" s="335"/>
      <c r="E3" s="334">
        <f>Meses_Proyectados_Año_Base</f>
        <v>6</v>
      </c>
      <c r="F3" s="334">
        <f t="shared" ref="F3:O3" si="0">Mes_año</f>
        <v>12</v>
      </c>
      <c r="G3" s="334">
        <f t="shared" si="0"/>
        <v>12</v>
      </c>
      <c r="H3" s="334">
        <f t="shared" si="0"/>
        <v>12</v>
      </c>
      <c r="I3" s="334">
        <f t="shared" si="0"/>
        <v>12</v>
      </c>
      <c r="J3" s="334">
        <f t="shared" si="0"/>
        <v>12</v>
      </c>
      <c r="K3" s="334">
        <f t="shared" si="0"/>
        <v>12</v>
      </c>
      <c r="L3" s="334">
        <f t="shared" si="0"/>
        <v>12</v>
      </c>
      <c r="M3" s="334">
        <f t="shared" si="0"/>
        <v>12</v>
      </c>
      <c r="N3" s="334">
        <f t="shared" si="0"/>
        <v>12</v>
      </c>
      <c r="O3" s="334">
        <f t="shared" si="0"/>
        <v>12</v>
      </c>
    </row>
    <row r="4" spans="2:18" s="206" customFormat="1" ht="16.5" thickBot="1">
      <c r="B4" s="570" t="s">
        <v>401</v>
      </c>
      <c r="C4" s="203">
        <v>2013</v>
      </c>
      <c r="D4" s="214" t="s">
        <v>408</v>
      </c>
      <c r="E4" s="214" t="s">
        <v>409</v>
      </c>
      <c r="F4" s="203">
        <v>2015</v>
      </c>
      <c r="G4" s="204">
        <f t="shared" ref="G4:O4" si="1">+F4+1</f>
        <v>2016</v>
      </c>
      <c r="H4" s="204">
        <f t="shared" si="1"/>
        <v>2017</v>
      </c>
      <c r="I4" s="204">
        <f t="shared" si="1"/>
        <v>2018</v>
      </c>
      <c r="J4" s="204">
        <f t="shared" si="1"/>
        <v>2019</v>
      </c>
      <c r="K4" s="204">
        <f t="shared" si="1"/>
        <v>2020</v>
      </c>
      <c r="L4" s="204">
        <f t="shared" si="1"/>
        <v>2021</v>
      </c>
      <c r="M4" s="204">
        <f t="shared" si="1"/>
        <v>2022</v>
      </c>
      <c r="N4" s="204">
        <f t="shared" si="1"/>
        <v>2023</v>
      </c>
      <c r="O4" s="204">
        <f t="shared" si="1"/>
        <v>2024</v>
      </c>
      <c r="P4" s="205"/>
      <c r="Q4" s="205"/>
      <c r="R4" s="205"/>
    </row>
    <row r="5" spans="2:18" s="5" customFormat="1" ht="15.75" thickTop="1">
      <c r="B5" s="10" t="s">
        <v>1</v>
      </c>
      <c r="C5" s="207"/>
      <c r="D5" s="207"/>
      <c r="E5" s="6"/>
      <c r="F5" s="6"/>
      <c r="G5" s="6"/>
      <c r="H5" s="6"/>
      <c r="I5" s="6"/>
      <c r="J5" s="7"/>
      <c r="K5" s="7"/>
      <c r="L5" s="7"/>
      <c r="M5" s="7"/>
      <c r="N5" s="7"/>
      <c r="O5" s="7"/>
      <c r="P5" s="1"/>
      <c r="Q5" s="1"/>
      <c r="R5" s="1"/>
    </row>
    <row r="6" spans="2:18" s="5" customFormat="1">
      <c r="B6" s="10" t="s">
        <v>9</v>
      </c>
      <c r="C6" s="208">
        <v>1.9400000000000001E-2</v>
      </c>
      <c r="D6" s="208">
        <v>2.7900000000000001E-2</v>
      </c>
      <c r="E6" s="9">
        <v>7.1000000000000021E-3</v>
      </c>
      <c r="F6" s="9">
        <v>3.4299999999999997E-2</v>
      </c>
      <c r="G6" s="9">
        <v>3.6299999999999999E-2</v>
      </c>
      <c r="H6" s="9">
        <v>3.4799999999999998E-2</v>
      </c>
      <c r="I6" s="9">
        <v>3.3300000000000003E-2</v>
      </c>
      <c r="J6" s="9">
        <v>3.1899999999999998E-2</v>
      </c>
      <c r="K6" s="9">
        <f>J6</f>
        <v>3.1899999999999998E-2</v>
      </c>
      <c r="L6" s="9">
        <f>K6</f>
        <v>3.1899999999999998E-2</v>
      </c>
      <c r="M6" s="9">
        <f>L6</f>
        <v>3.1899999999999998E-2</v>
      </c>
      <c r="N6" s="9">
        <f>M6</f>
        <v>3.1899999999999998E-2</v>
      </c>
      <c r="O6" s="9">
        <f>N6</f>
        <v>3.1899999999999998E-2</v>
      </c>
      <c r="P6" s="1"/>
      <c r="Q6" s="1"/>
      <c r="R6" s="1"/>
    </row>
    <row r="7" spans="2:18" s="5" customFormat="1">
      <c r="B7" s="10" t="s">
        <v>978</v>
      </c>
      <c r="C7" s="208">
        <v>-4.8999999999999998E-3</v>
      </c>
      <c r="D7" s="208">
        <v>3.61E-2</v>
      </c>
      <c r="E7" s="9">
        <v>9.0340501792114721E-3</v>
      </c>
      <c r="F7" s="9">
        <v>3.5099999999999999E-2</v>
      </c>
      <c r="G7" s="9">
        <v>3.7199999999999997E-2</v>
      </c>
      <c r="H7" s="9">
        <v>3.7999999999999999E-2</v>
      </c>
      <c r="I7" s="9">
        <v>3.5000000000000003E-2</v>
      </c>
      <c r="J7" s="9">
        <f t="shared" ref="J7:O7" si="2">I7</f>
        <v>3.5000000000000003E-2</v>
      </c>
      <c r="K7" s="9">
        <f t="shared" si="2"/>
        <v>3.5000000000000003E-2</v>
      </c>
      <c r="L7" s="9">
        <f t="shared" si="2"/>
        <v>3.5000000000000003E-2</v>
      </c>
      <c r="M7" s="9">
        <f t="shared" si="2"/>
        <v>3.5000000000000003E-2</v>
      </c>
      <c r="N7" s="9">
        <f t="shared" si="2"/>
        <v>3.5000000000000003E-2</v>
      </c>
      <c r="O7" s="9">
        <f t="shared" si="2"/>
        <v>3.5000000000000003E-2</v>
      </c>
      <c r="P7" s="1"/>
      <c r="Q7" s="1"/>
      <c r="R7" s="1"/>
    </row>
    <row r="8" spans="2:18" s="5" customFormat="1">
      <c r="B8" s="10" t="s">
        <v>10</v>
      </c>
      <c r="C8" s="208">
        <v>8.9694226024380486E-2</v>
      </c>
      <c r="D8" s="208">
        <v>-2.36865732835797E-2</v>
      </c>
      <c r="E8" s="9">
        <f>(E9-D9)/D9</f>
        <v>7.6446291974760619E-2</v>
      </c>
      <c r="F8" s="9">
        <v>6.1699999999999998E-2</v>
      </c>
      <c r="G8" s="9">
        <v>4.65E-2</v>
      </c>
      <c r="H8" s="9">
        <v>0.04</v>
      </c>
      <c r="I8" s="9">
        <v>2.5600000000000001E-2</v>
      </c>
      <c r="J8" s="9">
        <v>3.1300000000000001E-2</v>
      </c>
      <c r="K8" s="9">
        <f>J8</f>
        <v>3.1300000000000001E-2</v>
      </c>
      <c r="L8" s="9">
        <f>K8</f>
        <v>3.1300000000000001E-2</v>
      </c>
      <c r="M8" s="9">
        <f>L8</f>
        <v>3.1300000000000001E-2</v>
      </c>
      <c r="N8" s="9">
        <f>M8</f>
        <v>3.1300000000000001E-2</v>
      </c>
      <c r="O8" s="9">
        <f>N8</f>
        <v>3.1300000000000001E-2</v>
      </c>
      <c r="P8" s="1"/>
      <c r="Q8" s="1"/>
      <c r="R8" s="1"/>
    </row>
    <row r="9" spans="2:18" s="13" customFormat="1">
      <c r="B9" s="10" t="s">
        <v>403</v>
      </c>
      <c r="C9" s="209">
        <v>1926.83</v>
      </c>
      <c r="D9" s="209">
        <v>1881.19</v>
      </c>
      <c r="E9" s="11">
        <v>2025</v>
      </c>
      <c r="F9" s="12">
        <v>2150</v>
      </c>
      <c r="G9" s="11">
        <v>2250</v>
      </c>
      <c r="H9" s="11">
        <v>2340</v>
      </c>
      <c r="I9" s="11">
        <v>2400</v>
      </c>
      <c r="J9" s="11">
        <v>2475</v>
      </c>
      <c r="K9" s="11">
        <f>J9*(1+K8)</f>
        <v>2552.4675000000002</v>
      </c>
      <c r="L9" s="11">
        <f>K9*(1+L8)</f>
        <v>2632.3597327500006</v>
      </c>
      <c r="M9" s="11">
        <f>L9*(1+M8)</f>
        <v>2714.7525923850758</v>
      </c>
      <c r="N9" s="11">
        <f>M9*(1+N8)</f>
        <v>2799.724348526729</v>
      </c>
      <c r="O9" s="11">
        <f>N9*(1+O8)</f>
        <v>2887.3557206356159</v>
      </c>
      <c r="P9" s="1"/>
      <c r="Q9" s="1"/>
      <c r="R9" s="1"/>
    </row>
    <row r="10" spans="2:18" s="13" customFormat="1">
      <c r="B10" s="10" t="s">
        <v>2</v>
      </c>
      <c r="C10" s="209">
        <v>1847.529990234375</v>
      </c>
      <c r="D10" s="209">
        <v>1904.01</v>
      </c>
      <c r="E10" s="11">
        <f>AVERAGE(D9:E9)</f>
        <v>1953.095</v>
      </c>
      <c r="F10" s="11">
        <f t="shared" ref="F10:O10" si="3">AVERAGE(E9:F9)</f>
        <v>2087.5</v>
      </c>
      <c r="G10" s="11">
        <f>AVERAGE(F9:G9)</f>
        <v>2200</v>
      </c>
      <c r="H10" s="11">
        <f t="shared" si="3"/>
        <v>2295</v>
      </c>
      <c r="I10" s="11">
        <f t="shared" si="3"/>
        <v>2370</v>
      </c>
      <c r="J10" s="11">
        <f t="shared" si="3"/>
        <v>2437.5</v>
      </c>
      <c r="K10" s="11">
        <f t="shared" si="3"/>
        <v>2513.7337500000003</v>
      </c>
      <c r="L10" s="11">
        <f t="shared" si="3"/>
        <v>2592.4136163750004</v>
      </c>
      <c r="M10" s="11">
        <f t="shared" si="3"/>
        <v>2673.5561625675382</v>
      </c>
      <c r="N10" s="11">
        <f t="shared" si="3"/>
        <v>2757.2384704559026</v>
      </c>
      <c r="O10" s="11">
        <f t="shared" si="3"/>
        <v>2843.5400345811722</v>
      </c>
      <c r="P10" s="1"/>
      <c r="Q10" s="1"/>
      <c r="R10" s="1"/>
    </row>
    <row r="11" spans="2:18" s="13" customFormat="1">
      <c r="B11" s="10" t="s">
        <v>211</v>
      </c>
      <c r="C11" s="210">
        <v>3.1800000000000002E-2</v>
      </c>
      <c r="D11" s="210">
        <v>3.2500000000000001E-2</v>
      </c>
      <c r="E11" s="65">
        <v>4.53E-2</v>
      </c>
      <c r="F11" s="65">
        <f>+(4.68%+5.04%)/2</f>
        <v>4.8599999999999997E-2</v>
      </c>
      <c r="G11" s="65">
        <f>F11</f>
        <v>4.8599999999999997E-2</v>
      </c>
      <c r="H11" s="65">
        <f t="shared" ref="H11:O11" si="4">G11</f>
        <v>4.8599999999999997E-2</v>
      </c>
      <c r="I11" s="65">
        <f t="shared" si="4"/>
        <v>4.8599999999999997E-2</v>
      </c>
      <c r="J11" s="65">
        <f t="shared" si="4"/>
        <v>4.8599999999999997E-2</v>
      </c>
      <c r="K11" s="65">
        <f t="shared" si="4"/>
        <v>4.8599999999999997E-2</v>
      </c>
      <c r="L11" s="65">
        <f t="shared" si="4"/>
        <v>4.8599999999999997E-2</v>
      </c>
      <c r="M11" s="65">
        <f t="shared" si="4"/>
        <v>4.8599999999999997E-2</v>
      </c>
      <c r="N11" s="65">
        <f t="shared" si="4"/>
        <v>4.8599999999999997E-2</v>
      </c>
      <c r="O11" s="65">
        <f t="shared" si="4"/>
        <v>4.8599999999999997E-2</v>
      </c>
      <c r="P11" s="1"/>
      <c r="Q11" s="1"/>
      <c r="R11" s="1"/>
    </row>
    <row r="12" spans="2:18" s="5" customFormat="1">
      <c r="B12" s="19" t="s">
        <v>3</v>
      </c>
      <c r="C12" s="211">
        <v>3.47999995574355E-3</v>
      </c>
      <c r="D12" s="211">
        <v>3.2699999999999999E-3</v>
      </c>
      <c r="E12" s="14">
        <v>5.357999999999999E-3</v>
      </c>
      <c r="F12" s="14">
        <v>1.3109999999999998E-2</v>
      </c>
      <c r="G12" s="14">
        <v>2.3436000000000002E-2</v>
      </c>
      <c r="H12" s="14">
        <v>3.2032000000000005E-2</v>
      </c>
      <c r="I12" s="14">
        <f>H12</f>
        <v>3.2032000000000005E-2</v>
      </c>
      <c r="J12" s="14">
        <f t="shared" ref="J12:O12" si="5">I12</f>
        <v>3.2032000000000005E-2</v>
      </c>
      <c r="K12" s="14">
        <f t="shared" si="5"/>
        <v>3.2032000000000005E-2</v>
      </c>
      <c r="L12" s="14">
        <f t="shared" si="5"/>
        <v>3.2032000000000005E-2</v>
      </c>
      <c r="M12" s="14">
        <f t="shared" si="5"/>
        <v>3.2032000000000005E-2</v>
      </c>
      <c r="N12" s="14">
        <f t="shared" si="5"/>
        <v>3.2032000000000005E-2</v>
      </c>
      <c r="O12" s="14">
        <f t="shared" si="5"/>
        <v>3.2032000000000005E-2</v>
      </c>
      <c r="P12" s="1"/>
      <c r="Q12" s="1"/>
      <c r="R12" s="1"/>
    </row>
    <row r="13" spans="2:18" s="5" customFormat="1">
      <c r="B13" s="8" t="s">
        <v>4</v>
      </c>
      <c r="C13" s="212"/>
      <c r="D13" s="212"/>
      <c r="E13" s="15"/>
      <c r="F13" s="16"/>
      <c r="G13" s="15"/>
      <c r="H13" s="15"/>
      <c r="I13" s="15"/>
      <c r="J13" s="15"/>
      <c r="K13" s="15"/>
      <c r="L13" s="15"/>
      <c r="M13" s="15"/>
      <c r="N13" s="15"/>
      <c r="O13" s="15"/>
      <c r="P13" s="1"/>
      <c r="Q13" s="1"/>
      <c r="R13" s="1"/>
    </row>
    <row r="14" spans="2:18" s="5" customFormat="1">
      <c r="B14" s="10" t="s">
        <v>229</v>
      </c>
      <c r="C14" s="208">
        <v>1.0391198044009897E-2</v>
      </c>
      <c r="D14" s="208">
        <v>6.0000000000000001E-3</v>
      </c>
      <c r="E14" s="9">
        <v>1.4612326043737614E-2</v>
      </c>
      <c r="F14" s="9">
        <v>2.0799999999999999E-2</v>
      </c>
      <c r="G14" s="9">
        <v>9.8045467936378472E-3</v>
      </c>
      <c r="H14" s="9">
        <v>1.1427768627225943E-2</v>
      </c>
      <c r="I14" s="9">
        <v>8.6838361221761584E-3</v>
      </c>
      <c r="J14" s="9">
        <v>9.9714224360125669E-3</v>
      </c>
      <c r="K14" s="9">
        <v>1.0027053778156603E-2</v>
      </c>
      <c r="L14" s="9">
        <v>9.560580035455013E-3</v>
      </c>
      <c r="M14" s="9">
        <v>9.8529973210197408E-3</v>
      </c>
      <c r="N14" s="9">
        <v>9.8135253685569523E-3</v>
      </c>
      <c r="O14" s="9">
        <v>9.7423592639933609E-3</v>
      </c>
      <c r="P14" s="1"/>
      <c r="Q14" s="1"/>
      <c r="R14" s="1"/>
    </row>
    <row r="15" spans="2:18" s="5" customFormat="1">
      <c r="B15" s="19" t="s">
        <v>5</v>
      </c>
      <c r="C15" s="211">
        <v>4.07E-2</v>
      </c>
      <c r="D15" s="211">
        <v>3.9899999999999998E-2</v>
      </c>
      <c r="E15" s="14">
        <v>4.1300000000000003E-2</v>
      </c>
      <c r="F15" s="14">
        <v>4.9599999999999998E-2</v>
      </c>
      <c r="G15" s="14">
        <v>5.3499999999999999E-2</v>
      </c>
      <c r="H15" s="14">
        <v>5.11E-2</v>
      </c>
      <c r="I15" s="14">
        <v>4.8599999999999997E-2</v>
      </c>
      <c r="J15" s="14">
        <v>4.36E-2</v>
      </c>
      <c r="K15" s="14">
        <f>J15</f>
        <v>4.36E-2</v>
      </c>
      <c r="L15" s="14">
        <f>K15</f>
        <v>4.36E-2</v>
      </c>
      <c r="M15" s="14">
        <f>L15</f>
        <v>4.36E-2</v>
      </c>
      <c r="N15" s="14">
        <f>M15</f>
        <v>4.36E-2</v>
      </c>
      <c r="O15" s="14">
        <f>N15</f>
        <v>4.36E-2</v>
      </c>
      <c r="P15" s="1"/>
      <c r="Q15" s="1"/>
      <c r="R15" s="1"/>
    </row>
    <row r="16" spans="2:18">
      <c r="D16" s="38"/>
      <c r="E16" s="38"/>
    </row>
    <row r="17" spans="2:18" ht="16.5" thickBot="1">
      <c r="B17" s="570" t="s">
        <v>979</v>
      </c>
    </row>
    <row r="18" spans="2:18" s="13" customFormat="1" ht="15.75" thickTop="1">
      <c r="B18" s="78" t="s">
        <v>998</v>
      </c>
      <c r="C18" s="213">
        <v>25.982952908493377</v>
      </c>
      <c r="D18" s="213">
        <f>IF(Escenario_Combustible="Medio",AVERAGEIF('Proyeccion Jet A1'!$C$7:$C$138,D4,'Proyeccion Jet A1'!$D$7:$D$138),IF(Escenario_Combustible="Alto",AVERAGEIF('Proyeccion Jet A1'!$C$7:$C$138,D4,'Proyeccion Jet A1'!$E$7:$E$138),AVERAGEIF('Proyeccion Jet A1'!$C$7:$C$138,D4,'Proyeccion Jet A1'!$F$7:$F$138)))*D28</f>
        <v>29.358433333333338</v>
      </c>
      <c r="E18" s="79">
        <f>IF(Escenario_Combustible="Medio",AVERAGEIF('Proyeccion Jet A1'!$C$7:$C$138,E4,'Proyeccion Jet A1'!$D$7:$D$138),IF(Escenario_Combustible="Alto",AVERAGEIF('Proyeccion Jet A1'!$C$7:$C$138,E4,'Proyeccion Jet A1'!$E$7:$E$138),AVERAGEIF('Proyeccion Jet A1'!$C$7:$C$138,E4,'Proyeccion Jet A1'!$F$7:$F$138)))*E28</f>
        <v>28.351643666666671</v>
      </c>
      <c r="F18" s="79">
        <f>IF(Escenario_Combustible="Medio",AVERAGEIF('Proyeccion Jet A1'!$C$7:$C$138,F4,'Proyeccion Jet A1'!$D$7:$D$138),IF(Escenario_Combustible="Alto",AVERAGEIF('Proyeccion Jet A1'!$C$7:$C$138,F4,'Proyeccion Jet A1'!$E$7:$E$138),AVERAGEIF('Proyeccion Jet A1'!$C$7:$C$138,F4,'Proyeccion Jet A1'!$F$7:$F$138)))*F28</f>
        <v>28.436021533333339</v>
      </c>
      <c r="G18" s="79">
        <f>IF(Escenario_Combustible="Medio",AVERAGEIF('Proyeccion Jet A1'!$C$7:$C$138,G4,'Proyeccion Jet A1'!$D$7:$D$138),IF(Escenario_Combustible="Alto",AVERAGEIF('Proyeccion Jet A1'!$C$7:$C$138,G4,'Proyeccion Jet A1'!$E$7:$E$138),AVERAGEIF('Proyeccion Jet A1'!$C$7:$C$138,G4,'Proyeccion Jet A1'!$F$7:$F$138)))*G28</f>
        <v>27.89502657638954</v>
      </c>
      <c r="H18" s="79">
        <f>IF(Escenario_Combustible="Medio",AVERAGEIF('Proyeccion Jet A1'!$C$7:$C$138,H4,'Proyeccion Jet A1'!$D$7:$D$138),IF(Escenario_Combustible="Alto",AVERAGEIF('Proyeccion Jet A1'!$C$7:$C$138,H4,'Proyeccion Jet A1'!$E$7:$E$138),AVERAGEIF('Proyeccion Jet A1'!$C$7:$C$138,H4,'Proyeccion Jet A1'!$F$7:$F$138)))*H28</f>
        <v>27.634718698454328</v>
      </c>
      <c r="I18" s="79">
        <f>IF(Escenario_Combustible="Medio",AVERAGEIF('Proyeccion Jet A1'!$C$7:$C$138,I4,'Proyeccion Jet A1'!$D$7:$D$138),IF(Escenario_Combustible="Alto",AVERAGEIF('Proyeccion Jet A1'!$C$7:$C$138,I4,'Proyeccion Jet A1'!$E$7:$E$138),AVERAGEIF('Proyeccion Jet A1'!$C$7:$C$138,I4,'Proyeccion Jet A1'!$F$7:$F$138)))*I28</f>
        <v>27.875588576062047</v>
      </c>
      <c r="J18" s="79">
        <f>IF(Escenario_Combustible="Medio",AVERAGEIF('Proyeccion Jet A1'!$C$7:$C$138,J4,'Proyeccion Jet A1'!$D$7:$D$138),IF(Escenario_Combustible="Alto",AVERAGEIF('Proyeccion Jet A1'!$C$7:$C$138,J4,'Proyeccion Jet A1'!$E$7:$E$138),AVERAGEIF('Proyeccion Jet A1'!$C$7:$C$138,J4,'Proyeccion Jet A1'!$F$7:$F$138)))*J28</f>
        <v>28.725418197623583</v>
      </c>
      <c r="K18" s="79">
        <f>IF(Escenario_Combustible="Medio",AVERAGEIF('Proyeccion Jet A1'!$C$7:$C$138,K4,'Proyeccion Jet A1'!$D$7:$D$138),IF(Escenario_Combustible="Alto",AVERAGEIF('Proyeccion Jet A1'!$C$7:$C$138,K4,'Proyeccion Jet A1'!$E$7:$E$138),AVERAGEIF('Proyeccion Jet A1'!$C$7:$C$138,K4,'Proyeccion Jet A1'!$F$7:$F$138)))*K28</f>
        <v>29.762601669713632</v>
      </c>
      <c r="L18" s="79">
        <f>IF(Escenario_Combustible="Medio",AVERAGEIF('Proyeccion Jet A1'!$C$7:$C$138,L4,'Proyeccion Jet A1'!$D$7:$D$138),IF(Escenario_Combustible="Alto",AVERAGEIF('Proyeccion Jet A1'!$C$7:$C$138,L4,'Proyeccion Jet A1'!$E$7:$E$138),AVERAGEIF('Proyeccion Jet A1'!$C$7:$C$138,L4,'Proyeccion Jet A1'!$F$7:$F$138)))*L28</f>
        <v>30.764773018080309</v>
      </c>
      <c r="M18" s="79">
        <f>IF(Escenario_Combustible="Medio",AVERAGEIF('Proyeccion Jet A1'!$C$7:$C$138,M4,'Proyeccion Jet A1'!$D$7:$D$138),IF(Escenario_Combustible="Alto",AVERAGEIF('Proyeccion Jet A1'!$C$7:$C$138,M4,'Proyeccion Jet A1'!$E$7:$E$138),AVERAGEIF('Proyeccion Jet A1'!$C$7:$C$138,M4,'Proyeccion Jet A1'!$F$7:$F$138)))*M28</f>
        <v>31.873696800570979</v>
      </c>
      <c r="N18" s="79">
        <f>IF(Escenario_Combustible="Medio",AVERAGEIF('Proyeccion Jet A1'!$C$7:$C$138,N4,'Proyeccion Jet A1'!$D$7:$D$138),IF(Escenario_Combustible="Alto",AVERAGEIF('Proyeccion Jet A1'!$C$7:$C$138,N4,'Proyeccion Jet A1'!$E$7:$E$138),AVERAGEIF('Proyeccion Jet A1'!$C$7:$C$138,N4,'Proyeccion Jet A1'!$F$7:$F$138)))*N28</f>
        <v>32.92197710396136</v>
      </c>
      <c r="O18" s="79">
        <f>IF(Escenario_Combustible="Medio",AVERAGEIF('Proyeccion Jet A1'!$C$7:$C$138,O4,'Proyeccion Jet A1'!$D$7:$D$138),IF(Escenario_Combustible="Alto",AVERAGEIF('Proyeccion Jet A1'!$C$7:$C$138,O4,'Proyeccion Jet A1'!$E$7:$E$138),AVERAGEIF('Proyeccion Jet A1'!$C$7:$C$138,O4,'Proyeccion Jet A1'!$F$7:$F$138)))*O28</f>
        <v>33.929384331814717</v>
      </c>
      <c r="P18" s="1"/>
      <c r="Q18" s="1"/>
      <c r="R18" s="1"/>
    </row>
    <row r="19" spans="2:18" s="13" customFormat="1">
      <c r="B19" s="78" t="s">
        <v>404</v>
      </c>
      <c r="C19" s="213">
        <v>3.8482176798677479</v>
      </c>
      <c r="D19" s="213">
        <f>IF(Escenario_Combustible="Medio",AVERAGEIF('Proyeccion Gas Cusiana'!$B$5:$B$136,D4,'Proyeccion Gas Cusiana'!$F$5:$F$136),IF(Escenario_Combustible="Alto",AVERAGEIF('Proyeccion Gas Cusiana'!$B$5:$B$136,D4,'Proyeccion Gas Cusiana'!$J$5:$J$136),AVERAGEIF('Proyeccion Gas Cusiana'!$B$5:$B$136,D4,'Proyeccion Gas Cusiana'!$N$5:$N$136)))*D28</f>
        <v>4.2956200000000004</v>
      </c>
      <c r="E19" s="79">
        <f>IF(Escenario_Combustible="Medio",AVERAGEIF('Proyeccion Gas Cusiana'!$B$5:$B$136,E4,'Proyeccion Gas Cusiana'!$F$5:$F$136),IF(Escenario_Combustible="Alto",AVERAGEIF('Proyeccion Gas Cusiana'!$B$5:$B$136,E4,'Proyeccion Gas Cusiana'!$J$5:$J$136),AVERAGEIF('Proyeccion Gas Cusiana'!$B$5:$B$136,E4,'Proyeccion Gas Cusiana'!$N$5:$N$136)))*E28</f>
        <v>4.2291003333333341</v>
      </c>
      <c r="F19" s="79">
        <f>IF(Escenario_Combustible="Medio",AVERAGEIF('Proyeccion Gas Cusiana'!$B$5:$B$136,F4,'Proyeccion Gas Cusiana'!$F$5:$F$136),IF(Escenario_Combustible="Alto",AVERAGEIF('Proyeccion Gas Cusiana'!$B$5:$B$136,F4,'Proyeccion Gas Cusiana'!$J$5:$J$136),AVERAGEIF('Proyeccion Gas Cusiana'!$B$5:$B$136,F4,'Proyeccion Gas Cusiana'!$N$5:$N$136)))*F28</f>
        <v>4.2997001109333342</v>
      </c>
      <c r="G19" s="79">
        <f>IF(Escenario_Combustible="Medio",AVERAGEIF('Proyeccion Gas Cusiana'!$B$5:$B$136,G4,'Proyeccion Gas Cusiana'!$F$5:$F$136),IF(Escenario_Combustible="Alto",AVERAGEIF('Proyeccion Gas Cusiana'!$B$5:$B$136,G4,'Proyeccion Gas Cusiana'!$J$5:$J$136),AVERAGEIF('Proyeccion Gas Cusiana'!$B$5:$B$136,G4,'Proyeccion Gas Cusiana'!$N$5:$N$136)))*G28</f>
        <v>5.5860196233907828</v>
      </c>
      <c r="H19" s="79">
        <f>IF(Escenario_Combustible="Medio",AVERAGEIF('Proyeccion Gas Cusiana'!$B$5:$B$136,H4,'Proyeccion Gas Cusiana'!$F$5:$F$136),IF(Escenario_Combustible="Alto",AVERAGEIF('Proyeccion Gas Cusiana'!$B$5:$B$136,H4,'Proyeccion Gas Cusiana'!$J$5:$J$136),AVERAGEIF('Proyeccion Gas Cusiana'!$B$5:$B$136,H4,'Proyeccion Gas Cusiana'!$N$5:$N$136)))*H28</f>
        <v>6.0116731293505525</v>
      </c>
      <c r="I19" s="79">
        <f>IF(Escenario_Combustible="Medio",AVERAGEIF('Proyeccion Gas Cusiana'!$B$5:$B$136,I4,'Proyeccion Gas Cusiana'!$F$5:$F$136),IF(Escenario_Combustible="Alto",AVERAGEIF('Proyeccion Gas Cusiana'!$B$5:$B$136,I4,'Proyeccion Gas Cusiana'!$J$5:$J$136),AVERAGEIF('Proyeccion Gas Cusiana'!$B$5:$B$136,I4,'Proyeccion Gas Cusiana'!$N$5:$N$136)))*I28</f>
        <v>6.8376279265609314</v>
      </c>
      <c r="J19" s="79">
        <f>IF(Escenario_Combustible="Medio",AVERAGEIF('Proyeccion Gas Cusiana'!$B$5:$B$136,J4,'Proyeccion Gas Cusiana'!$F$5:$F$136),IF(Escenario_Combustible="Alto",AVERAGEIF('Proyeccion Gas Cusiana'!$B$5:$B$136,J4,'Proyeccion Gas Cusiana'!$J$5:$J$136),AVERAGEIF('Proyeccion Gas Cusiana'!$B$5:$B$136,J4,'Proyeccion Gas Cusiana'!$N$5:$N$136)))*J28</f>
        <v>7.7225083266224166</v>
      </c>
      <c r="K19" s="79">
        <f>IF(Escenario_Combustible="Medio",AVERAGEIF('Proyeccion Gas Cusiana'!$B$5:$B$136,K4,'Proyeccion Gas Cusiana'!$F$5:$F$136),IF(Escenario_Combustible="Alto",AVERAGEIF('Proyeccion Gas Cusiana'!$B$5:$B$136,K4,'Proyeccion Gas Cusiana'!$J$5:$J$136),AVERAGEIF('Proyeccion Gas Cusiana'!$B$5:$B$136,K4,'Proyeccion Gas Cusiana'!$N$5:$N$136)))*K28</f>
        <v>7.1831008475330549</v>
      </c>
      <c r="L19" s="79">
        <f>IF(Escenario_Combustible="Medio",AVERAGEIF('Proyeccion Gas Cusiana'!$B$5:$B$136,L4,'Proyeccion Gas Cusiana'!$F$5:$F$136),IF(Escenario_Combustible="Alto",AVERAGEIF('Proyeccion Gas Cusiana'!$B$5:$B$136,L4,'Proyeccion Gas Cusiana'!$J$5:$J$136),AVERAGEIF('Proyeccion Gas Cusiana'!$B$5:$B$136,L4,'Proyeccion Gas Cusiana'!$N$5:$N$136)))*L28</f>
        <v>7.8072658799925323</v>
      </c>
      <c r="M19" s="79">
        <f>IF(Escenario_Combustible="Medio",AVERAGEIF('Proyeccion Gas Cusiana'!$B$5:$B$136,M4,'Proyeccion Gas Cusiana'!$F$5:$F$136),IF(Escenario_Combustible="Alto",AVERAGEIF('Proyeccion Gas Cusiana'!$B$5:$B$136,M4,'Proyeccion Gas Cusiana'!$J$5:$J$136),AVERAGEIF('Proyeccion Gas Cusiana'!$B$5:$B$136,M4,'Proyeccion Gas Cusiana'!$N$5:$N$136)))*M28</f>
        <v>8.2832844043130649</v>
      </c>
      <c r="N19" s="79">
        <f>IF(Escenario_Combustible="Medio",AVERAGEIF('Proyeccion Gas Cusiana'!$B$5:$B$136,N4,'Proyeccion Gas Cusiana'!$F$5:$F$136),IF(Escenario_Combustible="Alto",AVERAGEIF('Proyeccion Gas Cusiana'!$B$5:$B$136,N4,'Proyeccion Gas Cusiana'!$J$5:$J$136),AVERAGEIF('Proyeccion Gas Cusiana'!$B$5:$B$136,N4,'Proyeccion Gas Cusiana'!$N$5:$N$136)))*N28</f>
        <v>8.5515166907031297</v>
      </c>
      <c r="O19" s="79">
        <f>IF(Escenario_Combustible="Medio",AVERAGEIF('Proyeccion Gas Cusiana'!$B$5:$B$136,O4,'Proyeccion Gas Cusiana'!$F$5:$F$136),IF(Escenario_Combustible="Alto",AVERAGEIF('Proyeccion Gas Cusiana'!$B$5:$B$136,O4,'Proyeccion Gas Cusiana'!$J$5:$J$136),AVERAGEIF('Proyeccion Gas Cusiana'!$B$5:$B$136,O4,'Proyeccion Gas Cusiana'!$N$5:$N$136)))*O28</f>
        <v>9.3272844120532881</v>
      </c>
      <c r="P19" s="1"/>
      <c r="Q19" s="1"/>
      <c r="R19" s="1"/>
    </row>
    <row r="20" spans="2:18" s="13" customFormat="1">
      <c r="B20" s="78" t="s">
        <v>405</v>
      </c>
      <c r="C20" s="215">
        <f>C19</f>
        <v>3.8482176798677479</v>
      </c>
      <c r="D20" s="215">
        <f>D19</f>
        <v>4.2956200000000004</v>
      </c>
      <c r="E20" s="128">
        <f>E19</f>
        <v>4.2291003333333341</v>
      </c>
      <c r="F20" s="128">
        <f>F19</f>
        <v>4.2997001109333342</v>
      </c>
      <c r="G20" s="128">
        <f>G19</f>
        <v>5.5860196233907828</v>
      </c>
      <c r="H20" s="79">
        <f>IF(Escenario_Combustible="Medio",VLOOKUP(H4,'Proyeccion Gas GNL'!$A$5:$J$12,4),IF(Escenario_Combustible="Alto",VLOOKUP(H4,'Proyeccion Gas GNL'!$A$5:$J$12,7),VLOOKUP(H4,'Proyeccion Gas GNL'!$A$5:$J$12,10)))*H28</f>
        <v>14.430143850242246</v>
      </c>
      <c r="I20" s="79">
        <f>IF(Escenario_Combustible="Medio",VLOOKUP(I4,'Proyeccion Gas GNL'!$A$5:$J$12,4),IF(Escenario_Combustible="Alto",VLOOKUP(I4,'Proyeccion Gas GNL'!$A$5:$J$12,7),VLOOKUP(I4,'Proyeccion Gas GNL'!$A$5:$J$12,10)))*I28</f>
        <v>12.097341716223186</v>
      </c>
      <c r="J20" s="79">
        <f>IF(Escenario_Combustible="Medio",VLOOKUP(J4,'Proyeccion Gas GNL'!$A$5:$J$12,4),IF(Escenario_Combustible="Alto",VLOOKUP(J4,'Proyeccion Gas GNL'!$A$5:$J$12,7),VLOOKUP(J4,'Proyeccion Gas GNL'!$A$5:$J$12,10)))*J28</f>
        <v>11.621706494346133</v>
      </c>
      <c r="K20" s="79">
        <f>IF(Escenario_Combustible="Medio",VLOOKUP(K4,'Proyeccion Gas GNL'!$A$5:$J$12,4),IF(Escenario_Combustible="Alto",VLOOKUP(K4,'Proyeccion Gas GNL'!$A$5:$J$12,7),VLOOKUP(K4,'Proyeccion Gas GNL'!$A$5:$J$12,10)))*K28</f>
        <v>13.150768472389025</v>
      </c>
      <c r="L20" s="79">
        <f>IF(Escenario_Combustible="Medio",VLOOKUP(L4,'Proyeccion Gas GNL'!$A$5:$J$12,4),IF(Escenario_Combustible="Alto",VLOOKUP(L4,'Proyeccion Gas GNL'!$A$5:$J$12,7),VLOOKUP(L4,'Proyeccion Gas GNL'!$A$5:$J$12,10)))*L28</f>
        <v>13.862387842138954</v>
      </c>
      <c r="M20" s="79">
        <f>IF(Escenario_Combustible="Medio",VLOOKUP(M4,'Proyeccion Gas GNL'!$A$5:$J$12,4),IF(Escenario_Combustible="Alto",VLOOKUP(M4,'Proyeccion Gas GNL'!$A$5:$J$12,7),VLOOKUP(M4,'Proyeccion Gas GNL'!$A$5:$J$12,10)))*M28</f>
        <v>13.96548354419898</v>
      </c>
      <c r="N20" s="79">
        <f>IF(Escenario_Combustible="Medio",VLOOKUP(N4,'Proyeccion Gas GNL'!$A$5:$J$12,4),IF(Escenario_Combustible="Alto",VLOOKUP(N4,'Proyeccion Gas GNL'!$A$5:$J$12,7),VLOOKUP(N4,'Proyeccion Gas GNL'!$A$5:$J$12,10)))*N28</f>
        <v>14.237810278402353</v>
      </c>
      <c r="O20" s="79">
        <f>IF(Escenario_Combustible="Medio",VLOOKUP(O4,'Proyeccion Gas GNL'!$A$5:$J$12,4),IF(Escenario_Combustible="Alto",VLOOKUP(O4,'Proyeccion Gas GNL'!$A$5:$J$12,7),VLOOKUP(O4,'Proyeccion Gas GNL'!$A$5:$J$12,10)))*O28</f>
        <v>15.093638723135561</v>
      </c>
      <c r="P20" s="1"/>
      <c r="Q20" s="1"/>
      <c r="R20" s="1"/>
    </row>
    <row r="21" spans="2:18" s="13" customFormat="1">
      <c r="B21" s="78" t="s">
        <v>406</v>
      </c>
      <c r="C21" s="213">
        <v>0.65</v>
      </c>
      <c r="D21" s="213">
        <f>$C$21*D28</f>
        <v>0.65390000000000004</v>
      </c>
      <c r="E21" s="128">
        <f>$C$21*E28</f>
        <v>0.66345500000000013</v>
      </c>
      <c r="F21" s="128">
        <f>$C$21*F28</f>
        <v>0.67725486400000012</v>
      </c>
      <c r="G21" s="128">
        <f>$C$21*G28</f>
        <v>0.68389504100530696</v>
      </c>
      <c r="H21" s="128">
        <f t="shared" ref="H21:O21" si="6">$C$21*H28</f>
        <v>0.69171043529922271</v>
      </c>
      <c r="I21" s="128">
        <f t="shared" si="6"/>
        <v>0.69771713536336033</v>
      </c>
      <c r="J21" s="128">
        <f t="shared" si="6"/>
        <v>0.70467436766091296</v>
      </c>
      <c r="K21" s="128">
        <f t="shared" si="6"/>
        <v>0.71174017544153756</v>
      </c>
      <c r="L21" s="128">
        <f t="shared" si="6"/>
        <v>0.71854482435329514</v>
      </c>
      <c r="M21" s="128">
        <f t="shared" si="6"/>
        <v>0.72562464458268072</v>
      </c>
      <c r="N21" s="128">
        <f t="shared" si="6"/>
        <v>0.73274558044034288</v>
      </c>
      <c r="O21" s="128">
        <f t="shared" si="6"/>
        <v>0.73988425113409606</v>
      </c>
      <c r="P21" s="1"/>
      <c r="Q21" s="1"/>
      <c r="R21" s="1"/>
    </row>
    <row r="22" spans="2:18" s="13" customFormat="1">
      <c r="B22" s="78" t="s">
        <v>407</v>
      </c>
      <c r="C22" s="213">
        <v>173.73814808552203</v>
      </c>
      <c r="D22" s="213">
        <f t="shared" ref="D22:K22" si="7">$C$22*D26</f>
        <v>178.58544241710811</v>
      </c>
      <c r="E22" s="128">
        <f t="shared" si="7"/>
        <v>179.85339905826959</v>
      </c>
      <c r="F22" s="128">
        <f t="shared" si="7"/>
        <v>186.02237064596824</v>
      </c>
      <c r="G22" s="128">
        <f t="shared" si="7"/>
        <v>192.77498270041687</v>
      </c>
      <c r="H22" s="128">
        <f t="shared" si="7"/>
        <v>199.48355209839139</v>
      </c>
      <c r="I22" s="128">
        <f t="shared" si="7"/>
        <v>206.12635438326785</v>
      </c>
      <c r="J22" s="128">
        <f t="shared" si="7"/>
        <v>212.70178508809411</v>
      </c>
      <c r="K22" s="128">
        <f t="shared" si="7"/>
        <v>219.48697203240434</v>
      </c>
      <c r="L22" s="128">
        <f>$C$22*L26</f>
        <v>226.48860644023802</v>
      </c>
      <c r="M22" s="128">
        <f>$C$22*M26</f>
        <v>233.7135929856816</v>
      </c>
      <c r="N22" s="128">
        <f>$C$22*N26</f>
        <v>241.16905660192486</v>
      </c>
      <c r="O22" s="128">
        <f>$C$22*O26</f>
        <v>248.86234950752629</v>
      </c>
      <c r="P22" s="1"/>
      <c r="Q22" s="1"/>
      <c r="R22" s="1"/>
    </row>
    <row r="23" spans="2:18" s="13" customFormat="1">
      <c r="B23" s="173"/>
      <c r="C23" s="1"/>
      <c r="D23" s="1"/>
      <c r="E23" s="174"/>
      <c r="F23" s="576"/>
      <c r="G23" s="577"/>
      <c r="H23" s="576"/>
      <c r="I23" s="174"/>
      <c r="J23" s="174"/>
      <c r="K23" s="174"/>
      <c r="L23" s="174"/>
      <c r="M23" s="174"/>
      <c r="N23" s="174"/>
      <c r="O23" s="174"/>
      <c r="P23" s="1"/>
      <c r="Q23" s="1"/>
      <c r="R23" s="1"/>
    </row>
    <row r="24" spans="2:18" s="13" customFormat="1">
      <c r="B24" s="173"/>
      <c r="C24" s="1"/>
      <c r="D24" s="1"/>
      <c r="E24" s="174"/>
      <c r="F24" s="174"/>
      <c r="G24" s="174"/>
      <c r="H24" s="174"/>
      <c r="I24" s="174"/>
      <c r="J24" s="174"/>
      <c r="K24" s="174"/>
      <c r="L24" s="174"/>
      <c r="M24" s="174"/>
      <c r="N24" s="174"/>
      <c r="O24" s="174"/>
      <c r="P24" s="1"/>
      <c r="Q24" s="1"/>
      <c r="R24" s="1"/>
    </row>
    <row r="25" spans="2:18" ht="16.5" thickBot="1">
      <c r="B25" s="570" t="s">
        <v>410</v>
      </c>
    </row>
    <row r="26" spans="2:18" s="5" customFormat="1" ht="15.75" thickTop="1">
      <c r="B26" s="17" t="s">
        <v>6</v>
      </c>
      <c r="C26" s="213">
        <v>1</v>
      </c>
      <c r="D26" s="213">
        <f t="shared" ref="D26:H27" si="8">C26*(1+D6)</f>
        <v>1.0279</v>
      </c>
      <c r="E26" s="18">
        <f t="shared" si="8"/>
        <v>1.0351980900000002</v>
      </c>
      <c r="F26" s="18">
        <f t="shared" si="8"/>
        <v>1.0707053844870003</v>
      </c>
      <c r="G26" s="18">
        <f t="shared" si="8"/>
        <v>1.1095719899438783</v>
      </c>
      <c r="H26" s="18">
        <f t="shared" si="8"/>
        <v>1.1481850951939252</v>
      </c>
      <c r="I26" s="18">
        <f t="shared" ref="I26:O26" si="9">H26*(1+I6)</f>
        <v>1.1864196588638831</v>
      </c>
      <c r="J26" s="18">
        <f t="shared" si="9"/>
        <v>1.224266445981641</v>
      </c>
      <c r="K26" s="18">
        <f t="shared" si="9"/>
        <v>1.2633205456084555</v>
      </c>
      <c r="L26" s="18">
        <f t="shared" si="9"/>
        <v>1.3036204710133652</v>
      </c>
      <c r="M26" s="18">
        <f t="shared" si="9"/>
        <v>1.3452059640386915</v>
      </c>
      <c r="N26" s="18">
        <f t="shared" si="9"/>
        <v>1.3881180342915258</v>
      </c>
      <c r="O26" s="18">
        <f t="shared" si="9"/>
        <v>1.4323989995854256</v>
      </c>
      <c r="P26" s="1"/>
      <c r="Q26" s="1"/>
      <c r="R26" s="1"/>
    </row>
    <row r="27" spans="2:18" s="5" customFormat="1">
      <c r="B27" s="17" t="s">
        <v>7</v>
      </c>
      <c r="C27" s="213">
        <v>1</v>
      </c>
      <c r="D27" s="213">
        <f t="shared" si="8"/>
        <v>1.0361</v>
      </c>
      <c r="E27" s="18">
        <f t="shared" si="8"/>
        <v>1.045460179390681</v>
      </c>
      <c r="F27" s="18">
        <f t="shared" si="8"/>
        <v>1.0821558316872939</v>
      </c>
      <c r="G27" s="18">
        <f t="shared" si="8"/>
        <v>1.122412028626061</v>
      </c>
      <c r="H27" s="18">
        <f t="shared" si="8"/>
        <v>1.1650636857138514</v>
      </c>
      <c r="I27" s="18">
        <f t="shared" ref="I27:O27" si="10">H27*(1+I7)</f>
        <v>1.2058409147138363</v>
      </c>
      <c r="J27" s="18">
        <f t="shared" si="10"/>
        <v>1.2480453467288204</v>
      </c>
      <c r="K27" s="18">
        <f t="shared" si="10"/>
        <v>1.2917269338643289</v>
      </c>
      <c r="L27" s="18">
        <f t="shared" si="10"/>
        <v>1.3369373765495802</v>
      </c>
      <c r="M27" s="18">
        <f t="shared" si="10"/>
        <v>1.3837301847288155</v>
      </c>
      <c r="N27" s="18">
        <f t="shared" si="10"/>
        <v>1.432160741194324</v>
      </c>
      <c r="O27" s="18">
        <f t="shared" si="10"/>
        <v>1.4822863671361253</v>
      </c>
      <c r="P27" s="1"/>
      <c r="Q27" s="1"/>
      <c r="R27" s="1"/>
    </row>
    <row r="28" spans="2:18" s="5" customFormat="1">
      <c r="B28" s="17" t="s">
        <v>980</v>
      </c>
      <c r="C28" s="213">
        <v>1</v>
      </c>
      <c r="D28" s="213">
        <f>C28*(1+D14)</f>
        <v>1.006</v>
      </c>
      <c r="E28" s="18">
        <f>D28*(1+E14)</f>
        <v>1.0207000000000002</v>
      </c>
      <c r="F28" s="18">
        <f>E28*(1+F14)</f>
        <v>1.0419305600000002</v>
      </c>
      <c r="G28" s="18">
        <f t="shared" ref="G28:O28" si="11">F28*(1+G14)</f>
        <v>1.0521462169312414</v>
      </c>
      <c r="H28" s="18">
        <f t="shared" si="11"/>
        <v>1.0641699004603427</v>
      </c>
      <c r="I28" s="18">
        <f t="shared" si="11"/>
        <v>1.0734109774820928</v>
      </c>
      <c r="J28" s="18">
        <f t="shared" si="11"/>
        <v>1.08411441178602</v>
      </c>
      <c r="K28" s="18">
        <f t="shared" si="11"/>
        <v>1.0949848852946731</v>
      </c>
      <c r="L28" s="18">
        <f t="shared" si="11"/>
        <v>1.1054535759281463</v>
      </c>
      <c r="M28" s="18">
        <f t="shared" si="11"/>
        <v>1.116345607050278</v>
      </c>
      <c r="N28" s="18">
        <f t="shared" si="11"/>
        <v>1.1273008929851429</v>
      </c>
      <c r="O28" s="18">
        <f t="shared" si="11"/>
        <v>1.1382834632832246</v>
      </c>
      <c r="P28" s="1"/>
      <c r="Q28" s="1"/>
      <c r="R28" s="1"/>
    </row>
    <row r="29" spans="2:18" s="5" customFormat="1">
      <c r="B29" s="175"/>
      <c r="C29" s="1"/>
      <c r="D29" s="1"/>
      <c r="E29" s="176"/>
      <c r="F29" s="176"/>
      <c r="G29" s="176"/>
      <c r="H29" s="176"/>
      <c r="I29" s="176"/>
      <c r="J29" s="176"/>
      <c r="K29" s="176"/>
      <c r="L29" s="176"/>
      <c r="M29" s="176"/>
      <c r="N29" s="176"/>
      <c r="O29" s="176"/>
      <c r="P29" s="1"/>
      <c r="Q29" s="1"/>
      <c r="R29" s="1"/>
    </row>
    <row r="30" spans="2:18" ht="16.5" thickBot="1">
      <c r="B30" s="570" t="s">
        <v>411</v>
      </c>
    </row>
    <row r="31" spans="2:18" s="5" customFormat="1" ht="15.75" thickTop="1">
      <c r="B31" s="17" t="s">
        <v>6</v>
      </c>
      <c r="C31" s="213"/>
      <c r="D31" s="213">
        <v>1</v>
      </c>
      <c r="E31" s="18">
        <f>D31*(1+E6)</f>
        <v>1.0071000000000001</v>
      </c>
      <c r="F31" s="18">
        <f>E31*(1+F6)</f>
        <v>1.0416435300000002</v>
      </c>
      <c r="G31" s="18">
        <f t="shared" ref="G31:O31" si="12">F31*(1+G6)</f>
        <v>1.0794551901390002</v>
      </c>
      <c r="H31" s="18">
        <f t="shared" si="12"/>
        <v>1.1170202307558372</v>
      </c>
      <c r="I31" s="18">
        <f t="shared" si="12"/>
        <v>1.1542170044400066</v>
      </c>
      <c r="J31" s="18">
        <f t="shared" si="12"/>
        <v>1.191036526881643</v>
      </c>
      <c r="K31" s="18">
        <f t="shared" si="12"/>
        <v>1.2290305920891673</v>
      </c>
      <c r="L31" s="18">
        <f t="shared" si="12"/>
        <v>1.2682366679768118</v>
      </c>
      <c r="M31" s="18">
        <f t="shared" si="12"/>
        <v>1.308693417685272</v>
      </c>
      <c r="N31" s="18">
        <f t="shared" si="12"/>
        <v>1.3504407377094323</v>
      </c>
      <c r="O31" s="18">
        <f t="shared" si="12"/>
        <v>1.3935197972423632</v>
      </c>
      <c r="P31" s="1"/>
      <c r="Q31" s="1"/>
      <c r="R31" s="1"/>
    </row>
    <row r="32" spans="2:18" s="5" customFormat="1">
      <c r="B32" s="17" t="s">
        <v>7</v>
      </c>
      <c r="C32" s="213"/>
      <c r="D32" s="213">
        <v>1</v>
      </c>
      <c r="E32" s="18">
        <f>D32*(1+E7)</f>
        <v>1.0090340501792114</v>
      </c>
      <c r="F32" s="18">
        <f t="shared" ref="F32:O32" si="13">E32*(1+F7)</f>
        <v>1.0444511453405017</v>
      </c>
      <c r="G32" s="18">
        <f t="shared" si="13"/>
        <v>1.0833047279471681</v>
      </c>
      <c r="H32" s="18">
        <f t="shared" si="13"/>
        <v>1.1244703076091607</v>
      </c>
      <c r="I32" s="18">
        <f t="shared" si="13"/>
        <v>1.1638267683754813</v>
      </c>
      <c r="J32" s="18">
        <f t="shared" si="13"/>
        <v>1.2045607052686229</v>
      </c>
      <c r="K32" s="18">
        <f t="shared" si="13"/>
        <v>1.2467203299530245</v>
      </c>
      <c r="L32" s="18">
        <f t="shared" si="13"/>
        <v>1.2903555415013803</v>
      </c>
      <c r="M32" s="18">
        <f t="shared" si="13"/>
        <v>1.3355179854539285</v>
      </c>
      <c r="N32" s="18">
        <f t="shared" si="13"/>
        <v>1.3822611149448158</v>
      </c>
      <c r="O32" s="18">
        <f t="shared" si="13"/>
        <v>1.4306402539678842</v>
      </c>
      <c r="P32" s="1"/>
      <c r="Q32" s="1"/>
      <c r="R32" s="1"/>
    </row>
    <row r="33" spans="1:22" s="5" customFormat="1">
      <c r="B33" s="17" t="s">
        <v>980</v>
      </c>
      <c r="C33" s="213"/>
      <c r="D33" s="213">
        <v>1</v>
      </c>
      <c r="E33" s="18">
        <f>D33*(1+E14)</f>
        <v>1.0146123260437376</v>
      </c>
      <c r="F33" s="18">
        <f>E33*(1+F14)</f>
        <v>1.0357162624254472</v>
      </c>
      <c r="G33" s="18">
        <f>F33*(1+G14)</f>
        <v>1.0458709909853292</v>
      </c>
      <c r="H33" s="18">
        <f t="shared" ref="H33:O33" si="14">G33*(1+H14)</f>
        <v>1.057822962684237</v>
      </c>
      <c r="I33" s="18">
        <f t="shared" si="14"/>
        <v>1.0670089239384619</v>
      </c>
      <c r="J33" s="18">
        <f t="shared" si="14"/>
        <v>1.0776485206620474</v>
      </c>
      <c r="K33" s="18">
        <f t="shared" si="14"/>
        <v>1.0884541603326767</v>
      </c>
      <c r="L33" s="18">
        <f t="shared" si="14"/>
        <v>1.0988604134474613</v>
      </c>
      <c r="M33" s="18">
        <f t="shared" si="14"/>
        <v>1.1096874821573337</v>
      </c>
      <c r="N33" s="18">
        <f t="shared" si="14"/>
        <v>1.1205774284146548</v>
      </c>
      <c r="O33" s="18">
        <f t="shared" si="14"/>
        <v>1.1314944963053921</v>
      </c>
      <c r="P33" s="1"/>
      <c r="Q33" s="1"/>
      <c r="R33" s="1"/>
    </row>
    <row r="34" spans="1:22">
      <c r="B34" s="574" t="s">
        <v>976</v>
      </c>
    </row>
    <row r="35" spans="1:22">
      <c r="B35" s="574" t="s">
        <v>228</v>
      </c>
    </row>
    <row r="36" spans="1:22">
      <c r="B36" s="575" t="s">
        <v>977</v>
      </c>
      <c r="E36" s="20"/>
      <c r="F36" s="20"/>
      <c r="G36" s="20"/>
      <c r="H36" s="20"/>
    </row>
    <row r="37" spans="1:22">
      <c r="A37" s="205"/>
      <c r="B37" s="125"/>
      <c r="E37" s="20"/>
      <c r="F37" s="20"/>
      <c r="G37" s="20"/>
      <c r="H37" s="20"/>
    </row>
    <row r="38" spans="1:22" ht="16.5" thickBot="1">
      <c r="B38" s="570" t="s">
        <v>141</v>
      </c>
      <c r="C38" s="43">
        <v>2006</v>
      </c>
      <c r="D38" s="43">
        <v>2007</v>
      </c>
      <c r="E38" s="43">
        <v>2008</v>
      </c>
      <c r="F38" s="43">
        <v>2009</v>
      </c>
      <c r="G38" s="43">
        <v>2010</v>
      </c>
      <c r="H38" s="43">
        <v>2011</v>
      </c>
      <c r="I38" s="43">
        <v>2012</v>
      </c>
      <c r="J38" s="43">
        <v>2013</v>
      </c>
      <c r="K38" s="43" t="s">
        <v>408</v>
      </c>
      <c r="L38" s="43" t="s">
        <v>409</v>
      </c>
      <c r="M38" s="43">
        <v>2015</v>
      </c>
      <c r="N38" s="43">
        <v>2016</v>
      </c>
      <c r="O38" s="43">
        <v>2017</v>
      </c>
      <c r="P38" s="43">
        <v>2018</v>
      </c>
      <c r="Q38" s="43">
        <v>2019</v>
      </c>
      <c r="R38" s="43">
        <v>2020</v>
      </c>
      <c r="S38" s="43">
        <v>2021</v>
      </c>
      <c r="T38" s="43">
        <v>2022</v>
      </c>
      <c r="U38" s="43">
        <v>2023</v>
      </c>
      <c r="V38" s="43">
        <v>2024</v>
      </c>
    </row>
    <row r="39" spans="1:22" ht="15.75" thickTop="1">
      <c r="B39" s="42" t="s">
        <v>226</v>
      </c>
      <c r="C39" s="39">
        <v>2.5204097975752848E-2</v>
      </c>
      <c r="D39" s="39">
        <v>4.1000000000000002E-2</v>
      </c>
      <c r="E39" s="39">
        <v>9.1412900645604367E-4</v>
      </c>
      <c r="F39" s="39">
        <v>2.7E-2</v>
      </c>
      <c r="G39" s="39">
        <v>1.4999999999999999E-2</v>
      </c>
      <c r="H39" s="39">
        <v>2.9624188448710953E-2</v>
      </c>
      <c r="I39" s="39">
        <v>1.3599999999999999E-2</v>
      </c>
      <c r="J39" s="39">
        <f t="shared" ref="J39:V39" si="15">C14</f>
        <v>1.0391198044009897E-2</v>
      </c>
      <c r="K39" s="39">
        <f t="shared" si="15"/>
        <v>6.0000000000000001E-3</v>
      </c>
      <c r="L39" s="39">
        <f t="shared" si="15"/>
        <v>1.4612326043737614E-2</v>
      </c>
      <c r="M39" s="39">
        <f t="shared" si="15"/>
        <v>2.0799999999999999E-2</v>
      </c>
      <c r="N39" s="39">
        <f t="shared" si="15"/>
        <v>9.8045467936378472E-3</v>
      </c>
      <c r="O39" s="39">
        <f t="shared" si="15"/>
        <v>1.1427768627225943E-2</v>
      </c>
      <c r="P39" s="39">
        <f t="shared" si="15"/>
        <v>8.6838361221761584E-3</v>
      </c>
      <c r="Q39" s="39">
        <f t="shared" si="15"/>
        <v>9.9714224360125669E-3</v>
      </c>
      <c r="R39" s="39">
        <f t="shared" si="15"/>
        <v>1.0027053778156603E-2</v>
      </c>
      <c r="S39" s="39">
        <f t="shared" si="15"/>
        <v>9.560580035455013E-3</v>
      </c>
      <c r="T39" s="39">
        <f t="shared" si="15"/>
        <v>9.8529973210197408E-3</v>
      </c>
      <c r="U39" s="39">
        <f t="shared" si="15"/>
        <v>9.8135253685569523E-3</v>
      </c>
      <c r="V39" s="39">
        <f t="shared" si="15"/>
        <v>9.7423592639933609E-3</v>
      </c>
    </row>
    <row r="40" spans="1:22">
      <c r="B40" s="42" t="s">
        <v>138</v>
      </c>
      <c r="C40" s="40">
        <v>13.045</v>
      </c>
      <c r="D40" s="41">
        <f t="shared" ref="D40:J40" si="16">C40*(1+D39)</f>
        <v>13.579844999999999</v>
      </c>
      <c r="E40" s="41">
        <f t="shared" si="16"/>
        <v>13.592258730217676</v>
      </c>
      <c r="F40" s="41">
        <f t="shared" si="16"/>
        <v>13.959249715933552</v>
      </c>
      <c r="G40" s="41">
        <f t="shared" si="16"/>
        <v>14.168638461672554</v>
      </c>
      <c r="H40" s="41">
        <f t="shared" si="16"/>
        <v>14.588372877522795</v>
      </c>
      <c r="I40" s="41">
        <f t="shared" si="16"/>
        <v>14.786774748657106</v>
      </c>
      <c r="J40" s="41">
        <f t="shared" si="16"/>
        <v>14.940427053502566</v>
      </c>
      <c r="K40" s="41">
        <f t="shared" ref="K40:V40" si="17">J40*(1+K39)</f>
        <v>15.030069615823582</v>
      </c>
      <c r="L40" s="41">
        <f t="shared" si="17"/>
        <v>15.24969389351007</v>
      </c>
      <c r="M40" s="41">
        <f t="shared" si="17"/>
        <v>15.566887526495078</v>
      </c>
      <c r="N40" s="41">
        <f t="shared" si="17"/>
        <v>15.719513803679897</v>
      </c>
      <c r="O40" s="41">
        <f t="shared" si="17"/>
        <v>15.899152770360836</v>
      </c>
      <c r="P40" s="41">
        <f t="shared" si="17"/>
        <v>16.037218407500092</v>
      </c>
      <c r="Q40" s="41">
        <f t="shared" si="17"/>
        <v>16.197132286939873</v>
      </c>
      <c r="R40" s="41">
        <f t="shared" si="17"/>
        <v>16.359541803432936</v>
      </c>
      <c r="S40" s="41">
        <f t="shared" si="17"/>
        <v>16.515948512188029</v>
      </c>
      <c r="T40" s="41">
        <f t="shared" si="17"/>
        <v>16.678680108632719</v>
      </c>
      <c r="U40" s="41">
        <f t="shared" si="17"/>
        <v>16.842356758992832</v>
      </c>
      <c r="V40" s="41">
        <f t="shared" si="17"/>
        <v>17.006441049391288</v>
      </c>
    </row>
    <row r="41" spans="1:22">
      <c r="B41" s="42" t="s">
        <v>139</v>
      </c>
      <c r="E41" s="41">
        <v>13.997999999999999</v>
      </c>
      <c r="F41" s="41">
        <f t="shared" ref="F41:V41" si="18">E41*(1+F39)</f>
        <v>14.375945999999997</v>
      </c>
      <c r="G41" s="41">
        <f t="shared" si="18"/>
        <v>14.591585189999996</v>
      </c>
      <c r="H41" s="41">
        <f t="shared" si="18"/>
        <v>15.023849059433976</v>
      </c>
      <c r="I41" s="41">
        <f t="shared" si="18"/>
        <v>15.228173406642279</v>
      </c>
      <c r="J41" s="41">
        <f t="shared" si="18"/>
        <v>15.386412372359224</v>
      </c>
      <c r="K41" s="41">
        <f t="shared" si="18"/>
        <v>15.478730846593379</v>
      </c>
      <c r="L41" s="41">
        <f t="shared" si="18"/>
        <v>15.70491110846706</v>
      </c>
      <c r="M41" s="41">
        <f t="shared" si="18"/>
        <v>16.031573259523174</v>
      </c>
      <c r="N41" s="41">
        <f t="shared" si="18"/>
        <v>16.188755569721803</v>
      </c>
      <c r="O41" s="41">
        <f t="shared" si="18"/>
        <v>16.3737569227353</v>
      </c>
      <c r="P41" s="41">
        <f t="shared" si="18"/>
        <v>16.515943944556682</v>
      </c>
      <c r="Q41" s="41">
        <f t="shared" si="18"/>
        <v>16.68063139855736</v>
      </c>
      <c r="R41" s="41">
        <f t="shared" si="18"/>
        <v>16.847888986644303</v>
      </c>
      <c r="S41" s="41">
        <f t="shared" si="18"/>
        <v>17.008964577729579</v>
      </c>
      <c r="T41" s="41">
        <f t="shared" si="18"/>
        <v>17.176553860147269</v>
      </c>
      <c r="U41" s="41">
        <f t="shared" si="18"/>
        <v>17.345116407198208</v>
      </c>
      <c r="V41" s="41">
        <f t="shared" si="18"/>
        <v>17.514098762712919</v>
      </c>
    </row>
    <row r="42" spans="1:22">
      <c r="B42" s="42" t="s">
        <v>140</v>
      </c>
      <c r="H42" s="41">
        <v>15.7</v>
      </c>
      <c r="I42" s="41">
        <f t="shared" ref="I42:V42" si="19">H42*(1+I39)</f>
        <v>15.91352</v>
      </c>
      <c r="J42" s="41">
        <f t="shared" si="19"/>
        <v>16.078880537897312</v>
      </c>
      <c r="K42" s="41">
        <f t="shared" si="19"/>
        <v>16.175353821124695</v>
      </c>
      <c r="L42" s="41">
        <f t="shared" si="19"/>
        <v>16.411713365031787</v>
      </c>
      <c r="M42" s="41">
        <f t="shared" si="19"/>
        <v>16.753077003024448</v>
      </c>
      <c r="N42" s="41">
        <f t="shared" si="19"/>
        <v>16.917333330438019</v>
      </c>
      <c r="O42" s="41">
        <f t="shared" si="19"/>
        <v>17.110660701527923</v>
      </c>
      <c r="P42" s="41">
        <f t="shared" si="19"/>
        <v>17.259246875002152</v>
      </c>
      <c r="Q42" s="41">
        <f t="shared" si="19"/>
        <v>17.431346116520228</v>
      </c>
      <c r="R42" s="41">
        <f t="shared" si="19"/>
        <v>17.606131161456236</v>
      </c>
      <c r="S42" s="41">
        <f t="shared" si="19"/>
        <v>17.774455987540058</v>
      </c>
      <c r="T42" s="41">
        <f t="shared" si="19"/>
        <v>17.949587654767875</v>
      </c>
      <c r="U42" s="41">
        <f t="shared" si="19"/>
        <v>18.125736388573078</v>
      </c>
      <c r="V42" s="41">
        <f t="shared" si="19"/>
        <v>18.302323824394993</v>
      </c>
    </row>
    <row r="43" spans="1:22">
      <c r="P43" s="38"/>
      <c r="Q43" s="38"/>
      <c r="R43" s="38"/>
      <c r="S43" s="38"/>
      <c r="T43" s="38"/>
      <c r="U43" s="38"/>
    </row>
    <row r="44" spans="1:22" ht="16.5" thickBot="1">
      <c r="B44" s="629" t="s">
        <v>219</v>
      </c>
      <c r="C44" s="630"/>
      <c r="D44" s="630"/>
      <c r="E44" s="630"/>
      <c r="F44" s="630"/>
      <c r="G44" s="630"/>
      <c r="H44" s="631"/>
    </row>
    <row r="45" spans="1:22" ht="15.75" thickTop="1">
      <c r="B45" s="69" t="s">
        <v>142</v>
      </c>
      <c r="C45" s="632" t="s">
        <v>220</v>
      </c>
      <c r="D45" s="632"/>
      <c r="E45" s="632"/>
      <c r="F45" s="632" t="s">
        <v>221</v>
      </c>
      <c r="G45" s="632"/>
      <c r="H45" s="632"/>
    </row>
    <row r="46" spans="1:22">
      <c r="B46" s="42" t="s">
        <v>143</v>
      </c>
      <c r="C46" s="633">
        <v>13321651</v>
      </c>
      <c r="D46" s="633"/>
      <c r="E46" s="633"/>
      <c r="F46" s="633">
        <f t="shared" ref="F46:F50" si="20">C46*Dias_año/1000</f>
        <v>4862402.6150000002</v>
      </c>
      <c r="G46" s="633"/>
      <c r="H46" s="633"/>
    </row>
    <row r="47" spans="1:22">
      <c r="B47" s="42" t="s">
        <v>144</v>
      </c>
      <c r="C47" s="633">
        <v>2208822</v>
      </c>
      <c r="D47" s="633"/>
      <c r="E47" s="633"/>
      <c r="F47" s="633">
        <f t="shared" si="20"/>
        <v>806220.03</v>
      </c>
      <c r="G47" s="633"/>
      <c r="H47" s="633"/>
    </row>
    <row r="48" spans="1:22">
      <c r="B48" s="42" t="s">
        <v>1017</v>
      </c>
      <c r="C48" s="633">
        <v>6375437</v>
      </c>
      <c r="D48" s="633"/>
      <c r="E48" s="633"/>
      <c r="F48" s="633">
        <f t="shared" si="20"/>
        <v>2327034.5049999999</v>
      </c>
      <c r="G48" s="633"/>
      <c r="H48" s="633"/>
    </row>
    <row r="49" spans="2:13">
      <c r="B49" s="42" t="s">
        <v>147</v>
      </c>
      <c r="C49" s="633">
        <v>167160</v>
      </c>
      <c r="D49" s="633"/>
      <c r="E49" s="633"/>
      <c r="F49" s="633">
        <f t="shared" si="20"/>
        <v>61013.4</v>
      </c>
      <c r="G49" s="633"/>
      <c r="H49" s="633"/>
    </row>
    <row r="50" spans="2:13">
      <c r="B50" s="42" t="s">
        <v>148</v>
      </c>
      <c r="C50" s="633">
        <v>1525480</v>
      </c>
      <c r="D50" s="633"/>
      <c r="E50" s="633"/>
      <c r="F50" s="633">
        <f t="shared" si="20"/>
        <v>556800.19999999995</v>
      </c>
      <c r="G50" s="633"/>
      <c r="H50" s="633"/>
    </row>
    <row r="51" spans="2:13">
      <c r="B51" s="42" t="s">
        <v>150</v>
      </c>
      <c r="C51" s="634">
        <f>SUM(C46:C50)</f>
        <v>23598550</v>
      </c>
      <c r="D51" s="634"/>
      <c r="E51" s="634"/>
      <c r="F51" s="634">
        <f>SUM(F46:F50)</f>
        <v>8613470.75</v>
      </c>
      <c r="G51" s="634"/>
      <c r="H51" s="634"/>
    </row>
    <row r="53" spans="2:13" ht="16.5" thickBot="1">
      <c r="B53" s="570" t="s">
        <v>420</v>
      </c>
    </row>
    <row r="54" spans="2:13" ht="15" customHeight="1" thickTop="1">
      <c r="B54" s="42" t="s">
        <v>1003</v>
      </c>
      <c r="C54" s="70">
        <v>2014</v>
      </c>
      <c r="D54" s="43">
        <f>C54+1</f>
        <v>2015</v>
      </c>
      <c r="E54" s="43">
        <f t="shared" ref="E54:M54" si="21">D54+1</f>
        <v>2016</v>
      </c>
      <c r="F54" s="43">
        <f t="shared" si="21"/>
        <v>2017</v>
      </c>
      <c r="G54" s="43">
        <f t="shared" si="21"/>
        <v>2018</v>
      </c>
      <c r="H54" s="43">
        <f t="shared" si="21"/>
        <v>2019</v>
      </c>
      <c r="I54" s="43">
        <f t="shared" si="21"/>
        <v>2020</v>
      </c>
      <c r="J54" s="43">
        <f t="shared" si="21"/>
        <v>2021</v>
      </c>
      <c r="K54" s="43">
        <f t="shared" si="21"/>
        <v>2022</v>
      </c>
      <c r="L54" s="43">
        <f t="shared" si="21"/>
        <v>2023</v>
      </c>
      <c r="M54" s="43">
        <f t="shared" si="21"/>
        <v>2024</v>
      </c>
    </row>
    <row r="55" spans="2:13">
      <c r="B55" s="69" t="s">
        <v>418</v>
      </c>
      <c r="C55" s="45">
        <f>9180082.55</f>
        <v>9180082.5500000007</v>
      </c>
      <c r="D55" s="45">
        <f>C55</f>
        <v>9180082.5500000007</v>
      </c>
      <c r="E55" s="45">
        <f t="shared" ref="E55:M56" si="22">D55</f>
        <v>9180082.5500000007</v>
      </c>
      <c r="F55" s="45">
        <f t="shared" si="22"/>
        <v>9180082.5500000007</v>
      </c>
      <c r="G55" s="45">
        <f t="shared" si="22"/>
        <v>9180082.5500000007</v>
      </c>
      <c r="H55" s="45">
        <f t="shared" si="22"/>
        <v>9180082.5500000007</v>
      </c>
      <c r="I55" s="45">
        <f t="shared" si="22"/>
        <v>9180082.5500000007</v>
      </c>
      <c r="J55" s="45">
        <f t="shared" si="22"/>
        <v>9180082.5500000007</v>
      </c>
      <c r="K55" s="45">
        <f t="shared" si="22"/>
        <v>9180082.5500000007</v>
      </c>
      <c r="L55" s="45">
        <f t="shared" si="22"/>
        <v>9180082.5500000007</v>
      </c>
      <c r="M55" s="45">
        <f t="shared" si="22"/>
        <v>9180082.5500000007</v>
      </c>
    </row>
    <row r="56" spans="2:13">
      <c r="B56" s="69" t="s">
        <v>1004</v>
      </c>
      <c r="C56" s="45">
        <v>587031</v>
      </c>
      <c r="D56" s="45">
        <f>C56</f>
        <v>587031</v>
      </c>
      <c r="E56" s="45">
        <f t="shared" si="22"/>
        <v>587031</v>
      </c>
      <c r="F56" s="45">
        <f t="shared" si="22"/>
        <v>587031</v>
      </c>
      <c r="G56" s="45">
        <f t="shared" si="22"/>
        <v>587031</v>
      </c>
      <c r="H56" s="45">
        <f t="shared" si="22"/>
        <v>587031</v>
      </c>
      <c r="I56" s="45">
        <f t="shared" si="22"/>
        <v>587031</v>
      </c>
      <c r="J56" s="45">
        <f t="shared" si="22"/>
        <v>587031</v>
      </c>
      <c r="K56" s="45">
        <f t="shared" si="22"/>
        <v>587031</v>
      </c>
      <c r="L56" s="45">
        <f t="shared" si="22"/>
        <v>587031</v>
      </c>
      <c r="M56" s="45">
        <f t="shared" si="22"/>
        <v>587031</v>
      </c>
    </row>
    <row r="57" spans="2:13">
      <c r="B57" s="69" t="s">
        <v>1005</v>
      </c>
      <c r="C57" s="45">
        <f>C55+C56</f>
        <v>9767113.5500000007</v>
      </c>
      <c r="D57" s="45">
        <f t="shared" ref="D57:M57" si="23">D55+D56</f>
        <v>9767113.5500000007</v>
      </c>
      <c r="E57" s="45">
        <f t="shared" si="23"/>
        <v>9767113.5500000007</v>
      </c>
      <c r="F57" s="45">
        <f>F55+F56</f>
        <v>9767113.5500000007</v>
      </c>
      <c r="G57" s="45">
        <f t="shared" si="23"/>
        <v>9767113.5500000007</v>
      </c>
      <c r="H57" s="45">
        <f t="shared" si="23"/>
        <v>9767113.5500000007</v>
      </c>
      <c r="I57" s="45">
        <f t="shared" si="23"/>
        <v>9767113.5500000007</v>
      </c>
      <c r="J57" s="45">
        <f t="shared" si="23"/>
        <v>9767113.5500000007</v>
      </c>
      <c r="K57" s="45">
        <f t="shared" si="23"/>
        <v>9767113.5500000007</v>
      </c>
      <c r="L57" s="45">
        <f t="shared" si="23"/>
        <v>9767113.5500000007</v>
      </c>
      <c r="M57" s="45">
        <f t="shared" si="23"/>
        <v>9767113.5500000007</v>
      </c>
    </row>
    <row r="58" spans="2:13">
      <c r="B58" s="42" t="s">
        <v>1007</v>
      </c>
      <c r="C58" s="590">
        <f>(C55*Dias_mes+C56*Dias_año)/1000</f>
        <v>493493.82589583367</v>
      </c>
      <c r="D58" s="75">
        <f t="shared" ref="D58:M58" si="24">D57*Dias_año/1000</f>
        <v>3564996.4457500004</v>
      </c>
      <c r="E58" s="75">
        <f t="shared" si="24"/>
        <v>3564996.4457500004</v>
      </c>
      <c r="F58" s="75">
        <f t="shared" si="24"/>
        <v>3564996.4457500004</v>
      </c>
      <c r="G58" s="75">
        <f t="shared" si="24"/>
        <v>3564996.4457500004</v>
      </c>
      <c r="H58" s="75">
        <f t="shared" si="24"/>
        <v>3564996.4457500004</v>
      </c>
      <c r="I58" s="75">
        <f t="shared" si="24"/>
        <v>3564996.4457500004</v>
      </c>
      <c r="J58" s="75">
        <f t="shared" si="24"/>
        <v>3564996.4457500004</v>
      </c>
      <c r="K58" s="75">
        <f t="shared" si="24"/>
        <v>3564996.4457500004</v>
      </c>
      <c r="L58" s="75">
        <f t="shared" si="24"/>
        <v>3564996.4457500004</v>
      </c>
      <c r="M58" s="75">
        <f t="shared" si="24"/>
        <v>3564996.4457500004</v>
      </c>
    </row>
    <row r="60" spans="2:13">
      <c r="B60" s="42" t="s">
        <v>419</v>
      </c>
      <c r="C60" s="45"/>
      <c r="D60" s="45"/>
      <c r="E60" s="45">
        <f>(440*1000000)/Dias_año</f>
        <v>1205479.4520547944</v>
      </c>
      <c r="F60" s="45">
        <f>E60</f>
        <v>1205479.4520547944</v>
      </c>
      <c r="G60" s="45">
        <f t="shared" ref="G60:M60" si="25">F60</f>
        <v>1205479.4520547944</v>
      </c>
      <c r="H60" s="45">
        <f t="shared" si="25"/>
        <v>1205479.4520547944</v>
      </c>
      <c r="I60" s="45">
        <f t="shared" si="25"/>
        <v>1205479.4520547944</v>
      </c>
      <c r="J60" s="45">
        <f t="shared" si="25"/>
        <v>1205479.4520547944</v>
      </c>
      <c r="K60" s="45">
        <f t="shared" si="25"/>
        <v>1205479.4520547944</v>
      </c>
      <c r="L60" s="45">
        <f t="shared" si="25"/>
        <v>1205479.4520547944</v>
      </c>
      <c r="M60" s="45">
        <f t="shared" si="25"/>
        <v>1205479.4520547944</v>
      </c>
    </row>
    <row r="61" spans="2:13">
      <c r="B61" s="42" t="s">
        <v>1006</v>
      </c>
      <c r="C61" s="596">
        <f>C60*Dias_mes/1000</f>
        <v>0</v>
      </c>
      <c r="D61" s="595">
        <f t="shared" ref="D61:M61" si="26">D60*Dias_año/1000</f>
        <v>0</v>
      </c>
      <c r="E61" s="595">
        <f t="shared" si="26"/>
        <v>439999.99999999994</v>
      </c>
      <c r="F61" s="595">
        <f t="shared" si="26"/>
        <v>439999.99999999994</v>
      </c>
      <c r="G61" s="595">
        <f t="shared" si="26"/>
        <v>439999.99999999994</v>
      </c>
      <c r="H61" s="595">
        <f t="shared" si="26"/>
        <v>439999.99999999994</v>
      </c>
      <c r="I61" s="595">
        <f t="shared" si="26"/>
        <v>439999.99999999994</v>
      </c>
      <c r="J61" s="595">
        <f t="shared" si="26"/>
        <v>439999.99999999994</v>
      </c>
      <c r="K61" s="595">
        <f t="shared" si="26"/>
        <v>439999.99999999994</v>
      </c>
      <c r="L61" s="595">
        <f t="shared" si="26"/>
        <v>439999.99999999994</v>
      </c>
      <c r="M61" s="595">
        <f t="shared" si="26"/>
        <v>439999.99999999994</v>
      </c>
    </row>
    <row r="63" spans="2:13">
      <c r="B63" s="38"/>
    </row>
    <row r="64" spans="2:13" ht="48" thickBot="1">
      <c r="B64" s="573" t="s">
        <v>287</v>
      </c>
      <c r="C64" s="573" t="s">
        <v>292</v>
      </c>
      <c r="D64" s="573" t="s">
        <v>293</v>
      </c>
    </row>
    <row r="65" spans="2:4" ht="15.75" thickTop="1">
      <c r="B65" s="131" t="s">
        <v>143</v>
      </c>
      <c r="C65" s="111">
        <v>1240</v>
      </c>
      <c r="D65" s="112">
        <v>0.55000000000000004</v>
      </c>
    </row>
    <row r="66" spans="2:4">
      <c r="B66" s="131" t="s">
        <v>288</v>
      </c>
      <c r="C66" s="111">
        <v>820</v>
      </c>
      <c r="D66" s="112">
        <v>0.7</v>
      </c>
    </row>
    <row r="67" spans="2:4">
      <c r="B67" s="131" t="s">
        <v>289</v>
      </c>
      <c r="C67" s="111">
        <v>396</v>
      </c>
      <c r="D67" s="112">
        <v>0.52</v>
      </c>
    </row>
    <row r="68" spans="2:4">
      <c r="B68" s="131" t="s">
        <v>290</v>
      </c>
      <c r="C68" s="111">
        <v>300</v>
      </c>
      <c r="D68" s="112">
        <v>0.85</v>
      </c>
    </row>
    <row r="69" spans="2:4" ht="15" customHeight="1">
      <c r="B69" s="131" t="s">
        <v>291</v>
      </c>
      <c r="C69" s="111">
        <v>300</v>
      </c>
      <c r="D69" s="112">
        <v>0.85</v>
      </c>
    </row>
    <row r="70" spans="2:4" ht="15" customHeight="1">
      <c r="B70" s="131" t="s">
        <v>148</v>
      </c>
      <c r="C70" s="111">
        <v>170</v>
      </c>
      <c r="D70" s="112">
        <v>0.56000000000000005</v>
      </c>
    </row>
    <row r="71" spans="2:4">
      <c r="B71" s="131" t="s">
        <v>146</v>
      </c>
      <c r="C71" s="111">
        <v>80</v>
      </c>
      <c r="D71" s="112">
        <v>0.73</v>
      </c>
    </row>
    <row r="72" spans="2:4">
      <c r="B72" s="131" t="s">
        <v>147</v>
      </c>
      <c r="C72" s="111">
        <v>26</v>
      </c>
      <c r="D72" s="112">
        <v>0.43</v>
      </c>
    </row>
    <row r="73" spans="2:4">
      <c r="B73" s="131" t="s">
        <v>502</v>
      </c>
      <c r="C73" s="111">
        <f>SUM(C65:C72)-C69</f>
        <v>3032</v>
      </c>
      <c r="D73" s="285"/>
    </row>
    <row r="74" spans="2:4">
      <c r="B74" s="125" t="s">
        <v>294</v>
      </c>
    </row>
    <row r="76" spans="2:4" ht="16.5" thickBot="1">
      <c r="B76" s="573" t="s">
        <v>145</v>
      </c>
    </row>
    <row r="77" spans="2:4" ht="15.75" thickTop="1"/>
    <row r="78" spans="2:4" ht="16.5" thickBot="1">
      <c r="B78" s="573" t="s">
        <v>1000</v>
      </c>
      <c r="C78" s="573" t="s">
        <v>422</v>
      </c>
    </row>
    <row r="79" spans="2:4" ht="15.75" thickTop="1">
      <c r="B79" s="133" t="s">
        <v>421</v>
      </c>
      <c r="C79" s="139">
        <v>0.17605639162642392</v>
      </c>
    </row>
    <row r="80" spans="2:4">
      <c r="B80" s="129" t="s">
        <v>330</v>
      </c>
      <c r="C80" s="134">
        <f>1/C79</f>
        <v>5.6799982707921872</v>
      </c>
    </row>
    <row r="81" spans="2:3">
      <c r="B81" s="129" t="s">
        <v>331</v>
      </c>
      <c r="C81" s="130">
        <f>C80*'Supuestos de Operacion'!E39</f>
        <v>44.269906522554308</v>
      </c>
    </row>
    <row r="82" spans="2:3">
      <c r="C82" s="132"/>
    </row>
    <row r="83" spans="2:3" ht="16.5" thickBot="1">
      <c r="B83" s="573" t="s">
        <v>944</v>
      </c>
      <c r="C83" s="573" t="s">
        <v>943</v>
      </c>
    </row>
    <row r="84" spans="2:3" ht="15.75" thickTop="1">
      <c r="B84" s="129" t="s">
        <v>945</v>
      </c>
      <c r="C84" s="543">
        <v>7.0872000000000002</v>
      </c>
    </row>
    <row r="85" spans="2:3">
      <c r="C85" s="132"/>
    </row>
    <row r="86" spans="2:3" ht="32.25" thickBot="1">
      <c r="B86" s="573" t="s">
        <v>983</v>
      </c>
      <c r="C86" s="573" t="s">
        <v>943</v>
      </c>
    </row>
    <row r="87" spans="2:3" ht="15.75" thickTop="1">
      <c r="B87" s="129" t="s">
        <v>981</v>
      </c>
      <c r="C87" s="339">
        <v>29000</v>
      </c>
    </row>
    <row r="88" spans="2:3">
      <c r="B88" s="129" t="s">
        <v>982</v>
      </c>
      <c r="C88" s="339">
        <v>705600</v>
      </c>
    </row>
    <row r="89" spans="2:3">
      <c r="B89" s="125" t="s">
        <v>341</v>
      </c>
    </row>
    <row r="90" spans="2:3">
      <c r="C90" s="132"/>
    </row>
  </sheetData>
  <mergeCells count="15">
    <mergeCell ref="C49:E49"/>
    <mergeCell ref="C50:E50"/>
    <mergeCell ref="C51:E51"/>
    <mergeCell ref="F50:H50"/>
    <mergeCell ref="F51:H51"/>
    <mergeCell ref="F49:H49"/>
    <mergeCell ref="B44:H44"/>
    <mergeCell ref="F45:H45"/>
    <mergeCell ref="F46:H46"/>
    <mergeCell ref="F47:H47"/>
    <mergeCell ref="F48:H48"/>
    <mergeCell ref="C45:E45"/>
    <mergeCell ref="C46:E46"/>
    <mergeCell ref="C47:E47"/>
    <mergeCell ref="C48:E48"/>
  </mergeCells>
  <hyperlinks>
    <hyperlink ref="B36" r:id="rId1" display="http://www.sipg.gov.co/sipg/documentos/precios_combustibles/Termicas_Marzo_2014.pdf págs 47-48"/>
    <hyperlink ref="B89" r:id="rId2"/>
    <hyperlink ref="B74" r:id="rId3"/>
  </hyperlinks>
  <pageMargins left="0.7" right="0.7" top="0.75" bottom="0.75" header="0.3" footer="0.3"/>
  <ignoredErrors>
    <ignoredError sqref="E10:F10 H10:O10" formulaRange="1"/>
    <ignoredError sqref="F57:M57 D61" formula="1"/>
  </ignoredErrors>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B2:AI91"/>
  <sheetViews>
    <sheetView showGridLines="0" zoomScaleNormal="100" workbookViewId="0">
      <selection activeCell="G82" sqref="G82"/>
    </sheetView>
  </sheetViews>
  <sheetFormatPr baseColWidth="10" defaultRowHeight="15"/>
  <cols>
    <col min="2" max="2" width="69" bestFit="1" customWidth="1"/>
    <col min="3" max="7" width="12.5703125" bestFit="1" customWidth="1"/>
    <col min="8" max="10" width="11.5703125" bestFit="1" customWidth="1"/>
    <col min="11" max="12" width="8" bestFit="1" customWidth="1"/>
    <col min="13" max="13" width="10.140625" bestFit="1" customWidth="1"/>
  </cols>
  <sheetData>
    <row r="2" spans="2:14" ht="16.5" thickBot="1">
      <c r="B2" s="570" t="s">
        <v>399</v>
      </c>
      <c r="C2" s="96">
        <v>2004</v>
      </c>
      <c r="D2" s="96">
        <v>2005</v>
      </c>
      <c r="E2" s="96">
        <v>2006</v>
      </c>
      <c r="F2" s="96">
        <v>2007</v>
      </c>
      <c r="G2" s="96">
        <v>2008</v>
      </c>
      <c r="H2" s="96">
        <v>2009</v>
      </c>
      <c r="I2" s="96">
        <v>2010</v>
      </c>
      <c r="J2" s="96">
        <v>2011</v>
      </c>
      <c r="K2" s="96">
        <v>2012</v>
      </c>
      <c r="L2" s="96">
        <v>2013</v>
      </c>
      <c r="M2" s="96" t="s">
        <v>126</v>
      </c>
    </row>
    <row r="3" spans="2:14" ht="15.75" thickTop="1">
      <c r="B3" s="30" t="s">
        <v>249</v>
      </c>
      <c r="C3" s="26">
        <v>64.400000000000006</v>
      </c>
      <c r="D3" s="26">
        <v>74.400000000000006</v>
      </c>
      <c r="E3" s="26">
        <v>72.72</v>
      </c>
      <c r="F3" s="26">
        <v>83.42</v>
      </c>
      <c r="G3" s="26">
        <v>89.1</v>
      </c>
      <c r="H3" s="26">
        <v>139.54</v>
      </c>
      <c r="I3" s="26">
        <v>130.35</v>
      </c>
      <c r="J3" s="26">
        <v>76.2</v>
      </c>
      <c r="K3" s="26">
        <v>116.16</v>
      </c>
      <c r="L3" s="26">
        <v>178.88</v>
      </c>
      <c r="M3" s="26">
        <f>AVERAGE(C3:L3)</f>
        <v>102.51700000000001</v>
      </c>
      <c r="N3" s="61"/>
    </row>
    <row r="4" spans="2:14">
      <c r="H4" s="97"/>
      <c r="I4" s="97"/>
      <c r="J4" s="98"/>
      <c r="K4" s="98"/>
      <c r="L4" s="98"/>
      <c r="M4" s="61"/>
      <c r="N4" s="61"/>
    </row>
    <row r="5" spans="2:14" ht="16.5" thickBot="1">
      <c r="B5" s="570" t="s">
        <v>400</v>
      </c>
      <c r="H5" s="97"/>
      <c r="I5" s="97"/>
      <c r="J5" s="135"/>
      <c r="K5" s="98"/>
      <c r="L5" s="98"/>
      <c r="M5" s="97"/>
    </row>
    <row r="6" spans="2:14" ht="15.75" thickTop="1">
      <c r="B6" s="30" t="s">
        <v>250</v>
      </c>
      <c r="C6" s="99">
        <v>72.900000000000006</v>
      </c>
      <c r="D6" s="99">
        <v>70.7</v>
      </c>
      <c r="E6" s="99">
        <v>71.790000000000006</v>
      </c>
      <c r="F6" s="99">
        <v>77.31</v>
      </c>
      <c r="G6" s="99">
        <v>88.8</v>
      </c>
      <c r="H6" s="100">
        <v>104.74</v>
      </c>
      <c r="I6" s="100">
        <v>109.94</v>
      </c>
      <c r="J6" s="100">
        <v>118</v>
      </c>
      <c r="K6" s="100">
        <v>120.79</v>
      </c>
      <c r="L6" s="100">
        <v>125.81</v>
      </c>
      <c r="M6" s="100">
        <f>AVERAGE(C6:L6)</f>
        <v>96.078000000000003</v>
      </c>
    </row>
    <row r="7" spans="2:14">
      <c r="B7" s="177" t="s">
        <v>251</v>
      </c>
      <c r="C7" s="101">
        <v>4.6431849533920877E-2</v>
      </c>
      <c r="D7" s="101">
        <v>2.0649432636609122E-2</v>
      </c>
      <c r="E7" s="101">
        <v>5.5500000000000001E-2</v>
      </c>
      <c r="F7" s="101">
        <v>1.2699999999999999E-2</v>
      </c>
      <c r="G7" s="101">
        <v>8.9899999999999994E-2</v>
      </c>
      <c r="H7" s="101">
        <v>-2.1899999999999999E-2</v>
      </c>
      <c r="I7" s="101">
        <v>4.3799999999999999E-2</v>
      </c>
      <c r="J7" s="101">
        <v>5.5099999999999996E-2</v>
      </c>
      <c r="K7" s="101">
        <v>-2.9499999999999998E-2</v>
      </c>
      <c r="L7" s="101">
        <v>-4.8999999999999998E-3</v>
      </c>
      <c r="M7" s="97"/>
    </row>
    <row r="8" spans="2:14">
      <c r="B8" s="30" t="s">
        <v>252</v>
      </c>
      <c r="C8" s="26">
        <f>C3*(1+C11)</f>
        <v>70.840000000000018</v>
      </c>
      <c r="D8" s="26">
        <f>C8*(1+C7)</f>
        <v>74.129232220982971</v>
      </c>
      <c r="E8" s="26">
        <f>E3*(1+C11)</f>
        <v>79.992000000000004</v>
      </c>
      <c r="F8" s="26">
        <f>E8*(1+F7)</f>
        <v>81.007898400000002</v>
      </c>
      <c r="G8" s="26">
        <f>G3*(1+C11)</f>
        <v>98.01</v>
      </c>
      <c r="H8" s="26">
        <f>G8*(1+H7)</f>
        <v>95.863580999999996</v>
      </c>
      <c r="I8" s="26">
        <f>I3*(1+C11)</f>
        <v>143.38500000000002</v>
      </c>
      <c r="J8" s="26">
        <f>I8*(1+J7)</f>
        <v>151.28551350000001</v>
      </c>
      <c r="K8" s="26">
        <f>K3*(1+C11)</f>
        <v>127.77600000000001</v>
      </c>
      <c r="L8" s="26">
        <f>K8*(1+L7)</f>
        <v>127.1498976</v>
      </c>
      <c r="M8" s="26">
        <f>AVERAGE(C8:L8)</f>
        <v>104.9439122720983</v>
      </c>
    </row>
    <row r="9" spans="2:14">
      <c r="B9" s="30" t="s">
        <v>253</v>
      </c>
      <c r="C9" s="102">
        <f t="shared" ref="C9:L9" si="0">C6/C3-1</f>
        <v>0.13198757763975144</v>
      </c>
      <c r="D9" s="102">
        <f t="shared" si="0"/>
        <v>-4.9731182795698992E-2</v>
      </c>
      <c r="E9" s="102">
        <f t="shared" si="0"/>
        <v>-1.2788778877887652E-2</v>
      </c>
      <c r="F9" s="102">
        <f t="shared" si="0"/>
        <v>-7.3243826420522629E-2</v>
      </c>
      <c r="G9" s="102">
        <f t="shared" si="0"/>
        <v>-3.3670033670033517E-3</v>
      </c>
      <c r="H9" s="102">
        <f t="shared" si="0"/>
        <v>-0.24939085566862551</v>
      </c>
      <c r="I9" s="102">
        <f t="shared" si="0"/>
        <v>-0.15657844265439202</v>
      </c>
      <c r="J9" s="102">
        <f t="shared" si="0"/>
        <v>0.54855643044619407</v>
      </c>
      <c r="K9" s="102">
        <f t="shared" si="0"/>
        <v>3.9858815426997429E-2</v>
      </c>
      <c r="L9" s="102">
        <f t="shared" si="0"/>
        <v>-0.29667933810375668</v>
      </c>
      <c r="M9" s="102">
        <f>M6/M3-1</f>
        <v>-6.2809095076914123E-2</v>
      </c>
    </row>
    <row r="10" spans="2:14" ht="15.75">
      <c r="B10" s="177" t="s">
        <v>367</v>
      </c>
      <c r="M10" s="578">
        <f>M8/M3-1</f>
        <v>2.3673266600644727E-2</v>
      </c>
    </row>
    <row r="11" spans="2:14">
      <c r="B11" s="30" t="s">
        <v>254</v>
      </c>
      <c r="C11" s="178">
        <v>0.1</v>
      </c>
    </row>
    <row r="12" spans="2:14" ht="15.75">
      <c r="B12" s="30" t="s">
        <v>368</v>
      </c>
    </row>
    <row r="13" spans="2:14">
      <c r="B13" s="104" t="s">
        <v>255</v>
      </c>
    </row>
    <row r="15" spans="2:14" ht="15.75" thickBot="1"/>
    <row r="16" spans="2:14" ht="16.5" thickBot="1">
      <c r="B16" s="635" t="s">
        <v>257</v>
      </c>
      <c r="C16" s="636"/>
      <c r="D16" s="636"/>
      <c r="E16" s="636"/>
      <c r="F16" s="636"/>
      <c r="G16" s="636"/>
      <c r="H16" s="637"/>
    </row>
    <row r="17" spans="2:8">
      <c r="B17" s="30" t="s">
        <v>258</v>
      </c>
      <c r="C17" s="33">
        <v>2008</v>
      </c>
      <c r="D17" s="33">
        <f>C17+1</f>
        <v>2009</v>
      </c>
      <c r="E17" s="33">
        <f>D17+1</f>
        <v>2010</v>
      </c>
      <c r="F17" s="33">
        <f>E17+1</f>
        <v>2011</v>
      </c>
      <c r="G17" s="33">
        <f>F17+1</f>
        <v>2012</v>
      </c>
      <c r="H17" s="33">
        <f>G17+1</f>
        <v>2013</v>
      </c>
    </row>
    <row r="18" spans="2:8">
      <c r="B18" s="30" t="s">
        <v>259</v>
      </c>
      <c r="C18" s="71">
        <v>1756</v>
      </c>
      <c r="D18" s="71">
        <v>2933.8</v>
      </c>
      <c r="E18" s="71">
        <v>2424.4</v>
      </c>
      <c r="F18" s="71">
        <v>2102.8000000000002</v>
      </c>
      <c r="G18" s="71">
        <v>1747.1</v>
      </c>
      <c r="H18" s="71">
        <v>1693.3</v>
      </c>
    </row>
    <row r="19" spans="2:8">
      <c r="B19" s="30" t="s">
        <v>260</v>
      </c>
      <c r="C19" s="71">
        <v>9094</v>
      </c>
      <c r="D19" s="71">
        <v>7420.6</v>
      </c>
      <c r="E19" s="71">
        <v>7587.1</v>
      </c>
      <c r="F19" s="71">
        <v>9386</v>
      </c>
      <c r="G19" s="71">
        <v>9063</v>
      </c>
      <c r="H19" s="71">
        <v>9673</v>
      </c>
    </row>
    <row r="20" spans="2:8">
      <c r="B20" s="30" t="s">
        <v>261</v>
      </c>
      <c r="C20" s="71">
        <f t="shared" ref="C20:H20" si="1">C18+C19</f>
        <v>10850</v>
      </c>
      <c r="D20" s="71">
        <f t="shared" si="1"/>
        <v>10354.400000000001</v>
      </c>
      <c r="E20" s="71">
        <f t="shared" si="1"/>
        <v>10011.5</v>
      </c>
      <c r="F20" s="71">
        <f t="shared" si="1"/>
        <v>11488.8</v>
      </c>
      <c r="G20" s="71">
        <f t="shared" si="1"/>
        <v>10810.1</v>
      </c>
      <c r="H20" s="71">
        <f t="shared" si="1"/>
        <v>11366.3</v>
      </c>
    </row>
    <row r="21" spans="2:8">
      <c r="B21" s="30" t="s">
        <v>262</v>
      </c>
      <c r="C21" s="200">
        <f t="shared" ref="C21:H21" si="2">C19/C20</f>
        <v>0.83815668202764981</v>
      </c>
      <c r="D21" s="200">
        <f t="shared" si="2"/>
        <v>0.71666151587730809</v>
      </c>
      <c r="E21" s="200">
        <f t="shared" si="2"/>
        <v>0.75783848574139745</v>
      </c>
      <c r="F21" s="200">
        <f t="shared" si="2"/>
        <v>0.81696957036418083</v>
      </c>
      <c r="G21" s="200">
        <f t="shared" si="2"/>
        <v>0.83838262365750549</v>
      </c>
      <c r="H21" s="200">
        <f t="shared" si="2"/>
        <v>0.85102451985254657</v>
      </c>
    </row>
    <row r="22" spans="2:8">
      <c r="B22" s="30" t="s">
        <v>263</v>
      </c>
      <c r="C22" s="200">
        <f t="shared" ref="C22:H22" si="3">C18/C20</f>
        <v>0.16184331797235024</v>
      </c>
      <c r="D22" s="200">
        <f t="shared" si="3"/>
        <v>0.2833384841226918</v>
      </c>
      <c r="E22" s="200">
        <f t="shared" si="3"/>
        <v>0.24216151425860261</v>
      </c>
      <c r="F22" s="200">
        <f t="shared" si="3"/>
        <v>0.18303042963581925</v>
      </c>
      <c r="G22" s="200">
        <f t="shared" si="3"/>
        <v>0.16161737634249451</v>
      </c>
      <c r="H22" s="200">
        <f t="shared" si="3"/>
        <v>0.14897548014745343</v>
      </c>
    </row>
    <row r="23" spans="2:8" s="537" customFormat="1">
      <c r="B23" s="104" t="s">
        <v>984</v>
      </c>
      <c r="C23" s="579"/>
      <c r="D23" s="579"/>
      <c r="E23" s="579"/>
      <c r="F23" s="579"/>
      <c r="G23" s="579"/>
      <c r="H23" s="579"/>
    </row>
    <row r="25" spans="2:8" ht="16.5" thickBot="1">
      <c r="B25" s="570" t="s">
        <v>486</v>
      </c>
      <c r="C25" s="573" t="s">
        <v>985</v>
      </c>
      <c r="D25" s="573" t="s">
        <v>986</v>
      </c>
    </row>
    <row r="26" spans="2:8" ht="15.75" thickTop="1">
      <c r="B26" s="33" t="s">
        <v>264</v>
      </c>
      <c r="C26" s="201">
        <f>ROUND(AVERAGE(C21,F21,G21,H21),2)</f>
        <v>0.84</v>
      </c>
      <c r="D26" s="201">
        <f>ROUND(AVERAGE(C22,F22,G22,H22),2)</f>
        <v>0.16</v>
      </c>
    </row>
    <row r="27" spans="2:8">
      <c r="B27" s="33" t="s">
        <v>265</v>
      </c>
      <c r="C27" s="201">
        <f>ROUND(AVERAGE(D21,E21),2)</f>
        <v>0.74</v>
      </c>
      <c r="D27" s="201">
        <f>ROUND(AVERAGE(D22,E22),2)</f>
        <v>0.26</v>
      </c>
    </row>
    <row r="29" spans="2:8" ht="16.5" thickBot="1">
      <c r="B29" s="570" t="s">
        <v>491</v>
      </c>
      <c r="C29" s="573" t="s">
        <v>985</v>
      </c>
      <c r="D29" s="573" t="s">
        <v>986</v>
      </c>
    </row>
    <row r="30" spans="2:8" ht="15.75" thickTop="1">
      <c r="B30" s="33" t="s">
        <v>264</v>
      </c>
      <c r="C30" s="202">
        <f>C26-4%</f>
        <v>0.79999999999999993</v>
      </c>
      <c r="D30" s="106">
        <f>1-C30</f>
        <v>0.20000000000000007</v>
      </c>
    </row>
    <row r="31" spans="2:8">
      <c r="B31" s="33" t="s">
        <v>1002</v>
      </c>
      <c r="C31" s="202">
        <f>C27-4%</f>
        <v>0.7</v>
      </c>
      <c r="D31" s="106">
        <f>1-C31</f>
        <v>0.30000000000000004</v>
      </c>
    </row>
    <row r="32" spans="2:8">
      <c r="B32" s="73"/>
      <c r="C32" s="273"/>
      <c r="D32" s="274"/>
    </row>
    <row r="33" spans="2:10" ht="16.5" thickBot="1">
      <c r="B33" s="570" t="s">
        <v>485</v>
      </c>
      <c r="C33" s="105">
        <v>2009</v>
      </c>
      <c r="D33" s="105">
        <v>2010</v>
      </c>
      <c r="E33" s="105">
        <v>2011</v>
      </c>
      <c r="F33" s="105">
        <v>2012</v>
      </c>
      <c r="G33" s="105">
        <v>2013</v>
      </c>
      <c r="H33" s="105" t="s">
        <v>126</v>
      </c>
    </row>
    <row r="34" spans="2:10" ht="15.75" thickTop="1">
      <c r="B34" s="33" t="s">
        <v>487</v>
      </c>
      <c r="C34" s="277">
        <f>3927.4/D19</f>
        <v>0.52925639436164196</v>
      </c>
      <c r="D34" s="277">
        <f>3729.2/E19</f>
        <v>0.49151849850403972</v>
      </c>
      <c r="E34" s="277">
        <f>5049/F19</f>
        <v>0.53792883017259752</v>
      </c>
      <c r="F34" s="277">
        <f>4376/G19</f>
        <v>0.48284232594063775</v>
      </c>
      <c r="G34" s="277">
        <f>4812/H19</f>
        <v>0.4974671766773493</v>
      </c>
      <c r="H34" s="581">
        <f>AVERAGE(C34:G34)</f>
        <v>0.50780264513125317</v>
      </c>
    </row>
    <row r="35" spans="2:10">
      <c r="B35" s="33" t="s">
        <v>488</v>
      </c>
      <c r="C35" s="277">
        <f>1-C34</f>
        <v>0.47074360563835804</v>
      </c>
      <c r="D35" s="277">
        <f>1-D34</f>
        <v>0.50848150149596028</v>
      </c>
      <c r="E35" s="277">
        <f>1-E34</f>
        <v>0.46207116982740248</v>
      </c>
      <c r="F35" s="277">
        <f>1-F34</f>
        <v>0.51715767405936219</v>
      </c>
      <c r="G35" s="277">
        <f>1-G34</f>
        <v>0.5025328233226507</v>
      </c>
      <c r="H35" s="581">
        <f>AVERAGE(C35:G35)</f>
        <v>0.49219735486874672</v>
      </c>
    </row>
    <row r="37" spans="2:10" ht="16.5" thickBot="1">
      <c r="B37" s="570" t="s">
        <v>270</v>
      </c>
      <c r="C37" s="105">
        <v>2007</v>
      </c>
      <c r="D37" s="105">
        <v>2008</v>
      </c>
      <c r="E37" s="105">
        <v>2009</v>
      </c>
      <c r="F37" s="105">
        <v>2010</v>
      </c>
      <c r="G37" s="105">
        <v>2011</v>
      </c>
      <c r="H37" s="105">
        <v>2012</v>
      </c>
      <c r="I37" s="105">
        <v>2013</v>
      </c>
      <c r="J37" s="105" t="s">
        <v>126</v>
      </c>
    </row>
    <row r="38" spans="2:10" ht="15.75" thickTop="1">
      <c r="B38" s="30" t="s">
        <v>271</v>
      </c>
      <c r="C38" s="71">
        <f>8877.2+1.1+1922.5</f>
        <v>10800.800000000001</v>
      </c>
      <c r="D38" s="71">
        <f>9094+1756</f>
        <v>10850</v>
      </c>
      <c r="E38" s="71">
        <v>10354.400000000001</v>
      </c>
      <c r="F38" s="71">
        <v>10011.5</v>
      </c>
      <c r="G38" s="71">
        <v>11488.8</v>
      </c>
      <c r="H38" s="71">
        <v>10810.1</v>
      </c>
      <c r="I38" s="71">
        <v>11366.3</v>
      </c>
      <c r="J38" s="71">
        <f>AVERAGE(C38:I38)</f>
        <v>10811.699999999999</v>
      </c>
    </row>
    <row r="39" spans="2:10">
      <c r="B39" s="30" t="s">
        <v>272</v>
      </c>
      <c r="C39" s="71">
        <v>10028.719999999999</v>
      </c>
      <c r="D39" s="71">
        <v>10105.09</v>
      </c>
      <c r="E39" s="71">
        <v>9259.82</v>
      </c>
      <c r="F39" s="71">
        <v>9558.58</v>
      </c>
      <c r="G39" s="71">
        <v>11002.49</v>
      </c>
      <c r="H39" s="71">
        <v>9683.6</v>
      </c>
      <c r="I39" s="71">
        <v>10322.36</v>
      </c>
      <c r="J39" s="71">
        <f>AVERAGE(C39:I39)</f>
        <v>9994.380000000001</v>
      </c>
    </row>
    <row r="40" spans="2:10">
      <c r="B40" s="30" t="s">
        <v>273</v>
      </c>
      <c r="C40" s="71">
        <f t="shared" ref="C40:H40" si="4">C38-C39</f>
        <v>772.08000000000175</v>
      </c>
      <c r="D40" s="71">
        <f t="shared" si="4"/>
        <v>744.90999999999985</v>
      </c>
      <c r="E40" s="71">
        <f t="shared" si="4"/>
        <v>1094.5800000000017</v>
      </c>
      <c r="F40" s="71">
        <f t="shared" si="4"/>
        <v>452.92000000000007</v>
      </c>
      <c r="G40" s="71">
        <f t="shared" si="4"/>
        <v>486.30999999999949</v>
      </c>
      <c r="H40" s="71">
        <f t="shared" si="4"/>
        <v>1126.5</v>
      </c>
      <c r="I40" s="71">
        <f>I38-I39</f>
        <v>1043.9399999999987</v>
      </c>
      <c r="J40" s="71">
        <f>AVERAGE(C40:I40)</f>
        <v>817.32000000000028</v>
      </c>
    </row>
    <row r="41" spans="2:10">
      <c r="B41" s="30" t="s">
        <v>274</v>
      </c>
      <c r="C41" s="200">
        <f t="shared" ref="C41:J41" si="5">C40/C39</f>
        <v>7.6986893641461898E-2</v>
      </c>
      <c r="D41" s="200">
        <f t="shared" si="5"/>
        <v>7.3716315243110134E-2</v>
      </c>
      <c r="E41" s="200">
        <f t="shared" si="5"/>
        <v>0.11820748135492934</v>
      </c>
      <c r="F41" s="200">
        <f t="shared" si="5"/>
        <v>4.7383607188515454E-2</v>
      </c>
      <c r="G41" s="200">
        <f t="shared" si="5"/>
        <v>4.4199994728465967E-2</v>
      </c>
      <c r="H41" s="200">
        <f t="shared" si="5"/>
        <v>0.11633070345739187</v>
      </c>
      <c r="I41" s="200">
        <f t="shared" si="5"/>
        <v>0.10113384923602729</v>
      </c>
      <c r="J41" s="580">
        <f t="shared" si="5"/>
        <v>8.1777959213077775E-2</v>
      </c>
    </row>
    <row r="42" spans="2:10" s="537" customFormat="1">
      <c r="B42" s="104" t="s">
        <v>984</v>
      </c>
      <c r="C42" s="579"/>
      <c r="D42" s="579"/>
      <c r="E42" s="579"/>
      <c r="F42" s="579"/>
      <c r="G42" s="579"/>
      <c r="H42" s="579"/>
      <c r="I42" s="579"/>
      <c r="J42" s="582"/>
    </row>
    <row r="43" spans="2:10" s="537" customFormat="1">
      <c r="B43" s="104"/>
      <c r="C43" s="579"/>
      <c r="D43" s="579"/>
      <c r="E43" s="579"/>
      <c r="F43" s="579"/>
      <c r="G43" s="579"/>
      <c r="H43" s="579"/>
      <c r="I43" s="579"/>
      <c r="J43" s="582"/>
    </row>
    <row r="44" spans="2:10" s="537" customFormat="1" ht="16.5" thickBot="1">
      <c r="B44" s="570" t="s">
        <v>1031</v>
      </c>
      <c r="C44" s="588">
        <v>2007</v>
      </c>
      <c r="D44" s="588">
        <v>2008</v>
      </c>
      <c r="E44" s="588">
        <v>2009</v>
      </c>
      <c r="F44" s="588">
        <v>2010</v>
      </c>
      <c r="G44" s="588">
        <v>2011</v>
      </c>
      <c r="H44" s="588">
        <v>2012</v>
      </c>
      <c r="I44" s="588">
        <v>2013</v>
      </c>
      <c r="J44" s="588" t="s">
        <v>126</v>
      </c>
    </row>
    <row r="45" spans="2:10" s="537" customFormat="1" ht="15.75" thickTop="1">
      <c r="B45" s="30" t="s">
        <v>1024</v>
      </c>
      <c r="C45" s="71">
        <v>73955.100000000006</v>
      </c>
      <c r="D45" s="71">
        <v>85930</v>
      </c>
      <c r="E45" s="71">
        <v>177479.2</v>
      </c>
      <c r="F45" s="71">
        <v>120201.1</v>
      </c>
      <c r="G45" s="71">
        <v>70234.2</v>
      </c>
      <c r="H45" s="71">
        <v>195336</v>
      </c>
      <c r="I45" s="71">
        <v>264281.2</v>
      </c>
      <c r="J45" s="609">
        <f>AVERAGE(C45:I45)</f>
        <v>141059.54285714286</v>
      </c>
    </row>
    <row r="46" spans="2:10" s="537" customFormat="1">
      <c r="B46" s="30" t="s">
        <v>1025</v>
      </c>
      <c r="C46" s="71">
        <v>954.8</v>
      </c>
      <c r="D46" s="71">
        <v>1036.0999999999999</v>
      </c>
      <c r="E46" s="71">
        <v>1125.9000000000001</v>
      </c>
      <c r="F46" s="71">
        <v>900.9</v>
      </c>
      <c r="G46" s="71">
        <v>879.7</v>
      </c>
      <c r="H46" s="71">
        <v>1524</v>
      </c>
      <c r="I46" s="71">
        <v>1434.3</v>
      </c>
      <c r="J46" s="609">
        <f>AVERAGE(C46:I46)</f>
        <v>1122.2428571428572</v>
      </c>
    </row>
    <row r="47" spans="2:10" s="537" customFormat="1">
      <c r="B47" s="30" t="s">
        <v>1028</v>
      </c>
      <c r="C47" s="71">
        <f t="shared" ref="C47:F47" si="6">C45/C46</f>
        <v>77.456116464180994</v>
      </c>
      <c r="D47" s="71">
        <f t="shared" si="6"/>
        <v>82.936010037641168</v>
      </c>
      <c r="E47" s="71">
        <f t="shared" si="6"/>
        <v>157.63318234301448</v>
      </c>
      <c r="F47" s="71">
        <f t="shared" si="6"/>
        <v>133.42335442335443</v>
      </c>
      <c r="G47" s="71">
        <f>G45/G46</f>
        <v>79.838808684778897</v>
      </c>
      <c r="H47" s="71">
        <f>H45/H46</f>
        <v>128.17322834645668</v>
      </c>
      <c r="I47" s="71">
        <f>I45/I46</f>
        <v>184.25796555811198</v>
      </c>
      <c r="J47" s="609">
        <f>AVERAGE(C47:I47)</f>
        <v>120.53123797964838</v>
      </c>
    </row>
    <row r="48" spans="2:10" s="537" customFormat="1">
      <c r="B48" s="30" t="s">
        <v>1026</v>
      </c>
      <c r="C48" s="71">
        <v>166967.9</v>
      </c>
      <c r="D48" s="71">
        <v>154776</v>
      </c>
      <c r="E48" s="71">
        <v>386815.6</v>
      </c>
      <c r="F48" s="71">
        <v>296958.7</v>
      </c>
      <c r="G48" s="71">
        <v>148661.20000000001</v>
      </c>
      <c r="H48" s="71">
        <v>160391.5</v>
      </c>
      <c r="I48" s="71">
        <v>286050.40000000002</v>
      </c>
      <c r="J48" s="609">
        <f t="shared" ref="J48:J50" si="7">AVERAGE(C48:I48)</f>
        <v>228660.18571428568</v>
      </c>
    </row>
    <row r="49" spans="2:35" s="537" customFormat="1">
      <c r="B49" s="30" t="s">
        <v>1027</v>
      </c>
      <c r="C49" s="71">
        <v>1922.5</v>
      </c>
      <c r="D49" s="71">
        <v>1756</v>
      </c>
      <c r="E49" s="71">
        <v>2933.8</v>
      </c>
      <c r="F49" s="71">
        <v>2424.4</v>
      </c>
      <c r="G49" s="71">
        <v>2102.8000000000002</v>
      </c>
      <c r="H49" s="71">
        <v>1747.1</v>
      </c>
      <c r="I49" s="71">
        <v>1693.3</v>
      </c>
      <c r="J49" s="609">
        <f t="shared" si="7"/>
        <v>2082.8428571428572</v>
      </c>
    </row>
    <row r="50" spans="2:35" s="537" customFormat="1" ht="15.75" thickBot="1">
      <c r="B50" s="30" t="s">
        <v>1029</v>
      </c>
      <c r="C50" s="71">
        <f t="shared" ref="C50:F50" si="8">C48/C49</f>
        <v>86.849362808842656</v>
      </c>
      <c r="D50" s="71">
        <f t="shared" si="8"/>
        <v>88.141230068337123</v>
      </c>
      <c r="E50" s="71">
        <f t="shared" si="8"/>
        <v>131.84797873065648</v>
      </c>
      <c r="F50" s="71">
        <f t="shared" si="8"/>
        <v>122.48750206236595</v>
      </c>
      <c r="G50" s="71">
        <f>G48/G49</f>
        <v>70.696785238729319</v>
      </c>
      <c r="H50" s="71">
        <f>H48/H49</f>
        <v>91.804418751073214</v>
      </c>
      <c r="I50" s="71">
        <f>I48/I49</f>
        <v>168.93072698281463</v>
      </c>
      <c r="J50" s="611">
        <f t="shared" si="7"/>
        <v>108.67971494897418</v>
      </c>
    </row>
    <row r="51" spans="2:35" s="537" customFormat="1" ht="15.75" thickBot="1">
      <c r="B51" s="30" t="s">
        <v>1030</v>
      </c>
      <c r="C51" s="200">
        <f t="shared" ref="C51:F51" si="9">C47/C50-1</f>
        <v>-0.10815561612508784</v>
      </c>
      <c r="D51" s="200">
        <f t="shared" si="9"/>
        <v>-5.9055450288817979E-2</v>
      </c>
      <c r="E51" s="200">
        <f t="shared" si="9"/>
        <v>0.19556768227014598</v>
      </c>
      <c r="F51" s="200">
        <f t="shared" si="9"/>
        <v>8.9281373012410459E-2</v>
      </c>
      <c r="G51" s="200">
        <f>G47/G50-1</f>
        <v>0.12931314224796409</v>
      </c>
      <c r="H51" s="200">
        <f>H47/H50-1</f>
        <v>0.39615532770810447</v>
      </c>
      <c r="I51" s="610">
        <f>I47/I50-1</f>
        <v>9.0730909935979875E-2</v>
      </c>
      <c r="J51" s="612">
        <f>J47/J50-1</f>
        <v>0.10905000106265073</v>
      </c>
    </row>
    <row r="52" spans="2:35" s="537" customFormat="1">
      <c r="B52" s="104"/>
      <c r="C52" s="579"/>
      <c r="D52" s="579"/>
      <c r="E52" s="579"/>
      <c r="F52" s="579"/>
      <c r="G52" s="579"/>
      <c r="H52" s="579"/>
      <c r="I52" s="579"/>
      <c r="J52" s="582"/>
    </row>
    <row r="54" spans="2:35" ht="32.25" thickBot="1">
      <c r="B54" s="583" t="s">
        <v>1022</v>
      </c>
      <c r="C54" s="542">
        <v>0.5</v>
      </c>
      <c r="E54" s="97"/>
      <c r="F54" s="97"/>
      <c r="G54" s="97"/>
      <c r="H54" s="97"/>
    </row>
    <row r="55" spans="2:35" ht="15.75" thickTop="1">
      <c r="E55" s="138"/>
      <c r="F55" s="138"/>
      <c r="G55" s="138"/>
      <c r="H55" s="138"/>
    </row>
    <row r="56" spans="2:35" ht="16.5" thickBot="1">
      <c r="B56" s="570" t="s">
        <v>1021</v>
      </c>
      <c r="C56" s="24">
        <v>1981</v>
      </c>
      <c r="D56" s="24">
        <f>C56+1</f>
        <v>1982</v>
      </c>
      <c r="E56" s="24">
        <f t="shared" ref="E56:AI56" si="10">D56+1</f>
        <v>1983</v>
      </c>
      <c r="F56" s="24">
        <f t="shared" si="10"/>
        <v>1984</v>
      </c>
      <c r="G56" s="24">
        <f t="shared" si="10"/>
        <v>1985</v>
      </c>
      <c r="H56" s="24">
        <f t="shared" si="10"/>
        <v>1986</v>
      </c>
      <c r="I56" s="24">
        <f t="shared" si="10"/>
        <v>1987</v>
      </c>
      <c r="J56" s="24">
        <f t="shared" si="10"/>
        <v>1988</v>
      </c>
      <c r="K56" s="24">
        <f t="shared" si="10"/>
        <v>1989</v>
      </c>
      <c r="L56" s="24">
        <f t="shared" si="10"/>
        <v>1990</v>
      </c>
      <c r="M56" s="24">
        <f t="shared" si="10"/>
        <v>1991</v>
      </c>
      <c r="N56" s="24">
        <f t="shared" si="10"/>
        <v>1992</v>
      </c>
      <c r="O56" s="24">
        <f t="shared" si="10"/>
        <v>1993</v>
      </c>
      <c r="P56" s="24">
        <f t="shared" si="10"/>
        <v>1994</v>
      </c>
      <c r="Q56" s="24">
        <f t="shared" si="10"/>
        <v>1995</v>
      </c>
      <c r="R56" s="24">
        <f t="shared" si="10"/>
        <v>1996</v>
      </c>
      <c r="S56" s="24">
        <f t="shared" si="10"/>
        <v>1997</v>
      </c>
      <c r="T56" s="24">
        <f t="shared" si="10"/>
        <v>1998</v>
      </c>
      <c r="U56" s="24">
        <f t="shared" si="10"/>
        <v>1999</v>
      </c>
      <c r="V56" s="24">
        <f t="shared" si="10"/>
        <v>2000</v>
      </c>
      <c r="W56" s="24">
        <f t="shared" si="10"/>
        <v>2001</v>
      </c>
      <c r="X56" s="24">
        <f t="shared" si="10"/>
        <v>2002</v>
      </c>
      <c r="Y56" s="24">
        <f t="shared" si="10"/>
        <v>2003</v>
      </c>
      <c r="Z56" s="24">
        <f t="shared" si="10"/>
        <v>2004</v>
      </c>
      <c r="AA56" s="24">
        <f t="shared" si="10"/>
        <v>2005</v>
      </c>
      <c r="AB56" s="24">
        <f t="shared" si="10"/>
        <v>2006</v>
      </c>
      <c r="AC56" s="24">
        <f t="shared" si="10"/>
        <v>2007</v>
      </c>
      <c r="AD56" s="24">
        <f t="shared" si="10"/>
        <v>2008</v>
      </c>
      <c r="AE56" s="24">
        <f t="shared" si="10"/>
        <v>2009</v>
      </c>
      <c r="AF56" s="24">
        <f t="shared" si="10"/>
        <v>2010</v>
      </c>
      <c r="AG56" s="24">
        <f t="shared" si="10"/>
        <v>2011</v>
      </c>
      <c r="AH56" s="24">
        <f t="shared" si="10"/>
        <v>2012</v>
      </c>
      <c r="AI56" s="24">
        <f t="shared" si="10"/>
        <v>2013</v>
      </c>
    </row>
    <row r="57" spans="2:35" ht="15.75" thickTop="1">
      <c r="B57" s="24" t="s">
        <v>523</v>
      </c>
      <c r="C57" s="26">
        <f>5</f>
        <v>5</v>
      </c>
      <c r="D57" s="29">
        <f>C57*(1+C58)</f>
        <v>6.3180000000000005</v>
      </c>
      <c r="E57" s="29">
        <f t="shared" ref="E57:AI57" si="11">D57*(1+D58)</f>
        <v>7.8362154000000004</v>
      </c>
      <c r="F57" s="29">
        <f t="shared" si="11"/>
        <v>9.140161642559999</v>
      </c>
      <c r="G57" s="29">
        <f t="shared" si="11"/>
        <v>10.810983190819968</v>
      </c>
      <c r="H57" s="29">
        <f t="shared" si="11"/>
        <v>13.23804891715905</v>
      </c>
      <c r="I57" s="29">
        <f t="shared" si="11"/>
        <v>16.011420165303871</v>
      </c>
      <c r="J57" s="29">
        <f t="shared" si="11"/>
        <v>19.857363289009861</v>
      </c>
      <c r="K57" s="29">
        <f t="shared" si="11"/>
        <v>25.441253845879437</v>
      </c>
      <c r="L57" s="29">
        <f t="shared" si="11"/>
        <v>32.08650935042315</v>
      </c>
      <c r="M57" s="29">
        <f t="shared" si="11"/>
        <v>42.469703776220079</v>
      </c>
      <c r="N57" s="29">
        <f t="shared" si="11"/>
        <v>53.860078329002306</v>
      </c>
      <c r="O57" s="29">
        <f t="shared" si="11"/>
        <v>67.395116013080596</v>
      </c>
      <c r="P57" s="29">
        <f t="shared" si="11"/>
        <v>82.626412232036813</v>
      </c>
      <c r="Q57" s="29">
        <f t="shared" si="11"/>
        <v>101.29171875525392</v>
      </c>
      <c r="R57" s="29">
        <f t="shared" si="11"/>
        <v>121.00308722502632</v>
      </c>
      <c r="S57" s="29">
        <f t="shared" si="11"/>
        <v>147.1760549917995</v>
      </c>
      <c r="T57" s="29">
        <f t="shared" si="11"/>
        <v>173.19678151434965</v>
      </c>
      <c r="U57" s="29">
        <f t="shared" si="11"/>
        <v>202.12064402724604</v>
      </c>
      <c r="V57" s="29">
        <f t="shared" si="11"/>
        <v>220.77637947096088</v>
      </c>
      <c r="W57" s="29">
        <f t="shared" si="11"/>
        <v>240.09431267466994</v>
      </c>
      <c r="X57" s="29">
        <f t="shared" si="11"/>
        <v>258.46152759428219</v>
      </c>
      <c r="Y57" s="29">
        <f t="shared" si="11"/>
        <v>276.52798837312253</v>
      </c>
      <c r="Z57" s="29">
        <f t="shared" si="11"/>
        <v>294.47465481853817</v>
      </c>
      <c r="AA57" s="29">
        <f t="shared" si="11"/>
        <v>310.6647981715239</v>
      </c>
      <c r="AB57" s="29">
        <f t="shared" si="11"/>
        <v>325.74325877243206</v>
      </c>
      <c r="AC57" s="29">
        <f t="shared" si="11"/>
        <v>340.33655676543702</v>
      </c>
      <c r="AD57" s="29">
        <f t="shared" si="11"/>
        <v>359.70170684539039</v>
      </c>
      <c r="AE57" s="29">
        <f t="shared" si="11"/>
        <v>387.29082776043185</v>
      </c>
      <c r="AF57" s="29">
        <f t="shared" si="11"/>
        <v>395.0366443156405</v>
      </c>
      <c r="AG57" s="29">
        <f t="shared" si="11"/>
        <v>407.55930594044634</v>
      </c>
      <c r="AH57" s="29">
        <f t="shared" si="11"/>
        <v>422.761268052025</v>
      </c>
      <c r="AI57" s="29">
        <f t="shared" si="11"/>
        <v>433.07664299249438</v>
      </c>
    </row>
    <row r="58" spans="2:35">
      <c r="B58" s="24" t="s">
        <v>522</v>
      </c>
      <c r="C58" s="81">
        <v>0.2636</v>
      </c>
      <c r="D58" s="81">
        <v>0.24030000000000001</v>
      </c>
      <c r="E58" s="81">
        <v>0.16639999999999999</v>
      </c>
      <c r="F58" s="81">
        <v>0.18279999999999999</v>
      </c>
      <c r="G58" s="81">
        <v>0.22450000000000001</v>
      </c>
      <c r="H58" s="81">
        <v>0.20949999999999999</v>
      </c>
      <c r="I58" s="81">
        <v>0.2402</v>
      </c>
      <c r="J58" s="81">
        <v>0.28120000000000001</v>
      </c>
      <c r="K58" s="81">
        <v>0.26119999999999999</v>
      </c>
      <c r="L58" s="81">
        <v>0.3236</v>
      </c>
      <c r="M58" s="81">
        <v>0.26819999999999999</v>
      </c>
      <c r="N58" s="81">
        <v>0.25130000000000002</v>
      </c>
      <c r="O58" s="81">
        <v>0.22600000000000001</v>
      </c>
      <c r="P58" s="81">
        <v>0.22589999999999999</v>
      </c>
      <c r="Q58" s="81">
        <v>0.1946</v>
      </c>
      <c r="R58" s="81">
        <v>0.21629999999999999</v>
      </c>
      <c r="S58" s="81">
        <v>0.17680000000000001</v>
      </c>
      <c r="T58" s="81">
        <v>0.16700000000000001</v>
      </c>
      <c r="U58" s="81">
        <v>9.2299999999999993E-2</v>
      </c>
      <c r="V58" s="81">
        <v>8.7499999999999994E-2</v>
      </c>
      <c r="W58" s="81">
        <v>7.6499999999999999E-2</v>
      </c>
      <c r="X58" s="81">
        <v>6.9900000000000004E-2</v>
      </c>
      <c r="Y58" s="81">
        <v>6.4899999999999999E-2</v>
      </c>
      <c r="Z58" s="81">
        <v>5.4979751527215237E-2</v>
      </c>
      <c r="AA58" s="81">
        <v>4.8536109303839003E-2</v>
      </c>
      <c r="AB58" s="81">
        <v>4.48E-2</v>
      </c>
      <c r="AC58" s="81">
        <v>5.6899999999999999E-2</v>
      </c>
      <c r="AD58" s="81">
        <v>7.6700000000000004E-2</v>
      </c>
      <c r="AE58" s="81">
        <v>0.02</v>
      </c>
      <c r="AF58" s="81">
        <v>3.1699999999999999E-2</v>
      </c>
      <c r="AG58" s="81">
        <v>3.73E-2</v>
      </c>
      <c r="AH58" s="81">
        <v>2.4400000000000002E-2</v>
      </c>
      <c r="AI58" s="81">
        <v>1.9400000000000001E-2</v>
      </c>
    </row>
    <row r="59" spans="2:35">
      <c r="B59" s="57"/>
    </row>
    <row r="61" spans="2:35" ht="16.5" thickBot="1">
      <c r="B61" s="570" t="s">
        <v>524</v>
      </c>
    </row>
    <row r="62" spans="2:35" ht="30.75" thickTop="1">
      <c r="B62" s="220" t="s">
        <v>528</v>
      </c>
      <c r="C62" s="293" t="s">
        <v>525</v>
      </c>
    </row>
    <row r="63" spans="2:35">
      <c r="B63" s="24" t="s">
        <v>526</v>
      </c>
      <c r="C63" s="106">
        <v>1.6000000000000001E-3</v>
      </c>
    </row>
    <row r="64" spans="2:35">
      <c r="B64" s="24" t="s">
        <v>527</v>
      </c>
      <c r="C64" s="103">
        <v>1</v>
      </c>
    </row>
    <row r="67" spans="2:10" ht="16.5" thickBot="1">
      <c r="B67" s="570" t="s">
        <v>616</v>
      </c>
      <c r="C67" s="105">
        <v>2007</v>
      </c>
      <c r="D67" s="105">
        <v>2008</v>
      </c>
      <c r="E67" s="105">
        <v>2009</v>
      </c>
      <c r="F67" s="105">
        <v>2010</v>
      </c>
      <c r="G67" s="105">
        <v>2011</v>
      </c>
      <c r="H67" s="105">
        <v>2012</v>
      </c>
      <c r="I67" s="105">
        <v>2013</v>
      </c>
      <c r="J67" s="105" t="s">
        <v>126</v>
      </c>
    </row>
    <row r="68" spans="2:10" ht="15.75" thickTop="1">
      <c r="B68" s="30" t="s">
        <v>617</v>
      </c>
      <c r="C68" s="46"/>
      <c r="D68" s="46">
        <f>3325452-3314294</f>
        <v>11158</v>
      </c>
      <c r="E68" s="46">
        <f>3367332-3325452</f>
        <v>41880</v>
      </c>
      <c r="F68" s="46">
        <f>3492910-3367332-59156-57637</f>
        <v>8785</v>
      </c>
      <c r="G68" s="46">
        <f>3498544-3492910</f>
        <v>5634</v>
      </c>
      <c r="H68" s="46">
        <f>3517795-3498544</f>
        <v>19251</v>
      </c>
      <c r="I68" s="46">
        <f>4074976-453499-117683-3468241</f>
        <v>35553</v>
      </c>
      <c r="J68" s="46">
        <f>AVERAGE(D68:I68)</f>
        <v>20376.833333333332</v>
      </c>
    </row>
    <row r="69" spans="2:10">
      <c r="B69" s="30" t="s">
        <v>619</v>
      </c>
      <c r="C69" s="46"/>
      <c r="D69" s="46">
        <f>Macroeconomicos!$C$73-Macroeconomicos!$C$66-Macroeconomicos!$C$71</f>
        <v>2132</v>
      </c>
      <c r="E69" s="46">
        <f>Macroeconomicos!$C$73-Macroeconomicos!$C$66-Macroeconomicos!$C$71</f>
        <v>2132</v>
      </c>
      <c r="F69" s="46">
        <f>Macroeconomicos!$C$73-Macroeconomicos!$C$66-Macroeconomicos!$C$71</f>
        <v>2132</v>
      </c>
      <c r="G69" s="46">
        <f>Macroeconomicos!$C$73-Macroeconomicos!$C$66-Macroeconomicos!$C$71</f>
        <v>2132</v>
      </c>
      <c r="H69" s="46">
        <f>Macroeconomicos!$C$73-Macroeconomicos!$C$66-Macroeconomicos!$C$71</f>
        <v>2132</v>
      </c>
      <c r="I69" s="46">
        <f>Macroeconomicos!$C$73-Macroeconomicos!$C$66</f>
        <v>2212</v>
      </c>
      <c r="J69" s="46"/>
    </row>
    <row r="70" spans="2:10">
      <c r="B70" s="30" t="s">
        <v>620</v>
      </c>
      <c r="C70" s="46"/>
      <c r="D70" s="46">
        <v>2129.1750000000002</v>
      </c>
      <c r="E70" s="46">
        <v>2143.91</v>
      </c>
      <c r="F70" s="46">
        <v>1979.105</v>
      </c>
      <c r="G70" s="46">
        <v>1928.3400000000001</v>
      </c>
      <c r="H70" s="46">
        <v>1855.4649902343749</v>
      </c>
      <c r="I70" s="46">
        <v>1834.1150736592476</v>
      </c>
      <c r="J70" s="46"/>
    </row>
    <row r="71" spans="2:10">
      <c r="B71" s="30" t="s">
        <v>618</v>
      </c>
      <c r="C71" s="46"/>
      <c r="D71" s="290">
        <f t="shared" ref="D71:I71" si="12">D68*1000000/(D69*1000*D70)</f>
        <v>2.4580335057855982</v>
      </c>
      <c r="E71" s="290">
        <f t="shared" si="12"/>
        <v>9.1624775314741829</v>
      </c>
      <c r="F71" s="290">
        <f t="shared" si="12"/>
        <v>2.0820239906706743</v>
      </c>
      <c r="G71" s="290">
        <f t="shared" si="12"/>
        <v>1.3703958421226932</v>
      </c>
      <c r="H71" s="290">
        <f t="shared" si="12"/>
        <v>4.8664619198411998</v>
      </c>
      <c r="I71" s="290">
        <f t="shared" si="12"/>
        <v>8.7632368551771016</v>
      </c>
      <c r="J71" s="291">
        <f>AVERAGE(D71:I71)</f>
        <v>4.7837716075119081</v>
      </c>
    </row>
    <row r="72" spans="2:10">
      <c r="B72" s="104" t="s">
        <v>987</v>
      </c>
      <c r="D72" s="289"/>
    </row>
    <row r="73" spans="2:10">
      <c r="D73" s="289"/>
    </row>
    <row r="74" spans="2:10" ht="16.5" thickBot="1">
      <c r="B74" s="570" t="s">
        <v>852</v>
      </c>
    </row>
    <row r="75" spans="2:10" ht="15.75" thickTop="1">
      <c r="B75" s="30" t="s">
        <v>853</v>
      </c>
      <c r="C75" s="46">
        <f>'Proyecto Sogamoso'!T14/Macroeconomicos!C10</f>
        <v>2355.0442913295037</v>
      </c>
    </row>
    <row r="79" spans="2:10" ht="16.5" thickBot="1">
      <c r="B79" s="570" t="s">
        <v>972</v>
      </c>
    </row>
    <row r="80" spans="2:10" ht="16.5" thickTop="1" thickBot="1">
      <c r="B80" s="563"/>
      <c r="C80" s="563">
        <v>2009</v>
      </c>
      <c r="D80" s="563">
        <v>2010</v>
      </c>
      <c r="E80" s="563">
        <v>2011</v>
      </c>
      <c r="F80" s="563">
        <v>2012</v>
      </c>
      <c r="G80" s="563">
        <v>2013</v>
      </c>
      <c r="H80" t="s">
        <v>922</v>
      </c>
    </row>
    <row r="81" spans="2:8" ht="16.5" thickTop="1" thickBot="1">
      <c r="B81" s="638" t="s">
        <v>966</v>
      </c>
      <c r="C81" s="639"/>
      <c r="D81" s="639"/>
      <c r="E81" s="639"/>
      <c r="F81" s="639"/>
      <c r="G81" s="639"/>
      <c r="H81" s="640"/>
    </row>
    <row r="82" spans="2:8" ht="16.5" thickTop="1" thickBot="1">
      <c r="B82" s="564" t="s">
        <v>470</v>
      </c>
      <c r="C82" s="566">
        <v>1410552</v>
      </c>
      <c r="D82" s="566">
        <v>1465300</v>
      </c>
      <c r="E82" s="566">
        <v>1682700</v>
      </c>
      <c r="F82" s="566">
        <v>1731539</v>
      </c>
      <c r="G82" s="566">
        <v>2002814</v>
      </c>
      <c r="H82" s="568">
        <f>(+G82/C82)^(1/4)-1</f>
        <v>9.1598372184076293E-2</v>
      </c>
    </row>
    <row r="83" spans="2:8" ht="16.5" thickTop="1" thickBot="1">
      <c r="B83" s="565" t="s">
        <v>967</v>
      </c>
      <c r="C83" s="567">
        <v>805946</v>
      </c>
      <c r="D83" s="567">
        <v>799413</v>
      </c>
      <c r="E83" s="567">
        <v>989504</v>
      </c>
      <c r="F83" s="567">
        <v>1106249</v>
      </c>
      <c r="G83" s="567">
        <v>1305374</v>
      </c>
      <c r="H83" s="569"/>
    </row>
    <row r="84" spans="2:8" ht="16.5" thickTop="1" thickBot="1">
      <c r="B84" s="564" t="s">
        <v>968</v>
      </c>
      <c r="C84" s="566">
        <v>85568</v>
      </c>
      <c r="D84" s="566">
        <v>8822</v>
      </c>
      <c r="E84" s="566">
        <v>94112</v>
      </c>
      <c r="F84" s="566">
        <v>123835</v>
      </c>
      <c r="G84" s="566">
        <v>116426</v>
      </c>
      <c r="H84" s="568"/>
    </row>
    <row r="85" spans="2:8" ht="16.5" thickTop="1" thickBot="1">
      <c r="B85" s="565" t="s">
        <v>969</v>
      </c>
      <c r="C85" s="567">
        <v>891514</v>
      </c>
      <c r="D85" s="567">
        <v>887633</v>
      </c>
      <c r="E85" s="567">
        <v>1083616</v>
      </c>
      <c r="F85" s="567">
        <v>1230084</v>
      </c>
      <c r="G85" s="567">
        <v>1421800</v>
      </c>
      <c r="H85" s="569"/>
    </row>
    <row r="86" spans="2:8" ht="16.5" thickTop="1" thickBot="1">
      <c r="B86" s="564" t="s">
        <v>720</v>
      </c>
      <c r="C86" s="566">
        <v>519038</v>
      </c>
      <c r="D86" s="566">
        <v>577667</v>
      </c>
      <c r="E86" s="566">
        <v>599084</v>
      </c>
      <c r="F86" s="566">
        <v>501455</v>
      </c>
      <c r="G86" s="566">
        <v>581014</v>
      </c>
      <c r="H86" s="568"/>
    </row>
    <row r="87" spans="2:8" ht="16.5" thickTop="1" thickBot="1">
      <c r="B87" s="565" t="s">
        <v>894</v>
      </c>
      <c r="C87" s="567">
        <v>622513</v>
      </c>
      <c r="D87" s="567">
        <v>686364</v>
      </c>
      <c r="E87" s="567">
        <v>7079</v>
      </c>
      <c r="F87" s="567">
        <v>610462</v>
      </c>
      <c r="G87" s="567">
        <v>692636</v>
      </c>
      <c r="H87" s="569">
        <f>(+G87/C87)^(1/4)-1</f>
        <v>2.7044257780555192E-2</v>
      </c>
    </row>
    <row r="88" spans="2:8" ht="16.5" thickTop="1" thickBot="1">
      <c r="B88" s="564" t="s">
        <v>970</v>
      </c>
      <c r="C88" s="566">
        <v>524609</v>
      </c>
      <c r="D88" s="566">
        <v>54309</v>
      </c>
      <c r="E88" s="566">
        <v>599577</v>
      </c>
      <c r="F88" s="566">
        <v>509585</v>
      </c>
      <c r="G88" s="566">
        <v>564153</v>
      </c>
      <c r="H88" s="568"/>
    </row>
    <row r="89" spans="2:8" ht="16.5" thickTop="1" thickBot="1">
      <c r="B89" s="565" t="s">
        <v>971</v>
      </c>
      <c r="C89" s="567">
        <v>138858</v>
      </c>
      <c r="D89" s="567">
        <v>133314</v>
      </c>
      <c r="E89" s="567">
        <v>120465</v>
      </c>
      <c r="F89" s="567">
        <v>48682</v>
      </c>
      <c r="G89" s="567">
        <v>130187</v>
      </c>
      <c r="H89" s="569"/>
    </row>
    <row r="90" spans="2:8" ht="16.5" thickTop="1" thickBot="1">
      <c r="B90" s="564" t="s">
        <v>724</v>
      </c>
      <c r="C90" s="566">
        <v>385751</v>
      </c>
      <c r="D90" s="566">
        <v>409776</v>
      </c>
      <c r="E90" s="566">
        <v>479112</v>
      </c>
      <c r="F90" s="566">
        <v>460903</v>
      </c>
      <c r="G90" s="566">
        <v>433966</v>
      </c>
      <c r="H90" s="568">
        <f>(+G90/C90)^(1/4)-1</f>
        <v>2.9881272939022319E-2</v>
      </c>
    </row>
    <row r="91" spans="2:8" ht="15.75" thickTop="1"/>
  </sheetData>
  <mergeCells count="2">
    <mergeCell ref="B16:H16"/>
    <mergeCell ref="B81:H81"/>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dimension ref="A1:R66"/>
  <sheetViews>
    <sheetView showGridLines="0" topLeftCell="A19" zoomScale="85" zoomScaleNormal="85" workbookViewId="0">
      <selection activeCell="F7" sqref="F7"/>
    </sheetView>
  </sheetViews>
  <sheetFormatPr baseColWidth="10" defaultRowHeight="15.75"/>
  <cols>
    <col min="1" max="1" width="4.140625" style="143" customWidth="1"/>
    <col min="2" max="2" width="51.7109375" style="143" customWidth="1"/>
    <col min="3" max="3" width="15" style="143" bestFit="1" customWidth="1"/>
    <col min="4" max="4" width="20.7109375" style="143" customWidth="1"/>
    <col min="5" max="5" width="28.7109375" style="143" customWidth="1"/>
    <col min="6" max="6" width="25.7109375" style="143" customWidth="1"/>
    <col min="7" max="7" width="20.7109375" style="143" customWidth="1"/>
    <col min="8" max="8" width="30.7109375" style="143" customWidth="1"/>
    <col min="9" max="16" width="20.7109375" style="143" customWidth="1"/>
    <col min="17" max="16384" width="11.42578125" style="143"/>
  </cols>
  <sheetData>
    <row r="1" spans="2:18" ht="20.100000000000001" customHeight="1">
      <c r="K1" s="179" t="s">
        <v>134</v>
      </c>
      <c r="L1" s="179" t="s">
        <v>136</v>
      </c>
    </row>
    <row r="2" spans="2:18" ht="20.100000000000001" customHeight="1" thickBot="1">
      <c r="B2" s="570" t="s">
        <v>369</v>
      </c>
      <c r="C2" s="141"/>
      <c r="D2" s="141"/>
      <c r="G2" s="142"/>
      <c r="H2" s="142"/>
      <c r="I2" s="142"/>
      <c r="K2" s="231">
        <v>0.08</v>
      </c>
      <c r="L2" s="231">
        <v>0.09</v>
      </c>
    </row>
    <row r="3" spans="2:18" ht="20.100000000000001" customHeight="1" thickTop="1">
      <c r="D3" s="141"/>
      <c r="G3" s="142"/>
      <c r="H3" s="142"/>
      <c r="I3" s="142"/>
      <c r="J3" s="142"/>
      <c r="K3" s="179">
        <v>1</v>
      </c>
      <c r="L3" s="179">
        <v>2</v>
      </c>
      <c r="M3" s="179">
        <v>3</v>
      </c>
      <c r="N3" s="179">
        <v>4</v>
      </c>
      <c r="O3" s="179">
        <v>5</v>
      </c>
      <c r="P3" s="179">
        <v>6</v>
      </c>
      <c r="Q3" s="179">
        <v>7</v>
      </c>
      <c r="R3" s="179">
        <v>8</v>
      </c>
    </row>
    <row r="4" spans="2:18" ht="20.100000000000001" customHeight="1" thickBot="1">
      <c r="B4" s="641" t="s">
        <v>466</v>
      </c>
      <c r="C4" s="641"/>
      <c r="D4" s="142"/>
      <c r="E4" s="641" t="s">
        <v>396</v>
      </c>
      <c r="F4" s="641"/>
      <c r="G4" s="145"/>
      <c r="H4" s="641" t="s">
        <v>396</v>
      </c>
      <c r="I4" s="641"/>
      <c r="J4" s="142"/>
      <c r="K4" s="179" t="s">
        <v>921</v>
      </c>
      <c r="L4" s="179" t="s">
        <v>965</v>
      </c>
      <c r="M4" s="179" t="s">
        <v>1045</v>
      </c>
    </row>
    <row r="5" spans="2:18" ht="20.100000000000001" customHeight="1" thickTop="1">
      <c r="B5" s="198" t="s">
        <v>397</v>
      </c>
      <c r="C5" s="249" t="s">
        <v>398</v>
      </c>
      <c r="E5" s="233" t="s">
        <v>370</v>
      </c>
      <c r="F5" s="236" t="s">
        <v>136</v>
      </c>
      <c r="G5" s="142"/>
      <c r="H5" s="234" t="s">
        <v>829</v>
      </c>
      <c r="I5" s="180">
        <v>30</v>
      </c>
      <c r="K5" s="530" t="s">
        <v>940</v>
      </c>
      <c r="L5" s="530" t="s">
        <v>923</v>
      </c>
    </row>
    <row r="6" spans="2:18" ht="30" customHeight="1">
      <c r="B6" s="233" t="s">
        <v>645</v>
      </c>
      <c r="C6" s="230">
        <v>2013</v>
      </c>
      <c r="D6" s="142"/>
      <c r="E6" s="234" t="s">
        <v>924</v>
      </c>
      <c r="F6" s="531" t="s">
        <v>923</v>
      </c>
      <c r="G6" s="147"/>
      <c r="H6" s="237" t="s">
        <v>942</v>
      </c>
      <c r="I6" s="232">
        <v>1</v>
      </c>
      <c r="J6" s="149"/>
    </row>
    <row r="7" spans="2:18" ht="20.100000000000001" customHeight="1">
      <c r="B7" s="233" t="s">
        <v>611</v>
      </c>
      <c r="C7" s="337">
        <v>42004</v>
      </c>
      <c r="E7" s="234" t="s">
        <v>920</v>
      </c>
      <c r="F7" s="235" t="s">
        <v>1045</v>
      </c>
      <c r="G7" s="147"/>
      <c r="H7" s="234" t="s">
        <v>941</v>
      </c>
      <c r="I7" s="180">
        <v>30</v>
      </c>
      <c r="J7" s="149"/>
      <c r="K7" s="146"/>
      <c r="L7" s="146"/>
    </row>
    <row r="8" spans="2:18" ht="32.1" customHeight="1">
      <c r="B8" s="234" t="s">
        <v>371</v>
      </c>
      <c r="C8" s="250">
        <v>41821</v>
      </c>
      <c r="E8" s="237" t="s">
        <v>930</v>
      </c>
      <c r="F8" s="338">
        <v>2</v>
      </c>
      <c r="G8" s="147"/>
      <c r="H8" s="234" t="s">
        <v>380</v>
      </c>
      <c r="I8" s="180">
        <v>7</v>
      </c>
      <c r="J8" s="149"/>
      <c r="K8" s="146"/>
      <c r="L8" s="146"/>
    </row>
    <row r="9" spans="2:18" ht="32.1" customHeight="1">
      <c r="B9" s="234" t="s">
        <v>374</v>
      </c>
      <c r="C9" s="338">
        <f>MONTH(C7)-MONTH(C8)+1</f>
        <v>6</v>
      </c>
      <c r="E9" s="237" t="s">
        <v>931</v>
      </c>
      <c r="F9" s="338">
        <f>WACC!J66</f>
        <v>10</v>
      </c>
      <c r="G9" s="147"/>
      <c r="H9" s="237" t="s">
        <v>464</v>
      </c>
      <c r="I9" s="235" t="s">
        <v>136</v>
      </c>
      <c r="J9" s="149"/>
      <c r="K9" s="146"/>
      <c r="L9" s="146"/>
    </row>
    <row r="10" spans="2:18" ht="32.1" customHeight="1">
      <c r="B10" s="234" t="s">
        <v>372</v>
      </c>
      <c r="C10" s="230">
        <v>2014</v>
      </c>
      <c r="E10" s="237" t="s">
        <v>378</v>
      </c>
      <c r="F10" s="616">
        <f>WACC!G66</f>
        <v>9.3386887112029374E-2</v>
      </c>
      <c r="G10" s="147"/>
      <c r="H10" s="237" t="s">
        <v>465</v>
      </c>
      <c r="I10" s="235" t="s">
        <v>136</v>
      </c>
      <c r="J10" s="149"/>
      <c r="K10" s="146"/>
      <c r="L10" s="146"/>
    </row>
    <row r="11" spans="2:18" ht="32.1" customHeight="1">
      <c r="B11" s="234" t="s">
        <v>373</v>
      </c>
      <c r="C11" s="250">
        <v>42004</v>
      </c>
      <c r="D11" s="150"/>
      <c r="E11" s="237" t="s">
        <v>482</v>
      </c>
      <c r="F11" s="238">
        <v>0.03</v>
      </c>
      <c r="G11" s="147"/>
      <c r="H11" s="237" t="s">
        <v>457</v>
      </c>
      <c r="I11" s="232">
        <v>0.25</v>
      </c>
      <c r="J11" s="147"/>
      <c r="K11" s="147"/>
      <c r="L11" s="147"/>
    </row>
    <row r="12" spans="2:18" ht="32.1" customHeight="1">
      <c r="B12" s="234" t="s">
        <v>375</v>
      </c>
      <c r="C12" s="248">
        <v>1000000</v>
      </c>
      <c r="E12" s="237" t="s">
        <v>481</v>
      </c>
      <c r="F12" s="238">
        <v>5.0000000000000001E-3</v>
      </c>
      <c r="G12" s="147"/>
      <c r="H12" s="237" t="s">
        <v>441</v>
      </c>
      <c r="I12" s="232">
        <v>0.09</v>
      </c>
      <c r="J12" s="147"/>
      <c r="K12" s="147"/>
      <c r="L12" s="147"/>
    </row>
    <row r="13" spans="2:18" ht="32.1" customHeight="1">
      <c r="B13" s="234" t="s">
        <v>377</v>
      </c>
      <c r="C13" s="248">
        <v>1000</v>
      </c>
      <c r="E13" s="237" t="s">
        <v>349</v>
      </c>
      <c r="F13" s="235">
        <v>2.15E-3</v>
      </c>
      <c r="G13" s="147"/>
      <c r="H13" s="237" t="s">
        <v>459</v>
      </c>
      <c r="I13" s="232">
        <v>0.75</v>
      </c>
      <c r="J13" s="147"/>
      <c r="K13" s="147"/>
      <c r="L13" s="147"/>
    </row>
    <row r="14" spans="2:18" ht="32.1" customHeight="1">
      <c r="B14" s="234" t="s">
        <v>376</v>
      </c>
      <c r="C14" s="248">
        <v>1000000</v>
      </c>
      <c r="E14" s="237" t="s">
        <v>1046</v>
      </c>
      <c r="F14" s="180">
        <v>4</v>
      </c>
      <c r="G14" s="147"/>
      <c r="H14" s="237" t="s">
        <v>461</v>
      </c>
      <c r="I14" s="246">
        <v>0.3</v>
      </c>
      <c r="J14" s="151"/>
      <c r="L14" s="151"/>
      <c r="M14" s="150"/>
    </row>
    <row r="15" spans="2:18" ht="32.1" customHeight="1">
      <c r="B15" s="237" t="s">
        <v>450</v>
      </c>
      <c r="C15" s="246">
        <v>0.6</v>
      </c>
      <c r="G15" s="147"/>
      <c r="H15" s="237" t="s">
        <v>469</v>
      </c>
      <c r="I15" s="232">
        <v>0.7</v>
      </c>
      <c r="J15" s="151"/>
      <c r="L15" s="151"/>
      <c r="M15" s="150"/>
    </row>
    <row r="16" spans="2:18" ht="16.5" customHeight="1">
      <c r="E16" s="259"/>
      <c r="F16" s="262"/>
      <c r="G16" s="147"/>
      <c r="J16" s="151"/>
      <c r="L16" s="151"/>
      <c r="M16" s="150"/>
    </row>
    <row r="17" spans="2:16" ht="16.5" customHeight="1">
      <c r="G17" s="147"/>
      <c r="H17" s="147"/>
      <c r="I17" s="148"/>
      <c r="J17" s="151"/>
      <c r="L17" s="151"/>
      <c r="M17" s="150"/>
    </row>
    <row r="18" spans="2:16" ht="16.5" customHeight="1">
      <c r="B18" s="147"/>
      <c r="C18" s="147"/>
      <c r="G18" s="147"/>
      <c r="H18" s="216" t="s">
        <v>412</v>
      </c>
      <c r="I18" s="148"/>
      <c r="J18" s="151"/>
      <c r="L18" s="151"/>
      <c r="M18" s="150"/>
    </row>
    <row r="19" spans="2:16" ht="16.5" customHeight="1" thickBot="1">
      <c r="B19" s="153"/>
      <c r="C19" s="154"/>
      <c r="E19" s="152"/>
      <c r="F19" s="147"/>
      <c r="G19" s="147"/>
      <c r="H19" s="147"/>
      <c r="I19" s="148"/>
      <c r="J19" s="151"/>
      <c r="L19" s="151"/>
      <c r="M19" s="150"/>
    </row>
    <row r="20" spans="2:16" ht="27" thickBot="1">
      <c r="D20" s="642" t="s">
        <v>436</v>
      </c>
      <c r="E20" s="643"/>
      <c r="F20" s="644" t="s">
        <v>350</v>
      </c>
      <c r="G20" s="645"/>
      <c r="H20" s="645"/>
      <c r="I20" s="645"/>
      <c r="J20" s="645"/>
      <c r="K20" s="645"/>
      <c r="L20" s="645"/>
      <c r="M20" s="645"/>
      <c r="N20" s="645"/>
      <c r="O20" s="646"/>
      <c r="P20" s="227" t="s">
        <v>1035</v>
      </c>
    </row>
    <row r="21" spans="2:16" ht="20.100000000000001" customHeight="1" thickBot="1">
      <c r="B21" s="620" t="s">
        <v>129</v>
      </c>
      <c r="D21" s="344">
        <v>2013</v>
      </c>
      <c r="E21" s="181">
        <f>C8-1</f>
        <v>41820</v>
      </c>
      <c r="F21" s="181">
        <f>C7</f>
        <v>42004</v>
      </c>
      <c r="G21" s="182">
        <f>YEAR(F21)+1</f>
        <v>2015</v>
      </c>
      <c r="H21" s="182">
        <f>G21+1</f>
        <v>2016</v>
      </c>
      <c r="I21" s="182">
        <f t="shared" ref="I21:O21" si="0">H21+1</f>
        <v>2017</v>
      </c>
      <c r="J21" s="182">
        <f t="shared" si="0"/>
        <v>2018</v>
      </c>
      <c r="K21" s="182">
        <f t="shared" si="0"/>
        <v>2019</v>
      </c>
      <c r="L21" s="182">
        <f t="shared" si="0"/>
        <v>2020</v>
      </c>
      <c r="M21" s="182">
        <f t="shared" si="0"/>
        <v>2021</v>
      </c>
      <c r="N21" s="182">
        <f t="shared" si="0"/>
        <v>2022</v>
      </c>
      <c r="O21" s="182">
        <f t="shared" si="0"/>
        <v>2023</v>
      </c>
      <c r="P21" s="182">
        <f>O21+1</f>
        <v>2024</v>
      </c>
    </row>
    <row r="22" spans="2:16" ht="16.5" thickTop="1">
      <c r="C22" s="155"/>
      <c r="D22" s="155"/>
      <c r="E22" s="155"/>
      <c r="F22" s="156"/>
      <c r="G22" s="156"/>
      <c r="H22" s="156"/>
      <c r="I22" s="156"/>
      <c r="J22" s="156"/>
      <c r="K22" s="156"/>
      <c r="L22" s="156"/>
      <c r="M22" s="156"/>
      <c r="N22" s="156"/>
      <c r="O22" s="156"/>
      <c r="P22" s="156"/>
    </row>
    <row r="23" spans="2:16" ht="20.100000000000001" customHeight="1" thickBot="1">
      <c r="B23" s="620" t="s">
        <v>451</v>
      </c>
      <c r="C23" s="156" t="s">
        <v>351</v>
      </c>
      <c r="D23" s="156"/>
      <c r="E23" s="156"/>
      <c r="F23" s="156"/>
      <c r="G23" s="156"/>
      <c r="H23" s="156"/>
      <c r="I23" s="156"/>
      <c r="J23" s="156"/>
      <c r="K23" s="156"/>
      <c r="L23" s="156"/>
      <c r="M23" s="156"/>
      <c r="N23" s="156"/>
      <c r="O23" s="156"/>
      <c r="P23" s="156"/>
    </row>
    <row r="24" spans="2:16" ht="20.100000000000001" customHeight="1" thickTop="1">
      <c r="B24" s="161" t="s">
        <v>442</v>
      </c>
      <c r="C24" s="160" t="b">
        <v>0</v>
      </c>
      <c r="D24" s="252">
        <f>SUM('Proyecto Sogamoso'!C8:G8)*M</f>
        <v>207815000000</v>
      </c>
      <c r="E24" s="252">
        <f>'Proyecto Sogamoso'!H8*M</f>
        <v>24660000000</v>
      </c>
      <c r="F24" s="252">
        <f>'Proyecto Sogamoso'!I8*M</f>
        <v>11912000000</v>
      </c>
      <c r="G24" s="157"/>
      <c r="H24" s="157"/>
      <c r="I24" s="157"/>
      <c r="J24" s="157"/>
      <c r="K24" s="157"/>
      <c r="L24" s="157"/>
      <c r="M24" s="157"/>
      <c r="N24" s="157"/>
      <c r="O24" s="157"/>
      <c r="P24" s="157"/>
    </row>
    <row r="25" spans="2:16" ht="20.100000000000001" customHeight="1">
      <c r="B25" s="159" t="s">
        <v>1034</v>
      </c>
      <c r="C25" s="160" t="b">
        <v>1</v>
      </c>
      <c r="D25" s="251">
        <v>0</v>
      </c>
      <c r="E25" s="251"/>
      <c r="F25" s="251">
        <v>0</v>
      </c>
      <c r="G25" s="157"/>
      <c r="H25" s="157"/>
      <c r="I25" s="157"/>
      <c r="J25" s="157"/>
      <c r="K25" s="157"/>
      <c r="L25" s="157"/>
      <c r="M25" s="157"/>
      <c r="N25" s="157"/>
      <c r="O25" s="157"/>
      <c r="P25" s="157"/>
    </row>
    <row r="26" spans="2:16" ht="20.100000000000001" customHeight="1">
      <c r="B26" s="161" t="s">
        <v>437</v>
      </c>
      <c r="C26" s="160" t="b">
        <v>1</v>
      </c>
      <c r="D26" s="252">
        <f>SUM('Proyecto Sogamoso'!C10:G10)*M</f>
        <v>594033036114.03333</v>
      </c>
      <c r="E26" s="252">
        <f>'Proyecto Sogamoso'!H10*M</f>
        <v>96480170550.915222</v>
      </c>
      <c r="F26" s="252">
        <f>'Proyecto Sogamoso'!I10*M</f>
        <v>83252000000</v>
      </c>
      <c r="G26" s="157"/>
      <c r="H26" s="157"/>
      <c r="I26" s="157"/>
      <c r="J26" s="157"/>
      <c r="K26" s="157"/>
      <c r="L26" s="157"/>
      <c r="M26" s="157"/>
      <c r="N26" s="157"/>
      <c r="O26" s="157"/>
      <c r="P26" s="157"/>
    </row>
    <row r="27" spans="2:16" ht="20.100000000000001" customHeight="1">
      <c r="B27" s="161" t="s">
        <v>443</v>
      </c>
      <c r="C27" s="160" t="b">
        <v>1</v>
      </c>
      <c r="D27" s="252">
        <f>SUM('Proyecto Sogamoso'!C9:G9)*M</f>
        <v>1845434687569.2473</v>
      </c>
      <c r="E27" s="252">
        <f>'Proyecto Sogamoso'!H9*M</f>
        <v>180650680945.76382</v>
      </c>
      <c r="F27" s="252">
        <f>'Proyecto Sogamoso'!I9*M</f>
        <v>437463312430.7525</v>
      </c>
      <c r="G27" s="157"/>
      <c r="H27" s="157"/>
      <c r="I27" s="157"/>
      <c r="J27" s="157"/>
      <c r="K27" s="157"/>
      <c r="L27" s="157"/>
      <c r="M27" s="157"/>
      <c r="N27" s="157"/>
      <c r="O27" s="157"/>
      <c r="P27" s="157"/>
    </row>
    <row r="28" spans="2:16" ht="20.100000000000001" customHeight="1">
      <c r="B28" s="161" t="s">
        <v>384</v>
      </c>
      <c r="C28" s="160" t="b">
        <v>1</v>
      </c>
      <c r="D28" s="252">
        <f>SUM('Proyecto Sogamoso'!C11:G11)*M</f>
        <v>174527276996.91919</v>
      </c>
      <c r="E28" s="252">
        <f>'Proyecto Sogamoso'!H11*M</f>
        <v>75278723003.080811</v>
      </c>
      <c r="F28" s="252">
        <f>'Proyecto Sogamoso'!I11*M</f>
        <v>33173000000</v>
      </c>
      <c r="G28" s="157"/>
      <c r="H28" s="157"/>
      <c r="I28" s="157"/>
      <c r="J28" s="157"/>
      <c r="K28" s="157"/>
      <c r="L28" s="157"/>
      <c r="M28" s="157"/>
      <c r="N28" s="157"/>
      <c r="O28" s="157"/>
      <c r="P28" s="157"/>
    </row>
    <row r="29" spans="2:16" ht="20.100000000000001" customHeight="1">
      <c r="B29" s="161" t="s">
        <v>353</v>
      </c>
      <c r="C29" s="160" t="b">
        <v>1</v>
      </c>
      <c r="D29" s="252">
        <f>SUM('Proyecto Sogamoso'!D13:G13)*M</f>
        <v>372510999319.79993</v>
      </c>
      <c r="E29" s="252">
        <f>'Proyecto Sogamoso'!H13*M</f>
        <v>97823425500.23999</v>
      </c>
      <c r="F29" s="252">
        <f>'Proyecto Sogamoso'!I13*M</f>
        <v>116000644130.76633</v>
      </c>
      <c r="G29" s="157"/>
      <c r="H29" s="157"/>
      <c r="I29" s="157"/>
      <c r="J29" s="157"/>
      <c r="K29" s="157"/>
      <c r="L29" s="157"/>
      <c r="M29" s="157"/>
      <c r="N29" s="157"/>
      <c r="O29" s="157"/>
      <c r="P29" s="157"/>
    </row>
    <row r="31" spans="2:16" ht="20.100000000000001" customHeight="1" thickBot="1">
      <c r="B31" s="620" t="s">
        <v>354</v>
      </c>
      <c r="C31" s="158"/>
      <c r="D31" s="162"/>
      <c r="E31" s="162"/>
      <c r="F31" s="162"/>
      <c r="G31" s="162"/>
      <c r="H31" s="162"/>
      <c r="I31" s="162"/>
      <c r="J31" s="162"/>
      <c r="K31" s="162"/>
      <c r="L31" s="162"/>
    </row>
    <row r="32" spans="2:16" ht="20.100000000000001" customHeight="1" thickTop="1">
      <c r="B32" s="159" t="s">
        <v>453</v>
      </c>
      <c r="D32" s="254">
        <v>40</v>
      </c>
      <c r="E32" s="157"/>
      <c r="F32" s="157"/>
      <c r="G32" s="157"/>
      <c r="H32" s="157"/>
      <c r="I32" s="157"/>
      <c r="J32" s="157"/>
      <c r="K32" s="157"/>
      <c r="L32" s="157"/>
      <c r="M32" s="157"/>
      <c r="N32" s="157"/>
      <c r="O32" s="157"/>
    </row>
    <row r="33" spans="2:16" ht="20.100000000000001" customHeight="1">
      <c r="B33" s="159" t="s">
        <v>452</v>
      </c>
      <c r="D33" s="254">
        <v>40</v>
      </c>
      <c r="E33" s="157"/>
      <c r="F33" s="157"/>
      <c r="G33" s="157"/>
      <c r="H33" s="157"/>
      <c r="I33" s="157"/>
      <c r="J33" s="157"/>
      <c r="K33" s="157"/>
      <c r="L33" s="157"/>
      <c r="M33" s="157"/>
      <c r="N33" s="157"/>
      <c r="O33" s="157"/>
    </row>
    <row r="34" spans="2:16" ht="20.100000000000001" customHeight="1">
      <c r="B34" s="159" t="s">
        <v>1036</v>
      </c>
      <c r="D34" s="254">
        <v>20</v>
      </c>
      <c r="E34" s="157"/>
      <c r="F34" s="157"/>
      <c r="G34" s="157"/>
      <c r="H34" s="157"/>
      <c r="I34" s="157"/>
      <c r="J34" s="157"/>
      <c r="K34" s="157"/>
      <c r="L34" s="157"/>
      <c r="M34" s="157"/>
      <c r="N34" s="157"/>
      <c r="O34" s="157"/>
    </row>
    <row r="35" spans="2:16">
      <c r="B35" s="161"/>
      <c r="D35" s="163"/>
      <c r="E35" s="163"/>
      <c r="F35" s="163"/>
      <c r="G35" s="163"/>
      <c r="H35" s="163"/>
      <c r="I35" s="163"/>
      <c r="J35" s="163"/>
      <c r="K35" s="163"/>
      <c r="L35" s="163"/>
      <c r="M35" s="163"/>
      <c r="N35" s="163"/>
      <c r="O35" s="163"/>
    </row>
    <row r="36" spans="2:16" ht="20.100000000000001" customHeight="1" thickBot="1">
      <c r="B36" s="620" t="s">
        <v>355</v>
      </c>
      <c r="D36" s="164"/>
      <c r="F36" s="163"/>
      <c r="G36" s="163"/>
      <c r="H36" s="163"/>
      <c r="I36" s="163"/>
      <c r="J36" s="163"/>
      <c r="K36" s="163"/>
      <c r="L36" s="163"/>
      <c r="M36" s="163"/>
      <c r="N36" s="163"/>
      <c r="O36" s="163"/>
    </row>
    <row r="37" spans="2:16" ht="20.100000000000001" customHeight="1" thickTop="1">
      <c r="B37" s="159" t="s">
        <v>453</v>
      </c>
      <c r="D37" s="254">
        <v>20</v>
      </c>
      <c r="F37" s="163"/>
      <c r="G37" s="163"/>
      <c r="H37" s="163"/>
      <c r="I37" s="163"/>
      <c r="J37" s="163"/>
      <c r="K37" s="163"/>
      <c r="L37" s="163"/>
      <c r="M37" s="163"/>
      <c r="N37" s="163"/>
      <c r="O37" s="163"/>
    </row>
    <row r="38" spans="2:16" ht="20.100000000000001" customHeight="1">
      <c r="B38" s="159" t="s">
        <v>452</v>
      </c>
      <c r="D38" s="254">
        <v>20</v>
      </c>
      <c r="F38" s="163"/>
      <c r="G38" s="163"/>
      <c r="H38" s="163"/>
      <c r="I38" s="163"/>
      <c r="J38" s="163"/>
      <c r="K38" s="163"/>
      <c r="L38" s="163"/>
      <c r="M38" s="163"/>
      <c r="N38" s="163"/>
      <c r="O38" s="163"/>
    </row>
    <row r="39" spans="2:16" ht="20.100000000000001" customHeight="1">
      <c r="B39" s="159" t="s">
        <v>609</v>
      </c>
      <c r="D39" s="254">
        <v>10</v>
      </c>
      <c r="F39" s="163"/>
      <c r="G39" s="163"/>
      <c r="H39" s="163"/>
      <c r="I39" s="163"/>
      <c r="J39" s="163"/>
      <c r="K39" s="163"/>
      <c r="L39" s="163"/>
      <c r="M39" s="163"/>
      <c r="N39" s="163"/>
      <c r="O39" s="163"/>
    </row>
    <row r="40" spans="2:16">
      <c r="B40" s="161"/>
      <c r="D40" s="163"/>
      <c r="E40" s="163"/>
      <c r="F40" s="163"/>
      <c r="G40" s="163"/>
      <c r="H40" s="163"/>
      <c r="I40" s="163"/>
      <c r="J40" s="163"/>
      <c r="K40" s="163"/>
      <c r="L40" s="163"/>
      <c r="M40" s="163"/>
      <c r="N40" s="163"/>
      <c r="O40" s="163"/>
    </row>
    <row r="41" spans="2:16" ht="20.100000000000001" customHeight="1" thickBot="1">
      <c r="B41" s="620" t="s">
        <v>454</v>
      </c>
      <c r="C41" s="156"/>
      <c r="D41" s="156"/>
      <c r="E41" s="156"/>
      <c r="F41" s="156"/>
      <c r="G41" s="156"/>
      <c r="H41" s="156"/>
      <c r="I41" s="156"/>
      <c r="J41" s="156"/>
      <c r="K41" s="156"/>
      <c r="L41" s="156"/>
      <c r="M41" s="156"/>
      <c r="N41" s="156"/>
      <c r="O41" s="156"/>
    </row>
    <row r="42" spans="2:16" ht="20.100000000000001" customHeight="1" thickTop="1">
      <c r="B42" s="143" t="s">
        <v>356</v>
      </c>
      <c r="C42" s="165"/>
      <c r="D42" s="255">
        <f>1-D43</f>
        <v>0.4</v>
      </c>
      <c r="E42" s="165"/>
      <c r="F42" s="165"/>
      <c r="G42" s="165"/>
      <c r="H42" s="165"/>
      <c r="I42" s="165"/>
      <c r="J42" s="165"/>
      <c r="K42" s="165"/>
      <c r="L42" s="165"/>
      <c r="M42" s="165"/>
      <c r="N42" s="165"/>
      <c r="O42" s="165"/>
    </row>
    <row r="43" spans="2:16" ht="20.100000000000001" customHeight="1">
      <c r="B43" s="143" t="s">
        <v>357</v>
      </c>
      <c r="C43" s="166"/>
      <c r="D43" s="255">
        <f>$C$15</f>
        <v>0.6</v>
      </c>
      <c r="E43" s="166"/>
      <c r="F43" s="166"/>
      <c r="G43" s="166"/>
      <c r="H43" s="166"/>
      <c r="I43" s="166"/>
      <c r="J43" s="166"/>
      <c r="K43" s="166"/>
      <c r="L43" s="166"/>
      <c r="M43" s="166"/>
      <c r="N43" s="166"/>
      <c r="O43" s="166"/>
    </row>
    <row r="44" spans="2:16" ht="20.100000000000001" customHeight="1">
      <c r="C44" s="166"/>
      <c r="D44" s="256"/>
      <c r="E44" s="166"/>
      <c r="F44" s="166"/>
      <c r="G44" s="166"/>
      <c r="H44" s="166"/>
      <c r="I44" s="166"/>
      <c r="J44" s="166"/>
      <c r="K44" s="166"/>
      <c r="L44" s="166"/>
      <c r="M44" s="166"/>
      <c r="N44" s="166"/>
      <c r="O44" s="166"/>
    </row>
    <row r="45" spans="2:16" ht="20.100000000000001" customHeight="1" thickBot="1">
      <c r="B45" s="620" t="s">
        <v>456</v>
      </c>
      <c r="C45" s="156"/>
      <c r="D45" s="272"/>
      <c r="E45" s="271"/>
      <c r="F45" s="156"/>
      <c r="G45" s="156"/>
      <c r="H45" s="156"/>
      <c r="I45" s="156"/>
      <c r="J45" s="156"/>
      <c r="K45" s="156"/>
      <c r="L45" s="156"/>
    </row>
    <row r="46" spans="2:16" ht="20.100000000000001" customHeight="1" thickTop="1">
      <c r="B46" s="167" t="s">
        <v>455</v>
      </c>
      <c r="C46" s="165"/>
      <c r="D46" s="255">
        <f>((1+((4*(1-(1+Macroeconomicos!C15)^(-1/4))+Spread_deuda_CP)/4)/(1-((4*(1-(1+Macroeconomicos!C15)^(-1/4))+Spread_deuda_CP)/4)))^4)-1</f>
        <v>7.2840293885115148E-2</v>
      </c>
      <c r="E46" s="255">
        <f>((1+((4*(1-(1+Macroeconomicos!D15)^(-1/4))+Spread_deuda_CP)/4)/(1-((4*(1-(1+Macroeconomicos!D15)^(-1/4))+Spread_deuda_CP)/4)))^4)-1</f>
        <v>7.2009295276972418E-2</v>
      </c>
      <c r="F46" s="255">
        <f>((1+((4*(1-(1+Macroeconomicos!E15)^(-1/4))+Spread_deuda_CP)/4)/(1-((4*(1-(1+Macroeconomicos!E15)^(-1/4))+Spread_deuda_CP)/4)))^4)-1</f>
        <v>7.3463546841233907E-2</v>
      </c>
      <c r="G46" s="255">
        <f>((1+((4*(1-(1+Macroeconomicos!F15)^(-1/4))+Spread_deuda_CP)/4)/(1-((4*(1-(1+Macroeconomicos!F15)^(-1/4))+Spread_deuda_CP)/4)))^4)-1</f>
        <v>8.2085563692951613E-2</v>
      </c>
      <c r="H46" s="255">
        <f>((1+((4*(1-(1+Macroeconomicos!G15)^(-1/4))+Spread_deuda_CP)/4)/(1-((4*(1-(1+Macroeconomicos!G15)^(-1/4))+Spread_deuda_CP)/4)))^4)-1</f>
        <v>8.6137098190492312E-2</v>
      </c>
      <c r="I46" s="255">
        <f>((1+((4*(1-(1+Macroeconomicos!H15)^(-1/4))+Spread_deuda_CP)/4)/(1-((4*(1-(1+Macroeconomicos!H15)^(-1/4))+Spread_deuda_CP)/4)))^4)-1</f>
        <v>8.3643829178915219E-2</v>
      </c>
      <c r="J46" s="255">
        <f>((1+((4*(1-(1+Macroeconomicos!I15)^(-1/4))+Spread_deuda_CP)/4)/(1-((4*(1-(1+Macroeconomicos!I15)^(-1/4))+Spread_deuda_CP)/4)))^4)-1</f>
        <v>8.1046731863856136E-2</v>
      </c>
      <c r="K46" s="255">
        <f>((1+((4*(1-(1+Macroeconomicos!J15)^(-1/4))+Spread_deuda_CP)/4)/(1-((4*(1-(1+Macroeconomicos!J15)^(-1/4))+Spread_deuda_CP)/4)))^4)-1</f>
        <v>7.5852714907253427E-2</v>
      </c>
      <c r="L46" s="255">
        <f>((1+((4*(1-(1+Macroeconomicos!K15)^(-1/4))+Spread_deuda_CP)/4)/(1-((4*(1-(1+Macroeconomicos!K15)^(-1/4))+Spread_deuda_CP)/4)))^4)-1</f>
        <v>7.5852714907253427E-2</v>
      </c>
      <c r="M46" s="255">
        <f>((1+((4*(1-(1+Macroeconomicos!L15)^(-1/4))+Spread_deuda_CP)/4)/(1-((4*(1-(1+Macroeconomicos!L15)^(-1/4))+Spread_deuda_CP)/4)))^4)-1</f>
        <v>7.5852714907253427E-2</v>
      </c>
      <c r="N46" s="255">
        <f>((1+((4*(1-(1+Macroeconomicos!M15)^(-1/4))+Spread_deuda_CP)/4)/(1-((4*(1-(1+Macroeconomicos!M15)^(-1/4))+Spread_deuda_CP)/4)))^4)-1</f>
        <v>7.5852714907253427E-2</v>
      </c>
      <c r="O46" s="255">
        <f>((1+((4*(1-(1+Macroeconomicos!N15)^(-1/4))+Spread_deuda_CP)/4)/(1-((4*(1-(1+Macroeconomicos!N15)^(-1/4))+Spread_deuda_CP)/4)))^4)-1</f>
        <v>7.5852714907253427E-2</v>
      </c>
      <c r="P46" s="255">
        <f>((1+((4*(1-(1+Macroeconomicos!O15)^(-1/4))+Spread_deuda_CP)/4)/(1-((4*(1-(1+Macroeconomicos!O15)^(-1/4))+Spread_deuda_CP)/4)))^4)-1</f>
        <v>7.5852714907253427E-2</v>
      </c>
    </row>
    <row r="47" spans="2:16" ht="20.100000000000001" customHeight="1">
      <c r="B47" s="167" t="s">
        <v>1037</v>
      </c>
      <c r="C47" s="165"/>
      <c r="D47" s="255">
        <f>(1+Macroeconomicos!C6)*(1+Spread_colocacion)-1</f>
        <v>2.4496999999999991E-2</v>
      </c>
      <c r="E47" s="255">
        <f>(1+Macroeconomicos!D6)*(1+Spread_colocacion)-1</f>
        <v>3.3039499999999888E-2</v>
      </c>
      <c r="F47" s="255">
        <f>(1+Macroeconomicos!E6)*(1+Spread_colocacion)-1</f>
        <v>1.2135500000000077E-2</v>
      </c>
      <c r="G47" s="255">
        <f>(1+Macroeconomicos!F6)*(1+Spread_colocacion)-1</f>
        <v>3.9471499999999882E-2</v>
      </c>
      <c r="H47" s="255">
        <f>(1+Macroeconomicos!G6)*(1+Spread_colocacion)-1</f>
        <v>4.1481499999999949E-2</v>
      </c>
      <c r="I47" s="255">
        <f>(1+Macroeconomicos!H6)*(1+Spread_colocacion)-1</f>
        <v>3.9973999999999732E-2</v>
      </c>
      <c r="J47" s="255">
        <f>(1+Macroeconomicos!I6)*(1+Spread_colocacion)-1</f>
        <v>3.8466499999999959E-2</v>
      </c>
      <c r="K47" s="255">
        <f>(1+Macroeconomicos!J6)*(1+Spread_colocacion)-1</f>
        <v>3.7059500000000023E-2</v>
      </c>
      <c r="L47" s="255">
        <f>(1+Macroeconomicos!K6)*(1+Spread_colocacion)-1</f>
        <v>3.7059500000000023E-2</v>
      </c>
      <c r="M47" s="255">
        <f>(1+Macroeconomicos!L6)*(1+Spread_colocacion)-1</f>
        <v>3.7059500000000023E-2</v>
      </c>
      <c r="N47" s="255">
        <f>(1+Macroeconomicos!M6)*(1+Spread_colocacion)-1</f>
        <v>3.7059500000000023E-2</v>
      </c>
      <c r="O47" s="255">
        <f>(1+Macroeconomicos!N6)*(1+Spread_colocacion)-1</f>
        <v>3.7059500000000023E-2</v>
      </c>
      <c r="P47" s="255">
        <f>(1+Macroeconomicos!O6)*(1+Spread_colocacion)-1</f>
        <v>3.7059500000000023E-2</v>
      </c>
    </row>
    <row r="48" spans="2:16" hidden="1">
      <c r="B48" s="168" t="s">
        <v>358</v>
      </c>
      <c r="C48" s="168"/>
      <c r="D48" s="165"/>
      <c r="E48" s="165"/>
      <c r="F48" s="165"/>
      <c r="G48" s="165"/>
      <c r="H48" s="165"/>
      <c r="I48" s="165"/>
      <c r="J48" s="165"/>
      <c r="K48" s="165"/>
      <c r="L48" s="165"/>
    </row>
    <row r="49" spans="2:16" hidden="1">
      <c r="B49" s="167" t="s">
        <v>359</v>
      </c>
      <c r="C49" s="167"/>
      <c r="D49" s="169">
        <v>3.5</v>
      </c>
      <c r="E49" s="169">
        <v>3.5</v>
      </c>
      <c r="F49" s="169">
        <v>3.5</v>
      </c>
      <c r="G49" s="169">
        <v>3.5</v>
      </c>
      <c r="H49" s="169">
        <v>3.5</v>
      </c>
      <c r="I49" s="169">
        <v>3.5</v>
      </c>
      <c r="J49" s="169">
        <v>3.5</v>
      </c>
      <c r="K49" s="169">
        <v>3.5</v>
      </c>
      <c r="L49" s="169">
        <v>3.5</v>
      </c>
      <c r="M49" s="169">
        <v>3.5</v>
      </c>
      <c r="N49" s="169"/>
      <c r="O49" s="169">
        <v>3.5</v>
      </c>
    </row>
    <row r="50" spans="2:16" hidden="1">
      <c r="B50" s="167" t="s">
        <v>360</v>
      </c>
      <c r="C50" s="167"/>
      <c r="D50" s="169">
        <v>2.9</v>
      </c>
      <c r="E50" s="169">
        <v>2.9</v>
      </c>
      <c r="F50" s="169">
        <v>2.9</v>
      </c>
      <c r="G50" s="169">
        <v>2.9</v>
      </c>
      <c r="H50" s="169">
        <v>2.9</v>
      </c>
      <c r="I50" s="169">
        <v>2.9</v>
      </c>
      <c r="J50" s="169">
        <v>2.9</v>
      </c>
      <c r="K50" s="169">
        <v>2.9</v>
      </c>
      <c r="L50" s="169">
        <v>2.9</v>
      </c>
      <c r="M50" s="169">
        <v>2.9</v>
      </c>
      <c r="N50" s="169"/>
      <c r="O50" s="169">
        <v>2.9</v>
      </c>
    </row>
    <row r="51" spans="2:16" hidden="1">
      <c r="B51" s="167" t="s">
        <v>361</v>
      </c>
      <c r="C51" s="167"/>
      <c r="D51" s="170">
        <v>0.4</v>
      </c>
      <c r="E51" s="170">
        <v>0.4</v>
      </c>
      <c r="F51" s="170">
        <v>0.4</v>
      </c>
      <c r="G51" s="170">
        <v>0.4</v>
      </c>
      <c r="H51" s="170">
        <v>0.4</v>
      </c>
      <c r="I51" s="170">
        <v>0.4</v>
      </c>
      <c r="J51" s="170">
        <v>0.4</v>
      </c>
      <c r="K51" s="170">
        <v>0.4</v>
      </c>
      <c r="L51" s="170">
        <v>0.4</v>
      </c>
      <c r="M51" s="170">
        <v>1.4</v>
      </c>
      <c r="N51" s="170"/>
      <c r="O51" s="170">
        <v>2.4</v>
      </c>
    </row>
    <row r="52" spans="2:16">
      <c r="D52" s="171"/>
      <c r="H52" s="166"/>
    </row>
    <row r="53" spans="2:16" ht="20.100000000000001" customHeight="1" thickBot="1">
      <c r="B53" s="620" t="s">
        <v>362</v>
      </c>
    </row>
    <row r="54" spans="2:16" ht="20.100000000000001" customHeight="1" thickTop="1">
      <c r="B54" s="144" t="s">
        <v>363</v>
      </c>
      <c r="C54" s="144"/>
      <c r="D54" s="257">
        <f>Tasa_renta</f>
        <v>0.25</v>
      </c>
      <c r="E54" s="257">
        <f>Tasa_renta</f>
        <v>0.25</v>
      </c>
      <c r="F54" s="257">
        <f>Tasa_renta</f>
        <v>0.25</v>
      </c>
      <c r="G54" s="258">
        <f t="shared" ref="G54:P54" si="1">Tasa_renta</f>
        <v>0.25</v>
      </c>
      <c r="H54" s="258">
        <f t="shared" si="1"/>
        <v>0.25</v>
      </c>
      <c r="I54" s="258">
        <f t="shared" si="1"/>
        <v>0.25</v>
      </c>
      <c r="J54" s="258">
        <f t="shared" si="1"/>
        <v>0.25</v>
      </c>
      <c r="K54" s="258">
        <f t="shared" si="1"/>
        <v>0.25</v>
      </c>
      <c r="L54" s="258">
        <f t="shared" si="1"/>
        <v>0.25</v>
      </c>
      <c r="M54" s="258">
        <f t="shared" si="1"/>
        <v>0.25</v>
      </c>
      <c r="N54" s="258">
        <f t="shared" si="1"/>
        <v>0.25</v>
      </c>
      <c r="O54" s="258">
        <f t="shared" si="1"/>
        <v>0.25</v>
      </c>
      <c r="P54" s="258">
        <f t="shared" si="1"/>
        <v>0.25</v>
      </c>
    </row>
    <row r="55" spans="2:16" ht="20.100000000000001" customHeight="1">
      <c r="B55" s="144" t="s">
        <v>458</v>
      </c>
      <c r="C55" s="144"/>
      <c r="D55" s="257">
        <f>Tasa_CREE</f>
        <v>0.09</v>
      </c>
      <c r="E55" s="257">
        <f>Tasa_CREE</f>
        <v>0.09</v>
      </c>
      <c r="F55" s="257">
        <f>Tasa_CREE</f>
        <v>0.09</v>
      </c>
      <c r="G55" s="258">
        <f>Tasa_CREE+5%</f>
        <v>0.14000000000000001</v>
      </c>
      <c r="H55" s="258">
        <f>Tasa_CREE+6%</f>
        <v>0.15</v>
      </c>
      <c r="I55" s="258">
        <f>Tasa_CREE+8%</f>
        <v>0.16999999999999998</v>
      </c>
      <c r="J55" s="258">
        <f>Tasa_CREE+9%</f>
        <v>0.18</v>
      </c>
      <c r="K55" s="258">
        <f t="shared" ref="K55:P55" si="2">Tasa_CREE</f>
        <v>0.09</v>
      </c>
      <c r="L55" s="258">
        <f t="shared" si="2"/>
        <v>0.09</v>
      </c>
      <c r="M55" s="258">
        <f t="shared" si="2"/>
        <v>0.09</v>
      </c>
      <c r="N55" s="258">
        <f t="shared" si="2"/>
        <v>0.09</v>
      </c>
      <c r="O55" s="258">
        <f t="shared" si="2"/>
        <v>0.09</v>
      </c>
      <c r="P55" s="258">
        <f t="shared" si="2"/>
        <v>0.09</v>
      </c>
    </row>
    <row r="56" spans="2:16" ht="20.100000000000001" customHeight="1">
      <c r="B56" s="144" t="s">
        <v>460</v>
      </c>
      <c r="C56" s="144"/>
      <c r="D56" s="257">
        <v>0.75</v>
      </c>
      <c r="E56" s="257">
        <v>0.75</v>
      </c>
      <c r="F56" s="257">
        <v>0.75</v>
      </c>
      <c r="G56" s="258">
        <f t="shared" ref="G56:P56" si="3">Anticipo_renta</f>
        <v>0.75</v>
      </c>
      <c r="H56" s="258">
        <f t="shared" si="3"/>
        <v>0.75</v>
      </c>
      <c r="I56" s="258">
        <f t="shared" si="3"/>
        <v>0.75</v>
      </c>
      <c r="J56" s="258">
        <f t="shared" si="3"/>
        <v>0.75</v>
      </c>
      <c r="K56" s="258">
        <f t="shared" si="3"/>
        <v>0.75</v>
      </c>
      <c r="L56" s="258">
        <f t="shared" si="3"/>
        <v>0.75</v>
      </c>
      <c r="M56" s="258">
        <f t="shared" si="3"/>
        <v>0.75</v>
      </c>
      <c r="N56" s="258">
        <f t="shared" si="3"/>
        <v>0.75</v>
      </c>
      <c r="O56" s="258">
        <f t="shared" si="3"/>
        <v>0.75</v>
      </c>
      <c r="P56" s="258">
        <f t="shared" si="3"/>
        <v>0.75</v>
      </c>
    </row>
    <row r="57" spans="2:16" ht="20.100000000000001" customHeight="1">
      <c r="B57" s="260" t="s">
        <v>462</v>
      </c>
      <c r="C57" s="144"/>
      <c r="D57" s="257">
        <v>4.0000000000000001E-3</v>
      </c>
      <c r="E57" s="257">
        <v>4.0000000000000001E-3</v>
      </c>
      <c r="F57" s="257">
        <v>4.0000000000000001E-3</v>
      </c>
      <c r="G57" s="257">
        <v>4.0000000000000001E-3</v>
      </c>
      <c r="H57" s="257">
        <v>4.0000000000000001E-3</v>
      </c>
      <c r="I57" s="257">
        <v>4.0000000000000001E-3</v>
      </c>
      <c r="J57" s="257">
        <v>4.0000000000000001E-3</v>
      </c>
      <c r="K57" s="619">
        <f>IF(GMF="No",0.3%,0.4%)</f>
        <v>3.0000000000000001E-3</v>
      </c>
      <c r="L57" s="619">
        <f>IF(GMF="No",0.2%,0.4%)</f>
        <v>2E-3</v>
      </c>
      <c r="M57" s="619">
        <f>IF(GMF="No",0.1%,0.4%)</f>
        <v>1E-3</v>
      </c>
      <c r="N57" s="258">
        <f>IF(GMF="No",0%,0.4%)</f>
        <v>0</v>
      </c>
      <c r="O57" s="258">
        <f>IF(GMF="No",0%,0.4%)</f>
        <v>0</v>
      </c>
      <c r="P57" s="258">
        <f>IF(GMF="No",0%,0.4%)</f>
        <v>0</v>
      </c>
    </row>
    <row r="58" spans="2:16" ht="20.100000000000001" customHeight="1">
      <c r="B58" s="144" t="s">
        <v>364</v>
      </c>
      <c r="C58" s="144"/>
      <c r="D58" s="257">
        <v>0.5</v>
      </c>
      <c r="E58" s="257">
        <v>0.5</v>
      </c>
      <c r="F58" s="257">
        <v>0.5</v>
      </c>
      <c r="G58" s="258">
        <f>IF(G57&lt;&gt;0,50%,0%)</f>
        <v>0.5</v>
      </c>
      <c r="H58" s="258">
        <f t="shared" ref="H58:P58" si="4">IF(H57&lt;&gt;0,50%,0%)</f>
        <v>0.5</v>
      </c>
      <c r="I58" s="258">
        <f t="shared" si="4"/>
        <v>0.5</v>
      </c>
      <c r="J58" s="258">
        <f t="shared" si="4"/>
        <v>0.5</v>
      </c>
      <c r="K58" s="258">
        <f t="shared" si="4"/>
        <v>0.5</v>
      </c>
      <c r="L58" s="258">
        <f t="shared" si="4"/>
        <v>0.5</v>
      </c>
      <c r="M58" s="258">
        <f t="shared" si="4"/>
        <v>0.5</v>
      </c>
      <c r="N58" s="258">
        <f t="shared" si="4"/>
        <v>0</v>
      </c>
      <c r="O58" s="258">
        <f t="shared" si="4"/>
        <v>0</v>
      </c>
      <c r="P58" s="258">
        <f t="shared" si="4"/>
        <v>0</v>
      </c>
    </row>
    <row r="59" spans="2:16" ht="20.100000000000001" customHeight="1">
      <c r="B59" s="144" t="s">
        <v>1038</v>
      </c>
      <c r="C59" s="144"/>
      <c r="D59" s="257">
        <v>1.4999999999999999E-2</v>
      </c>
      <c r="E59" s="257">
        <v>1.4999999999999999E-2</v>
      </c>
      <c r="F59" s="257">
        <v>1.4999999999999999E-2</v>
      </c>
      <c r="G59" s="257">
        <v>1.35E-2</v>
      </c>
      <c r="H59" s="257">
        <v>0.01</v>
      </c>
      <c r="I59" s="257">
        <v>4.0000000000000001E-3</v>
      </c>
      <c r="J59" s="258">
        <f t="shared" ref="J59:P59" si="5">IF(Impto_Patrimonio="No",0%,0.4%)</f>
        <v>0</v>
      </c>
      <c r="K59" s="258">
        <f t="shared" si="5"/>
        <v>0</v>
      </c>
      <c r="L59" s="258">
        <f t="shared" si="5"/>
        <v>0</v>
      </c>
      <c r="M59" s="258">
        <f t="shared" si="5"/>
        <v>0</v>
      </c>
      <c r="N59" s="258">
        <f t="shared" si="5"/>
        <v>0</v>
      </c>
      <c r="O59" s="258">
        <f t="shared" si="5"/>
        <v>0</v>
      </c>
      <c r="P59" s="258">
        <f t="shared" si="5"/>
        <v>0</v>
      </c>
    </row>
    <row r="60" spans="2:16" ht="20.100000000000001" customHeight="1">
      <c r="B60" s="144" t="s">
        <v>1047</v>
      </c>
      <c r="C60" s="144"/>
      <c r="D60" s="257">
        <v>0.03</v>
      </c>
      <c r="E60" s="257">
        <f>D60</f>
        <v>0.03</v>
      </c>
      <c r="F60" s="257">
        <f t="shared" ref="F60:P60" si="6">E60</f>
        <v>0.03</v>
      </c>
      <c r="G60" s="257">
        <f t="shared" si="6"/>
        <v>0.03</v>
      </c>
      <c r="H60" s="257">
        <f t="shared" si="6"/>
        <v>0.03</v>
      </c>
      <c r="I60" s="257">
        <f t="shared" si="6"/>
        <v>0.03</v>
      </c>
      <c r="J60" s="257">
        <f t="shared" si="6"/>
        <v>0.03</v>
      </c>
      <c r="K60" s="257">
        <f t="shared" si="6"/>
        <v>0.03</v>
      </c>
      <c r="L60" s="257">
        <f t="shared" si="6"/>
        <v>0.03</v>
      </c>
      <c r="M60" s="257">
        <f t="shared" si="6"/>
        <v>0.03</v>
      </c>
      <c r="N60" s="257">
        <f t="shared" si="6"/>
        <v>0.03</v>
      </c>
      <c r="O60" s="257">
        <f t="shared" si="6"/>
        <v>0.03</v>
      </c>
      <c r="P60" s="257">
        <f t="shared" si="6"/>
        <v>0.03</v>
      </c>
    </row>
    <row r="62" spans="2:16" ht="20.100000000000001" customHeight="1" thickBot="1">
      <c r="B62" s="620" t="s">
        <v>366</v>
      </c>
    </row>
    <row r="63" spans="2:16" ht="20.100000000000001" customHeight="1" thickTop="1">
      <c r="B63" s="143" t="s">
        <v>467</v>
      </c>
      <c r="D63" s="172">
        <v>0.1</v>
      </c>
      <c r="E63" s="261"/>
    </row>
    <row r="64" spans="2:16" ht="20.100000000000001" customHeight="1">
      <c r="B64" s="143" t="s">
        <v>468</v>
      </c>
      <c r="D64" s="172">
        <v>0.5</v>
      </c>
      <c r="E64" s="261"/>
    </row>
    <row r="65" spans="1:15" ht="20.100000000000001" customHeight="1">
      <c r="D65" s="142"/>
      <c r="E65" s="142"/>
      <c r="F65" s="142"/>
      <c r="G65" s="142"/>
      <c r="H65" s="142"/>
      <c r="I65" s="142"/>
      <c r="J65" s="142"/>
      <c r="K65" s="142"/>
      <c r="L65" s="142"/>
      <c r="M65" s="142"/>
      <c r="N65" s="142"/>
      <c r="O65" s="142"/>
    </row>
    <row r="66" spans="1:15" ht="20.100000000000001" customHeight="1">
      <c r="A66" s="143" t="s">
        <v>463</v>
      </c>
      <c r="B66" s="57" t="s">
        <v>1039</v>
      </c>
    </row>
  </sheetData>
  <mergeCells count="5">
    <mergeCell ref="B4:C4"/>
    <mergeCell ref="E4:F4"/>
    <mergeCell ref="H4:I4"/>
    <mergeCell ref="D20:E20"/>
    <mergeCell ref="F20:O20"/>
  </mergeCells>
  <dataValidations count="6">
    <dataValidation type="list" allowBlank="1" showInputMessage="1" showErrorMessage="1" sqref="C19">
      <formula1>#REF!</formula1>
    </dataValidation>
    <dataValidation type="list" allowBlank="1" showInputMessage="1" showErrorMessage="1" sqref="I9:I10 F5">
      <formula1>$K$1:$L$1</formula1>
    </dataValidation>
    <dataValidation type="list" allowBlank="1" showInputMessage="1" showErrorMessage="1" sqref="I12">
      <formula1>$K$2:$L$2</formula1>
    </dataValidation>
    <dataValidation type="list" allowBlank="1" showInputMessage="1" showErrorMessage="1" sqref="F14">
      <formula1>$K$3:$R$3</formula1>
    </dataValidation>
    <dataValidation type="list" allowBlank="1" showInputMessage="1" showErrorMessage="1" sqref="F6">
      <formula1>$K$5:$L$5</formula1>
    </dataValidation>
    <dataValidation type="list" allowBlank="1" showInputMessage="1" showErrorMessage="1" sqref="F7">
      <formula1>$K$4:$M$4</formula1>
    </dataValidation>
  </dataValidations>
  <hyperlinks>
    <hyperlink ref="B66" r:id="rId1"/>
  </hyperlinks>
  <pageMargins left="0.7" right="0.7" top="0.75" bottom="0.75" header="0.3" footer="0.3"/>
  <pageSetup orientation="portrait" horizontalDpi="300" verticalDpi="300" r:id="rId2"/>
  <drawing r:id="rId3"/>
  <legacyDrawing r:id="rId4"/>
  <mc:AlternateContent xmlns:mc="http://schemas.openxmlformats.org/markup-compatibility/2006">
    <mc:Choice Requires="x14">
      <controls>
        <mc:AlternateContent xmlns:mc="http://schemas.openxmlformats.org/markup-compatibility/2006">
          <mc:Choice Requires="x14">
            <control shapeId="4097" r:id="rId5" name="Check Box 1">
              <controlPr defaultSize="0" autoFill="0" autoLine="0" autoPict="0">
                <anchor moveWithCells="1">
                  <from>
                    <xdr:col>2</xdr:col>
                    <xdr:colOff>371475</xdr:colOff>
                    <xdr:row>24</xdr:row>
                    <xdr:rowOff>0</xdr:rowOff>
                  </from>
                  <to>
                    <xdr:col>2</xdr:col>
                    <xdr:colOff>676275</xdr:colOff>
                    <xdr:row>24</xdr:row>
                    <xdr:rowOff>209550</xdr:rowOff>
                  </to>
                </anchor>
              </controlPr>
            </control>
          </mc:Choice>
        </mc:AlternateContent>
        <mc:AlternateContent xmlns:mc="http://schemas.openxmlformats.org/markup-compatibility/2006">
          <mc:Choice Requires="x14">
            <control shapeId="4098" r:id="rId6" name="Check Box 2">
              <controlPr defaultSize="0" autoFill="0" autoLine="0" autoPict="0">
                <anchor moveWithCells="1">
                  <from>
                    <xdr:col>2</xdr:col>
                    <xdr:colOff>371475</xdr:colOff>
                    <xdr:row>25</xdr:row>
                    <xdr:rowOff>0</xdr:rowOff>
                  </from>
                  <to>
                    <xdr:col>2</xdr:col>
                    <xdr:colOff>676275</xdr:colOff>
                    <xdr:row>25</xdr:row>
                    <xdr:rowOff>209550</xdr:rowOff>
                  </to>
                </anchor>
              </controlPr>
            </control>
          </mc:Choice>
        </mc:AlternateContent>
        <mc:AlternateContent xmlns:mc="http://schemas.openxmlformats.org/markup-compatibility/2006">
          <mc:Choice Requires="x14">
            <control shapeId="4099" r:id="rId7" name="Check Box 3">
              <controlPr defaultSize="0" autoFill="0" autoLine="0" autoPict="0">
                <anchor moveWithCells="1">
                  <from>
                    <xdr:col>2</xdr:col>
                    <xdr:colOff>371475</xdr:colOff>
                    <xdr:row>26</xdr:row>
                    <xdr:rowOff>0</xdr:rowOff>
                  </from>
                  <to>
                    <xdr:col>2</xdr:col>
                    <xdr:colOff>676275</xdr:colOff>
                    <xdr:row>26</xdr:row>
                    <xdr:rowOff>209550</xdr:rowOff>
                  </to>
                </anchor>
              </controlPr>
            </control>
          </mc:Choice>
        </mc:AlternateContent>
        <mc:AlternateContent xmlns:mc="http://schemas.openxmlformats.org/markup-compatibility/2006">
          <mc:Choice Requires="x14">
            <control shapeId="4100" r:id="rId8" name="Check Box 4">
              <controlPr defaultSize="0" autoFill="0" autoLine="0" autoPict="0">
                <anchor moveWithCells="1">
                  <from>
                    <xdr:col>2</xdr:col>
                    <xdr:colOff>371475</xdr:colOff>
                    <xdr:row>27</xdr:row>
                    <xdr:rowOff>0</xdr:rowOff>
                  </from>
                  <to>
                    <xdr:col>2</xdr:col>
                    <xdr:colOff>676275</xdr:colOff>
                    <xdr:row>27</xdr:row>
                    <xdr:rowOff>209550</xdr:rowOff>
                  </to>
                </anchor>
              </controlPr>
            </control>
          </mc:Choice>
        </mc:AlternateContent>
        <mc:AlternateContent xmlns:mc="http://schemas.openxmlformats.org/markup-compatibility/2006">
          <mc:Choice Requires="x14">
            <control shapeId="4101" r:id="rId9" name="Check Box 5">
              <controlPr defaultSize="0" autoFill="0" autoLine="0" autoPict="0">
                <anchor moveWithCells="1">
                  <from>
                    <xdr:col>2</xdr:col>
                    <xdr:colOff>371475</xdr:colOff>
                    <xdr:row>28</xdr:row>
                    <xdr:rowOff>0</xdr:rowOff>
                  </from>
                  <to>
                    <xdr:col>2</xdr:col>
                    <xdr:colOff>676275</xdr:colOff>
                    <xdr:row>28</xdr:row>
                    <xdr:rowOff>209550</xdr:rowOff>
                  </to>
                </anchor>
              </controlPr>
            </control>
          </mc:Choice>
        </mc:AlternateContent>
        <mc:AlternateContent xmlns:mc="http://schemas.openxmlformats.org/markup-compatibility/2006">
          <mc:Choice Requires="x14">
            <control shapeId="4102" r:id="rId10" name="Check Box 6">
              <controlPr defaultSize="0" autoFill="0" autoLine="0" autoPict="0">
                <anchor moveWithCells="1">
                  <from>
                    <xdr:col>2</xdr:col>
                    <xdr:colOff>371475</xdr:colOff>
                    <xdr:row>28</xdr:row>
                    <xdr:rowOff>0</xdr:rowOff>
                  </from>
                  <to>
                    <xdr:col>2</xdr:col>
                    <xdr:colOff>676275</xdr:colOff>
                    <xdr:row>28</xdr:row>
                    <xdr:rowOff>209550</xdr:rowOff>
                  </to>
                </anchor>
              </controlPr>
            </control>
          </mc:Choice>
        </mc:AlternateContent>
        <mc:AlternateContent xmlns:mc="http://schemas.openxmlformats.org/markup-compatibility/2006">
          <mc:Choice Requires="x14">
            <control shapeId="4103" r:id="rId11" name="Check Box 7">
              <controlPr defaultSize="0" autoFill="0" autoLine="0" autoPict="0">
                <anchor moveWithCells="1">
                  <from>
                    <xdr:col>2</xdr:col>
                    <xdr:colOff>371475</xdr:colOff>
                    <xdr:row>23</xdr:row>
                    <xdr:rowOff>0</xdr:rowOff>
                  </from>
                  <to>
                    <xdr:col>2</xdr:col>
                    <xdr:colOff>676275</xdr:colOff>
                    <xdr:row>23</xdr:row>
                    <xdr:rowOff>209550</xdr:rowOff>
                  </to>
                </anchor>
              </controlPr>
            </control>
          </mc:Choice>
        </mc:AlternateContent>
        <mc:AlternateContent xmlns:mc="http://schemas.openxmlformats.org/markup-compatibility/2006">
          <mc:Choice Requires="x14">
            <control shapeId="4104" r:id="rId12" name="Button 8">
              <controlPr defaultSize="0" print="0" autoFill="0" autoPict="0" macro="[0]!Ajuste_costo_proyecto_Sogamoso">
                <anchor moveWithCells="1" sizeWithCells="1">
                  <from>
                    <xdr:col>3</xdr:col>
                    <xdr:colOff>1343025</xdr:colOff>
                    <xdr:row>16</xdr:row>
                    <xdr:rowOff>123825</xdr:rowOff>
                  </from>
                  <to>
                    <xdr:col>6</xdr:col>
                    <xdr:colOff>0</xdr:colOff>
                    <xdr:row>18</xdr:row>
                    <xdr:rowOff>114300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dimension ref="B2:DS184"/>
  <sheetViews>
    <sheetView showGridLines="0" topLeftCell="C15" zoomScale="90" zoomScaleNormal="90" workbookViewId="0">
      <selection activeCell="F31" activeCellId="1" sqref="F16:O16 F31:O31"/>
    </sheetView>
  </sheetViews>
  <sheetFormatPr baseColWidth="10" defaultRowHeight="15"/>
  <cols>
    <col min="1" max="1" width="2" customWidth="1"/>
    <col min="2" max="2" width="60.7109375" customWidth="1"/>
    <col min="3" max="3" width="16.7109375" customWidth="1"/>
    <col min="4" max="10" width="15.7109375" customWidth="1"/>
    <col min="11" max="14" width="16" bestFit="1" customWidth="1"/>
    <col min="15" max="15" width="15.7109375" customWidth="1"/>
    <col min="22" max="24" width="11.42578125" style="561"/>
  </cols>
  <sheetData>
    <row r="2" spans="2:123" ht="20.100000000000001" customHeight="1" thickBot="1">
      <c r="B2" s="608" t="s">
        <v>396</v>
      </c>
      <c r="E2" s="654" t="s">
        <v>396</v>
      </c>
      <c r="F2" s="655"/>
      <c r="G2" s="656"/>
      <c r="J2" s="654" t="s">
        <v>396</v>
      </c>
      <c r="K2" s="655"/>
      <c r="L2" s="656"/>
      <c r="V2" s="284" t="s">
        <v>127</v>
      </c>
      <c r="W2" s="284">
        <v>1</v>
      </c>
      <c r="X2" s="284">
        <v>2</v>
      </c>
      <c r="Y2" s="284">
        <v>3</v>
      </c>
      <c r="Z2" s="284">
        <v>4</v>
      </c>
      <c r="AA2" s="284">
        <v>5</v>
      </c>
      <c r="AB2" s="284">
        <v>6</v>
      </c>
      <c r="AC2" s="284">
        <v>7</v>
      </c>
      <c r="AD2" s="284">
        <v>8</v>
      </c>
      <c r="AE2" s="284">
        <v>9</v>
      </c>
      <c r="AF2" s="284">
        <v>10</v>
      </c>
      <c r="AG2" s="284">
        <v>11</v>
      </c>
      <c r="AH2" s="284">
        <v>12</v>
      </c>
      <c r="AI2" s="284">
        <v>13</v>
      </c>
      <c r="AJ2" s="284">
        <v>14</v>
      </c>
      <c r="AK2" s="284">
        <v>15</v>
      </c>
      <c r="AL2" s="284">
        <v>16</v>
      </c>
      <c r="AM2" s="284">
        <v>17</v>
      </c>
      <c r="AN2" s="284">
        <v>18</v>
      </c>
      <c r="AO2" s="284">
        <v>19</v>
      </c>
      <c r="AP2" s="284">
        <v>20</v>
      </c>
      <c r="AQ2" s="284">
        <v>21</v>
      </c>
      <c r="AR2" s="284">
        <v>22</v>
      </c>
      <c r="AS2" s="284">
        <v>23</v>
      </c>
      <c r="AT2" s="284">
        <v>24</v>
      </c>
      <c r="AU2" s="284">
        <v>25</v>
      </c>
      <c r="AV2" s="284">
        <v>26</v>
      </c>
      <c r="AW2" s="284">
        <v>27</v>
      </c>
      <c r="AX2" s="284">
        <v>28</v>
      </c>
      <c r="AY2" s="284">
        <v>29</v>
      </c>
      <c r="AZ2" s="284">
        <v>30</v>
      </c>
      <c r="BA2" s="284">
        <v>31</v>
      </c>
      <c r="BB2" s="284">
        <v>32</v>
      </c>
      <c r="BC2" s="284">
        <v>33</v>
      </c>
      <c r="BD2" s="284">
        <v>34</v>
      </c>
      <c r="BE2" s="284">
        <v>35</v>
      </c>
      <c r="BF2" s="284">
        <v>36</v>
      </c>
      <c r="BG2" s="284">
        <v>37</v>
      </c>
      <c r="BH2" s="284">
        <v>38</v>
      </c>
      <c r="BI2" s="284">
        <v>39</v>
      </c>
      <c r="BJ2" s="284">
        <v>40</v>
      </c>
      <c r="BK2" s="284">
        <v>41</v>
      </c>
      <c r="BL2" s="284">
        <v>42</v>
      </c>
      <c r="BM2" s="284">
        <v>43</v>
      </c>
      <c r="BN2" s="284">
        <v>44</v>
      </c>
      <c r="BO2" s="284">
        <v>45</v>
      </c>
      <c r="BP2" s="284">
        <v>46</v>
      </c>
      <c r="BQ2" s="284">
        <v>47</v>
      </c>
      <c r="BR2" s="284">
        <v>48</v>
      </c>
      <c r="BS2" s="284">
        <v>49</v>
      </c>
      <c r="BT2" s="284">
        <v>50</v>
      </c>
      <c r="BU2" s="284">
        <v>51</v>
      </c>
      <c r="BV2" s="284">
        <v>52</v>
      </c>
      <c r="BW2" s="284">
        <v>53</v>
      </c>
      <c r="BX2" s="284">
        <v>54</v>
      </c>
      <c r="BY2" s="284">
        <v>55</v>
      </c>
      <c r="BZ2" s="284">
        <v>56</v>
      </c>
      <c r="CA2" s="284">
        <v>57</v>
      </c>
      <c r="CB2" s="284">
        <v>58</v>
      </c>
      <c r="CC2" s="284">
        <v>59</v>
      </c>
      <c r="CD2" s="284">
        <v>60</v>
      </c>
      <c r="CE2" s="284">
        <v>61</v>
      </c>
      <c r="CF2" s="284">
        <v>62</v>
      </c>
      <c r="CG2" s="284">
        <v>63</v>
      </c>
      <c r="CH2" s="284">
        <v>64</v>
      </c>
      <c r="CI2" s="284">
        <v>65</v>
      </c>
      <c r="CJ2" s="284">
        <v>66</v>
      </c>
      <c r="CK2" s="284">
        <v>67</v>
      </c>
      <c r="CL2" s="284">
        <v>68</v>
      </c>
      <c r="CM2" s="284">
        <v>69</v>
      </c>
      <c r="CN2" s="284">
        <v>70</v>
      </c>
      <c r="CO2" s="284">
        <v>71</v>
      </c>
      <c r="CP2" s="284">
        <v>72</v>
      </c>
      <c r="CQ2" s="284">
        <v>73</v>
      </c>
      <c r="CR2" s="284">
        <v>74</v>
      </c>
      <c r="CS2" s="284">
        <v>75</v>
      </c>
      <c r="CT2" s="284">
        <v>76</v>
      </c>
      <c r="CU2" s="284">
        <v>77</v>
      </c>
      <c r="CV2" s="284">
        <v>78</v>
      </c>
      <c r="CW2" s="284">
        <v>79</v>
      </c>
      <c r="CX2" s="284">
        <v>80</v>
      </c>
      <c r="CY2" s="284">
        <v>81</v>
      </c>
      <c r="CZ2" s="284">
        <v>82</v>
      </c>
      <c r="DA2" s="284">
        <v>83</v>
      </c>
      <c r="DB2" s="284">
        <v>84</v>
      </c>
      <c r="DC2" s="284">
        <v>85</v>
      </c>
      <c r="DD2" s="284">
        <v>86</v>
      </c>
      <c r="DE2" s="284">
        <v>87</v>
      </c>
      <c r="DF2" s="284">
        <v>88</v>
      </c>
      <c r="DG2" s="284">
        <v>89</v>
      </c>
      <c r="DH2" s="284">
        <v>90</v>
      </c>
      <c r="DI2" s="284">
        <v>91</v>
      </c>
      <c r="DJ2" s="284">
        <v>92</v>
      </c>
      <c r="DK2" s="284">
        <v>93</v>
      </c>
      <c r="DL2" s="284">
        <v>94</v>
      </c>
      <c r="DM2" s="284">
        <v>95</v>
      </c>
      <c r="DN2" s="284">
        <v>96</v>
      </c>
      <c r="DO2" s="284">
        <v>97</v>
      </c>
      <c r="DP2" s="284">
        <v>98</v>
      </c>
      <c r="DQ2" s="284">
        <v>99</v>
      </c>
      <c r="DR2" s="284">
        <v>100</v>
      </c>
      <c r="DS2" s="284" t="s">
        <v>126</v>
      </c>
    </row>
    <row r="3" spans="2:123" ht="20.100000000000001" customHeight="1" thickTop="1">
      <c r="B3" s="199" t="s">
        <v>338</v>
      </c>
      <c r="C3" s="32">
        <v>50</v>
      </c>
      <c r="E3" s="657" t="s">
        <v>1020</v>
      </c>
      <c r="F3" s="658"/>
      <c r="G3" s="659"/>
      <c r="H3" s="598">
        <v>15</v>
      </c>
      <c r="J3" s="657" t="s">
        <v>475</v>
      </c>
      <c r="K3" s="658"/>
      <c r="L3" s="659"/>
      <c r="M3" s="603">
        <v>30.4166666666667</v>
      </c>
      <c r="V3" s="284" t="s">
        <v>961</v>
      </c>
      <c r="W3" s="284" t="s">
        <v>964</v>
      </c>
      <c r="X3" s="284" t="s">
        <v>962</v>
      </c>
      <c r="Y3" s="284" t="s">
        <v>963</v>
      </c>
      <c r="Z3" s="284" t="s">
        <v>960</v>
      </c>
      <c r="AA3" s="284"/>
      <c r="AB3" s="284"/>
      <c r="AC3" s="284"/>
      <c r="AD3" s="284"/>
      <c r="AE3" s="284"/>
      <c r="AF3" s="284"/>
      <c r="AG3" s="284"/>
      <c r="AH3" s="284"/>
      <c r="AI3" s="284"/>
      <c r="AJ3" s="284"/>
      <c r="AK3" s="284"/>
      <c r="AL3" s="284"/>
      <c r="AM3" s="284"/>
      <c r="AN3" s="284"/>
      <c r="AO3" s="284"/>
      <c r="AP3" s="284"/>
      <c r="AQ3" s="284"/>
      <c r="AR3" s="284"/>
      <c r="AS3" s="284"/>
      <c r="AT3" s="284"/>
      <c r="AU3" s="284"/>
      <c r="AV3" s="284"/>
      <c r="AW3" s="284"/>
      <c r="AX3" s="284"/>
      <c r="AY3" s="284"/>
      <c r="AZ3" s="284"/>
      <c r="BA3" s="284"/>
      <c r="BB3" s="284"/>
      <c r="BC3" s="284"/>
      <c r="BD3" s="284"/>
      <c r="BE3" s="284"/>
      <c r="BF3" s="284"/>
      <c r="BG3" s="284"/>
      <c r="BH3" s="284"/>
      <c r="BI3" s="284"/>
      <c r="BJ3" s="284"/>
      <c r="BK3" s="284"/>
      <c r="BL3" s="284"/>
      <c r="BM3" s="284"/>
      <c r="BN3" s="284"/>
      <c r="BO3" s="284"/>
      <c r="BP3" s="284"/>
      <c r="BQ3" s="284"/>
      <c r="BR3" s="284"/>
      <c r="BS3" s="284"/>
      <c r="BT3" s="284"/>
      <c r="BU3" s="284"/>
      <c r="BV3" s="284"/>
      <c r="BW3" s="284"/>
      <c r="BX3" s="284"/>
      <c r="BY3" s="284"/>
      <c r="BZ3" s="284"/>
      <c r="CA3" s="284"/>
      <c r="CB3" s="284"/>
      <c r="CC3" s="284"/>
      <c r="CD3" s="284"/>
      <c r="CE3" s="284"/>
      <c r="CF3" s="284"/>
      <c r="CG3" s="284"/>
      <c r="CH3" s="284"/>
      <c r="CI3" s="284"/>
      <c r="CJ3" s="284"/>
      <c r="CK3" s="284"/>
      <c r="CL3" s="284"/>
      <c r="CM3" s="284"/>
      <c r="CN3" s="284"/>
      <c r="CO3" s="284"/>
      <c r="CP3" s="284"/>
      <c r="CQ3" s="284"/>
      <c r="CR3" s="284"/>
      <c r="CS3" s="284"/>
      <c r="CT3" s="284"/>
      <c r="CU3" s="284"/>
      <c r="CV3" s="284"/>
      <c r="CW3" s="284"/>
      <c r="CX3" s="284"/>
      <c r="CY3" s="284"/>
      <c r="CZ3" s="284"/>
      <c r="DA3" s="284"/>
      <c r="DB3" s="284"/>
      <c r="DC3" s="284"/>
      <c r="DD3" s="284"/>
      <c r="DE3" s="284"/>
      <c r="DF3" s="284"/>
      <c r="DG3" s="284"/>
      <c r="DH3" s="284"/>
      <c r="DI3" s="284"/>
      <c r="DJ3" s="284"/>
      <c r="DK3" s="284"/>
      <c r="DL3" s="284"/>
      <c r="DM3" s="284"/>
      <c r="DN3" s="284"/>
      <c r="DO3" s="284"/>
      <c r="DP3" s="284"/>
      <c r="DQ3" s="284"/>
      <c r="DR3" s="284"/>
      <c r="DS3" s="284"/>
    </row>
    <row r="4" spans="2:123" ht="20.100000000000001" customHeight="1">
      <c r="B4" s="336" t="s">
        <v>135</v>
      </c>
      <c r="C4" s="32" t="s">
        <v>134</v>
      </c>
      <c r="E4" s="651" t="s">
        <v>934</v>
      </c>
      <c r="F4" s="652"/>
      <c r="G4" s="653"/>
      <c r="H4" s="602">
        <v>2015</v>
      </c>
      <c r="J4" s="651" t="s">
        <v>476</v>
      </c>
      <c r="K4" s="652"/>
      <c r="L4" s="653"/>
      <c r="M4" s="604">
        <v>12</v>
      </c>
      <c r="V4" s="284" t="s">
        <v>134</v>
      </c>
      <c r="W4" s="284" t="s">
        <v>136</v>
      </c>
      <c r="X4" s="284"/>
      <c r="Y4" s="284"/>
      <c r="Z4" s="284"/>
      <c r="AA4" s="284"/>
      <c r="AB4" s="284"/>
      <c r="AC4" s="284"/>
      <c r="AD4" s="284"/>
      <c r="AE4" s="284"/>
      <c r="AF4" s="284"/>
      <c r="AG4" s="284"/>
      <c r="AH4" s="284"/>
      <c r="AI4" s="284"/>
      <c r="AJ4" s="284"/>
      <c r="AK4" s="284"/>
      <c r="AL4" s="284"/>
      <c r="AM4" s="284"/>
      <c r="AN4" s="284"/>
      <c r="AO4" s="284"/>
      <c r="AP4" s="284"/>
      <c r="AQ4" s="284"/>
      <c r="AR4" s="284"/>
      <c r="AS4" s="284"/>
      <c r="AT4" s="284"/>
      <c r="AU4" s="284"/>
      <c r="AV4" s="284"/>
      <c r="AW4" s="284"/>
      <c r="AX4" s="284"/>
      <c r="AY4" s="284"/>
      <c r="AZ4" s="284"/>
      <c r="BA4" s="284"/>
      <c r="BB4" s="284"/>
      <c r="BC4" s="284"/>
      <c r="BD4" s="284"/>
      <c r="BE4" s="284"/>
      <c r="BF4" s="284"/>
      <c r="BG4" s="284"/>
      <c r="BH4" s="284"/>
      <c r="BI4" s="284"/>
      <c r="BJ4" s="284"/>
      <c r="BK4" s="284"/>
      <c r="BL4" s="284"/>
      <c r="BM4" s="284"/>
      <c r="BN4" s="284"/>
      <c r="BO4" s="284"/>
      <c r="BP4" s="284"/>
      <c r="BQ4" s="284"/>
      <c r="BR4" s="284"/>
      <c r="BS4" s="284"/>
      <c r="BT4" s="284"/>
      <c r="BU4" s="284"/>
      <c r="BV4" s="284"/>
      <c r="BW4" s="284"/>
      <c r="BX4" s="284"/>
      <c r="BY4" s="284"/>
      <c r="BZ4" s="284"/>
      <c r="CA4" s="284"/>
      <c r="CB4" s="284"/>
      <c r="CC4" s="284"/>
      <c r="CD4" s="284"/>
      <c r="CE4" s="284"/>
      <c r="CF4" s="284"/>
      <c r="CG4" s="284"/>
      <c r="CH4" s="284"/>
      <c r="CI4" s="284"/>
      <c r="CJ4" s="284"/>
      <c r="CK4" s="284"/>
      <c r="CL4" s="284"/>
      <c r="CM4" s="284"/>
      <c r="CN4" s="284"/>
      <c r="CO4" s="284"/>
      <c r="CP4" s="284"/>
      <c r="CQ4" s="284"/>
      <c r="CR4" s="284"/>
      <c r="CS4" s="284"/>
      <c r="CT4" s="284"/>
      <c r="CU4" s="284"/>
      <c r="CV4" s="284"/>
      <c r="CW4" s="284"/>
      <c r="CX4" s="284"/>
      <c r="CY4" s="284"/>
      <c r="CZ4" s="284"/>
      <c r="DA4" s="284"/>
      <c r="DB4" s="284"/>
      <c r="DC4" s="284"/>
      <c r="DD4" s="284"/>
      <c r="DE4" s="284"/>
      <c r="DF4" s="284"/>
      <c r="DG4" s="284"/>
      <c r="DH4" s="284"/>
      <c r="DI4" s="284"/>
      <c r="DJ4" s="284"/>
      <c r="DK4" s="284"/>
      <c r="DL4" s="284"/>
      <c r="DM4" s="284"/>
      <c r="DN4" s="284"/>
      <c r="DO4" s="284"/>
      <c r="DP4" s="284"/>
      <c r="DQ4" s="284"/>
      <c r="DR4" s="284"/>
      <c r="DS4" s="284"/>
    </row>
    <row r="5" spans="2:123" ht="20.100000000000001" customHeight="1">
      <c r="B5" s="336" t="s">
        <v>312</v>
      </c>
      <c r="C5" s="32" t="s">
        <v>313</v>
      </c>
      <c r="E5" s="651" t="s">
        <v>340</v>
      </c>
      <c r="F5" s="652"/>
      <c r="G5" s="653"/>
      <c r="H5" s="598">
        <v>5</v>
      </c>
      <c r="J5" s="651" t="s">
        <v>430</v>
      </c>
      <c r="K5" s="652"/>
      <c r="L5" s="653"/>
      <c r="M5" s="604">
        <v>365</v>
      </c>
      <c r="V5" s="284" t="s">
        <v>313</v>
      </c>
      <c r="W5" s="284" t="s">
        <v>314</v>
      </c>
      <c r="X5" s="284" t="s">
        <v>315</v>
      </c>
      <c r="Y5" s="284"/>
      <c r="Z5" s="284"/>
      <c r="AA5" s="284"/>
      <c r="AB5" s="284"/>
      <c r="AC5" s="284"/>
      <c r="AD5" s="284"/>
      <c r="AE5" s="284"/>
      <c r="AF5" s="284"/>
      <c r="AG5" s="284"/>
      <c r="AH5" s="284"/>
      <c r="AI5" s="284"/>
      <c r="AJ5" s="284"/>
      <c r="AK5" s="284"/>
      <c r="AL5" s="284"/>
      <c r="AM5" s="284"/>
      <c r="AN5" s="284"/>
      <c r="AO5" s="284"/>
      <c r="AP5" s="284"/>
      <c r="AQ5" s="284"/>
      <c r="AR5" s="284"/>
      <c r="AS5" s="284"/>
      <c r="AT5" s="284"/>
      <c r="AU5" s="284"/>
      <c r="AV5" s="284"/>
      <c r="AW5" s="284"/>
      <c r="AX5" s="284"/>
      <c r="AY5" s="284"/>
      <c r="AZ5" s="284"/>
      <c r="BA5" s="284"/>
      <c r="BB5" s="284"/>
      <c r="BC5" s="284"/>
      <c r="BD5" s="284"/>
      <c r="BE5" s="284"/>
      <c r="BF5" s="284"/>
      <c r="BG5" s="284"/>
      <c r="BH5" s="284"/>
      <c r="BI5" s="284"/>
      <c r="BJ5" s="284"/>
      <c r="BK5" s="284"/>
      <c r="BL5" s="284"/>
      <c r="BM5" s="284"/>
      <c r="BN5" s="284"/>
      <c r="BO5" s="284"/>
      <c r="BP5" s="284"/>
      <c r="BQ5" s="284"/>
      <c r="BR5" s="284"/>
      <c r="BS5" s="284"/>
      <c r="BT5" s="284"/>
      <c r="BU5" s="284"/>
      <c r="BV5" s="284"/>
      <c r="BW5" s="284"/>
      <c r="BX5" s="284"/>
      <c r="BY5" s="284"/>
      <c r="BZ5" s="284"/>
      <c r="CA5" s="284"/>
      <c r="CB5" s="284"/>
      <c r="CC5" s="284"/>
      <c r="CD5" s="284"/>
      <c r="CE5" s="284"/>
      <c r="CF5" s="284"/>
      <c r="CG5" s="284"/>
      <c r="CH5" s="284"/>
      <c r="CI5" s="284"/>
      <c r="CJ5" s="284"/>
      <c r="CK5" s="284"/>
      <c r="CL5" s="284"/>
      <c r="CM5" s="284"/>
      <c r="CN5" s="284"/>
      <c r="CO5" s="284"/>
      <c r="CP5" s="284"/>
      <c r="CQ5" s="284"/>
      <c r="CR5" s="284"/>
      <c r="CS5" s="284"/>
      <c r="CT5" s="284"/>
      <c r="CU5" s="284"/>
      <c r="CV5" s="284"/>
      <c r="CW5" s="284"/>
      <c r="CX5" s="284"/>
      <c r="CY5" s="284"/>
      <c r="CZ5" s="284"/>
      <c r="DA5" s="284"/>
      <c r="DB5" s="284"/>
      <c r="DC5" s="284"/>
      <c r="DD5" s="284"/>
      <c r="DE5" s="284"/>
      <c r="DF5" s="284"/>
      <c r="DG5" s="284"/>
      <c r="DH5" s="284"/>
      <c r="DI5" s="284"/>
      <c r="DJ5" s="284"/>
      <c r="DK5" s="284"/>
      <c r="DL5" s="284"/>
      <c r="DM5" s="284"/>
      <c r="DN5" s="284"/>
      <c r="DO5" s="284"/>
      <c r="DP5" s="284"/>
      <c r="DQ5" s="284"/>
      <c r="DR5" s="284"/>
      <c r="DS5" s="284"/>
    </row>
    <row r="6" spans="2:123" ht="20.100000000000001" customHeight="1">
      <c r="B6" s="336" t="s">
        <v>339</v>
      </c>
      <c r="C6" s="32" t="s">
        <v>137</v>
      </c>
      <c r="D6" s="137"/>
      <c r="E6" s="651" t="s">
        <v>498</v>
      </c>
      <c r="F6" s="652"/>
      <c r="G6" s="653"/>
      <c r="H6" s="601">
        <v>1</v>
      </c>
      <c r="J6" s="651" t="s">
        <v>431</v>
      </c>
      <c r="K6" s="652"/>
      <c r="L6" s="653"/>
      <c r="M6" s="604">
        <v>24</v>
      </c>
      <c r="V6" s="284" t="s">
        <v>301</v>
      </c>
      <c r="W6" s="284" t="s">
        <v>318</v>
      </c>
      <c r="X6" s="284" t="s">
        <v>137</v>
      </c>
      <c r="Y6" s="284"/>
      <c r="Z6" s="284"/>
      <c r="AA6" s="284"/>
      <c r="AB6" s="284"/>
      <c r="AC6" s="284"/>
      <c r="AD6" s="284"/>
      <c r="AE6" s="284"/>
      <c r="AF6" s="284"/>
      <c r="AG6" s="284"/>
      <c r="AH6" s="284"/>
      <c r="AI6" s="284"/>
      <c r="AJ6" s="284"/>
      <c r="AK6" s="284"/>
      <c r="AL6" s="284"/>
      <c r="AM6" s="284"/>
      <c r="AN6" s="284"/>
      <c r="AO6" s="284"/>
      <c r="AP6" s="284"/>
      <c r="AQ6" s="284"/>
      <c r="AR6" s="284"/>
      <c r="AS6" s="284"/>
      <c r="AT6" s="284"/>
      <c r="AU6" s="284"/>
      <c r="AV6" s="284"/>
      <c r="AW6" s="284"/>
      <c r="AX6" s="284"/>
      <c r="AY6" s="284"/>
      <c r="AZ6" s="284"/>
      <c r="BA6" s="284"/>
      <c r="BB6" s="284"/>
      <c r="BC6" s="284"/>
      <c r="BD6" s="284"/>
      <c r="BE6" s="284"/>
      <c r="BF6" s="284"/>
      <c r="BG6" s="284"/>
      <c r="BH6" s="284"/>
      <c r="BI6" s="284"/>
      <c r="BJ6" s="284"/>
      <c r="BK6" s="284"/>
      <c r="BL6" s="284"/>
      <c r="BM6" s="284"/>
      <c r="BN6" s="284"/>
      <c r="BO6" s="284"/>
      <c r="BP6" s="284"/>
      <c r="BQ6" s="284"/>
      <c r="BR6" s="284"/>
      <c r="BS6" s="284"/>
      <c r="BT6" s="284"/>
      <c r="BU6" s="284"/>
      <c r="BV6" s="284"/>
      <c r="BW6" s="284"/>
      <c r="BX6" s="284"/>
      <c r="BY6" s="284"/>
      <c r="BZ6" s="284"/>
      <c r="CA6" s="284"/>
      <c r="CB6" s="284"/>
      <c r="CC6" s="284"/>
      <c r="CD6" s="284"/>
      <c r="CE6" s="284"/>
      <c r="CF6" s="284"/>
      <c r="CG6" s="284"/>
      <c r="CH6" s="284"/>
      <c r="CI6" s="284"/>
      <c r="CJ6" s="284"/>
      <c r="CK6" s="284"/>
      <c r="CL6" s="284"/>
      <c r="CM6" s="284"/>
      <c r="CN6" s="284"/>
      <c r="CO6" s="284"/>
      <c r="CP6" s="284"/>
      <c r="CQ6" s="284"/>
      <c r="CR6" s="284"/>
      <c r="CS6" s="284"/>
      <c r="CT6" s="284"/>
      <c r="CU6" s="284"/>
      <c r="CV6" s="284"/>
      <c r="CW6" s="284"/>
      <c r="CX6" s="284"/>
      <c r="CY6" s="284"/>
      <c r="CZ6" s="284"/>
      <c r="DA6" s="284"/>
      <c r="DB6" s="284"/>
      <c r="DC6" s="284"/>
      <c r="DD6" s="284"/>
      <c r="DE6" s="284"/>
      <c r="DF6" s="284"/>
      <c r="DG6" s="284"/>
      <c r="DH6" s="284"/>
      <c r="DI6" s="284"/>
      <c r="DJ6" s="284"/>
      <c r="DK6" s="284"/>
      <c r="DL6" s="284"/>
      <c r="DM6" s="284"/>
      <c r="DN6" s="284"/>
      <c r="DO6" s="284"/>
      <c r="DP6" s="284"/>
      <c r="DQ6" s="284"/>
      <c r="DR6" s="284"/>
      <c r="DS6" s="284"/>
    </row>
    <row r="7" spans="2:123" ht="20.100000000000001" customHeight="1">
      <c r="B7" s="336" t="s">
        <v>276</v>
      </c>
      <c r="C7" s="32">
        <v>6</v>
      </c>
      <c r="E7" s="651" t="s">
        <v>935</v>
      </c>
      <c r="F7" s="652"/>
      <c r="G7" s="653"/>
      <c r="H7" s="32" t="s">
        <v>136</v>
      </c>
      <c r="I7" s="59"/>
      <c r="J7" s="651" t="s">
        <v>493</v>
      </c>
      <c r="K7" s="652"/>
      <c r="L7" s="653"/>
      <c r="M7" s="613">
        <v>0.1</v>
      </c>
      <c r="N7" s="546"/>
      <c r="V7" s="284">
        <v>4</v>
      </c>
      <c r="W7" s="284">
        <v>6</v>
      </c>
      <c r="X7" s="284">
        <v>8</v>
      </c>
      <c r="Y7" s="284"/>
      <c r="Z7" s="284"/>
      <c r="AA7" s="284"/>
      <c r="AB7" s="284"/>
      <c r="AC7" s="284"/>
      <c r="AD7" s="284"/>
      <c r="AE7" s="284"/>
      <c r="AF7" s="284"/>
      <c r="AG7" s="284"/>
      <c r="AH7" s="284"/>
      <c r="AI7" s="284"/>
      <c r="AJ7" s="284"/>
      <c r="AK7" s="284"/>
      <c r="AL7" s="284"/>
      <c r="AM7" s="284"/>
      <c r="AN7" s="284"/>
      <c r="AO7" s="284"/>
      <c r="AP7" s="284"/>
      <c r="AQ7" s="284"/>
      <c r="AR7" s="284"/>
      <c r="AS7" s="284"/>
      <c r="AT7" s="284"/>
      <c r="AU7" s="284"/>
      <c r="AV7" s="284"/>
      <c r="AW7" s="284"/>
      <c r="AX7" s="284"/>
      <c r="AY7" s="284"/>
      <c r="AZ7" s="284"/>
      <c r="BA7" s="284"/>
      <c r="BB7" s="284"/>
      <c r="BC7" s="284"/>
      <c r="BD7" s="284"/>
      <c r="BE7" s="284"/>
      <c r="BF7" s="284"/>
      <c r="BG7" s="284"/>
      <c r="BH7" s="284"/>
      <c r="BI7" s="284"/>
      <c r="BJ7" s="284"/>
      <c r="BK7" s="284"/>
      <c r="BL7" s="284"/>
      <c r="BM7" s="284"/>
      <c r="BN7" s="284"/>
      <c r="BO7" s="284"/>
      <c r="BP7" s="284"/>
      <c r="BQ7" s="284"/>
      <c r="BR7" s="284"/>
      <c r="BS7" s="284"/>
      <c r="BT7" s="284"/>
      <c r="BU7" s="284"/>
      <c r="BV7" s="284"/>
      <c r="BW7" s="284"/>
      <c r="BX7" s="284"/>
      <c r="BY7" s="284"/>
      <c r="BZ7" s="284"/>
      <c r="CA7" s="284"/>
      <c r="CB7" s="284"/>
      <c r="CC7" s="284"/>
      <c r="CD7" s="284"/>
      <c r="CE7" s="284"/>
      <c r="CF7" s="284"/>
      <c r="CG7" s="284"/>
      <c r="CH7" s="284"/>
      <c r="CI7" s="284"/>
      <c r="CJ7" s="284"/>
      <c r="CK7" s="284"/>
      <c r="CL7" s="284"/>
      <c r="CM7" s="284"/>
      <c r="CN7" s="284"/>
      <c r="CO7" s="284"/>
      <c r="CP7" s="284"/>
      <c r="CQ7" s="284"/>
      <c r="CR7" s="284"/>
      <c r="CS7" s="284"/>
      <c r="CT7" s="284"/>
      <c r="CU7" s="284"/>
      <c r="CV7" s="284"/>
      <c r="CW7" s="284"/>
      <c r="CX7" s="284"/>
      <c r="CY7" s="284"/>
      <c r="CZ7" s="284"/>
      <c r="DA7" s="284"/>
      <c r="DB7" s="284"/>
      <c r="DC7" s="284"/>
      <c r="DD7" s="284"/>
      <c r="DE7" s="284"/>
      <c r="DF7" s="284"/>
      <c r="DG7" s="284"/>
      <c r="DH7" s="284"/>
      <c r="DI7" s="284"/>
      <c r="DJ7" s="284"/>
      <c r="DK7" s="284"/>
      <c r="DL7" s="284"/>
      <c r="DM7" s="284"/>
      <c r="DN7" s="284"/>
      <c r="DO7" s="284"/>
      <c r="DP7" s="284"/>
      <c r="DQ7" s="284"/>
      <c r="DR7" s="284"/>
      <c r="DS7" s="284"/>
    </row>
    <row r="8" spans="2:123" ht="20.100000000000001" customHeight="1">
      <c r="B8" s="336" t="s">
        <v>1013</v>
      </c>
      <c r="C8" s="598">
        <v>8</v>
      </c>
      <c r="E8" s="651" t="s">
        <v>499</v>
      </c>
      <c r="F8" s="652"/>
      <c r="G8" s="653"/>
      <c r="H8" s="602">
        <v>2020</v>
      </c>
      <c r="J8" s="651" t="s">
        <v>989</v>
      </c>
      <c r="K8" s="652"/>
      <c r="L8" s="653"/>
      <c r="M8" s="605">
        <v>0.5</v>
      </c>
      <c r="N8" s="546"/>
      <c r="V8" s="284" t="s">
        <v>174</v>
      </c>
      <c r="W8" s="284" t="s">
        <v>175</v>
      </c>
      <c r="X8" s="284" t="s">
        <v>176</v>
      </c>
      <c r="Y8" s="284"/>
      <c r="Z8" s="284"/>
      <c r="AA8" s="284"/>
      <c r="AB8" s="284"/>
      <c r="AC8" s="284"/>
      <c r="AD8" s="284"/>
      <c r="AE8" s="284"/>
      <c r="AF8" s="284"/>
      <c r="AG8" s="284"/>
      <c r="AH8" s="284"/>
      <c r="AI8" s="284"/>
      <c r="AJ8" s="284"/>
      <c r="AK8" s="284"/>
      <c r="AL8" s="284"/>
      <c r="AM8" s="284"/>
      <c r="AN8" s="284"/>
      <c r="AO8" s="284"/>
      <c r="AP8" s="284"/>
      <c r="AQ8" s="284"/>
      <c r="AR8" s="284"/>
      <c r="AS8" s="284"/>
      <c r="AT8" s="284"/>
      <c r="AU8" s="284"/>
      <c r="AV8" s="284"/>
      <c r="AW8" s="284"/>
      <c r="AX8" s="284"/>
      <c r="AY8" s="284"/>
      <c r="AZ8" s="284"/>
      <c r="BA8" s="284"/>
      <c r="BB8" s="284"/>
      <c r="BC8" s="284"/>
      <c r="BD8" s="284"/>
      <c r="BE8" s="284"/>
      <c r="BF8" s="284"/>
      <c r="BG8" s="284"/>
      <c r="BH8" s="284"/>
      <c r="BI8" s="284"/>
      <c r="BJ8" s="284"/>
      <c r="BK8" s="284"/>
      <c r="BL8" s="284"/>
      <c r="BM8" s="284"/>
      <c r="BN8" s="284"/>
      <c r="BO8" s="284"/>
      <c r="BP8" s="284"/>
      <c r="BQ8" s="284"/>
      <c r="BR8" s="284"/>
      <c r="BS8" s="284"/>
      <c r="BT8" s="284"/>
      <c r="BU8" s="284"/>
      <c r="BV8" s="284"/>
      <c r="BW8" s="284"/>
      <c r="BX8" s="284"/>
      <c r="BY8" s="284"/>
      <c r="BZ8" s="284"/>
      <c r="CA8" s="284"/>
      <c r="CB8" s="284"/>
      <c r="CC8" s="284"/>
      <c r="CD8" s="284"/>
      <c r="CE8" s="284"/>
      <c r="CF8" s="284"/>
      <c r="CG8" s="284"/>
      <c r="CH8" s="284"/>
      <c r="CI8" s="284"/>
      <c r="CJ8" s="284"/>
      <c r="CK8" s="284"/>
      <c r="CL8" s="284"/>
      <c r="CM8" s="284"/>
      <c r="CN8" s="284"/>
      <c r="CO8" s="284"/>
      <c r="CP8" s="284"/>
      <c r="CQ8" s="284"/>
      <c r="CR8" s="284"/>
      <c r="CS8" s="284"/>
      <c r="CT8" s="284"/>
      <c r="CU8" s="284"/>
      <c r="CV8" s="284"/>
      <c r="CW8" s="284"/>
      <c r="CX8" s="284"/>
      <c r="CY8" s="284"/>
      <c r="CZ8" s="284"/>
      <c r="DA8" s="284"/>
      <c r="DB8" s="284"/>
      <c r="DC8" s="284"/>
      <c r="DD8" s="284"/>
      <c r="DE8" s="284"/>
      <c r="DF8" s="284"/>
      <c r="DG8" s="284"/>
      <c r="DH8" s="284"/>
      <c r="DI8" s="284"/>
      <c r="DJ8" s="284"/>
      <c r="DK8" s="284"/>
      <c r="DL8" s="284"/>
      <c r="DM8" s="284"/>
      <c r="DN8" s="284"/>
      <c r="DO8" s="284"/>
      <c r="DP8" s="284"/>
      <c r="DQ8" s="284"/>
      <c r="DR8" s="284"/>
      <c r="DS8" s="284"/>
    </row>
    <row r="9" spans="2:123" ht="30" customHeight="1">
      <c r="B9" s="199" t="s">
        <v>515</v>
      </c>
      <c r="C9" s="32" t="s">
        <v>516</v>
      </c>
      <c r="E9" s="648" t="s">
        <v>988</v>
      </c>
      <c r="F9" s="649"/>
      <c r="G9" s="650"/>
      <c r="H9" s="601">
        <v>1</v>
      </c>
      <c r="J9" s="651" t="s">
        <v>507</v>
      </c>
      <c r="K9" s="652"/>
      <c r="L9" s="653"/>
      <c r="M9" s="606">
        <v>1.4999999999999999E-2</v>
      </c>
      <c r="N9" s="63"/>
      <c r="V9" s="284" t="s">
        <v>516</v>
      </c>
      <c r="W9" s="284" t="s">
        <v>517</v>
      </c>
      <c r="X9" s="284"/>
      <c r="Y9" s="284"/>
      <c r="Z9" s="284"/>
      <c r="AA9" s="284"/>
      <c r="AB9" s="284"/>
      <c r="AC9" s="284"/>
      <c r="AD9" s="284"/>
      <c r="AE9" s="284"/>
      <c r="AF9" s="284"/>
      <c r="AG9" s="284"/>
      <c r="AH9" s="284"/>
      <c r="AI9" s="284"/>
      <c r="AJ9" s="284"/>
      <c r="AK9" s="284"/>
      <c r="AL9" s="284"/>
      <c r="AM9" s="284"/>
      <c r="AN9" s="284"/>
      <c r="AO9" s="284"/>
      <c r="AP9" s="284"/>
      <c r="AQ9" s="284"/>
      <c r="AR9" s="284"/>
      <c r="AS9" s="284"/>
      <c r="AT9" s="284"/>
      <c r="AU9" s="284"/>
      <c r="AV9" s="284"/>
      <c r="AW9" s="284"/>
      <c r="AX9" s="284"/>
      <c r="AY9" s="284"/>
      <c r="AZ9" s="284"/>
      <c r="BA9" s="284"/>
      <c r="BB9" s="284"/>
      <c r="BC9" s="284"/>
      <c r="BD9" s="284"/>
      <c r="BE9" s="284"/>
      <c r="BF9" s="284"/>
      <c r="BG9" s="284"/>
      <c r="BH9" s="284"/>
      <c r="BI9" s="284"/>
      <c r="BJ9" s="284"/>
      <c r="BK9" s="284"/>
      <c r="BL9" s="284"/>
      <c r="BM9" s="284"/>
      <c r="BN9" s="284"/>
      <c r="BO9" s="284"/>
      <c r="BP9" s="284"/>
      <c r="BQ9" s="284"/>
      <c r="BR9" s="284"/>
      <c r="BS9" s="284"/>
      <c r="BT9" s="284"/>
      <c r="BU9" s="284"/>
      <c r="BV9" s="284"/>
      <c r="BW9" s="284"/>
      <c r="BX9" s="284"/>
      <c r="BY9" s="284"/>
      <c r="BZ9" s="284"/>
      <c r="CA9" s="284"/>
      <c r="CB9" s="284"/>
      <c r="CC9" s="284"/>
      <c r="CD9" s="284"/>
      <c r="CE9" s="284"/>
      <c r="CF9" s="284"/>
      <c r="CG9" s="284"/>
      <c r="CH9" s="284"/>
      <c r="CI9" s="284"/>
      <c r="CJ9" s="284"/>
      <c r="CK9" s="284"/>
      <c r="CL9" s="284"/>
      <c r="CM9" s="284"/>
      <c r="CN9" s="284"/>
      <c r="CO9" s="284"/>
      <c r="CP9" s="284"/>
      <c r="CQ9" s="284"/>
      <c r="CR9" s="284"/>
      <c r="CS9" s="284"/>
      <c r="CT9" s="284"/>
      <c r="CU9" s="284"/>
      <c r="CV9" s="284"/>
      <c r="CW9" s="284"/>
      <c r="CX9" s="284"/>
      <c r="CY9" s="284"/>
      <c r="CZ9" s="284"/>
      <c r="DA9" s="284"/>
      <c r="DB9" s="284"/>
      <c r="DC9" s="284"/>
      <c r="DD9" s="284"/>
      <c r="DE9" s="284"/>
      <c r="DF9" s="284"/>
      <c r="DG9" s="284"/>
      <c r="DH9" s="284"/>
      <c r="DI9" s="284"/>
      <c r="DJ9" s="284"/>
      <c r="DK9" s="284"/>
      <c r="DL9" s="284"/>
      <c r="DM9" s="284"/>
      <c r="DN9" s="284"/>
      <c r="DO9" s="284"/>
      <c r="DP9" s="284"/>
      <c r="DQ9" s="284"/>
      <c r="DR9" s="284"/>
      <c r="DS9" s="284"/>
    </row>
    <row r="10" spans="2:123" ht="30" customHeight="1">
      <c r="B10" s="199" t="s">
        <v>520</v>
      </c>
      <c r="C10" s="603">
        <v>5.94</v>
      </c>
      <c r="E10" s="661" t="s">
        <v>959</v>
      </c>
      <c r="F10" s="662"/>
      <c r="G10" s="663"/>
      <c r="H10" s="455" t="s">
        <v>960</v>
      </c>
      <c r="J10" s="648" t="s">
        <v>1018</v>
      </c>
      <c r="K10" s="649"/>
      <c r="L10" s="650"/>
      <c r="M10" s="605">
        <v>1</v>
      </c>
      <c r="V10" s="560"/>
      <c r="W10" s="560"/>
      <c r="X10" s="560"/>
      <c r="Y10" s="284"/>
      <c r="Z10" s="284"/>
      <c r="AA10" s="284"/>
      <c r="AB10" s="284"/>
      <c r="AC10" s="284"/>
      <c r="AD10" s="284"/>
      <c r="AE10" s="284"/>
      <c r="AF10" s="284"/>
      <c r="AG10" s="284"/>
      <c r="AH10" s="284"/>
      <c r="AI10" s="284"/>
      <c r="AJ10" s="284"/>
      <c r="AK10" s="284"/>
      <c r="AL10" s="284"/>
      <c r="AM10" s="284"/>
      <c r="AN10" s="284"/>
      <c r="AO10" s="284"/>
      <c r="AP10" s="284"/>
      <c r="AQ10" s="284"/>
      <c r="AR10" s="284"/>
      <c r="AS10" s="284"/>
      <c r="AT10" s="284"/>
      <c r="AU10" s="284"/>
      <c r="AV10" s="284"/>
      <c r="AW10" s="284"/>
      <c r="AX10" s="284"/>
      <c r="AY10" s="284"/>
      <c r="AZ10" s="284"/>
      <c r="BA10" s="284"/>
      <c r="BB10" s="284"/>
      <c r="BC10" s="284"/>
      <c r="BD10" s="284"/>
      <c r="BE10" s="284"/>
      <c r="BF10" s="284"/>
      <c r="BG10" s="284"/>
      <c r="BH10" s="284"/>
      <c r="BI10" s="284"/>
      <c r="BJ10" s="284"/>
      <c r="BK10" s="284"/>
      <c r="BL10" s="284"/>
      <c r="BM10" s="284"/>
      <c r="BN10" s="284"/>
      <c r="BO10" s="284"/>
      <c r="BP10" s="284"/>
      <c r="BQ10" s="284"/>
      <c r="BR10" s="284"/>
      <c r="BS10" s="284"/>
      <c r="BT10" s="284"/>
      <c r="BU10" s="284"/>
      <c r="BV10" s="284"/>
      <c r="BW10" s="284"/>
      <c r="BX10" s="284"/>
      <c r="BY10" s="284"/>
      <c r="BZ10" s="284"/>
      <c r="CA10" s="284"/>
      <c r="CB10" s="284"/>
      <c r="CC10" s="284"/>
      <c r="CD10" s="284"/>
      <c r="CE10" s="284"/>
      <c r="CF10" s="284"/>
      <c r="CG10" s="284"/>
      <c r="CH10" s="284"/>
      <c r="CI10" s="284"/>
      <c r="CJ10" s="284"/>
      <c r="CK10" s="284"/>
      <c r="CL10" s="284"/>
      <c r="CM10" s="284"/>
      <c r="CN10" s="284"/>
      <c r="CO10" s="284"/>
      <c r="CP10" s="284"/>
      <c r="CQ10" s="284"/>
      <c r="CR10" s="284"/>
      <c r="CS10" s="284"/>
      <c r="CT10" s="284"/>
      <c r="CU10" s="284"/>
      <c r="CV10" s="284"/>
      <c r="CW10" s="284"/>
      <c r="CX10" s="284"/>
      <c r="CY10" s="284"/>
      <c r="CZ10" s="284"/>
      <c r="DA10" s="284"/>
      <c r="DB10" s="284"/>
      <c r="DC10" s="284"/>
      <c r="DD10" s="284"/>
      <c r="DE10" s="284"/>
      <c r="DF10" s="284"/>
      <c r="DG10" s="284"/>
      <c r="DH10" s="284"/>
      <c r="DI10" s="284"/>
      <c r="DJ10" s="284"/>
      <c r="DK10" s="284"/>
      <c r="DL10" s="284"/>
      <c r="DM10" s="284"/>
      <c r="DN10" s="284"/>
      <c r="DO10" s="284"/>
      <c r="DP10" s="284"/>
      <c r="DQ10" s="284"/>
      <c r="DR10" s="284"/>
      <c r="DS10" s="284"/>
    </row>
    <row r="11" spans="2:123" s="537" customFormat="1" ht="15" customHeight="1">
      <c r="B11" s="584" t="s">
        <v>521</v>
      </c>
      <c r="C11" s="603">
        <v>15</v>
      </c>
      <c r="E11" s="661" t="s">
        <v>218</v>
      </c>
      <c r="F11" s="662"/>
      <c r="G11" s="663"/>
      <c r="H11" s="32" t="s">
        <v>176</v>
      </c>
      <c r="J11" s="647" t="s">
        <v>990</v>
      </c>
      <c r="K11" s="647"/>
      <c r="L11" s="647"/>
      <c r="M11" s="607">
        <v>45</v>
      </c>
      <c r="V11" s="560"/>
      <c r="W11" s="560"/>
      <c r="X11" s="560"/>
      <c r="Y11" s="284"/>
      <c r="Z11" s="284"/>
      <c r="AA11" s="284"/>
      <c r="AB11" s="284"/>
      <c r="AC11" s="284"/>
      <c r="AD11" s="284"/>
      <c r="AE11" s="284"/>
      <c r="AF11" s="284"/>
      <c r="AG11" s="284"/>
      <c r="AH11" s="284"/>
      <c r="AI11" s="284"/>
      <c r="AJ11" s="284"/>
      <c r="AK11" s="284"/>
      <c r="AL11" s="284"/>
      <c r="AM11" s="284"/>
      <c r="AN11" s="284"/>
      <c r="AO11" s="284"/>
      <c r="AP11" s="284"/>
      <c r="AQ11" s="284"/>
      <c r="AR11" s="284"/>
      <c r="AS11" s="284"/>
      <c r="AT11" s="284"/>
      <c r="AU11" s="284"/>
      <c r="AV11" s="284"/>
      <c r="AW11" s="284"/>
      <c r="AX11" s="284"/>
      <c r="AY11" s="284"/>
      <c r="AZ11" s="284"/>
      <c r="BA11" s="284"/>
      <c r="BB11" s="284"/>
      <c r="BC11" s="284"/>
      <c r="BD11" s="284"/>
      <c r="BE11" s="284"/>
      <c r="BF11" s="284"/>
      <c r="BG11" s="284"/>
      <c r="BH11" s="284"/>
      <c r="BI11" s="284"/>
      <c r="BJ11" s="284"/>
      <c r="BK11" s="284"/>
      <c r="BL11" s="284"/>
      <c r="BM11" s="284"/>
      <c r="BN11" s="284"/>
      <c r="BO11" s="284"/>
      <c r="BP11" s="284"/>
      <c r="BQ11" s="284"/>
      <c r="BR11" s="284"/>
      <c r="BS11" s="284"/>
      <c r="BT11" s="284"/>
      <c r="BU11" s="284"/>
      <c r="BV11" s="284"/>
      <c r="BW11" s="284"/>
      <c r="BX11" s="284"/>
      <c r="BY11" s="284"/>
      <c r="BZ11" s="284"/>
      <c r="CA11" s="284"/>
      <c r="CB11" s="284"/>
      <c r="CC11" s="284"/>
      <c r="CD11" s="284"/>
      <c r="CE11" s="284"/>
      <c r="CF11" s="284"/>
      <c r="CG11" s="284"/>
      <c r="CH11" s="284"/>
      <c r="CI11" s="284"/>
      <c r="CJ11" s="284"/>
      <c r="CK11" s="284"/>
      <c r="CL11" s="284"/>
      <c r="CM11" s="284"/>
      <c r="CN11" s="284"/>
      <c r="CO11" s="284"/>
      <c r="CP11" s="284"/>
      <c r="CQ11" s="284"/>
      <c r="CR11" s="284"/>
      <c r="CS11" s="284"/>
      <c r="CT11" s="284"/>
      <c r="CU11" s="284"/>
      <c r="CV11" s="284"/>
      <c r="CW11" s="284"/>
      <c r="CX11" s="284"/>
      <c r="CY11" s="284"/>
      <c r="CZ11" s="284"/>
      <c r="DA11" s="284"/>
      <c r="DB11" s="284"/>
      <c r="DC11" s="284"/>
      <c r="DD11" s="284"/>
      <c r="DE11" s="284"/>
      <c r="DF11" s="284"/>
      <c r="DG11" s="284"/>
      <c r="DH11" s="284"/>
      <c r="DI11" s="284"/>
      <c r="DJ11" s="284"/>
      <c r="DK11" s="284"/>
      <c r="DL11" s="284"/>
      <c r="DM11" s="284"/>
      <c r="DN11" s="284"/>
      <c r="DO11" s="284"/>
      <c r="DP11" s="284"/>
      <c r="DQ11" s="284"/>
      <c r="DR11" s="284"/>
      <c r="DS11" s="284"/>
    </row>
    <row r="12" spans="2:123" ht="15" customHeight="1">
      <c r="B12" s="584" t="s">
        <v>1019</v>
      </c>
      <c r="C12" s="31">
        <v>60</v>
      </c>
      <c r="E12" s="664"/>
      <c r="F12" s="664"/>
      <c r="G12" s="664"/>
      <c r="J12" s="647"/>
      <c r="K12" s="647"/>
      <c r="L12" s="647"/>
      <c r="M12" s="607">
        <v>55</v>
      </c>
    </row>
    <row r="13" spans="2:123" ht="20.100000000000001" customHeight="1">
      <c r="B13" s="660" t="s">
        <v>518</v>
      </c>
      <c r="C13" s="660"/>
      <c r="D13" s="660"/>
      <c r="E13" s="660"/>
      <c r="F13" s="660"/>
      <c r="G13" s="660"/>
      <c r="H13" s="660"/>
    </row>
    <row r="14" spans="2:123" ht="20.100000000000001" customHeight="1">
      <c r="B14" s="292"/>
      <c r="C14" s="292"/>
    </row>
    <row r="15" spans="2:123">
      <c r="D15" s="31" t="s">
        <v>428</v>
      </c>
      <c r="E15" s="31" t="s">
        <v>429</v>
      </c>
    </row>
    <row r="16" spans="2:123" ht="20.100000000000001" customHeight="1">
      <c r="B16" s="199" t="s">
        <v>129</v>
      </c>
      <c r="C16" s="32">
        <v>2013</v>
      </c>
      <c r="D16" s="32">
        <v>2014</v>
      </c>
      <c r="E16" s="32">
        <v>2014</v>
      </c>
      <c r="F16" s="32">
        <v>2015</v>
      </c>
      <c r="G16" s="32">
        <f t="shared" ref="G16:O16" si="0">F16+1</f>
        <v>2016</v>
      </c>
      <c r="H16" s="32">
        <f t="shared" si="0"/>
        <v>2017</v>
      </c>
      <c r="I16" s="32">
        <f t="shared" si="0"/>
        <v>2018</v>
      </c>
      <c r="J16" s="32">
        <f t="shared" si="0"/>
        <v>2019</v>
      </c>
      <c r="K16" s="32">
        <f t="shared" si="0"/>
        <v>2020</v>
      </c>
      <c r="L16" s="32">
        <f t="shared" si="0"/>
        <v>2021</v>
      </c>
      <c r="M16" s="32">
        <f t="shared" si="0"/>
        <v>2022</v>
      </c>
      <c r="N16" s="32">
        <f t="shared" si="0"/>
        <v>2023</v>
      </c>
      <c r="O16" s="92">
        <f t="shared" si="0"/>
        <v>2024</v>
      </c>
    </row>
    <row r="17" spans="2:15" ht="20.100000000000001" customHeight="1">
      <c r="B17" s="199" t="s">
        <v>130</v>
      </c>
      <c r="C17" s="31">
        <v>-1</v>
      </c>
      <c r="D17" s="31">
        <v>0</v>
      </c>
      <c r="E17" s="31">
        <v>1</v>
      </c>
      <c r="F17" s="31">
        <f>E17+1</f>
        <v>2</v>
      </c>
      <c r="G17" s="31">
        <f t="shared" ref="G17:O17" si="1">F17+1</f>
        <v>3</v>
      </c>
      <c r="H17" s="31">
        <f t="shared" si="1"/>
        <v>4</v>
      </c>
      <c r="I17" s="31">
        <f t="shared" si="1"/>
        <v>5</v>
      </c>
      <c r="J17" s="31">
        <f t="shared" si="1"/>
        <v>6</v>
      </c>
      <c r="K17" s="31">
        <f t="shared" si="1"/>
        <v>7</v>
      </c>
      <c r="L17" s="31">
        <f t="shared" si="1"/>
        <v>8</v>
      </c>
      <c r="M17" s="31">
        <f t="shared" si="1"/>
        <v>9</v>
      </c>
      <c r="N17" s="31">
        <f t="shared" si="1"/>
        <v>10</v>
      </c>
      <c r="O17" s="31">
        <f t="shared" si="1"/>
        <v>11</v>
      </c>
    </row>
    <row r="18" spans="2:15" ht="15.75">
      <c r="B18" s="199" t="s">
        <v>600</v>
      </c>
      <c r="C18" s="326"/>
      <c r="D18" s="327"/>
      <c r="E18" s="334">
        <f>Meses_Proyectados_Año_Base</f>
        <v>6</v>
      </c>
      <c r="F18" s="334">
        <f t="shared" ref="F18:O18" si="2">Mes_año</f>
        <v>12</v>
      </c>
      <c r="G18" s="334">
        <f t="shared" si="2"/>
        <v>12</v>
      </c>
      <c r="H18" s="334">
        <f t="shared" si="2"/>
        <v>12</v>
      </c>
      <c r="I18" s="334">
        <f t="shared" si="2"/>
        <v>12</v>
      </c>
      <c r="J18" s="334">
        <f t="shared" si="2"/>
        <v>12</v>
      </c>
      <c r="K18" s="334">
        <f t="shared" si="2"/>
        <v>12</v>
      </c>
      <c r="L18" s="334">
        <f t="shared" si="2"/>
        <v>12</v>
      </c>
      <c r="M18" s="334">
        <f t="shared" si="2"/>
        <v>12</v>
      </c>
      <c r="N18" s="334">
        <f t="shared" si="2"/>
        <v>12</v>
      </c>
      <c r="O18" s="334">
        <f t="shared" si="2"/>
        <v>12</v>
      </c>
    </row>
    <row r="19" spans="2:15">
      <c r="B19" s="140"/>
      <c r="C19" s="58"/>
      <c r="D19" s="58"/>
      <c r="E19" s="58"/>
      <c r="F19" s="58"/>
      <c r="G19" s="58"/>
      <c r="H19" s="58"/>
      <c r="I19" s="58"/>
      <c r="J19" s="58"/>
      <c r="K19" s="58"/>
      <c r="L19" s="58"/>
      <c r="M19" s="58"/>
      <c r="N19" s="58"/>
      <c r="O19" s="58"/>
    </row>
    <row r="20" spans="2:15" ht="20.100000000000001" customHeight="1" thickBot="1">
      <c r="B20" s="570" t="s">
        <v>347</v>
      </c>
      <c r="C20" s="58"/>
      <c r="D20" s="58"/>
      <c r="E20" s="58"/>
      <c r="F20" s="58"/>
      <c r="G20" s="58"/>
      <c r="H20" s="58"/>
      <c r="I20" s="58"/>
      <c r="J20" s="58"/>
      <c r="K20" s="58"/>
      <c r="L20" s="58"/>
      <c r="M20" s="58"/>
      <c r="N20" s="58"/>
      <c r="O20" s="58"/>
    </row>
    <row r="21" spans="2:15" ht="15.75" thickTop="1"/>
    <row r="22" spans="2:15" ht="20.100000000000001" customHeight="1" thickBot="1">
      <c r="B22" s="570" t="s">
        <v>321</v>
      </c>
    </row>
    <row r="23" spans="2:15" ht="20.100000000000001" customHeight="1" thickTop="1">
      <c r="B23" s="30" t="s">
        <v>427</v>
      </c>
      <c r="C23" s="24"/>
      <c r="D23" s="24"/>
      <c r="E23" s="26">
        <f>VLOOKUP(PSS,'MPODE Costo marginal'!$B$19:$N$119,E17+1)</f>
        <v>50.050166666666662</v>
      </c>
      <c r="F23" s="26">
        <f>VLOOKUP(PSS,'MPODE Costo marginal'!$B$19:$N$119,F17+1)</f>
        <v>54.003166666666665</v>
      </c>
      <c r="G23" s="26">
        <f>VLOOKUP(PSS,'MPODE Costo marginal'!$B$19:$N$119,G17+1)</f>
        <v>53.331333333333333</v>
      </c>
      <c r="H23" s="26">
        <f>VLOOKUP(PSS,'MPODE Costo marginal'!$B$19:$N$119,H17+1)</f>
        <v>57.965833333333343</v>
      </c>
      <c r="I23" s="26">
        <f>VLOOKUP(PSS,'MPODE Costo marginal'!$B$19:$N$119,I17+1)</f>
        <v>55.39758333333333</v>
      </c>
      <c r="J23" s="26">
        <f>VLOOKUP(PSS,'MPODE Costo marginal'!$B$19:$N$119,J17+1)</f>
        <v>12.87031058333333</v>
      </c>
      <c r="K23" s="26">
        <f>VLOOKUP(PSS,'MPODE Costo marginal'!$B$19:$N$119,K17+1)</f>
        <v>12.932016666666668</v>
      </c>
      <c r="L23" s="26">
        <f>VLOOKUP(PSS,'MPODE Costo marginal'!$B$19:$N$119,L17+1)</f>
        <v>37.084166666666668</v>
      </c>
      <c r="M23" s="26">
        <f>VLOOKUP(PSS,'MPODE Costo marginal'!$B$19:$N$119,M17+1)</f>
        <v>7.4188691666666662</v>
      </c>
      <c r="N23" s="26">
        <f>VLOOKUP(PSS,'MPODE Costo marginal'!$B$19:$N$119,N17+1)</f>
        <v>11.985049999999999</v>
      </c>
      <c r="O23" s="26">
        <f>VLOOKUP(PSS,'MPODE Costo marginal'!$B$19:$N$119,O17+1)</f>
        <v>45</v>
      </c>
    </row>
    <row r="24" spans="2:15" ht="20.100000000000001" customHeight="1">
      <c r="B24" s="33" t="s">
        <v>151</v>
      </c>
      <c r="C24" s="26"/>
      <c r="D24" s="26"/>
      <c r="E24" s="26">
        <f>(E23*Macroeconomicos!$D$9/MW_a_KW)*Macroeconomicos!E32</f>
        <v>95.00446384520184</v>
      </c>
      <c r="F24" s="26">
        <f>(F23*Macroeconomicos!$D$9/MW_a_KW)*Macroeconomicos!F32</f>
        <v>106.10601860722596</v>
      </c>
      <c r="G24" s="26">
        <f>(G23*Macroeconomicos!$D$9/MW_a_KW)*Macroeconomicos!G32</f>
        <v>108.68403199152745</v>
      </c>
      <c r="H24" s="26">
        <f>(H23*Macroeconomicos!$D$9/MW_a_KW)*Macroeconomicos!H32</f>
        <v>122.61757908715342</v>
      </c>
      <c r="I24" s="26">
        <f>(I23*Macroeconomicos!$D$9/MW_a_KW)*Macroeconomicos!I32</f>
        <v>121.28632102345225</v>
      </c>
      <c r="J24" s="26">
        <f>(J23*Macroeconomicos!$D$9/MW_a_KW)*Macroeconomicos!J32</f>
        <v>29.164220993146099</v>
      </c>
      <c r="K24" s="26">
        <f>(K23*Macroeconomicos!$D$9/MW_a_KW)*Macroeconomicos!K32</f>
        <v>30.329689104596294</v>
      </c>
      <c r="L24" s="26">
        <f>(L23*Macroeconomicos!$D$9/MW_a_KW)*Macroeconomicos!L32</f>
        <v>90.018252319705681</v>
      </c>
      <c r="M24" s="26">
        <f>(M23*Macroeconomicos!$D$9/MW_a_KW)*Macroeconomicos!M32</f>
        <v>18.638892982680851</v>
      </c>
      <c r="N24" s="26">
        <f>(N23*Macroeconomicos!$D$9/MW_a_KW)*Macroeconomicos!N32</f>
        <v>31.164675019863456</v>
      </c>
      <c r="O24" s="26">
        <f>(O23*Macroeconomicos!$D$9/MW_a_KW)*Macroeconomicos!O32</f>
        <v>121.10877627128299</v>
      </c>
    </row>
    <row r="25" spans="2:15" ht="20.100000000000001" customHeight="1">
      <c r="B25" s="33" t="s">
        <v>991</v>
      </c>
      <c r="C25" s="26"/>
      <c r="D25" s="26"/>
      <c r="E25" s="71">
        <f>Macroeconomicos!L40*Macroeconomicos!E10/MW_a_KW</f>
        <v>29.784100894945052</v>
      </c>
      <c r="F25" s="71">
        <f>Macroeconomicos!M40*Macroeconomicos!F10/MW_a_KW</f>
        <v>32.495877711558471</v>
      </c>
      <c r="G25" s="71">
        <f>Macroeconomicos!N40*Macroeconomicos!G10/MW_a_KW</f>
        <v>34.582930368095774</v>
      </c>
      <c r="H25" s="71">
        <f>Macroeconomicos!O40*Macroeconomicos!H10/MW_a_KW</f>
        <v>36.488555607978114</v>
      </c>
      <c r="I25" s="71">
        <f>Macroeconomicos!P40*Macroeconomicos!I10/MW_a_KW</f>
        <v>38.008207625775221</v>
      </c>
      <c r="J25" s="71">
        <f>Macroeconomicos!Q40*Macroeconomicos!J10/MW_a_KW</f>
        <v>39.480509949415939</v>
      </c>
      <c r="K25" s="71">
        <f>Macroeconomicos!R40*Macroeconomicos!K10/MW_a_KW</f>
        <v>41.123532365825248</v>
      </c>
      <c r="L25" s="71">
        <f>Macroeconomicos!S40*Macroeconomicos!L10/MW_a_KW</f>
        <v>42.816169810344675</v>
      </c>
      <c r="M25" s="71">
        <f>Macroeconomicos!T40*Macroeconomicos!M10/MW_a_KW</f>
        <v>44.591387987927618</v>
      </c>
      <c r="N25" s="71">
        <f>Macroeconomicos!U40*Macroeconomicos!N10/MW_a_KW</f>
        <v>46.438393989038026</v>
      </c>
      <c r="O25" s="71">
        <f>Macroeconomicos!V40*Macroeconomicos!O10/MW_a_KW</f>
        <v>48.358495969688768</v>
      </c>
    </row>
    <row r="26" spans="2:15" ht="20.100000000000001" customHeight="1">
      <c r="B26" s="33" t="s">
        <v>1042</v>
      </c>
      <c r="C26" s="26"/>
      <c r="D26" s="26"/>
      <c r="E26" s="26">
        <f>3.89849907662579*Macroeconomicos!E27</f>
        <v>4.0757255440036024</v>
      </c>
      <c r="F26" s="26">
        <f>3.32061492018316*Macroeconomicos!F27</f>
        <v>3.5934228006640443</v>
      </c>
      <c r="G26" s="26">
        <f>3.32061492018316*Macroeconomicos!G27</f>
        <v>3.7270981288487461</v>
      </c>
      <c r="H26" s="26">
        <f>3.31461561091637*Macroeconomicos!H27</f>
        <v>3.8617382803788951</v>
      </c>
      <c r="I26" s="26">
        <f>3.24862326360521*Macroeconomicos!I27</f>
        <v>3.9173228477463544</v>
      </c>
      <c r="J26" s="26">
        <f>2.58869979347313*Macroeconomicos!J27</f>
        <v>3.2308147313219981</v>
      </c>
      <c r="K26" s="26">
        <f>2.87366674727472*Macroeconomicos!K27</f>
        <v>3.7119927364050533</v>
      </c>
      <c r="L26" s="26">
        <f>3.15263439578214*Macroeconomicos!L27</f>
        <v>4.2148747583169452</v>
      </c>
      <c r="M26" s="26">
        <f>3.10763961402111*Macroeconomicos!M27</f>
        <v>4.3001347371800156</v>
      </c>
      <c r="N26" s="26">
        <f>3.43460169693665*Macroeconomicos!N27</f>
        <v>4.9189017119920759</v>
      </c>
      <c r="O26" s="26">
        <f>3.5665863905658*Macroeconomicos!O27</f>
        <v>5.286702383948926</v>
      </c>
    </row>
    <row r="27" spans="2:15" ht="20.100000000000001" customHeight="1">
      <c r="B27" s="33" t="s">
        <v>992</v>
      </c>
      <c r="C27" s="26"/>
      <c r="D27" s="26"/>
      <c r="E27" s="26">
        <f>4.0025079*Macroeconomicos!E26</f>
        <v>4.1433885332899125</v>
      </c>
      <c r="F27" s="26">
        <f>4.0025079*Macroeconomicos!F26</f>
        <v>4.2855067599817565</v>
      </c>
      <c r="G27" s="26">
        <f>4.0025079*Macroeconomicos!G26</f>
        <v>4.441070655369094</v>
      </c>
      <c r="H27" s="26">
        <f>4.0025079*Macroeconomicos!H26</f>
        <v>4.5956199141759377</v>
      </c>
      <c r="I27" s="26">
        <f>4.0025079*Macroeconomicos!I26</f>
        <v>4.7486540573179976</v>
      </c>
      <c r="J27" s="26">
        <f>4.0025079*Macroeconomicos!J26</f>
        <v>4.9001361217464421</v>
      </c>
      <c r="K27" s="26">
        <f>4.0025079*Macroeconomicos!K26</f>
        <v>5.0564504640301537</v>
      </c>
      <c r="L27" s="26">
        <f>4.0025079*Macroeconomicos!L26</f>
        <v>5.2177512338327157</v>
      </c>
      <c r="M27" s="26">
        <f>4.0025079*Macroeconomicos!M26</f>
        <v>5.3841974981919796</v>
      </c>
      <c r="N27" s="26">
        <f>4.0025079*Macroeconomicos!N26</f>
        <v>5.555953398384303</v>
      </c>
      <c r="O27" s="26">
        <f>4.0025079*Macroeconomicos!O26</f>
        <v>5.7331883117927633</v>
      </c>
    </row>
    <row r="28" spans="2:15" ht="20.100000000000001" customHeight="1">
      <c r="B28" s="33" t="s">
        <v>993</v>
      </c>
      <c r="C28" s="26"/>
      <c r="D28" s="26"/>
      <c r="E28" s="26">
        <f>1.1482*Macroeconomicos!E27</f>
        <v>1.2003973779763801</v>
      </c>
      <c r="F28" s="26">
        <f>1.1482*Macroeconomicos!F27</f>
        <v>1.242531325943351</v>
      </c>
      <c r="G28" s="26">
        <f>1.1482*Macroeconomicos!G27</f>
        <v>1.2887534912684435</v>
      </c>
      <c r="H28" s="26">
        <f>1.1482*Macroeconomicos!H27</f>
        <v>1.3377261239366443</v>
      </c>
      <c r="I28" s="26">
        <f>1.1482*Macroeconomicos!I27</f>
        <v>1.3845465382744269</v>
      </c>
      <c r="J28" s="26">
        <f>1.1482*Macroeconomicos!J27</f>
        <v>1.4330056671140317</v>
      </c>
      <c r="K28" s="26">
        <f>1.1482*Macroeconomicos!K27</f>
        <v>1.4831608654630226</v>
      </c>
      <c r="L28" s="26">
        <f>1.1482*Macroeconomicos!L27</f>
        <v>1.5350714957542282</v>
      </c>
      <c r="M28" s="26">
        <f>1.1482*Macroeconomicos!M27</f>
        <v>1.5887989981056261</v>
      </c>
      <c r="N28" s="26">
        <f>1.1482*Macroeconomicos!N27</f>
        <v>1.644406963039323</v>
      </c>
      <c r="O28" s="26">
        <f>1.1482*Macroeconomicos!O27</f>
        <v>1.7019612067456993</v>
      </c>
    </row>
    <row r="29" spans="2:15" ht="20.100000000000001" customHeight="1">
      <c r="B29" s="33" t="s">
        <v>994</v>
      </c>
      <c r="C29" s="26"/>
      <c r="D29" s="26"/>
      <c r="E29" s="26">
        <f>3.19876847312903*Macroeconomicos!E27</f>
        <v>3.3441850617467304</v>
      </c>
      <c r="F29" s="26">
        <f>3.19876847312903*Macroeconomicos!F27</f>
        <v>3.4615659574140407</v>
      </c>
      <c r="G29" s="26">
        <f>3.19876847312903*Macroeconomicos!G27</f>
        <v>3.5903362110298422</v>
      </c>
      <c r="H29" s="26">
        <f>3.19876847312903*Macroeconomicos!H27</f>
        <v>3.7267689870489766</v>
      </c>
      <c r="I29" s="26">
        <f>3.19876847312903*Macroeconomicos!I27</f>
        <v>3.857205901595691</v>
      </c>
      <c r="J29" s="26">
        <f>3.19876847312903*Macroeconomicos!J27</f>
        <v>3.9922081081515395</v>
      </c>
      <c r="K29" s="26">
        <f>3.19876847312903*Macroeconomicos!K27</f>
        <v>4.1319353919368433</v>
      </c>
      <c r="L29" s="26">
        <f>3.19876847312903*Macroeconomicos!L27</f>
        <v>4.2765531306546318</v>
      </c>
      <c r="M29" s="26">
        <f>3.19876847312903*Macroeconomicos!M27</f>
        <v>4.4262324902275436</v>
      </c>
      <c r="N29" s="26">
        <f>3.19876847312903*Macroeconomicos!N27</f>
        <v>4.581150627385508</v>
      </c>
      <c r="O29" s="26">
        <f>3.19876847312903*Macroeconomicos!O27</f>
        <v>4.7414908993439999</v>
      </c>
    </row>
    <row r="30" spans="2:15" ht="20.100000000000001" customHeight="1">
      <c r="B30" s="33" t="s">
        <v>492</v>
      </c>
      <c r="C30" s="26"/>
      <c r="D30" s="26"/>
      <c r="E30" s="26">
        <f>SUM(E25:E29)</f>
        <v>42.547797411961675</v>
      </c>
      <c r="F30" s="26">
        <f t="shared" ref="F30:O30" si="3">SUM(F25:F29)</f>
        <v>45.078904555561664</v>
      </c>
      <c r="G30" s="26">
        <f t="shared" si="3"/>
        <v>47.630188854611902</v>
      </c>
      <c r="H30" s="26">
        <f t="shared" si="3"/>
        <v>50.010408913518567</v>
      </c>
      <c r="I30" s="26">
        <f t="shared" si="3"/>
        <v>51.915936970709694</v>
      </c>
      <c r="J30" s="26">
        <f t="shared" si="3"/>
        <v>53.036674577749949</v>
      </c>
      <c r="K30" s="26">
        <f t="shared" si="3"/>
        <v>55.507071823660318</v>
      </c>
      <c r="L30" s="26">
        <f t="shared" si="3"/>
        <v>58.0604204289032</v>
      </c>
      <c r="M30" s="26">
        <f t="shared" si="3"/>
        <v>60.29075171163278</v>
      </c>
      <c r="N30" s="26">
        <f t="shared" si="3"/>
        <v>63.138806689839242</v>
      </c>
      <c r="O30" s="26">
        <f t="shared" si="3"/>
        <v>65.821838771520163</v>
      </c>
    </row>
    <row r="31" spans="2:15" ht="20.100000000000001" customHeight="1">
      <c r="B31" s="33" t="s">
        <v>224</v>
      </c>
      <c r="C31" s="26">
        <f>C24+C30</f>
        <v>0</v>
      </c>
      <c r="D31" s="26">
        <f>D24+D30</f>
        <v>0</v>
      </c>
      <c r="E31" s="26">
        <f>E24+E30</f>
        <v>137.55226125716351</v>
      </c>
      <c r="F31" s="26">
        <f t="shared" ref="F31:O31" si="4">F24+F30</f>
        <v>151.18492316278764</v>
      </c>
      <c r="G31" s="26">
        <f t="shared" si="4"/>
        <v>156.31422084613934</v>
      </c>
      <c r="H31" s="26">
        <f t="shared" si="4"/>
        <v>172.62798800067199</v>
      </c>
      <c r="I31" s="26">
        <f t="shared" si="4"/>
        <v>173.20225799416193</v>
      </c>
      <c r="J31" s="26">
        <f t="shared" si="4"/>
        <v>82.200895570896051</v>
      </c>
      <c r="K31" s="26">
        <f t="shared" si="4"/>
        <v>85.836760928256609</v>
      </c>
      <c r="L31" s="26">
        <f t="shared" si="4"/>
        <v>148.07867274860888</v>
      </c>
      <c r="M31" s="26">
        <f t="shared" si="4"/>
        <v>78.929644694313623</v>
      </c>
      <c r="N31" s="26">
        <f t="shared" si="4"/>
        <v>94.303481709702695</v>
      </c>
      <c r="O31" s="26">
        <f t="shared" si="4"/>
        <v>186.93061504280314</v>
      </c>
    </row>
    <row r="32" spans="2:15">
      <c r="B32" s="73"/>
      <c r="C32" s="35"/>
      <c r="D32" s="35"/>
      <c r="E32" s="35"/>
      <c r="F32" s="35"/>
      <c r="G32" s="35"/>
      <c r="H32" s="35"/>
      <c r="I32" s="35"/>
      <c r="J32" s="35"/>
      <c r="K32" s="35"/>
      <c r="L32" s="35"/>
      <c r="M32" s="35"/>
      <c r="N32" s="35"/>
      <c r="O32" s="35"/>
    </row>
    <row r="33" spans="2:16" ht="20.100000000000001" customHeight="1" thickBot="1">
      <c r="B33" s="570" t="s">
        <v>386</v>
      </c>
      <c r="C33" s="35"/>
      <c r="D33" s="35"/>
      <c r="E33" s="35"/>
      <c r="F33" s="35"/>
      <c r="G33" s="35"/>
      <c r="H33" s="35"/>
      <c r="I33" s="35"/>
      <c r="J33" s="35"/>
      <c r="K33" s="35"/>
      <c r="L33" s="35"/>
      <c r="M33" s="35"/>
      <c r="N33" s="35"/>
      <c r="O33" s="35"/>
    </row>
    <row r="34" spans="2:16" ht="20.100000000000001" customHeight="1" thickTop="1">
      <c r="B34" s="33" t="s">
        <v>230</v>
      </c>
      <c r="C34" s="72">
        <f>Historicos!M10</f>
        <v>2.3673266600644727E-2</v>
      </c>
      <c r="D34" s="35"/>
      <c r="E34" s="35"/>
      <c r="F34" s="35"/>
      <c r="G34" s="35"/>
      <c r="H34" s="35"/>
      <c r="I34" s="35"/>
      <c r="J34" s="35"/>
      <c r="K34" s="35"/>
      <c r="L34" s="35"/>
      <c r="M34" s="35"/>
      <c r="N34" s="35"/>
      <c r="O34" s="35"/>
    </row>
    <row r="35" spans="2:16" ht="20.100000000000001" customHeight="1">
      <c r="B35" s="33" t="s">
        <v>471</v>
      </c>
      <c r="C35" s="26">
        <f t="shared" ref="C35:O35" si="5">C31*(1+$C$34)</f>
        <v>0</v>
      </c>
      <c r="D35" s="26">
        <f t="shared" si="5"/>
        <v>0</v>
      </c>
      <c r="E35" s="26">
        <f t="shared" si="5"/>
        <v>140.80857260942588</v>
      </c>
      <c r="F35" s="26">
        <f t="shared" si="5"/>
        <v>154.7639641548183</v>
      </c>
      <c r="G35" s="26">
        <f t="shared" si="5"/>
        <v>160.01468906970206</v>
      </c>
      <c r="H35" s="26">
        <f t="shared" si="5"/>
        <v>176.71465638334479</v>
      </c>
      <c r="I35" s="26">
        <f t="shared" si="5"/>
        <v>177.30252122349137</v>
      </c>
      <c r="J35" s="26">
        <f t="shared" si="5"/>
        <v>84.146859286557628</v>
      </c>
      <c r="K35" s="26">
        <f t="shared" si="5"/>
        <v>87.868797453847037</v>
      </c>
      <c r="L35" s="26">
        <f t="shared" si="5"/>
        <v>151.58417864645634</v>
      </c>
      <c r="M35" s="26">
        <f t="shared" si="5"/>
        <v>80.798167215856267</v>
      </c>
      <c r="N35" s="26">
        <f t="shared" si="5"/>
        <v>96.535953173585511</v>
      </c>
      <c r="O35" s="26">
        <f t="shared" si="5"/>
        <v>191.3558733285339</v>
      </c>
    </row>
    <row r="36" spans="2:16">
      <c r="B36" s="73"/>
      <c r="C36" s="35"/>
      <c r="D36" s="35"/>
      <c r="E36" s="35"/>
      <c r="F36" s="35"/>
      <c r="G36" s="35"/>
      <c r="H36" s="35"/>
      <c r="I36" s="35"/>
      <c r="J36" s="35"/>
      <c r="K36" s="35"/>
      <c r="L36" s="35"/>
      <c r="M36" s="35"/>
      <c r="N36" s="35"/>
      <c r="O36" s="35"/>
    </row>
    <row r="37" spans="2:16" ht="20.100000000000001" customHeight="1" thickBot="1">
      <c r="B37" s="570" t="s">
        <v>320</v>
      </c>
      <c r="C37" s="35"/>
      <c r="D37" s="35"/>
      <c r="E37" s="35"/>
      <c r="F37" s="35"/>
      <c r="G37" s="35"/>
      <c r="H37" s="35"/>
      <c r="I37" s="35"/>
      <c r="J37" s="35"/>
      <c r="K37" s="35"/>
      <c r="L37" s="35"/>
      <c r="M37" s="35"/>
      <c r="N37" s="35"/>
      <c r="O37" s="35"/>
    </row>
    <row r="38" spans="2:16" ht="20.100000000000001" customHeight="1" thickTop="1">
      <c r="B38" s="33" t="s">
        <v>282</v>
      </c>
      <c r="C38" s="74"/>
      <c r="D38" s="74"/>
      <c r="E38" s="194">
        <f>Macroeconomicos!$C$84</f>
        <v>7.0872000000000002</v>
      </c>
      <c r="F38" s="194">
        <f>E38</f>
        <v>7.0872000000000002</v>
      </c>
      <c r="G38" s="194">
        <f t="shared" ref="G38:O38" si="6">F38</f>
        <v>7.0872000000000002</v>
      </c>
      <c r="H38" s="194">
        <f t="shared" si="6"/>
        <v>7.0872000000000002</v>
      </c>
      <c r="I38" s="194">
        <f t="shared" si="6"/>
        <v>7.0872000000000002</v>
      </c>
      <c r="J38" s="194">
        <f t="shared" si="6"/>
        <v>7.0872000000000002</v>
      </c>
      <c r="K38" s="194">
        <f t="shared" si="6"/>
        <v>7.0872000000000002</v>
      </c>
      <c r="L38" s="194">
        <f t="shared" si="6"/>
        <v>7.0872000000000002</v>
      </c>
      <c r="M38" s="194">
        <f t="shared" si="6"/>
        <v>7.0872000000000002</v>
      </c>
      <c r="N38" s="194">
        <f t="shared" si="6"/>
        <v>7.0872000000000002</v>
      </c>
      <c r="O38" s="194">
        <f t="shared" si="6"/>
        <v>7.0872000000000002</v>
      </c>
    </row>
    <row r="39" spans="2:16" ht="20.100000000000001" customHeight="1">
      <c r="B39" s="33" t="s">
        <v>278</v>
      </c>
      <c r="C39" s="74"/>
      <c r="D39" s="74"/>
      <c r="E39" s="194">
        <v>7.7939999999999996</v>
      </c>
      <c r="F39" s="194">
        <f>E39</f>
        <v>7.7939999999999996</v>
      </c>
      <c r="G39" s="194">
        <f t="shared" ref="G39:O39" si="7">F39</f>
        <v>7.7939999999999996</v>
      </c>
      <c r="H39" s="194">
        <f t="shared" si="7"/>
        <v>7.7939999999999996</v>
      </c>
      <c r="I39" s="194">
        <f t="shared" si="7"/>
        <v>7.7939999999999996</v>
      </c>
      <c r="J39" s="194">
        <f t="shared" si="7"/>
        <v>7.7939999999999996</v>
      </c>
      <c r="K39" s="194">
        <f t="shared" si="7"/>
        <v>7.7939999999999996</v>
      </c>
      <c r="L39" s="194">
        <f t="shared" si="7"/>
        <v>7.7939999999999996</v>
      </c>
      <c r="M39" s="194">
        <f t="shared" si="7"/>
        <v>7.7939999999999996</v>
      </c>
      <c r="N39" s="194">
        <f t="shared" si="7"/>
        <v>7.7939999999999996</v>
      </c>
      <c r="O39" s="194">
        <f t="shared" si="7"/>
        <v>7.7939999999999996</v>
      </c>
    </row>
    <row r="40" spans="2:16">
      <c r="B40" s="73"/>
      <c r="C40" s="35"/>
      <c r="D40" s="35"/>
      <c r="E40" s="35"/>
      <c r="F40" s="35"/>
      <c r="G40" s="35"/>
      <c r="H40" s="35"/>
      <c r="I40" s="35"/>
      <c r="J40" s="35"/>
      <c r="K40" s="35"/>
      <c r="L40" s="35"/>
      <c r="M40" s="35"/>
      <c r="N40" s="35"/>
      <c r="O40" s="35"/>
    </row>
    <row r="41" spans="2:16" ht="20.100000000000001" customHeight="1" thickBot="1">
      <c r="B41" s="570" t="s">
        <v>319</v>
      </c>
      <c r="C41" s="35"/>
      <c r="D41" s="35"/>
      <c r="E41" s="35"/>
      <c r="F41" s="35"/>
      <c r="G41" s="35"/>
      <c r="H41" s="35"/>
      <c r="I41" s="35"/>
      <c r="J41" s="35"/>
      <c r="K41" s="35"/>
      <c r="L41" s="35"/>
      <c r="M41" s="35"/>
      <c r="N41" s="35"/>
      <c r="O41" s="35"/>
    </row>
    <row r="42" spans="2:16" ht="20.100000000000001" customHeight="1" thickTop="1" thickBot="1">
      <c r="B42" s="589" t="s">
        <v>133</v>
      </c>
      <c r="C42" s="74"/>
      <c r="D42" s="74"/>
      <c r="E42" s="75">
        <v>0</v>
      </c>
      <c r="F42" s="75">
        <v>1</v>
      </c>
      <c r="G42" s="76">
        <v>0</v>
      </c>
      <c r="H42" s="76">
        <v>0</v>
      </c>
      <c r="I42" s="76">
        <v>0</v>
      </c>
      <c r="J42" s="75">
        <v>1</v>
      </c>
      <c r="K42" s="76">
        <v>0</v>
      </c>
      <c r="L42" s="76">
        <v>0</v>
      </c>
      <c r="M42" s="76">
        <v>0</v>
      </c>
      <c r="N42" s="75">
        <v>1</v>
      </c>
      <c r="O42" s="76">
        <v>0</v>
      </c>
    </row>
    <row r="43" spans="2:16" ht="20.100000000000001" customHeight="1" thickTop="1">
      <c r="B43" s="33" t="s">
        <v>333</v>
      </c>
      <c r="C43" s="74"/>
      <c r="D43" s="74"/>
      <c r="E43" s="75">
        <f t="shared" ref="E43:N43" si="8">IF(AND(E42=1,OR(Tipo_combustible="Gas Cusiana",Tipo_combustible="Gas GNL")),Dias_Generacion_Niño_Gas,IF(AND(E42=1,Tipo_combustible="Jet Fuel"),Dias_Generacion_Niño_Jet_Fuel,0))</f>
        <v>0</v>
      </c>
      <c r="F43" s="75">
        <f t="shared" si="8"/>
        <v>15</v>
      </c>
      <c r="G43" s="75">
        <f t="shared" si="8"/>
        <v>0</v>
      </c>
      <c r="H43" s="75">
        <f t="shared" si="8"/>
        <v>0</v>
      </c>
      <c r="I43" s="75">
        <f t="shared" si="8"/>
        <v>0</v>
      </c>
      <c r="J43" s="75">
        <f t="shared" si="8"/>
        <v>15</v>
      </c>
      <c r="K43" s="75">
        <f t="shared" si="8"/>
        <v>0</v>
      </c>
      <c r="L43" s="75">
        <f t="shared" si="8"/>
        <v>0</v>
      </c>
      <c r="M43" s="75">
        <f t="shared" si="8"/>
        <v>0</v>
      </c>
      <c r="N43" s="75">
        <f t="shared" si="8"/>
        <v>15</v>
      </c>
      <c r="O43" s="590">
        <f>IF(Perpetuidad_Termocentro="No",0,IF(AND(O42=1,OR(Tipo_combustible="Gas Cusiana",Tipo_combustible="Gas GNL")),Dias_Generacion_Niño_Gas,IF(AND(O42=1,Tipo_combustible="Jet Fuel"),Dias_Generacion_Niño_Jet_Fuel,0)))</f>
        <v>0</v>
      </c>
      <c r="P43" s="537"/>
    </row>
    <row r="44" spans="2:16" ht="20.100000000000001" customHeight="1">
      <c r="B44" s="33" t="s">
        <v>995</v>
      </c>
      <c r="C44" s="26"/>
      <c r="D44" s="26"/>
      <c r="E44" s="26">
        <f>473.7087679865*(Macroeconomicos!E18/Macroeconomicos!D18)</f>
        <v>457.46385848457811</v>
      </c>
      <c r="F44" s="26">
        <f>E44*(Macroeconomicos!F18/Macroeconomicos!E18)</f>
        <v>458.82532538610434</v>
      </c>
      <c r="G44" s="26">
        <f>F44*(Macroeconomicos!G18/Macroeconomicos!F18)</f>
        <v>450.09617926202333</v>
      </c>
      <c r="H44" s="26">
        <f>G44*(Macroeconomicos!H18/Macroeconomicos!G18)</f>
        <v>445.89601903024885</v>
      </c>
      <c r="I44" s="26">
        <f>H44*(Macroeconomicos!I18/Macroeconomicos!H18)</f>
        <v>449.78254021041897</v>
      </c>
      <c r="J44" s="26">
        <f>I44*(Macroeconomicos!J18/Macroeconomicos!I18)</f>
        <v>463.49484353592618</v>
      </c>
      <c r="K44" s="26">
        <f>J44*(Macroeconomicos!K18/Macroeconomicos!J18)</f>
        <v>480.23016790290774</v>
      </c>
      <c r="L44" s="26">
        <f>K44*(Macroeconomicos!L18/Macroeconomicos!K18)</f>
        <v>496.40055919579515</v>
      </c>
      <c r="M44" s="26">
        <f>L44*(Macroeconomicos!M18/Macroeconomicos!L18)</f>
        <v>514.29343899732578</v>
      </c>
      <c r="N44" s="26">
        <f>M44*(Macroeconomicos!N18/Macroeconomicos!M18)</f>
        <v>531.20781468575046</v>
      </c>
      <c r="O44" s="26">
        <f>N44*(Macroeconomicos!O18/Macroeconomicos!N18)</f>
        <v>547.46268875715668</v>
      </c>
    </row>
    <row r="45" spans="2:16" ht="20.100000000000001" customHeight="1">
      <c r="B45" s="33" t="s">
        <v>1041</v>
      </c>
      <c r="C45" s="26"/>
      <c r="D45" s="26"/>
      <c r="E45" s="37">
        <f t="shared" ref="E45:O45" si="9">PB_PE_en_Niño</f>
        <v>1</v>
      </c>
      <c r="F45" s="37">
        <f t="shared" si="9"/>
        <v>1</v>
      </c>
      <c r="G45" s="37">
        <f t="shared" si="9"/>
        <v>1</v>
      </c>
      <c r="H45" s="37">
        <f t="shared" si="9"/>
        <v>1</v>
      </c>
      <c r="I45" s="37">
        <f t="shared" si="9"/>
        <v>1</v>
      </c>
      <c r="J45" s="37">
        <f t="shared" si="9"/>
        <v>1</v>
      </c>
      <c r="K45" s="37">
        <f t="shared" si="9"/>
        <v>1</v>
      </c>
      <c r="L45" s="37">
        <f t="shared" si="9"/>
        <v>1</v>
      </c>
      <c r="M45" s="37">
        <f t="shared" si="9"/>
        <v>1</v>
      </c>
      <c r="N45" s="37">
        <f t="shared" si="9"/>
        <v>1</v>
      </c>
      <c r="O45" s="37">
        <f t="shared" si="9"/>
        <v>1</v>
      </c>
    </row>
    <row r="46" spans="2:16" ht="20.100000000000001" customHeight="1">
      <c r="B46" s="33" t="s">
        <v>256</v>
      </c>
      <c r="C46" s="26"/>
      <c r="D46" s="26"/>
      <c r="E46" s="26">
        <f>E44*E45</f>
        <v>457.46385848457811</v>
      </c>
      <c r="F46" s="26">
        <f t="shared" ref="F46:O46" si="10">F44*F45</f>
        <v>458.82532538610434</v>
      </c>
      <c r="G46" s="26">
        <f t="shared" si="10"/>
        <v>450.09617926202333</v>
      </c>
      <c r="H46" s="26">
        <f t="shared" si="10"/>
        <v>445.89601903024885</v>
      </c>
      <c r="I46" s="26">
        <f t="shared" si="10"/>
        <v>449.78254021041897</v>
      </c>
      <c r="J46" s="26">
        <f t="shared" si="10"/>
        <v>463.49484353592618</v>
      </c>
      <c r="K46" s="26">
        <f t="shared" si="10"/>
        <v>480.23016790290774</v>
      </c>
      <c r="L46" s="26">
        <f t="shared" si="10"/>
        <v>496.40055919579515</v>
      </c>
      <c r="M46" s="26">
        <f t="shared" si="10"/>
        <v>514.29343899732578</v>
      </c>
      <c r="N46" s="26">
        <f t="shared" si="10"/>
        <v>531.20781468575046</v>
      </c>
      <c r="O46" s="26">
        <f t="shared" si="10"/>
        <v>547.46268875715668</v>
      </c>
    </row>
    <row r="47" spans="2:16">
      <c r="B47" s="73"/>
      <c r="C47" s="35"/>
      <c r="D47" s="35"/>
      <c r="E47" s="35"/>
      <c r="F47" s="35"/>
      <c r="G47" s="35"/>
      <c r="H47" s="35"/>
      <c r="I47" s="35"/>
      <c r="J47" s="35"/>
      <c r="K47" s="35"/>
      <c r="L47" s="35"/>
      <c r="M47" s="35"/>
      <c r="N47" s="35"/>
      <c r="O47" s="35"/>
    </row>
    <row r="48" spans="2:16" ht="20.100000000000001" customHeight="1" thickBot="1">
      <c r="B48" s="570" t="s">
        <v>387</v>
      </c>
      <c r="C48" s="35"/>
      <c r="D48" s="35"/>
      <c r="E48" s="35"/>
      <c r="F48" s="35"/>
      <c r="G48" s="35"/>
      <c r="H48" s="35"/>
      <c r="I48" s="35"/>
      <c r="J48" s="35"/>
      <c r="K48" s="35"/>
      <c r="L48" s="35"/>
      <c r="M48" s="35"/>
      <c r="N48" s="35"/>
      <c r="O48" s="35"/>
    </row>
    <row r="49" spans="2:15" ht="20.100000000000001" customHeight="1" thickTop="1">
      <c r="B49" s="33" t="s">
        <v>275</v>
      </c>
      <c r="C49" s="74"/>
      <c r="D49" s="74"/>
      <c r="E49" s="585">
        <f>IF(E98=0,Pruebas_Termocentro,0)</f>
        <v>0</v>
      </c>
      <c r="F49" s="585">
        <f>IF(F98=0,Pruebas_Termocentro,0)</f>
        <v>0</v>
      </c>
      <c r="G49" s="224">
        <f t="shared" ref="G49:N49" si="11">IF(G98=0,IF(OR(Tipo_combustible="Gas Cusiana",Tipo_combustible="Gas GNL"),Pruebas_Termocentro,0),0)</f>
        <v>0</v>
      </c>
      <c r="H49" s="224">
        <f t="shared" si="11"/>
        <v>0</v>
      </c>
      <c r="I49" s="224">
        <f t="shared" si="11"/>
        <v>0</v>
      </c>
      <c r="J49" s="224">
        <f t="shared" si="11"/>
        <v>0</v>
      </c>
      <c r="K49" s="224">
        <f t="shared" si="11"/>
        <v>0</v>
      </c>
      <c r="L49" s="224">
        <f t="shared" si="11"/>
        <v>0</v>
      </c>
      <c r="M49" s="224">
        <f t="shared" si="11"/>
        <v>0</v>
      </c>
      <c r="N49" s="224">
        <f t="shared" si="11"/>
        <v>0</v>
      </c>
      <c r="O49" s="586">
        <f>IF(Perpetuidad_Termocentro="No",0,IF(O98=0,IF(OR(Tipo_combustible="Gas Cusiana",Tipo_combustible="Gas GNL"),Pruebas_Termocentro,0),0))</f>
        <v>0</v>
      </c>
    </row>
    <row r="50" spans="2:15" ht="20.100000000000001" customHeight="1">
      <c r="B50" s="33" t="s">
        <v>277</v>
      </c>
      <c r="C50" s="74"/>
      <c r="D50" s="74"/>
      <c r="E50" s="585">
        <v>0</v>
      </c>
      <c r="F50" s="585">
        <v>0</v>
      </c>
      <c r="G50" s="225">
        <f>IF(G99=0,IF(Tipo_combustible="Jet Fuel",Pruebas_Termocentro,0),0)</f>
        <v>6</v>
      </c>
      <c r="H50" s="225">
        <f t="shared" ref="H50:N50" si="12">IF(H99=0,IF(Tipo_combustible="Jet Fuel",Pruebas_Termocentro,0),0)</f>
        <v>6</v>
      </c>
      <c r="I50" s="225">
        <f t="shared" si="12"/>
        <v>6</v>
      </c>
      <c r="J50" s="225">
        <f t="shared" si="12"/>
        <v>6</v>
      </c>
      <c r="K50" s="225">
        <f t="shared" si="12"/>
        <v>6</v>
      </c>
      <c r="L50" s="225">
        <f t="shared" si="12"/>
        <v>6</v>
      </c>
      <c r="M50" s="225">
        <f t="shared" si="12"/>
        <v>6</v>
      </c>
      <c r="N50" s="225">
        <f t="shared" si="12"/>
        <v>6</v>
      </c>
      <c r="O50" s="586">
        <f>IF(Perpetuidad_Termocentro="No",0,IF(O99=0,IF(Tipo_combustible="Jet Fuel",Pruebas_Termocentro,0),0))</f>
        <v>6</v>
      </c>
    </row>
    <row r="51" spans="2:15">
      <c r="B51" s="73"/>
      <c r="C51" s="107"/>
      <c r="D51" s="107"/>
      <c r="E51" s="108"/>
      <c r="F51" s="108"/>
      <c r="G51" s="108"/>
      <c r="H51" s="108"/>
      <c r="I51" s="108"/>
      <c r="J51" s="108"/>
      <c r="K51" s="108"/>
      <c r="L51" s="108"/>
      <c r="M51" s="108"/>
      <c r="N51" s="108"/>
      <c r="O51" s="108"/>
    </row>
    <row r="52" spans="2:15" ht="20.100000000000001" customHeight="1" thickBot="1">
      <c r="B52" s="570" t="s">
        <v>322</v>
      </c>
      <c r="C52" s="35"/>
      <c r="D52" s="35"/>
      <c r="E52" s="35"/>
      <c r="F52" s="35"/>
      <c r="G52" s="35"/>
      <c r="H52" s="35"/>
      <c r="I52" s="35"/>
      <c r="J52" s="35"/>
      <c r="K52" s="35"/>
      <c r="L52" s="35"/>
      <c r="M52" s="35"/>
      <c r="N52" s="35"/>
      <c r="O52" s="35"/>
    </row>
    <row r="53" spans="2:15" ht="20.100000000000001" customHeight="1" thickTop="1">
      <c r="B53" s="33" t="s">
        <v>323</v>
      </c>
      <c r="C53" s="24"/>
      <c r="D53" s="24"/>
      <c r="E53" s="71">
        <f>(Macroeconomicos!E19*E38*Macroeconomicos!E10)/1000</f>
        <v>58.53910059591604</v>
      </c>
      <c r="F53" s="71">
        <f>(Macroeconomicos!F19*F38*Macroeconomicos!F10)/1000</f>
        <v>63.612042282206538</v>
      </c>
      <c r="G53" s="71">
        <f>(Macroeconomicos!G19*G38*Macroeconomicos!G10)/1000</f>
        <v>87.096324204769346</v>
      </c>
      <c r="H53" s="71">
        <f>(Macroeconomicos!H19*H38*Macroeconomicos!H10)/1000</f>
        <v>97.780608896354778</v>
      </c>
      <c r="I53" s="71">
        <f>(Macroeconomicos!I19*I38*Macroeconomicos!I10)/1000</f>
        <v>114.84933883946064</v>
      </c>
      <c r="J53" s="71">
        <f>(Macroeconomicos!J19*J38*Macroeconomicos!J10)/1000</f>
        <v>133.40671746781859</v>
      </c>
      <c r="K53" s="71">
        <f>(Macroeconomicos!K19*K38*Macroeconomicos!K10)/1000</f>
        <v>127.96933955490663</v>
      </c>
      <c r="L53" s="71">
        <f>(Macroeconomicos!L19*L38*Macroeconomicos!L10)/1000</f>
        <v>143.44253517667681</v>
      </c>
      <c r="M53" s="71">
        <f>(Macroeconomicos!M19*M38*Macroeconomicos!M10)/1000</f>
        <v>156.95189849106271</v>
      </c>
      <c r="N53" s="71">
        <f>(Macroeconomicos!N19*N38*Macroeconomicos!N10)/1000</f>
        <v>167.10604697625766</v>
      </c>
      <c r="O53" s="71">
        <f>(Macroeconomicos!O19*O38*Macroeconomicos!O10)/1000</f>
        <v>187.97030905616205</v>
      </c>
    </row>
    <row r="54" spans="2:15" ht="20.100000000000001" customHeight="1">
      <c r="B54" s="33" t="s">
        <v>496</v>
      </c>
      <c r="C54" s="24"/>
      <c r="D54" s="24"/>
      <c r="E54" s="71">
        <f>E144</f>
        <v>41.166667900865036</v>
      </c>
      <c r="F54" s="71">
        <f t="shared" ref="F54:O54" si="13">F144</f>
        <v>43.650402302234411</v>
      </c>
      <c r="G54" s="71">
        <f t="shared" si="13"/>
        <v>46.149831969488865</v>
      </c>
      <c r="H54" s="71">
        <f t="shared" si="13"/>
        <v>48.478535608793251</v>
      </c>
      <c r="I54" s="71">
        <f t="shared" si="13"/>
        <v>50.333052284937025</v>
      </c>
      <c r="J54" s="71">
        <f t="shared" si="13"/>
        <v>51.40329587050114</v>
      </c>
      <c r="K54" s="71">
        <f t="shared" si="13"/>
        <v>53.821588335650269</v>
      </c>
      <c r="L54" s="71">
        <f t="shared" si="13"/>
        <v>56.321170017625626</v>
      </c>
      <c r="M54" s="71">
        <f t="shared" si="13"/>
        <v>58.496019212235453</v>
      </c>
      <c r="N54" s="71">
        <f t="shared" si="13"/>
        <v>61.286822223711141</v>
      </c>
      <c r="O54" s="71">
        <f t="shared" si="13"/>
        <v>63.910776000922567</v>
      </c>
    </row>
    <row r="55" spans="2:15" ht="20.100000000000001" customHeight="1">
      <c r="B55" s="33" t="s">
        <v>996</v>
      </c>
      <c r="C55" s="24"/>
      <c r="D55" s="24"/>
      <c r="E55" s="587">
        <f>9.379*(1+Macroeconomicos!E7)</f>
        <v>9.4637303566308244</v>
      </c>
      <c r="F55" s="26">
        <f>E55*(1+Macroeconomicos!F7)</f>
        <v>9.7959072921485646</v>
      </c>
      <c r="G55" s="26">
        <f>F55*(1+Macroeconomicos!G7)</f>
        <v>10.160315043416491</v>
      </c>
      <c r="H55" s="26">
        <f>G55*(1+Macroeconomicos!H7)</f>
        <v>10.546407015066318</v>
      </c>
      <c r="I55" s="26">
        <f>H55*(1+Macroeconomicos!I7)</f>
        <v>10.915531260593639</v>
      </c>
      <c r="J55" s="26">
        <f>I55*(1+Macroeconomicos!J7)</f>
        <v>11.297574854714416</v>
      </c>
      <c r="K55" s="26">
        <f>J55*(1+Macroeconomicos!K7)</f>
        <v>11.69298997462942</v>
      </c>
      <c r="L55" s="26">
        <f>K55*(1+Macroeconomicos!L7)</f>
        <v>12.102244623741448</v>
      </c>
      <c r="M55" s="26">
        <f>L55*(1+Macroeconomicos!M7)</f>
        <v>12.525823185572397</v>
      </c>
      <c r="N55" s="26">
        <f>M55*(1+Macroeconomicos!N7)</f>
        <v>12.96422699706743</v>
      </c>
      <c r="O55" s="26">
        <f>N55*(1+Macroeconomicos!O7)</f>
        <v>13.417974941964788</v>
      </c>
    </row>
    <row r="56" spans="2:15" ht="20.100000000000001" customHeight="1">
      <c r="B56" s="33" t="s">
        <v>997</v>
      </c>
      <c r="C56" s="24"/>
      <c r="D56" s="24"/>
      <c r="E56" s="587">
        <f>11.3994131799656*(1+Macroeconomicos!E7)</f>
        <v>11.502396050646974</v>
      </c>
      <c r="F56" s="26">
        <f>E56*(1+Macroeconomicos!F7)</f>
        <v>11.906130152024682</v>
      </c>
      <c r="G56" s="26">
        <f>F56*(1+Macroeconomicos!G7)</f>
        <v>12.349038193679998</v>
      </c>
      <c r="H56" s="26">
        <f>G56*(1+Macroeconomicos!H7)</f>
        <v>12.818301645039838</v>
      </c>
      <c r="I56" s="26">
        <f>H56*(1+Macroeconomicos!I7)</f>
        <v>13.266942202616232</v>
      </c>
      <c r="J56" s="26">
        <f>I56*(1+Macroeconomicos!J7)</f>
        <v>13.731285179707799</v>
      </c>
      <c r="K56" s="26">
        <f>J56*(1+Macroeconomicos!K7)</f>
        <v>14.21188016099757</v>
      </c>
      <c r="L56" s="26">
        <f>K56*(1+Macroeconomicos!L7)</f>
        <v>14.709295966632483</v>
      </c>
      <c r="M56" s="26">
        <f>L56*(1+Macroeconomicos!M7)</f>
        <v>15.224121325464619</v>
      </c>
      <c r="N56" s="26">
        <f>M56*(1+Macroeconomicos!N7)</f>
        <v>15.756965571855879</v>
      </c>
      <c r="O56" s="26">
        <f>N56*(1+Macroeconomicos!O7)</f>
        <v>16.308459366870835</v>
      </c>
    </row>
    <row r="57" spans="2:15" ht="20.100000000000001" customHeight="1">
      <c r="B57" s="33" t="s">
        <v>325</v>
      </c>
      <c r="C57" s="24"/>
      <c r="D57" s="24"/>
      <c r="E57" s="71">
        <f>SUM(E53:E56)</f>
        <v>120.67189490405887</v>
      </c>
      <c r="F57" s="71">
        <f>SUM(F53:F56)</f>
        <v>128.96448202861419</v>
      </c>
      <c r="G57" s="71">
        <f>SUM(G53:G56)</f>
        <v>155.75550941135469</v>
      </c>
      <c r="H57" s="71">
        <f t="shared" ref="H57:O57" si="14">SUM(H53:H56)</f>
        <v>169.62385316525416</v>
      </c>
      <c r="I57" s="71">
        <f t="shared" si="14"/>
        <v>189.36486458760754</v>
      </c>
      <c r="J57" s="71">
        <f t="shared" si="14"/>
        <v>209.83887337274194</v>
      </c>
      <c r="K57" s="71">
        <f t="shared" si="14"/>
        <v>207.69579802618389</v>
      </c>
      <c r="L57" s="71">
        <f t="shared" si="14"/>
        <v>226.57524578467638</v>
      </c>
      <c r="M57" s="71">
        <f t="shared" si="14"/>
        <v>243.19786221433517</v>
      </c>
      <c r="N57" s="71">
        <f t="shared" si="14"/>
        <v>257.1140617688921</v>
      </c>
      <c r="O57" s="71">
        <f t="shared" si="14"/>
        <v>281.60751936592021</v>
      </c>
    </row>
    <row r="58" spans="2:15">
      <c r="E58" s="61"/>
      <c r="F58" s="61"/>
      <c r="G58" s="61"/>
      <c r="H58" s="61"/>
      <c r="I58" s="61"/>
      <c r="J58" s="61"/>
      <c r="K58" s="61"/>
      <c r="L58" s="61"/>
      <c r="M58" s="61"/>
      <c r="N58" s="61"/>
      <c r="O58" s="61"/>
    </row>
    <row r="59" spans="2:15" ht="20.100000000000001" customHeight="1" thickBot="1">
      <c r="B59" s="570" t="s">
        <v>326</v>
      </c>
      <c r="C59" s="35"/>
      <c r="D59" s="35"/>
      <c r="E59" s="35"/>
      <c r="F59" s="35"/>
      <c r="G59" s="35"/>
      <c r="H59" s="35"/>
      <c r="I59" s="35"/>
      <c r="J59" s="35"/>
      <c r="K59" s="35"/>
      <c r="L59" s="35"/>
      <c r="M59" s="35"/>
      <c r="N59" s="35"/>
      <c r="O59" s="35"/>
    </row>
    <row r="60" spans="2:15" ht="20.100000000000001" customHeight="1" thickTop="1">
      <c r="B60" s="33" t="s">
        <v>323</v>
      </c>
      <c r="C60" s="24"/>
      <c r="D60" s="24"/>
      <c r="E60" s="71">
        <f>(Macroeconomicos!E20*E38*Macroeconomicos!E10)/1000</f>
        <v>58.53910059591604</v>
      </c>
      <c r="F60" s="71">
        <f>(Macroeconomicos!F20*F38*Macroeconomicos!F10)/1000</f>
        <v>63.612042282206538</v>
      </c>
      <c r="G60" s="71">
        <f>(Macroeconomicos!G20*G38*Macroeconomicos!G10)/1000</f>
        <v>87.096324204769346</v>
      </c>
      <c r="H60" s="71">
        <f>(Macroeconomicos!H20*H38*Macroeconomicos!H10)/1000</f>
        <v>234.70807906202756</v>
      </c>
      <c r="I60" s="71">
        <f>(Macroeconomicos!I20*I38*Macroeconomicos!I10)/1000</f>
        <v>203.19498410058421</v>
      </c>
      <c r="J60" s="71">
        <f>(Macroeconomicos!J20*J38*Macroeconomicos!J10)/1000</f>
        <v>200.76556077515414</v>
      </c>
      <c r="K60" s="71">
        <f>(Macroeconomicos!K20*K38*Macroeconomicos!K10)/1000</f>
        <v>234.28533049610198</v>
      </c>
      <c r="L60" s="71">
        <f>(Macroeconomicos!L20*L38*Macroeconomicos!L10)/1000</f>
        <v>254.6930111314021</v>
      </c>
      <c r="M60" s="71">
        <f>(Macroeconomicos!M20*M38*Macroeconomicos!M10)/1000</f>
        <v>264.61836255029579</v>
      </c>
      <c r="N60" s="71">
        <f>(Macroeconomicos!N20*N38*Macroeconomicos!N10)/1000</f>
        <v>278.2224813767067</v>
      </c>
      <c r="O60" s="71">
        <f>(Macroeconomicos!O20*O38*Macroeconomicos!O10)/1000</f>
        <v>304.17813055035606</v>
      </c>
    </row>
    <row r="61" spans="2:15" ht="20.100000000000001" customHeight="1">
      <c r="B61" s="33" t="s">
        <v>496</v>
      </c>
      <c r="C61" s="24"/>
      <c r="D61" s="24"/>
      <c r="E61" s="71">
        <f>E144</f>
        <v>41.166667900865036</v>
      </c>
      <c r="F61" s="71">
        <f t="shared" ref="F61:O61" si="15">F144</f>
        <v>43.650402302234411</v>
      </c>
      <c r="G61" s="71">
        <f t="shared" si="15"/>
        <v>46.149831969488865</v>
      </c>
      <c r="H61" s="71">
        <f t="shared" si="15"/>
        <v>48.478535608793251</v>
      </c>
      <c r="I61" s="71">
        <f t="shared" si="15"/>
        <v>50.333052284937025</v>
      </c>
      <c r="J61" s="71">
        <f t="shared" si="15"/>
        <v>51.40329587050114</v>
      </c>
      <c r="K61" s="71">
        <f t="shared" si="15"/>
        <v>53.821588335650269</v>
      </c>
      <c r="L61" s="71">
        <f t="shared" si="15"/>
        <v>56.321170017625626</v>
      </c>
      <c r="M61" s="71">
        <f t="shared" si="15"/>
        <v>58.496019212235453</v>
      </c>
      <c r="N61" s="71">
        <f t="shared" si="15"/>
        <v>61.286822223711141</v>
      </c>
      <c r="O61" s="71">
        <f t="shared" si="15"/>
        <v>63.910776000922567</v>
      </c>
    </row>
    <row r="62" spans="2:15" ht="20.100000000000001" customHeight="1">
      <c r="B62" s="33" t="s">
        <v>996</v>
      </c>
      <c r="C62" s="24"/>
      <c r="D62" s="24"/>
      <c r="E62" s="587">
        <f>9.379*(1+Macroeconomicos!E7)</f>
        <v>9.4637303566308244</v>
      </c>
      <c r="F62" s="26">
        <f>E62*(1+Macroeconomicos!F7)</f>
        <v>9.7959072921485646</v>
      </c>
      <c r="G62" s="26">
        <f>F62*(1+Macroeconomicos!G7)</f>
        <v>10.160315043416491</v>
      </c>
      <c r="H62" s="26">
        <f>G62*(1+Macroeconomicos!H7)</f>
        <v>10.546407015066318</v>
      </c>
      <c r="I62" s="26">
        <f>H62*(1+Macroeconomicos!I7)</f>
        <v>10.915531260593639</v>
      </c>
      <c r="J62" s="26">
        <f>I62*(1+Macroeconomicos!J7)</f>
        <v>11.297574854714416</v>
      </c>
      <c r="K62" s="26">
        <f>J62*(1+Macroeconomicos!K7)</f>
        <v>11.69298997462942</v>
      </c>
      <c r="L62" s="26">
        <f>K62*(1+Macroeconomicos!L7)</f>
        <v>12.102244623741448</v>
      </c>
      <c r="M62" s="26">
        <f>L62*(1+Macroeconomicos!M7)</f>
        <v>12.525823185572397</v>
      </c>
      <c r="N62" s="26">
        <f>M62*(1+Macroeconomicos!N7)</f>
        <v>12.96422699706743</v>
      </c>
      <c r="O62" s="26">
        <f>N62*(1+Macroeconomicos!O7)</f>
        <v>13.417974941964788</v>
      </c>
    </row>
    <row r="63" spans="2:15" ht="20.100000000000001" customHeight="1">
      <c r="B63" s="33" t="s">
        <v>997</v>
      </c>
      <c r="C63" s="24"/>
      <c r="D63" s="24"/>
      <c r="E63" s="587">
        <f>11.3994131799656*(1+Macroeconomicos!E7)</f>
        <v>11.502396050646974</v>
      </c>
      <c r="F63" s="26">
        <f>E63*(1+Macroeconomicos!F7)</f>
        <v>11.906130152024682</v>
      </c>
      <c r="G63" s="26">
        <f>F63*(1+Macroeconomicos!G7)</f>
        <v>12.349038193679998</v>
      </c>
      <c r="H63" s="26">
        <f>G63*(1+Macroeconomicos!H7)</f>
        <v>12.818301645039838</v>
      </c>
      <c r="I63" s="26">
        <f>H63*(1+Macroeconomicos!I7)</f>
        <v>13.266942202616232</v>
      </c>
      <c r="J63" s="26">
        <f>I63*(1+Macroeconomicos!J7)</f>
        <v>13.731285179707799</v>
      </c>
      <c r="K63" s="26">
        <f>J63*(1+Macroeconomicos!K7)</f>
        <v>14.21188016099757</v>
      </c>
      <c r="L63" s="26">
        <f>K63*(1+Macroeconomicos!L7)</f>
        <v>14.709295966632483</v>
      </c>
      <c r="M63" s="26">
        <f>L63*(1+Macroeconomicos!M7)</f>
        <v>15.224121325464619</v>
      </c>
      <c r="N63" s="26">
        <f>M63*(1+Macroeconomicos!N7)</f>
        <v>15.756965571855879</v>
      </c>
      <c r="O63" s="26">
        <f>N63*(1+Macroeconomicos!O7)</f>
        <v>16.308459366870835</v>
      </c>
    </row>
    <row r="64" spans="2:15" ht="20.100000000000001" customHeight="1">
      <c r="B64" s="33" t="s">
        <v>327</v>
      </c>
      <c r="C64" s="24"/>
      <c r="D64" s="24"/>
      <c r="E64" s="71">
        <f>SUM(E60:E63)</f>
        <v>120.67189490405887</v>
      </c>
      <c r="F64" s="71">
        <f t="shared" ref="F64:O64" si="16">SUM(F60:F63)</f>
        <v>128.96448202861419</v>
      </c>
      <c r="G64" s="71">
        <f t="shared" si="16"/>
        <v>155.75550941135469</v>
      </c>
      <c r="H64" s="71">
        <f t="shared" si="16"/>
        <v>306.55132333092695</v>
      </c>
      <c r="I64" s="71">
        <f t="shared" si="16"/>
        <v>277.71050984873108</v>
      </c>
      <c r="J64" s="71">
        <f t="shared" si="16"/>
        <v>277.19771668007752</v>
      </c>
      <c r="K64" s="71">
        <f t="shared" si="16"/>
        <v>314.01178896737923</v>
      </c>
      <c r="L64" s="71">
        <f t="shared" si="16"/>
        <v>337.82572173940167</v>
      </c>
      <c r="M64" s="71">
        <f t="shared" si="16"/>
        <v>350.86432627356828</v>
      </c>
      <c r="N64" s="71">
        <f t="shared" si="16"/>
        <v>368.23049616934117</v>
      </c>
      <c r="O64" s="71">
        <f t="shared" si="16"/>
        <v>397.81534086011425</v>
      </c>
    </row>
    <row r="65" spans="2:15">
      <c r="E65" s="61"/>
      <c r="F65" s="61"/>
      <c r="G65" s="61"/>
      <c r="H65" s="61"/>
      <c r="I65" s="61"/>
      <c r="J65" s="61"/>
      <c r="K65" s="61"/>
      <c r="L65" s="61"/>
      <c r="M65" s="61"/>
      <c r="N65" s="61"/>
      <c r="O65" s="61"/>
    </row>
    <row r="66" spans="2:15" ht="20.100000000000001" customHeight="1" thickBot="1">
      <c r="B66" s="570" t="s">
        <v>328</v>
      </c>
      <c r="C66" s="35"/>
      <c r="D66" s="35"/>
      <c r="E66" s="35"/>
      <c r="F66" s="35"/>
      <c r="G66" s="35"/>
      <c r="H66" s="35"/>
      <c r="I66" s="35"/>
      <c r="J66" s="35"/>
      <c r="K66" s="35"/>
      <c r="L66" s="35"/>
      <c r="M66" s="35"/>
      <c r="N66" s="35"/>
      <c r="O66" s="35"/>
    </row>
    <row r="67" spans="2:15" ht="20.100000000000001" customHeight="1" thickTop="1">
      <c r="B67" s="33" t="s">
        <v>323</v>
      </c>
      <c r="C67" s="24"/>
      <c r="D67" s="24"/>
      <c r="E67" s="71">
        <f>(Macroeconomicos!E18*E39*Macroeconomicos!E10)/1000</f>
        <v>431.58069647883417</v>
      </c>
      <c r="F67" s="71">
        <f>(Macroeconomicos!F18*F39*Macroeconomicos!F10)/1000</f>
        <v>462.65335944679509</v>
      </c>
      <c r="G67" s="71">
        <f>(Macroeconomicos!G18*G39*Macroeconomicos!G10)/1000</f>
        <v>478.31044170003617</v>
      </c>
      <c r="H67" s="71">
        <f>(Macroeconomicos!H18*H39*Macroeconomicos!H10)/1000</f>
        <v>494.30856934455323</v>
      </c>
      <c r="I67" s="71">
        <f>(Macroeconomicos!I18*I39*Macroeconomicos!I10)/1000</f>
        <v>514.9117395475314</v>
      </c>
      <c r="J67" s="71">
        <f>(Macroeconomicos!J18*J39*Macroeconomicos!J10)/1000</f>
        <v>545.72190424117809</v>
      </c>
      <c r="K67" s="71">
        <f>(Macroeconomicos!K18*K39*Macroeconomicos!K10)/1000</f>
        <v>583.11010764090122</v>
      </c>
      <c r="L67" s="71">
        <f>(Macroeconomicos!L18*L39*Macroeconomicos!L10)/1000</f>
        <v>621.61059841984888</v>
      </c>
      <c r="M67" s="71">
        <f>(Macroeconomicos!M18*M39*Macroeconomicos!M10)/1000</f>
        <v>664.17442762778103</v>
      </c>
      <c r="N67" s="71">
        <f>(Macroeconomicos!N18*N39*Macroeconomicos!N10)/1000</f>
        <v>707.49054354641612</v>
      </c>
      <c r="O67" s="71">
        <f>(Macroeconomicos!O18*O39*Macroeconomicos!O10)/1000</f>
        <v>751.96171165423198</v>
      </c>
    </row>
    <row r="68" spans="2:15" ht="20.100000000000001" customHeight="1">
      <c r="B68" s="33" t="s">
        <v>496</v>
      </c>
      <c r="C68" s="24"/>
      <c r="D68" s="24"/>
      <c r="E68" s="71">
        <f>E144</f>
        <v>41.166667900865036</v>
      </c>
      <c r="F68" s="71">
        <f t="shared" ref="F68:O68" si="17">F144</f>
        <v>43.650402302234411</v>
      </c>
      <c r="G68" s="71">
        <f t="shared" si="17"/>
        <v>46.149831969488865</v>
      </c>
      <c r="H68" s="71">
        <f t="shared" si="17"/>
        <v>48.478535608793251</v>
      </c>
      <c r="I68" s="71">
        <f t="shared" si="17"/>
        <v>50.333052284937025</v>
      </c>
      <c r="J68" s="71">
        <f t="shared" si="17"/>
        <v>51.40329587050114</v>
      </c>
      <c r="K68" s="71">
        <f t="shared" si="17"/>
        <v>53.821588335650269</v>
      </c>
      <c r="L68" s="71">
        <f t="shared" si="17"/>
        <v>56.321170017625626</v>
      </c>
      <c r="M68" s="71">
        <f t="shared" si="17"/>
        <v>58.496019212235453</v>
      </c>
      <c r="N68" s="71">
        <f t="shared" si="17"/>
        <v>61.286822223711141</v>
      </c>
      <c r="O68" s="71">
        <f t="shared" si="17"/>
        <v>63.910776000922567</v>
      </c>
    </row>
    <row r="69" spans="2:15" ht="20.100000000000001" customHeight="1">
      <c r="B69" s="33" t="s">
        <v>996</v>
      </c>
      <c r="C69" s="24"/>
      <c r="D69" s="24"/>
      <c r="E69" s="587">
        <f>14.3052577445*(1+Macroeconomicos!E7)</f>
        <v>14.434492160790366</v>
      </c>
      <c r="F69" s="26">
        <f>E69*(1+Macroeconomicos!F7)</f>
        <v>14.941142835634107</v>
      </c>
      <c r="G69" s="26">
        <f>F69*(1+Macroeconomicos!G7)</f>
        <v>15.496953349119694</v>
      </c>
      <c r="H69" s="26">
        <f>G69*(1+Macroeconomicos!H7)</f>
        <v>16.085837576386243</v>
      </c>
      <c r="I69" s="26">
        <f>H69*(1+Macroeconomicos!I7)</f>
        <v>16.648841891559762</v>
      </c>
      <c r="J69" s="26">
        <f>I69*(1+Macroeconomicos!J7)</f>
        <v>17.231551357764353</v>
      </c>
      <c r="K69" s="26">
        <f>J69*(1+Macroeconomicos!K7)</f>
        <v>17.834655655286102</v>
      </c>
      <c r="L69" s="26">
        <f>K69*(1+Macroeconomicos!L7)</f>
        <v>18.458868603221113</v>
      </c>
      <c r="M69" s="26">
        <f>L69*(1+Macroeconomicos!M7)</f>
        <v>19.104929004333851</v>
      </c>
      <c r="N69" s="26">
        <f>M69*(1+Macroeconomicos!N7)</f>
        <v>19.773601519485535</v>
      </c>
      <c r="O69" s="26">
        <f>N69*(1+Macroeconomicos!O7)</f>
        <v>20.465677572667527</v>
      </c>
    </row>
    <row r="70" spans="2:15" ht="20.100000000000001" customHeight="1">
      <c r="B70" s="33" t="s">
        <v>997</v>
      </c>
      <c r="C70" s="24"/>
      <c r="D70" s="24"/>
      <c r="E70" s="587">
        <f>26.9879719489935*(1+Macroeconomicos!E7)</f>
        <v>27.231782641815858</v>
      </c>
      <c r="F70" s="26">
        <f>E70*(1+Macroeconomicos!F7)</f>
        <v>28.187618212543594</v>
      </c>
      <c r="G70" s="26">
        <f>F70*(1+Macroeconomicos!G7)</f>
        <v>29.236197610050212</v>
      </c>
      <c r="H70" s="26">
        <f>G70*(1+Macroeconomicos!H7)</f>
        <v>30.347173119232121</v>
      </c>
      <c r="I70" s="26">
        <f>H70*(1+Macroeconomicos!I7)</f>
        <v>31.409324178405242</v>
      </c>
      <c r="J70" s="26">
        <f>I70*(1+Macroeconomicos!J7)</f>
        <v>32.508650524649426</v>
      </c>
      <c r="K70" s="26">
        <f>J70*(1+Macroeconomicos!K7)</f>
        <v>33.646453293012151</v>
      </c>
      <c r="L70" s="26">
        <f>K70*(1+Macroeconomicos!L7)</f>
        <v>34.824079158267573</v>
      </c>
      <c r="M70" s="26">
        <f>L70*(1+Macroeconomicos!M7)</f>
        <v>36.042921928806933</v>
      </c>
      <c r="N70" s="26">
        <f>M70*(1+Macroeconomicos!N7)</f>
        <v>37.304424196315175</v>
      </c>
      <c r="O70" s="26">
        <f>N70*(1+Macroeconomicos!O7)</f>
        <v>38.610079043186204</v>
      </c>
    </row>
    <row r="71" spans="2:15" ht="20.100000000000001" customHeight="1">
      <c r="B71" s="33" t="s">
        <v>329</v>
      </c>
      <c r="C71" s="24"/>
      <c r="D71" s="24"/>
      <c r="E71" s="71">
        <f>SUM(E67:E70)</f>
        <v>514.41363918230536</v>
      </c>
      <c r="F71" s="71">
        <f t="shared" ref="F71:O71" si="18">SUM(F67:F70)</f>
        <v>549.43252279720718</v>
      </c>
      <c r="G71" s="71">
        <f t="shared" si="18"/>
        <v>569.19342462869497</v>
      </c>
      <c r="H71" s="71">
        <f t="shared" si="18"/>
        <v>589.22011564896479</v>
      </c>
      <c r="I71" s="71">
        <f t="shared" si="18"/>
        <v>613.30295790243338</v>
      </c>
      <c r="J71" s="71">
        <f t="shared" si="18"/>
        <v>646.86540199409296</v>
      </c>
      <c r="K71" s="71">
        <f t="shared" si="18"/>
        <v>688.41280492484987</v>
      </c>
      <c r="L71" s="71">
        <f t="shared" si="18"/>
        <v>731.21471619896317</v>
      </c>
      <c r="M71" s="71">
        <f t="shared" si="18"/>
        <v>777.81829777315716</v>
      </c>
      <c r="N71" s="71">
        <f t="shared" si="18"/>
        <v>825.85539148592795</v>
      </c>
      <c r="O71" s="71">
        <f t="shared" si="18"/>
        <v>874.94824427100843</v>
      </c>
    </row>
    <row r="72" spans="2:15">
      <c r="E72" s="61"/>
    </row>
    <row r="73" spans="2:15" ht="20.100000000000001" customHeight="1" thickBot="1">
      <c r="B73" s="570" t="s">
        <v>388</v>
      </c>
      <c r="E73" s="61"/>
    </row>
    <row r="74" spans="2:15" ht="20.100000000000001" customHeight="1" thickTop="1">
      <c r="B74" s="33" t="s">
        <v>337</v>
      </c>
      <c r="C74" s="74"/>
      <c r="D74" s="74"/>
      <c r="E74" s="591">
        <f>Macroeconomicos!$C$87</f>
        <v>29000</v>
      </c>
      <c r="F74" s="591">
        <f>Macroeconomicos!$C$87</f>
        <v>29000</v>
      </c>
      <c r="G74" s="224">
        <f>IF(OR(Tipo_combustible="Gas Cusiana",Tipo_combustible="Gas GNL"),ROUNDUP(Macroeconomicos!$F$48*G89*G38/Dias_año,-3),0)</f>
        <v>0</v>
      </c>
      <c r="H74" s="224">
        <f>IF(OR(Tipo_combustible="Gas Cusiana",Tipo_combustible="Gas GNL"),ROUNDUP(Macroeconomicos!$F$48*H89*H38/Dias_año,-3),0)</f>
        <v>0</v>
      </c>
      <c r="I74" s="224">
        <f>IF(OR(Tipo_combustible="Gas Cusiana",Tipo_combustible="Gas GNL"),ROUNDUP(Macroeconomicos!$F$48*I89*I38/Dias_año,-3),0)</f>
        <v>0</v>
      </c>
      <c r="J74" s="224">
        <f>IF(OR(Tipo_combustible="Gas Cusiana",Tipo_combustible="Gas GNL"),ROUNDUP(Macroeconomicos!$F$48*J89*J38/Dias_año,-3),0)</f>
        <v>0</v>
      </c>
      <c r="K74" s="224">
        <f>IF(OR(Tipo_combustible="Gas Cusiana",Tipo_combustible="Gas GNL"),ROUNDUP(Macroeconomicos!$F$48*K89*K38/Dias_año,-3),0)</f>
        <v>0</v>
      </c>
      <c r="L74" s="224">
        <f>IF(OR(Tipo_combustible="Gas Cusiana",Tipo_combustible="Gas GNL"),ROUNDUP(Macroeconomicos!$F$48*L89*L38/Dias_año,-3),0)</f>
        <v>0</v>
      </c>
      <c r="M74" s="224">
        <f>IF(OR(Tipo_combustible="Gas Cusiana",Tipo_combustible="Gas GNL"),ROUNDUP(Macroeconomicos!$F$48*M89*M38/Dias_año,-3),0)</f>
        <v>0</v>
      </c>
      <c r="N74" s="224">
        <f>IF(OR(Tipo_combustible="Gas Cusiana",Tipo_combustible="Gas GNL"),ROUNDUP(Macroeconomicos!$F$48*N89*N38/Dias_año,-3),0)</f>
        <v>0</v>
      </c>
      <c r="O74" s="591">
        <f>IF(Perpetuidad_Termocentro="No",0,IF(OR(Tipo_combustible="Gas Cusiana",Tipo_combustible="Gas GNL"),ROUNDUP(Macroeconomicos!$F$48*O89*O38/Dias_año,-3),0))</f>
        <v>0</v>
      </c>
    </row>
    <row r="75" spans="2:15" ht="20.100000000000001" customHeight="1">
      <c r="B75" s="33" t="s">
        <v>999</v>
      </c>
      <c r="C75" s="74"/>
      <c r="D75" s="74"/>
      <c r="E75" s="591">
        <f>Macroeconomicos!$C$88</f>
        <v>705600</v>
      </c>
      <c r="F75" s="591">
        <f>Macroeconomicos!$C$88</f>
        <v>705600</v>
      </c>
      <c r="G75" s="224">
        <f>IF(Tipo_combustible="Jet fuel",ROUNDUP(Macroeconomicos!$C$48*G89*G39*Dias_Importac_Jet/1000/Macroeconomicos!$C$79,-2),0)</f>
        <v>1411300</v>
      </c>
      <c r="H75" s="224">
        <f>IF(Tipo_combustible="Jet fuel",ROUNDUP(Macroeconomicos!$C$48*H89*H39*Dias_Importac_Jet/1000/Macroeconomicos!$C$79,-2),0)</f>
        <v>1397100</v>
      </c>
      <c r="I75" s="224">
        <f>IF(Tipo_combustible="Jet fuel",ROUNDUP(Macroeconomicos!$C$48*I89*I39*Dias_Importac_Jet/1000/Macroeconomicos!$C$79,-2),0)</f>
        <v>1312500</v>
      </c>
      <c r="J75" s="224">
        <f>IF(Tipo_combustible="Jet fuel",ROUNDUP(Macroeconomicos!$C$48*J89*J39*Dias_Importac_Jet/1000/Macroeconomicos!$C$79,-2),0)</f>
        <v>1326600</v>
      </c>
      <c r="K75" s="224">
        <f>IF(Tipo_combustible="Jet fuel",ROUNDUP(Macroeconomicos!$C$48*K89*K39*Dias_Importac_Jet/1000/Macroeconomicos!$C$79,-2),0)</f>
        <v>1340700</v>
      </c>
      <c r="L75" s="224">
        <f>IF(Tipo_combustible="Jet fuel",ROUNDUP(Macroeconomicos!$C$48*L89*L39*Dias_Importac_Jet/1000/Macroeconomicos!$C$79,-2),0)</f>
        <v>1383000</v>
      </c>
      <c r="M75" s="224">
        <f>IF(Tipo_combustible="Jet fuel",ROUNDUP(Macroeconomicos!$C$48*M89*M39*Dias_Importac_Jet/1000/Macroeconomicos!$C$79,-2),0)</f>
        <v>1411300</v>
      </c>
      <c r="N75" s="224">
        <f>IF(Tipo_combustible="Jet fuel",ROUNDUP(Macroeconomicos!$C$48*N89*N39*Dias_Importac_Jet/1000/Macroeconomicos!$C$79,-2),0)</f>
        <v>1397100</v>
      </c>
      <c r="O75" s="591">
        <f>IF(Perpetuidad_Termocentro="No",0,IF(Tipo_combustible="Jet fuel",ROUND(Macroeconomicos!$C$48*O89*O39*Dias_Importac_Jet/1000/Macroeconomicos!$C$79,-2),0))</f>
        <v>1411200</v>
      </c>
    </row>
    <row r="76" spans="2:15" ht="20.100000000000001" customHeight="1">
      <c r="B76" s="110" t="s">
        <v>279</v>
      </c>
      <c r="C76" s="107"/>
      <c r="D76" s="107"/>
      <c r="E76" s="109"/>
      <c r="F76" s="108"/>
      <c r="G76" s="108"/>
      <c r="H76" s="108"/>
      <c r="I76" s="108"/>
      <c r="J76" s="108"/>
      <c r="K76" s="108"/>
      <c r="L76" s="108"/>
      <c r="M76" s="108"/>
      <c r="N76" s="108"/>
      <c r="O76" s="108"/>
    </row>
    <row r="77" spans="2:15" ht="20.100000000000001" customHeight="1">
      <c r="B77" s="57" t="s">
        <v>280</v>
      </c>
      <c r="C77" s="107"/>
      <c r="D77" s="107"/>
      <c r="E77" s="109"/>
      <c r="F77" s="108"/>
      <c r="G77" s="108"/>
      <c r="H77" s="108"/>
      <c r="I77" s="108"/>
      <c r="J77" s="108"/>
      <c r="K77" s="108"/>
      <c r="L77" s="108"/>
      <c r="M77" s="108"/>
      <c r="N77" s="108"/>
      <c r="O77" s="108"/>
    </row>
    <row r="78" spans="2:15" ht="20.100000000000001" customHeight="1">
      <c r="B78" s="57" t="s">
        <v>281</v>
      </c>
      <c r="C78" s="107"/>
      <c r="D78" s="107"/>
      <c r="E78" s="109"/>
      <c r="F78" s="108"/>
      <c r="G78" s="108"/>
      <c r="H78" s="108"/>
      <c r="I78" s="108"/>
      <c r="J78" s="108"/>
      <c r="K78" s="108"/>
      <c r="L78" s="108"/>
      <c r="M78" s="108"/>
      <c r="N78" s="108"/>
      <c r="O78" s="108"/>
    </row>
    <row r="79" spans="2:15" ht="20.100000000000001" customHeight="1">
      <c r="B79" s="57" t="s">
        <v>283</v>
      </c>
      <c r="C79" s="107"/>
      <c r="D79" s="107"/>
      <c r="E79" s="109"/>
      <c r="F79" s="108"/>
      <c r="G79" s="108"/>
      <c r="H79" s="108"/>
      <c r="I79" s="108"/>
      <c r="J79" s="108"/>
      <c r="K79" s="108"/>
      <c r="L79" s="108"/>
      <c r="M79" s="108"/>
      <c r="N79" s="108"/>
      <c r="O79" s="108"/>
    </row>
    <row r="80" spans="2:15" ht="20.100000000000001" customHeight="1">
      <c r="B80" s="57" t="s">
        <v>284</v>
      </c>
      <c r="C80" s="107"/>
      <c r="D80" s="107"/>
      <c r="E80" s="109"/>
      <c r="F80" s="108"/>
      <c r="G80" s="108"/>
      <c r="H80" s="108"/>
      <c r="I80" s="108"/>
      <c r="J80" s="108"/>
      <c r="K80" s="108"/>
      <c r="L80" s="108"/>
      <c r="M80" s="108"/>
      <c r="N80" s="108"/>
      <c r="O80" s="108"/>
    </row>
    <row r="81" spans="2:24">
      <c r="B81" s="73"/>
      <c r="C81" s="35"/>
      <c r="D81" s="35"/>
      <c r="E81" s="35"/>
      <c r="F81" s="35"/>
      <c r="G81" s="35"/>
      <c r="H81" s="35"/>
      <c r="I81" s="35"/>
      <c r="J81" s="35"/>
      <c r="K81" s="35"/>
      <c r="L81" s="35"/>
      <c r="M81" s="35"/>
      <c r="N81" s="35"/>
      <c r="O81" s="35"/>
    </row>
    <row r="82" spans="2:24" ht="20.100000000000001" customHeight="1" thickBot="1">
      <c r="B82" s="570" t="s">
        <v>231</v>
      </c>
    </row>
    <row r="83" spans="2:24" ht="20.100000000000001" customHeight="1" thickTop="1">
      <c r="B83" s="33" t="s">
        <v>132</v>
      </c>
      <c r="C83" s="26"/>
      <c r="D83" s="26"/>
      <c r="E83" s="37">
        <f>1-E84</f>
        <v>0.16000000000000003</v>
      </c>
      <c r="F83" s="37">
        <f t="shared" ref="F83:O83" si="19">1-F84</f>
        <v>0.26</v>
      </c>
      <c r="G83" s="37">
        <f t="shared" si="19"/>
        <v>0.20000000000000007</v>
      </c>
      <c r="H83" s="37">
        <f t="shared" si="19"/>
        <v>0.20000000000000007</v>
      </c>
      <c r="I83" s="37">
        <f t="shared" si="19"/>
        <v>0.20000000000000007</v>
      </c>
      <c r="J83" s="37">
        <f t="shared" si="19"/>
        <v>0.30000000000000004</v>
      </c>
      <c r="K83" s="37">
        <f t="shared" si="19"/>
        <v>0.20000000000000007</v>
      </c>
      <c r="L83" s="37">
        <f t="shared" si="19"/>
        <v>0.20000000000000007</v>
      </c>
      <c r="M83" s="37">
        <f t="shared" si="19"/>
        <v>0.20000000000000007</v>
      </c>
      <c r="N83" s="37">
        <f t="shared" si="19"/>
        <v>0.30000000000000004</v>
      </c>
      <c r="O83" s="592">
        <f t="shared" si="19"/>
        <v>0.20000000000000007</v>
      </c>
    </row>
    <row r="84" spans="2:24" ht="20.100000000000001" customHeight="1">
      <c r="B84" s="33" t="s">
        <v>1001</v>
      </c>
      <c r="C84" s="26"/>
      <c r="D84" s="26"/>
      <c r="E84" s="36">
        <f>IF(AND(E42=1,E16&lt;=Vigencia_Contratato_Gas),Historicos!$C$27,IF(AND(E42=1,E16&gt;Vigencia_Contratato_Gas,OR(Tipo_combustible="GAS Cusiana",Tipo_combustible="GAS GNL")),Historicos!$C$27,IF(AND(E42=1,E16&gt;Vigencia_Contratato_Gas,Tipo_combustible="Jet fuel"),Historicos!$C$31,IF(AND(E42=0,E16&lt;=Vigencia_Contratato_Gas),Historicos!$C$26,IF(AND(E42=0,E16&gt;Vigencia_Contratato_Gas,OR(Tipo_combustible="GAS Cusiana",Tipo_combustible="GAS GNL")),Historicos!$C$26,Historicos!$C$30)))))</f>
        <v>0.84</v>
      </c>
      <c r="F84" s="36">
        <f>IF(AND(F42=1,F16&lt;=Vigencia_Contratato_Gas),Historicos!$C$27,IF(AND(F42=1,F16&gt;Vigencia_Contratato_Gas,OR(Tipo_combustible="GAS Cusiana",Tipo_combustible="GAS GNL")),Historicos!$C$27,IF(AND(F42=1,F16&gt;Vigencia_Contratato_Gas,Tipo_combustible="Jet fuel"),Historicos!$C$31,IF(AND(F42=0,F16&lt;=Vigencia_Contratato_Gas),Historicos!$C$26,IF(AND(F42=0,F16&gt;Vigencia_Contratato_Gas,OR(Tipo_combustible="GAS Cusiana",Tipo_combustible="GAS GNL")),Historicos!$C$26,Historicos!$C$30)))))</f>
        <v>0.74</v>
      </c>
      <c r="G84" s="36">
        <f>IF(AND(G42=1,G16&lt;=Vigencia_Contratato_Gas),Historicos!$C$27,IF(AND(G42=1,G16&gt;Vigencia_Contratato_Gas,OR(Tipo_combustible="GAS Cusiana",Tipo_combustible="GAS GNL")),Historicos!$C$27,IF(AND(G42=1,G16&gt;Vigencia_Contratato_Gas,Tipo_combustible="Jet fuel"),Historicos!$C$31,IF(AND(G42=0,G16&lt;=Vigencia_Contratato_Gas),Historicos!$C$26,IF(AND(G42=0,G16&gt;Vigencia_Contratato_Gas,OR(Tipo_combustible="GAS Cusiana",Tipo_combustible="GAS GNL")),Historicos!$C$26,Historicos!$C$30)))))</f>
        <v>0.79999999999999993</v>
      </c>
      <c r="H84" s="36">
        <f>IF(AND(H42=1,H16&lt;=Vigencia_Contratato_Gas),Historicos!$C$27,IF(AND(H42=1,H16&gt;Vigencia_Contratato_Gas,OR(Tipo_combustible="GAS Cusiana",Tipo_combustible="GAS GNL")),Historicos!$C$27,IF(AND(H42=1,H16&gt;Vigencia_Contratato_Gas,Tipo_combustible="Jet fuel"),Historicos!$C$31,IF(AND(H42=0,H16&lt;=Vigencia_Contratato_Gas),Historicos!$C$26,IF(AND(H42=0,H16&gt;Vigencia_Contratato_Gas,OR(Tipo_combustible="GAS Cusiana",Tipo_combustible="GAS GNL")),Historicos!$C$26,Historicos!$C$30)))))</f>
        <v>0.79999999999999993</v>
      </c>
      <c r="I84" s="36">
        <f>IF(AND(I42=1,I16&lt;=Vigencia_Contratato_Gas),Historicos!$C$27,IF(AND(I42=1,I16&gt;Vigencia_Contratato_Gas,OR(Tipo_combustible="GAS Cusiana",Tipo_combustible="GAS GNL")),Historicos!$C$27,IF(AND(I42=1,I16&gt;Vigencia_Contratato_Gas,Tipo_combustible="Jet fuel"),Historicos!$C$31,IF(AND(I42=0,I16&lt;=Vigencia_Contratato_Gas),Historicos!$C$26,IF(AND(I42=0,I16&gt;Vigencia_Contratato_Gas,OR(Tipo_combustible="GAS Cusiana",Tipo_combustible="GAS GNL")),Historicos!$C$26,Historicos!$C$30)))))</f>
        <v>0.79999999999999993</v>
      </c>
      <c r="J84" s="36">
        <f>IF(AND(J42=1,J16&lt;=Vigencia_Contratato_Gas),Historicos!$C$27,IF(AND(J42=1,J16&gt;Vigencia_Contratato_Gas,OR(Tipo_combustible="GAS Cusiana",Tipo_combustible="GAS GNL")),Historicos!$C$27,IF(AND(J42=1,J16&gt;Vigencia_Contratato_Gas,Tipo_combustible="Jet fuel"),Historicos!$C$31,IF(AND(J42=0,J16&lt;=Vigencia_Contratato_Gas),Historicos!$C$26,IF(AND(J42=0,J16&gt;Vigencia_Contratato_Gas,OR(Tipo_combustible="GAS Cusiana",Tipo_combustible="GAS GNL")),Historicos!$C$26,Historicos!$C$30)))))</f>
        <v>0.7</v>
      </c>
      <c r="K84" s="36">
        <f>IF(AND(K42=1,K16&lt;=Vigencia_Contratato_Gas),Historicos!$C$27,IF(AND(K42=1,K16&gt;Vigencia_Contratato_Gas,OR(Tipo_combustible="GAS Cusiana",Tipo_combustible="GAS GNL")),Historicos!$C$27,IF(AND(K42=1,K16&gt;Vigencia_Contratato_Gas,Tipo_combustible="Jet fuel"),Historicos!$C$31,IF(AND(K42=0,K16&lt;=Vigencia_Contratato_Gas),Historicos!$C$26,IF(AND(K42=0,K16&gt;Vigencia_Contratato_Gas,OR(Tipo_combustible="GAS Cusiana",Tipo_combustible="GAS GNL")),Historicos!$C$26,Historicos!$C$30)))))</f>
        <v>0.79999999999999993</v>
      </c>
      <c r="L84" s="36">
        <f>IF(AND(L42=1,L16&lt;=Vigencia_Contratato_Gas),Historicos!$C$27,IF(AND(L42=1,L16&gt;Vigencia_Contratato_Gas,OR(Tipo_combustible="GAS Cusiana",Tipo_combustible="GAS GNL")),Historicos!$C$27,IF(AND(L42=1,L16&gt;Vigencia_Contratato_Gas,Tipo_combustible="Jet fuel"),Historicos!$C$31,IF(AND(L42=0,L16&lt;=Vigencia_Contratato_Gas),Historicos!$C$26,IF(AND(L42=0,L16&gt;Vigencia_Contratato_Gas,OR(Tipo_combustible="GAS Cusiana",Tipo_combustible="GAS GNL")),Historicos!$C$26,Historicos!$C$30)))))</f>
        <v>0.79999999999999993</v>
      </c>
      <c r="M84" s="36">
        <f>IF(AND(M42=1,M16&lt;=Vigencia_Contratato_Gas),Historicos!$C$27,IF(AND(M42=1,M16&gt;Vigencia_Contratato_Gas,OR(Tipo_combustible="GAS Cusiana",Tipo_combustible="GAS GNL")),Historicos!$C$27,IF(AND(M42=1,M16&gt;Vigencia_Contratato_Gas,Tipo_combustible="Jet fuel"),Historicos!$C$31,IF(AND(M42=0,M16&lt;=Vigencia_Contratato_Gas),Historicos!$C$26,IF(AND(M42=0,M16&gt;Vigencia_Contratato_Gas,OR(Tipo_combustible="GAS Cusiana",Tipo_combustible="GAS GNL")),Historicos!$C$26,Historicos!$C$30)))))</f>
        <v>0.79999999999999993</v>
      </c>
      <c r="N84" s="36">
        <f>IF(AND(N42=1,N16&lt;=Vigencia_Contratato_Gas),Historicos!$C$27,IF(AND(N42=1,N16&gt;Vigencia_Contratato_Gas,OR(Tipo_combustible="GAS Cusiana",Tipo_combustible="GAS GNL")),Historicos!$C$27,IF(AND(N42=1,N16&gt;Vigencia_Contratato_Gas,Tipo_combustible="Jet fuel"),Historicos!$C$31,IF(AND(N42=0,N16&lt;=Vigencia_Contratato_Gas),Historicos!$C$26,IF(AND(N42=0,N16&gt;Vigencia_Contratato_Gas,OR(Tipo_combustible="GAS Cusiana",Tipo_combustible="GAS GNL")),Historicos!$C$26,Historicos!$C$30)))))</f>
        <v>0.7</v>
      </c>
      <c r="O84" s="593">
        <f>IF(Perpetuidad_Termocentro="Sí",IF(AND(O42=1,O16&lt;=Vigencia_Contratato_Gas),Historicos!$C$27,IF(AND(O42=1,O16&gt;Vigencia_Contratato_Gas,OR(Tipo_combustible="GAS Cusiana",Tipo_combustible="GAS GNL")),Historicos!$C$27,IF(AND(O42=1,O16&gt;Vigencia_Contratato_Gas,Tipo_combustible="Jet fuel"),Historicos!$C$31,IF(AND(O42=0,O16&lt;=Vigencia_Contratato_Gas),Historicos!$C$26,IF(AND(O42=0,O16&gt;Vigencia_Contratato_Gas,OR(Tipo_combustible="GAS Cusiana",Tipo_combustible="GAS GNL")),Historicos!$C$26,Historicos!$C$30))))),Historicos!$C$31)</f>
        <v>0.79999999999999993</v>
      </c>
      <c r="P84" s="537"/>
    </row>
    <row r="85" spans="2:24" ht="20.100000000000001" customHeight="1">
      <c r="B85" s="73"/>
      <c r="C85" s="35"/>
      <c r="D85" s="35"/>
      <c r="E85" s="195"/>
      <c r="F85" s="195"/>
      <c r="G85" s="195"/>
      <c r="H85" s="195"/>
      <c r="I85" s="195"/>
      <c r="J85" s="195"/>
      <c r="K85" s="195"/>
      <c r="L85" s="195"/>
      <c r="M85" s="195"/>
      <c r="N85" s="195"/>
      <c r="O85" s="196"/>
    </row>
    <row r="86" spans="2:24" ht="20.100000000000001" customHeight="1" thickBot="1">
      <c r="B86" s="570" t="s">
        <v>389</v>
      </c>
    </row>
    <row r="87" spans="2:24" ht="20.100000000000001" customHeight="1" thickTop="1">
      <c r="B87" s="33" t="s">
        <v>149</v>
      </c>
      <c r="C87" s="26"/>
      <c r="D87" s="26"/>
      <c r="E87" s="26">
        <f>Macroeconomicos!L40</f>
        <v>15.24969389351007</v>
      </c>
      <c r="F87" s="26">
        <f>Macroeconomicos!M40</f>
        <v>15.566887526495078</v>
      </c>
      <c r="G87" s="26">
        <f>Macroeconomicos!N40</f>
        <v>15.719513803679897</v>
      </c>
      <c r="H87" s="26">
        <f>Macroeconomicos!O40</f>
        <v>15.899152770360836</v>
      </c>
      <c r="I87" s="26">
        <f>Macroeconomicos!P40</f>
        <v>16.037218407500092</v>
      </c>
      <c r="J87" s="26">
        <f>Macroeconomicos!Q40</f>
        <v>16.197132286939873</v>
      </c>
      <c r="K87" s="26">
        <f>Macroeconomicos!R40</f>
        <v>16.359541803432936</v>
      </c>
      <c r="L87" s="26">
        <f>Macroeconomicos!S40</f>
        <v>16.515948512188029</v>
      </c>
      <c r="M87" s="26">
        <f>Macroeconomicos!T40</f>
        <v>16.678680108632719</v>
      </c>
      <c r="N87" s="26">
        <f>Macroeconomicos!U40</f>
        <v>16.842356758992832</v>
      </c>
      <c r="O87" s="26">
        <f>Macroeconomicos!V40</f>
        <v>17.006441049391288</v>
      </c>
    </row>
    <row r="88" spans="2:24" ht="20.100000000000001" customHeight="1">
      <c r="B88" s="33" t="s">
        <v>222</v>
      </c>
      <c r="C88" s="26"/>
      <c r="D88" s="26"/>
      <c r="E88" s="44">
        <f>Macroeconomicos!$F$51*E18/Mes_año</f>
        <v>4306735.375</v>
      </c>
      <c r="F88" s="44">
        <f>Macroeconomicos!$F$51*F18/Mes_año</f>
        <v>8613470.75</v>
      </c>
      <c r="G88" s="44">
        <f>Macroeconomicos!$F$51*G18/Mes_año</f>
        <v>8613470.75</v>
      </c>
      <c r="H88" s="44">
        <f>Macroeconomicos!$F$51*H18/Mes_año</f>
        <v>8613470.75</v>
      </c>
      <c r="I88" s="44">
        <f>Macroeconomicos!$F$51*I18/Mes_año</f>
        <v>8613470.75</v>
      </c>
      <c r="J88" s="44">
        <f>Macroeconomicos!$F$51*J18/Mes_año</f>
        <v>8613470.75</v>
      </c>
      <c r="K88" s="44">
        <f>Macroeconomicos!$F$51*K18/Mes_año</f>
        <v>8613470.75</v>
      </c>
      <c r="L88" s="44">
        <f>Macroeconomicos!$F$51*L18/Mes_año</f>
        <v>8613470.75</v>
      </c>
      <c r="M88" s="44">
        <f>Macroeconomicos!$F$51*M18/Mes_año</f>
        <v>8613470.75</v>
      </c>
      <c r="N88" s="44">
        <f>Macroeconomicos!$F$51*N18/Mes_año</f>
        <v>8613470.75</v>
      </c>
      <c r="O88" s="594">
        <f>IF(Perpetuidad_Termocentro="No",(Macroeconomicos!$F$51-Macroeconomicos!$F$48)*O18/Mes_año,Macroeconomicos!$F$51*O18/Mes_año)</f>
        <v>8613470.75</v>
      </c>
    </row>
    <row r="89" spans="2:24" ht="20.100000000000001" customHeight="1">
      <c r="B89" s="33" t="s">
        <v>223</v>
      </c>
      <c r="C89" s="26"/>
      <c r="D89" s="26"/>
      <c r="E89" s="26">
        <v>1</v>
      </c>
      <c r="F89" s="26">
        <v>1</v>
      </c>
      <c r="G89" s="26">
        <v>1</v>
      </c>
      <c r="H89" s="26">
        <v>0.99</v>
      </c>
      <c r="I89" s="26">
        <v>0.93</v>
      </c>
      <c r="J89" s="26">
        <v>0.94</v>
      </c>
      <c r="K89" s="26">
        <v>0.95</v>
      </c>
      <c r="L89" s="26">
        <v>0.98</v>
      </c>
      <c r="M89" s="26">
        <v>1</v>
      </c>
      <c r="N89" s="26">
        <v>0.99</v>
      </c>
      <c r="O89" s="26">
        <v>1</v>
      </c>
    </row>
    <row r="90" spans="2:24" ht="20.100000000000001" customHeight="1">
      <c r="B90" s="33" t="s">
        <v>1008</v>
      </c>
      <c r="C90" s="26"/>
      <c r="D90" s="26"/>
      <c r="E90" s="46">
        <f>E88*E89</f>
        <v>4306735.375</v>
      </c>
      <c r="F90" s="46">
        <f t="shared" ref="F90:O90" si="20">F88*F89</f>
        <v>8613470.75</v>
      </c>
      <c r="G90" s="46">
        <f t="shared" si="20"/>
        <v>8613470.75</v>
      </c>
      <c r="H90" s="46">
        <f t="shared" si="20"/>
        <v>8527336.0425000004</v>
      </c>
      <c r="I90" s="46">
        <f t="shared" si="20"/>
        <v>8010527.7975000003</v>
      </c>
      <c r="J90" s="46">
        <f t="shared" si="20"/>
        <v>8096662.5049999999</v>
      </c>
      <c r="K90" s="46">
        <f t="shared" si="20"/>
        <v>8182797.2124999994</v>
      </c>
      <c r="L90" s="46">
        <f t="shared" si="20"/>
        <v>8441201.334999999</v>
      </c>
      <c r="M90" s="46">
        <f t="shared" si="20"/>
        <v>8613470.75</v>
      </c>
      <c r="N90" s="46">
        <f t="shared" si="20"/>
        <v>8527336.0425000004</v>
      </c>
      <c r="O90" s="46">
        <f t="shared" si="20"/>
        <v>8613470.75</v>
      </c>
    </row>
    <row r="91" spans="2:24" ht="20.100000000000001" customHeight="1">
      <c r="B91" s="33" t="s">
        <v>1009</v>
      </c>
      <c r="C91" s="26"/>
      <c r="D91" s="26"/>
      <c r="E91" s="26">
        <f>Macroeconomicos!L41</f>
        <v>15.70491110846706</v>
      </c>
      <c r="F91" s="26">
        <f>Macroeconomicos!M41</f>
        <v>16.031573259523174</v>
      </c>
      <c r="G91" s="26">
        <f>Macroeconomicos!N41</f>
        <v>16.188755569721803</v>
      </c>
      <c r="H91" s="26">
        <f>Macroeconomicos!O41</f>
        <v>16.3737569227353</v>
      </c>
      <c r="I91" s="26">
        <f>Macroeconomicos!P41</f>
        <v>16.515943944556682</v>
      </c>
      <c r="J91" s="26">
        <f>Macroeconomicos!Q41</f>
        <v>16.68063139855736</v>
      </c>
      <c r="K91" s="26">
        <f>Macroeconomicos!R41</f>
        <v>16.847888986644303</v>
      </c>
      <c r="L91" s="26">
        <f>Macroeconomicos!S41</f>
        <v>17.008964577729579</v>
      </c>
      <c r="M91" s="26">
        <f>Macroeconomicos!T41</f>
        <v>17.176553860147269</v>
      </c>
      <c r="N91" s="26">
        <f>Macroeconomicos!U41</f>
        <v>17.345116407198208</v>
      </c>
      <c r="O91" s="26">
        <f>Macroeconomicos!V41</f>
        <v>17.514098762712919</v>
      </c>
    </row>
    <row r="92" spans="2:24" ht="20.100000000000001" customHeight="1">
      <c r="B92" s="33" t="s">
        <v>1010</v>
      </c>
      <c r="C92" s="26"/>
      <c r="D92" s="26"/>
      <c r="E92" s="46">
        <f>Macroeconomicos!C58</f>
        <v>493493.82589583367</v>
      </c>
      <c r="F92" s="46">
        <f>Macroeconomicos!D58</f>
        <v>3564996.4457500004</v>
      </c>
      <c r="G92" s="46">
        <f>Macroeconomicos!E58</f>
        <v>3564996.4457500004</v>
      </c>
      <c r="H92" s="46">
        <f>Macroeconomicos!F58</f>
        <v>3564996.4457500004</v>
      </c>
      <c r="I92" s="46">
        <f>Macroeconomicos!G58</f>
        <v>3564996.4457500004</v>
      </c>
      <c r="J92" s="46">
        <f>Macroeconomicos!H58</f>
        <v>3564996.4457500004</v>
      </c>
      <c r="K92" s="46">
        <f>Macroeconomicos!I58</f>
        <v>3564996.4457500004</v>
      </c>
      <c r="L92" s="46">
        <f>Macroeconomicos!J58</f>
        <v>3564996.4457500004</v>
      </c>
      <c r="M92" s="46">
        <f>Macroeconomicos!K58</f>
        <v>3564996.4457500004</v>
      </c>
      <c r="N92" s="46">
        <f>Macroeconomicos!L58</f>
        <v>3564996.4457500004</v>
      </c>
      <c r="O92" s="46">
        <f>Macroeconomicos!M58</f>
        <v>3564996.4457500004</v>
      </c>
    </row>
    <row r="93" spans="2:24" s="537" customFormat="1" ht="20.100000000000001" customHeight="1">
      <c r="B93" s="33" t="s">
        <v>1011</v>
      </c>
      <c r="C93" s="26"/>
      <c r="D93" s="26"/>
      <c r="E93" s="26">
        <f>Macroeconomicos!L42</f>
        <v>16.411713365031787</v>
      </c>
      <c r="F93" s="26">
        <f>Macroeconomicos!M42</f>
        <v>16.753077003024448</v>
      </c>
      <c r="G93" s="26">
        <f>Macroeconomicos!N42</f>
        <v>16.917333330438019</v>
      </c>
      <c r="H93" s="26">
        <f>Macroeconomicos!O42</f>
        <v>17.110660701527923</v>
      </c>
      <c r="I93" s="26">
        <f>Macroeconomicos!P42</f>
        <v>17.259246875002152</v>
      </c>
      <c r="J93" s="26">
        <f>Macroeconomicos!Q42</f>
        <v>17.431346116520228</v>
      </c>
      <c r="K93" s="26">
        <f>Macroeconomicos!R42</f>
        <v>17.606131161456236</v>
      </c>
      <c r="L93" s="26">
        <f>Macroeconomicos!S42</f>
        <v>17.774455987540058</v>
      </c>
      <c r="M93" s="26">
        <f>Macroeconomicos!T42</f>
        <v>17.949587654767875</v>
      </c>
      <c r="N93" s="26">
        <f>Macroeconomicos!U42</f>
        <v>18.125736388573078</v>
      </c>
      <c r="O93" s="26">
        <f>Macroeconomicos!V42</f>
        <v>18.302323824394993</v>
      </c>
      <c r="V93" s="561"/>
      <c r="W93" s="561"/>
      <c r="X93" s="561"/>
    </row>
    <row r="94" spans="2:24" s="537" customFormat="1" ht="20.100000000000001" customHeight="1">
      <c r="B94" s="33" t="s">
        <v>1012</v>
      </c>
      <c r="C94" s="26"/>
      <c r="D94" s="26"/>
      <c r="E94" s="46">
        <f>Macroeconomicos!C61</f>
        <v>0</v>
      </c>
      <c r="F94" s="46">
        <f>Macroeconomicos!D61</f>
        <v>0</v>
      </c>
      <c r="G94" s="46">
        <f>Macroeconomicos!E61</f>
        <v>439999.99999999994</v>
      </c>
      <c r="H94" s="46">
        <f>Macroeconomicos!F61</f>
        <v>439999.99999999994</v>
      </c>
      <c r="I94" s="46">
        <f>Macroeconomicos!G61</f>
        <v>439999.99999999994</v>
      </c>
      <c r="J94" s="46">
        <f>Macroeconomicos!H61</f>
        <v>439999.99999999994</v>
      </c>
      <c r="K94" s="46">
        <f>Macroeconomicos!I61</f>
        <v>439999.99999999994</v>
      </c>
      <c r="L94" s="46">
        <f>Macroeconomicos!J61</f>
        <v>439999.99999999994</v>
      </c>
      <c r="M94" s="46">
        <f>Macroeconomicos!K61</f>
        <v>439999.99999999994</v>
      </c>
      <c r="N94" s="46">
        <f>Macroeconomicos!L61</f>
        <v>439999.99999999994</v>
      </c>
      <c r="O94" s="46">
        <f>Macroeconomicos!M61</f>
        <v>439999.99999999994</v>
      </c>
      <c r="V94" s="561"/>
      <c r="W94" s="561"/>
      <c r="X94" s="561"/>
    </row>
    <row r="95" spans="2:24">
      <c r="E95" s="61"/>
      <c r="F95" s="61"/>
      <c r="G95" s="61"/>
      <c r="H95" s="61"/>
      <c r="I95" s="61"/>
      <c r="J95" s="61"/>
      <c r="K95" s="61"/>
      <c r="L95" s="61"/>
      <c r="M95" s="61"/>
      <c r="N95" s="61"/>
      <c r="O95" s="61"/>
    </row>
    <row r="96" spans="2:24" ht="20.100000000000001" customHeight="1" thickBot="1">
      <c r="B96" s="570" t="s">
        <v>269</v>
      </c>
      <c r="E96" s="61"/>
      <c r="F96" s="61"/>
      <c r="G96" s="61"/>
      <c r="H96" s="61"/>
      <c r="I96" s="61"/>
      <c r="J96" s="61"/>
      <c r="K96" s="61"/>
      <c r="L96" s="61"/>
      <c r="M96" s="61"/>
      <c r="N96" s="61"/>
      <c r="O96" s="61"/>
    </row>
    <row r="97" spans="2:24" ht="20.100000000000001" customHeight="1" thickTop="1">
      <c r="B97" s="33" t="s">
        <v>266</v>
      </c>
      <c r="C97" s="24"/>
      <c r="D97" s="24"/>
      <c r="E97" s="26">
        <f>SUMIF('Generacion Hidro por Planta'!$B$15:$B$140,E16,'Generacion Hidro por Planta'!$I$15:$I$140)*Dias_mes</f>
        <v>6063.4278915322648</v>
      </c>
      <c r="F97" s="26">
        <f>SUMIF('Generacion Hidro por Planta'!$B$15:$B$140,F16,'Generacion Hidro por Planta'!$I$15:$I$140)*Dias_mes</f>
        <v>14943.819584277409</v>
      </c>
      <c r="G97" s="26">
        <f>SUMIF('Generacion Hidro por Planta'!$B$15:$B$140,G16,'Generacion Hidro por Planta'!$I$15:$I$140)*Dias_mes</f>
        <v>15287.194959053286</v>
      </c>
      <c r="H97" s="26">
        <f>SUMIF('Generacion Hidro por Planta'!$B$15:$B$140,H16,'Generacion Hidro por Planta'!$I$15:$I$140)*Dias_mes</f>
        <v>15335.681507440493</v>
      </c>
      <c r="I97" s="26">
        <f>SUMIF('Generacion Hidro por Planta'!$B$15:$B$140,I16,'Generacion Hidro por Planta'!$I$15:$I$140)*Dias_mes</f>
        <v>16032.693266961101</v>
      </c>
      <c r="J97" s="26">
        <f>SUMIF('Generacion Hidro por Planta'!$B$15:$B$140,J16,'Generacion Hidro por Planta'!$I$15:$I$140)*Dias_mes</f>
        <v>15675.846102169753</v>
      </c>
      <c r="K97" s="26">
        <f>SUMIF('Generacion Hidro por Planta'!$B$15:$B$140,K16,'Generacion Hidro por Planta'!$I$15:$I$140)*Dias_mes</f>
        <v>15410.446456644746</v>
      </c>
      <c r="L97" s="26">
        <f>SUMIF('Generacion Hidro por Planta'!$B$15:$B$140,L16,'Generacion Hidro por Planta'!$I$15:$I$140)*Dias_mes</f>
        <v>15451.455585512689</v>
      </c>
      <c r="M97" s="26">
        <f>SUMIF('Generacion Hidro por Planta'!$B$15:$B$140,M16,'Generacion Hidro por Planta'!$I$15:$I$140)*Dias_mes</f>
        <v>15888.876456851656</v>
      </c>
      <c r="N97" s="26">
        <f>SUMIF('Generacion Hidro por Planta'!$B$15:$B$140,N16,'Generacion Hidro por Planta'!$I$15:$I$140)*Dias_mes</f>
        <v>15788.333877137753</v>
      </c>
      <c r="O97" s="26">
        <f>SUMIF('Generacion Hidro por Planta'!$B$15:$B$140,O16,'Generacion Hidro por Planta'!$I$15:$I$140)*Dias_mes</f>
        <v>15359.020465653211</v>
      </c>
    </row>
    <row r="98" spans="2:24" ht="20.100000000000001" customHeight="1">
      <c r="B98" s="33" t="s">
        <v>267</v>
      </c>
      <c r="C98" s="24"/>
      <c r="D98" s="24"/>
      <c r="E98" s="26">
        <f>IF(AND(E16&lt;=Vigencia_Contratato_Gas,E31&gt;E57),MIN(E74*Dias_año*E18/Mes_año/E38/1000,Macroeconomicos!$C$68*Macroeconomicos!$D$68*Horas_dia*Dias_año*E18/Mes_año/1000),IF(AND(Tipo_combustible="Gas Cusiana",E31&gt;E57),MIN(E74*Dias_año*E18/Mes_año/E38/1000,Macroeconomicos!$C$68*Macroeconomicos!$D$68*Horas_dia*Dias_año*E18/Mes_año/1000),IF(AND(Tipo_combustible="Gas GNL",E31&gt;E64),Macroeconomicos!$C$68*Macroeconomicos!$D$68*Horas_dia*Dias_año*E18/Mes_año/1000,0)))</f>
        <v>746.7688226662151</v>
      </c>
      <c r="F98" s="26">
        <f>IF(AND(F16&lt;=Vigencia_Contratato_Gas,F31&gt;F57),MIN(F74*Dias_año*F18/Mes_año/F38/1000,Macroeconomicos!$C$68*Macroeconomicos!$D$68*Horas_dia*Dias_año*F18/Mes_año/1000),IF(AND(Tipo_combustible="Gas Cusiana",F31&gt;F57),MIN(F74*Dias_año*F18/Mes_año/F38/1000,Macroeconomicos!$C$68*Macroeconomicos!$D$68*Horas_dia*Dias_año*F18/Mes_año/1000),IF(AND(Tipo_combustible="Gas GNL",F31&gt;F64),Macroeconomicos!$C$68*Macroeconomicos!$D$68*Horas_dia*Dias_año*F18/Mes_año/1000,0)))</f>
        <v>1493.5376453324302</v>
      </c>
      <c r="G98" s="26">
        <f>IF(AND(G16&lt;=Vigencia_Contratato_Gas,G31&gt;G57),MIN(G74*Dias_año*G18/Mes_año/G38/1000,Macroeconomicos!$C$68*Macroeconomicos!$D$68*Horas_dia*Dias_año*G18/Mes_año/1000),IF(AND(Tipo_combustible="Gas Cusiana",G31&gt;G57),MIN(G74*Dias_año*G18/Mes_año/G38/1000,Macroeconomicos!$C$68*Macroeconomicos!$D$68*Horas_dia*Dias_año*G18/Mes_año/1000),IF(AND(Tipo_combustible="Gas GNL",G31&gt;G64),Macroeconomicos!$C$68*Macroeconomicos!$D$68*Horas_dia*Dias_año*G18/Mes_año/1000,0)))</f>
        <v>0</v>
      </c>
      <c r="H98" s="26">
        <f>IF(AND(H16&lt;=Vigencia_Contratato_Gas,H31&gt;H57),MIN(H74*Dias_año*H18/Mes_año/H38/1000,Macroeconomicos!$C$68*Macroeconomicos!$D$68*Horas_dia*Dias_año*H18/Mes_año/1000),IF(AND(Tipo_combustible="Gas Cusiana",H31&gt;H57),MIN(H74*Dias_año*H18/Mes_año/H38/1000,Macroeconomicos!$C$68*Macroeconomicos!$D$68*Horas_dia*Dias_año*H18/Mes_año/1000),IF(AND(Tipo_combustible="Gas GNL",H31&gt;H64),Macroeconomicos!$C$68*Macroeconomicos!$D$68*Horas_dia*Dias_año*H18/Mes_año/1000,0)))</f>
        <v>0</v>
      </c>
      <c r="I98" s="26">
        <f>IF(AND(I16&lt;=Vigencia_Contratato_Gas,I31&gt;I57),MIN(I74*Dias_año*I18/Mes_año/I38/1000,Macroeconomicos!$C$68*Macroeconomicos!$D$68*Horas_dia*Dias_año*I18/Mes_año/1000),IF(AND(Tipo_combustible="Gas Cusiana",I31&gt;I57),MIN(I74*Dias_año*I18/Mes_año/I38/1000,Macroeconomicos!$C$68*Macroeconomicos!$D$68*Horas_dia*Dias_año*I18/Mes_año/1000),IF(AND(Tipo_combustible="Gas GNL",I31&gt;I64),Macroeconomicos!$C$68*Macroeconomicos!$D$68*Horas_dia*Dias_año*I18/Mes_año/1000,0)))</f>
        <v>0</v>
      </c>
      <c r="J98" s="26">
        <f>IF(AND(J16&lt;=Vigencia_Contratato_Gas,J31&gt;J57),MIN(J74*Dias_año*J18/Mes_año/J38/1000,Macroeconomicos!$C$68*Macroeconomicos!$D$68*Horas_dia*Dias_año*J18/Mes_año/1000),IF(AND(Tipo_combustible="Gas Cusiana",J31&gt;J57),MIN(J74*Dias_año*J18/Mes_año/J38/1000,Macroeconomicos!$C$68*Macroeconomicos!$D$68*Horas_dia*Dias_año*J18/Mes_año/1000),IF(AND(Tipo_combustible="Gas GNL",J31&gt;J64),Macroeconomicos!$C$68*Macroeconomicos!$D$68*Horas_dia*Dias_año*J18/Mes_año/1000,0)))</f>
        <v>0</v>
      </c>
      <c r="K98" s="26">
        <f>IF(AND(K16&lt;=Vigencia_Contratato_Gas,K31&gt;K57),MIN(K74*Dias_año*K18/Mes_año/K38/1000,Macroeconomicos!$C$68*Macroeconomicos!$D$68*Horas_dia*Dias_año*K18/Mes_año/1000),IF(AND(Tipo_combustible="Gas Cusiana",K31&gt;K57),MIN(K74*Dias_año*K18/Mes_año/K38/1000,Macroeconomicos!$C$68*Macroeconomicos!$D$68*Horas_dia*Dias_año*K18/Mes_año/1000),IF(AND(Tipo_combustible="Gas GNL",K31&gt;K64),Macroeconomicos!$C$68*Macroeconomicos!$D$68*Horas_dia*Dias_año*K18/Mes_año/1000,0)))</f>
        <v>0</v>
      </c>
      <c r="L98" s="26">
        <f>IF(AND(L16&lt;=Vigencia_Contratato_Gas,L31&gt;L57),MIN(L74*Dias_año*L18/Mes_año/L38/1000,Macroeconomicos!$C$68*Macroeconomicos!$D$68*Horas_dia*Dias_año*L18/Mes_año/1000),IF(AND(Tipo_combustible="Gas Cusiana",L31&gt;L57),MIN(L74*Dias_año*L18/Mes_año/L38/1000,Macroeconomicos!$C$68*Macroeconomicos!$D$68*Horas_dia*Dias_año*L18/Mes_año/1000),IF(AND(Tipo_combustible="Gas GNL",L31&gt;L64),Macroeconomicos!$C$68*Macroeconomicos!$D$68*Horas_dia*Dias_año*L18/Mes_año/1000,0)))</f>
        <v>0</v>
      </c>
      <c r="M98" s="26">
        <f>IF(AND(M16&lt;=Vigencia_Contratato_Gas,M31&gt;M57),MIN(M74*Dias_año*M18/Mes_año/M38/1000,Macroeconomicos!$C$68*Macroeconomicos!$D$68*Horas_dia*Dias_año*M18/Mes_año/1000),IF(AND(Tipo_combustible="Gas Cusiana",M31&gt;M57),MIN(M74*Dias_año*M18/Mes_año/M38/1000,Macroeconomicos!$C$68*Macroeconomicos!$D$68*Horas_dia*Dias_año*M18/Mes_año/1000),IF(AND(Tipo_combustible="Gas GNL",M31&gt;M64),Macroeconomicos!$C$68*Macroeconomicos!$D$68*Horas_dia*Dias_año*M18/Mes_año/1000,0)))</f>
        <v>0</v>
      </c>
      <c r="N98" s="26">
        <f>IF(AND(N16&lt;=Vigencia_Contratato_Gas,N31&gt;N57),MIN(N74*Dias_año*N18/Mes_año/N38/1000,Macroeconomicos!$C$68*Macroeconomicos!$D$68*Horas_dia*Dias_año*N18/Mes_año/1000),IF(AND(Tipo_combustible="Gas Cusiana",N31&gt;N57),MIN(N74*Dias_año*N18/Mes_año/N38/1000,Macroeconomicos!$C$68*Macroeconomicos!$D$68*Horas_dia*Dias_año*N18/Mes_año/1000),IF(AND(Tipo_combustible="Gas GNL",N31&gt;N64),Macroeconomicos!$C$68*Macroeconomicos!$D$68*Horas_dia*Dias_año*N18/Mes_año/1000,0)))</f>
        <v>0</v>
      </c>
      <c r="O98" s="587">
        <f>IF(Perpetuidad_Termocentro="No",0,IF(AND(O16&lt;=Vigencia_Contratato_Gas,O31&gt;O57),MIN(O74*Dias_año*O18/Mes_año/O38/1000,Macroeconomicos!$C$68*Macroeconomicos!$D$68*Horas_dia*Dias_año*O18/Mes_año/1000),IF(AND(Tipo_combustible="Gas Cusiana",O31&gt;O57),MIN(O74*Dias_año*O18/Mes_año/O38/1000,Macroeconomicos!$C$68*Macroeconomicos!$D$68*Horas_dia*Dias_año*O18/Mes_año/1000),IF(AND(Tipo_combustible="Gas GNL",O31&gt;O64),Macroeconomicos!$C$68*Macroeconomicos!$D$68*Horas_dia*Dias_año*O18/Mes_año/1000,0))))</f>
        <v>0</v>
      </c>
    </row>
    <row r="99" spans="2:24" ht="20.100000000000001" customHeight="1">
      <c r="B99" s="33" t="s">
        <v>268</v>
      </c>
      <c r="C99" s="24"/>
      <c r="D99" s="24"/>
      <c r="E99" s="597">
        <v>0</v>
      </c>
      <c r="F99" s="597">
        <v>0</v>
      </c>
      <c r="G99" s="26">
        <f>IF(AND(Tipo_combustible="Jet Fuel",G31&gt;G71),Macroeconomicos!$C$69*Macroeconomicos!$D$69*Horas_dia*Dias_año/1000,0)</f>
        <v>0</v>
      </c>
      <c r="H99" s="26">
        <f>IF(AND(Tipo_combustible="Jet Fuel",H31&gt;H71),Macroeconomicos!$C$69*Macroeconomicos!$D$69*Horas_dia*Dias_año/1000,0)</f>
        <v>0</v>
      </c>
      <c r="I99" s="26">
        <f>IF(AND(Tipo_combustible="Jet Fuel",I31&gt;I71),Macroeconomicos!$C$69*Macroeconomicos!$D$69*Horas_dia*Dias_año/1000,0)</f>
        <v>0</v>
      </c>
      <c r="J99" s="26">
        <f>IF(AND(Tipo_combustible="Jet Fuel",J31&gt;J71),Macroeconomicos!$C$69*Macroeconomicos!$D$69*Horas_dia*Dias_año/1000,0)</f>
        <v>0</v>
      </c>
      <c r="K99" s="26">
        <f>IF(AND(Tipo_combustible="Jet Fuel",K31&gt;K71),Macroeconomicos!$C$69*Macroeconomicos!$D$69*Horas_dia*Dias_año/1000,0)</f>
        <v>0</v>
      </c>
      <c r="L99" s="26">
        <f>IF(AND(Tipo_combustible="Jet Fuel",L31&gt;L71),Macroeconomicos!$C$69*Macroeconomicos!$D$69*Horas_dia*Dias_año/1000,0)</f>
        <v>0</v>
      </c>
      <c r="M99" s="26">
        <f>IF(AND(Tipo_combustible="Jet Fuel",M31&gt;M71),Macroeconomicos!$C$69*Macroeconomicos!$D$69*Horas_dia*Dias_año/1000,0)</f>
        <v>0</v>
      </c>
      <c r="N99" s="26">
        <f>IF(AND(Tipo_combustible="Jet Fuel",N31&gt;N71),Macroeconomicos!$C$69*Macroeconomicos!$D$69*Horas_dia*Dias_año/1000,0)</f>
        <v>0</v>
      </c>
      <c r="O99" s="587">
        <f>IF(Perpetuidad_Termocentro="No",0,IF(AND(Tipo_combustible="Jet Fuel",O31&gt;O71),Macroeconomicos!$C$69*Macroeconomicos!$D$69*Horas_dia*Dias_año/1000,0))</f>
        <v>0</v>
      </c>
    </row>
    <row r="100" spans="2:24" ht="20.100000000000001" customHeight="1">
      <c r="B100" s="33" t="s">
        <v>285</v>
      </c>
      <c r="C100" s="24"/>
      <c r="D100" s="24"/>
      <c r="E100" s="26">
        <f>SUM(E97:E99)</f>
        <v>6810.1967141984796</v>
      </c>
      <c r="F100" s="26">
        <f t="shared" ref="F100:O100" si="21">SUM(F97:F99)</f>
        <v>16437.357229609839</v>
      </c>
      <c r="G100" s="26">
        <f t="shared" si="21"/>
        <v>15287.194959053286</v>
      </c>
      <c r="H100" s="26">
        <f t="shared" si="21"/>
        <v>15335.681507440493</v>
      </c>
      <c r="I100" s="26">
        <f t="shared" si="21"/>
        <v>16032.693266961101</v>
      </c>
      <c r="J100" s="26">
        <f t="shared" si="21"/>
        <v>15675.846102169753</v>
      </c>
      <c r="K100" s="26">
        <f t="shared" si="21"/>
        <v>15410.446456644746</v>
      </c>
      <c r="L100" s="26">
        <f t="shared" si="21"/>
        <v>15451.455585512689</v>
      </c>
      <c r="M100" s="26">
        <f t="shared" si="21"/>
        <v>15888.876456851656</v>
      </c>
      <c r="N100" s="26">
        <f t="shared" si="21"/>
        <v>15788.333877137753</v>
      </c>
      <c r="O100" s="26">
        <f t="shared" si="21"/>
        <v>15359.020465653211</v>
      </c>
    </row>
    <row r="101" spans="2:24" s="537" customFormat="1" ht="20.100000000000001" customHeight="1">
      <c r="B101" s="73"/>
      <c r="C101" s="80"/>
      <c r="D101" s="80"/>
      <c r="E101" s="35"/>
      <c r="F101" s="35"/>
      <c r="G101" s="35"/>
      <c r="H101" s="35"/>
      <c r="I101" s="35"/>
      <c r="J101" s="35"/>
      <c r="K101" s="35"/>
      <c r="L101" s="35"/>
      <c r="M101" s="35"/>
      <c r="N101" s="35"/>
      <c r="O101" s="35"/>
      <c r="V101" s="561"/>
      <c r="W101" s="561"/>
      <c r="X101" s="561"/>
    </row>
    <row r="102" spans="2:24" s="537" customFormat="1" ht="20.100000000000001" customHeight="1">
      <c r="B102" s="33" t="s">
        <v>948</v>
      </c>
      <c r="C102" s="24"/>
      <c r="D102" s="24"/>
      <c r="E102" s="26">
        <f>SUMIF('Generacion Hidro por Planta'!$B$15:$B$140,E16,'Generacion Hidro por Planta'!$E$15:$E$140)*Dias_mes</f>
        <v>53.227115994623716</v>
      </c>
      <c r="F102" s="26">
        <f>SUMIF('Generacion Hidro por Planta'!$B$15:$B$140,F16,'Generacion Hidro por Planta'!$E$15:$E$140)*Dias_mes</f>
        <v>104.06054801907334</v>
      </c>
      <c r="G102" s="26">
        <f>SUMIF('Generacion Hidro por Planta'!$B$15:$B$140,G16,'Generacion Hidro por Planta'!$E$15:$E$140)*Dias_mes</f>
        <v>104.69034140711913</v>
      </c>
      <c r="H102" s="26">
        <f>SUMIF('Generacion Hidro por Planta'!$B$15:$B$140,H16,'Generacion Hidro por Planta'!$E$15:$E$140)*Dias_mes</f>
        <v>104.7823481342807</v>
      </c>
      <c r="I102" s="26">
        <f>SUMIF('Generacion Hidro por Planta'!$B$15:$B$140,I16,'Generacion Hidro por Planta'!$E$15:$E$140)*Dias_mes</f>
        <v>106.48764967357924</v>
      </c>
      <c r="J102" s="26">
        <f>SUMIF('Generacion Hidro por Planta'!$B$15:$B$140,J16,'Generacion Hidro por Planta'!$E$15:$E$140)*Dias_mes</f>
        <v>103.88022460957514</v>
      </c>
      <c r="K102" s="26">
        <f>SUMIF('Generacion Hidro por Planta'!$B$15:$B$140,K16,'Generacion Hidro por Planta'!$E$15:$E$140)*Dias_mes</f>
        <v>104.79848207421838</v>
      </c>
      <c r="L102" s="26">
        <f>SUMIF('Generacion Hidro por Planta'!$B$15:$B$140,L16,'Generacion Hidro por Planta'!$E$15:$E$140)*Dias_mes</f>
        <v>105.62056839157721</v>
      </c>
      <c r="M102" s="26">
        <f>SUMIF('Generacion Hidro por Planta'!$B$15:$B$140,M16,'Generacion Hidro por Planta'!$E$15:$E$140)*Dias_mes</f>
        <v>106.35051279121876</v>
      </c>
      <c r="N102" s="26">
        <f>SUMIF('Generacion Hidro por Planta'!$B$15:$B$140,N16,'Generacion Hidro por Planta'!$E$15:$E$140)*Dias_mes</f>
        <v>106.89555212493612</v>
      </c>
      <c r="O102" s="26">
        <f>SUMIF('Generacion Hidro por Planta'!$B$15:$B$140,O16,'Generacion Hidro por Planta'!$E$15:$E$140)*Dias_mes</f>
        <v>105.77257633172671</v>
      </c>
      <c r="V102" s="561"/>
      <c r="W102" s="561"/>
      <c r="X102" s="561"/>
    </row>
    <row r="103" spans="2:24">
      <c r="B103" s="73"/>
      <c r="C103" s="80"/>
      <c r="D103" s="80"/>
      <c r="F103" s="35"/>
      <c r="G103" s="35"/>
      <c r="H103" s="35"/>
      <c r="I103" s="35"/>
      <c r="J103" s="35"/>
      <c r="K103" s="35"/>
      <c r="L103" s="35"/>
      <c r="M103" s="35"/>
      <c r="N103" s="35"/>
      <c r="O103" s="35"/>
    </row>
    <row r="104" spans="2:24" ht="20.100000000000001" customHeight="1" thickBot="1">
      <c r="B104" s="570" t="s">
        <v>390</v>
      </c>
      <c r="C104" s="80"/>
      <c r="D104" s="80"/>
      <c r="E104" s="35"/>
      <c r="F104" s="35"/>
      <c r="G104" s="35"/>
      <c r="H104" s="35"/>
      <c r="I104" s="35"/>
      <c r="J104" s="35"/>
      <c r="K104" s="35"/>
      <c r="L104" s="35"/>
      <c r="M104" s="35"/>
      <c r="N104" s="35"/>
      <c r="O104" s="35"/>
    </row>
    <row r="105" spans="2:24" ht="20.100000000000001" customHeight="1" thickTop="1">
      <c r="B105" s="33" t="s">
        <v>295</v>
      </c>
      <c r="C105" s="24"/>
      <c r="D105" s="24"/>
      <c r="E105" s="26">
        <f>Macroeconomicos!$C$68*Macroeconomicos!$D$68*Horas_por_prueba*E49/1000</f>
        <v>0</v>
      </c>
      <c r="F105" s="26">
        <f>Macroeconomicos!$C$68*Macroeconomicos!$D$68*Horas_por_prueba*F49/1000</f>
        <v>0</v>
      </c>
      <c r="G105" s="26">
        <f>Macroeconomicos!$C$68*Macroeconomicos!$D$68*Horas_por_prueba*G49/1000</f>
        <v>0</v>
      </c>
      <c r="H105" s="26">
        <f>Macroeconomicos!$C$68*Macroeconomicos!$D$68*Horas_por_prueba*H49/1000</f>
        <v>0</v>
      </c>
      <c r="I105" s="26">
        <f>Macroeconomicos!$C$68*Macroeconomicos!$D$68*Horas_por_prueba*I49/1000</f>
        <v>0</v>
      </c>
      <c r="J105" s="26">
        <f>Macroeconomicos!$C$68*Macroeconomicos!$D$68*Horas_por_prueba*J49/1000</f>
        <v>0</v>
      </c>
      <c r="K105" s="26">
        <f>Macroeconomicos!$C$68*Macroeconomicos!$D$68*Horas_por_prueba*K49/1000</f>
        <v>0</v>
      </c>
      <c r="L105" s="26">
        <f>Macroeconomicos!$C$68*Macroeconomicos!$D$68*Horas_por_prueba*L49/1000</f>
        <v>0</v>
      </c>
      <c r="M105" s="26">
        <f>Macroeconomicos!$C$68*Macroeconomicos!$D$68*Horas_por_prueba*M49/1000</f>
        <v>0</v>
      </c>
      <c r="N105" s="26">
        <f>Macroeconomicos!$C$68*Macroeconomicos!$D$68*Horas_por_prueba*N49/1000</f>
        <v>0</v>
      </c>
      <c r="O105" s="26">
        <f>Macroeconomicos!$C$68*Macroeconomicos!$D$68*Horas_por_prueba*O49/1000</f>
        <v>0</v>
      </c>
    </row>
    <row r="106" spans="2:24" ht="20.100000000000001" customHeight="1">
      <c r="B106" s="33" t="s">
        <v>1014</v>
      </c>
      <c r="C106" s="24"/>
      <c r="D106" s="24"/>
      <c r="E106" s="26">
        <f>Macroeconomicos!$C$69*Macroeconomicos!$D$69*Horas_por_prueba*E50/1000</f>
        <v>0</v>
      </c>
      <c r="F106" s="26">
        <f>Macroeconomicos!$C$69*Macroeconomicos!$D$69*Horas_por_prueba*F50/1000</f>
        <v>0</v>
      </c>
      <c r="G106" s="26">
        <f>Macroeconomicos!$C$69*Macroeconomicos!$D$69*Horas_por_prueba*G50/1000</f>
        <v>12.24</v>
      </c>
      <c r="H106" s="26">
        <f>Macroeconomicos!$C$69*Macroeconomicos!$D$69*Horas_por_prueba*H50/1000</f>
        <v>12.24</v>
      </c>
      <c r="I106" s="26">
        <f>Macroeconomicos!$C$69*Macroeconomicos!$D$69*Horas_por_prueba*I50/1000</f>
        <v>12.24</v>
      </c>
      <c r="J106" s="26">
        <f>Macroeconomicos!$C$69*Macroeconomicos!$D$69*Horas_por_prueba*J50/1000</f>
        <v>12.24</v>
      </c>
      <c r="K106" s="26">
        <f>Macroeconomicos!$C$69*Macroeconomicos!$D$69*Horas_por_prueba*K50/1000</f>
        <v>12.24</v>
      </c>
      <c r="L106" s="26">
        <f>Macroeconomicos!$C$69*Macroeconomicos!$D$69*Horas_por_prueba*L50/1000</f>
        <v>12.24</v>
      </c>
      <c r="M106" s="26">
        <f>Macroeconomicos!$C$69*Macroeconomicos!$D$69*Horas_por_prueba*M50/1000</f>
        <v>12.24</v>
      </c>
      <c r="N106" s="26">
        <f>Macroeconomicos!$C$69*Macroeconomicos!$D$69*Horas_por_prueba*N50/1000</f>
        <v>12.24</v>
      </c>
      <c r="O106" s="26">
        <f>Macroeconomicos!$C$69*Macroeconomicos!$D$69*Horas_por_prueba*O50/1000</f>
        <v>12.24</v>
      </c>
    </row>
    <row r="107" spans="2:24" ht="20.100000000000001" customHeight="1">
      <c r="B107" s="33" t="s">
        <v>1015</v>
      </c>
      <c r="C107" s="24"/>
      <c r="D107" s="24"/>
      <c r="E107" s="587">
        <f>Macroeconomicos!$C$48/GW_a_KW*E89*E43</f>
        <v>0</v>
      </c>
      <c r="F107" s="587">
        <f>Macroeconomicos!$C$48/GW_a_KW*F89*F43</f>
        <v>95.631554999999992</v>
      </c>
      <c r="G107" s="26">
        <f>IF(OR(Tipo_combustible="Gas Cusiana",Tipo_combustible="Gas GNL"),Macroeconomicos!$C$48/GW_a_KW*G89*G43,0)</f>
        <v>0</v>
      </c>
      <c r="H107" s="26">
        <f>IF(OR(Tipo_combustible="Gas Cusiana",Tipo_combustible="Gas GNL"),Macroeconomicos!$C$48/GW_a_KW*H89*H43,0)</f>
        <v>0</v>
      </c>
      <c r="I107" s="26">
        <f>IF(OR(Tipo_combustible="Gas Cusiana",Tipo_combustible="Gas GNL"),Macroeconomicos!$C$48/GW_a_KW*I89*I43,0)</f>
        <v>0</v>
      </c>
      <c r="J107" s="26">
        <f>IF(OR(Tipo_combustible="Gas Cusiana",Tipo_combustible="Gas GNL"),Macroeconomicos!$C$48/GW_a_KW*J89*J43,0)</f>
        <v>0</v>
      </c>
      <c r="K107" s="26">
        <f>IF(OR(Tipo_combustible="Gas Cusiana",Tipo_combustible="Gas GNL"),Macroeconomicos!$C$48/GW_a_KW*K89*K43,0)</f>
        <v>0</v>
      </c>
      <c r="L107" s="26">
        <f>IF(OR(Tipo_combustible="Gas Cusiana",Tipo_combustible="Gas GNL"),Macroeconomicos!$C$48/GW_a_KW*L89*L43,0)</f>
        <v>0</v>
      </c>
      <c r="M107" s="26">
        <f>IF(OR(Tipo_combustible="Gas Cusiana",Tipo_combustible="Gas GNL"),Macroeconomicos!$C$48/GW_a_KW*M89*M43,0)</f>
        <v>0</v>
      </c>
      <c r="N107" s="26">
        <f>IF(OR(Tipo_combustible="Gas Cusiana",Tipo_combustible="Gas GNL"),Macroeconomicos!$C$48/GW_a_KW*N89*N43,0)</f>
        <v>0</v>
      </c>
      <c r="O107" s="26">
        <f>IF(OR(Tipo_combustible="Gas Cusiana",Tipo_combustible="Gas GNL"),Macroeconomicos!$C$48/GW_a_KW*O89*O43,0)</f>
        <v>0</v>
      </c>
    </row>
    <row r="108" spans="2:24" ht="20.100000000000001" customHeight="1">
      <c r="B108" s="33" t="s">
        <v>1016</v>
      </c>
      <c r="C108" s="24"/>
      <c r="D108" s="24"/>
      <c r="E108" s="587">
        <v>0</v>
      </c>
      <c r="F108" s="587">
        <v>0</v>
      </c>
      <c r="G108" s="26">
        <f>IF(Tipo_combustible="Jet fuel",Macroeconomicos!$C$48/GW_a_KW*G89*G43,0)</f>
        <v>0</v>
      </c>
      <c r="H108" s="26">
        <f>IF(Tipo_combustible="Jet fuel",Macroeconomicos!$C$48/GW_a_KW*H89*H43,0)</f>
        <v>0</v>
      </c>
      <c r="I108" s="26">
        <f>IF(Tipo_combustible="Jet fuel",Macroeconomicos!$C$48/GW_a_KW*I89*I43,0)</f>
        <v>0</v>
      </c>
      <c r="J108" s="26">
        <f>IF(Tipo_combustible="Jet fuel",Macroeconomicos!$C$48/GW_a_KW*J89*J43,0)</f>
        <v>89.893661699999996</v>
      </c>
      <c r="K108" s="26">
        <f>IF(Tipo_combustible="Jet fuel",Macroeconomicos!$C$48/GW_a_KW*K89*K43,0)</f>
        <v>0</v>
      </c>
      <c r="L108" s="26">
        <f>IF(Tipo_combustible="Jet fuel",Macroeconomicos!$C$48/GW_a_KW*L89*L43,0)</f>
        <v>0</v>
      </c>
      <c r="M108" s="26">
        <f>IF(Tipo_combustible="Jet fuel",Macroeconomicos!$C$48/GW_a_KW*M89*M43,0)</f>
        <v>0</v>
      </c>
      <c r="N108" s="26">
        <f>IF(Tipo_combustible="Jet fuel",Macroeconomicos!$C$48/GW_a_KW*N89*N43,0)</f>
        <v>94.675239449999992</v>
      </c>
      <c r="O108" s="26">
        <f>IF(Tipo_combustible="Jet fuel",Macroeconomicos!$C$48/GW_a_KW*O89*O43,0)</f>
        <v>0</v>
      </c>
    </row>
    <row r="109" spans="2:24" ht="20.100000000000001" customHeight="1">
      <c r="B109" s="33" t="s">
        <v>286</v>
      </c>
      <c r="C109" s="24"/>
      <c r="D109" s="24"/>
      <c r="E109" s="26">
        <f>SUM(E105:E108)</f>
        <v>0</v>
      </c>
      <c r="F109" s="26">
        <f t="shared" ref="F109:O109" si="22">SUM(F105:F108)</f>
        <v>95.631554999999992</v>
      </c>
      <c r="G109" s="26">
        <f t="shared" si="22"/>
        <v>12.24</v>
      </c>
      <c r="H109" s="26">
        <f t="shared" si="22"/>
        <v>12.24</v>
      </c>
      <c r="I109" s="26">
        <f t="shared" si="22"/>
        <v>12.24</v>
      </c>
      <c r="J109" s="26">
        <f t="shared" si="22"/>
        <v>102.13366169999999</v>
      </c>
      <c r="K109" s="26">
        <f t="shared" si="22"/>
        <v>12.24</v>
      </c>
      <c r="L109" s="26">
        <f t="shared" si="22"/>
        <v>12.24</v>
      </c>
      <c r="M109" s="26">
        <f t="shared" si="22"/>
        <v>12.24</v>
      </c>
      <c r="N109" s="26">
        <f t="shared" si="22"/>
        <v>106.91523944999999</v>
      </c>
      <c r="O109" s="26">
        <f t="shared" si="22"/>
        <v>12.24</v>
      </c>
    </row>
    <row r="110" spans="2:24">
      <c r="B110" s="73"/>
      <c r="C110" s="80"/>
      <c r="D110" s="80"/>
      <c r="E110" s="599"/>
      <c r="F110" s="600"/>
      <c r="G110" s="80"/>
      <c r="H110" s="80"/>
      <c r="I110" s="80"/>
      <c r="J110" s="80"/>
      <c r="K110" s="80"/>
      <c r="L110" s="80"/>
      <c r="M110" s="80"/>
      <c r="N110" s="80"/>
      <c r="O110" s="80"/>
    </row>
    <row r="111" spans="2:24" ht="20.100000000000001" customHeight="1" thickBot="1">
      <c r="B111" s="570" t="s">
        <v>391</v>
      </c>
      <c r="C111" s="80"/>
      <c r="D111" s="80"/>
      <c r="E111" s="80"/>
      <c r="F111" s="80"/>
      <c r="G111" s="80"/>
      <c r="H111" s="80"/>
      <c r="I111" s="80"/>
      <c r="J111" s="80"/>
      <c r="K111" s="80"/>
      <c r="L111" s="80"/>
      <c r="M111" s="80"/>
      <c r="N111" s="80"/>
      <c r="O111" s="80"/>
    </row>
    <row r="112" spans="2:24" ht="20.100000000000001" customHeight="1" thickTop="1">
      <c r="B112" s="33" t="s">
        <v>344</v>
      </c>
      <c r="C112" s="103">
        <v>0.03</v>
      </c>
      <c r="D112" s="80"/>
      <c r="E112" s="80"/>
      <c r="F112" s="80"/>
      <c r="G112" s="80"/>
      <c r="H112" s="80"/>
      <c r="I112" s="80"/>
      <c r="J112" s="80"/>
      <c r="K112" s="80"/>
      <c r="L112" s="80"/>
      <c r="M112" s="80"/>
      <c r="N112" s="80"/>
      <c r="O112" s="80"/>
    </row>
    <row r="113" spans="2:24" ht="20.100000000000001" customHeight="1">
      <c r="B113" s="33" t="s">
        <v>342</v>
      </c>
      <c r="C113" s="103">
        <v>0.06</v>
      </c>
      <c r="D113" s="80"/>
      <c r="E113" s="80"/>
      <c r="F113" s="80"/>
      <c r="G113" s="80"/>
      <c r="H113" s="80"/>
      <c r="I113" s="80"/>
      <c r="J113" s="80"/>
      <c r="K113" s="80"/>
      <c r="L113" s="80"/>
      <c r="M113" s="80"/>
      <c r="N113" s="80"/>
      <c r="O113" s="80"/>
    </row>
    <row r="114" spans="2:24" s="137" customFormat="1" ht="20.100000000000001" customHeight="1">
      <c r="B114" s="33" t="s">
        <v>343</v>
      </c>
      <c r="C114" s="136"/>
      <c r="D114" s="136"/>
      <c r="E114" s="71">
        <f t="shared" ref="E114:O114" si="23">(E100+E109)*$C$112</f>
        <v>204.30590142595437</v>
      </c>
      <c r="F114" s="71">
        <f t="shared" si="23"/>
        <v>495.98966353829513</v>
      </c>
      <c r="G114" s="71">
        <f t="shared" si="23"/>
        <v>458.98304877159853</v>
      </c>
      <c r="H114" s="71">
        <f t="shared" si="23"/>
        <v>460.43764522321476</v>
      </c>
      <c r="I114" s="71">
        <f t="shared" si="23"/>
        <v>481.34799800883303</v>
      </c>
      <c r="J114" s="71">
        <f t="shared" si="23"/>
        <v>473.33939291609255</v>
      </c>
      <c r="K114" s="71">
        <f t="shared" si="23"/>
        <v>462.68059369934235</v>
      </c>
      <c r="L114" s="71">
        <f t="shared" si="23"/>
        <v>463.91086756538067</v>
      </c>
      <c r="M114" s="71">
        <f t="shared" si="23"/>
        <v>477.03349370554969</v>
      </c>
      <c r="N114" s="71">
        <f t="shared" si="23"/>
        <v>476.85747349763255</v>
      </c>
      <c r="O114" s="71">
        <f t="shared" si="23"/>
        <v>461.13781396959632</v>
      </c>
      <c r="T114"/>
      <c r="V114" s="562"/>
      <c r="W114" s="562"/>
      <c r="X114" s="562"/>
    </row>
    <row r="115" spans="2:24" s="137" customFormat="1" ht="20.100000000000001" customHeight="1">
      <c r="B115" s="33" t="s">
        <v>296</v>
      </c>
      <c r="C115" s="136"/>
      <c r="D115" s="136"/>
      <c r="E115" s="71">
        <f>E31*(1+$C$113)</f>
        <v>145.80539693259334</v>
      </c>
      <c r="F115" s="71">
        <f t="shared" ref="F115:O115" si="24">F31*(1+$C$113)</f>
        <v>160.25601855255491</v>
      </c>
      <c r="G115" s="71">
        <f t="shared" si="24"/>
        <v>165.69307409690771</v>
      </c>
      <c r="H115" s="71">
        <f t="shared" si="24"/>
        <v>182.98566728071231</v>
      </c>
      <c r="I115" s="71">
        <f t="shared" si="24"/>
        <v>183.59439347381166</v>
      </c>
      <c r="J115" s="71">
        <f t="shared" si="24"/>
        <v>87.132949305149822</v>
      </c>
      <c r="K115" s="71">
        <f t="shared" si="24"/>
        <v>90.986966583952011</v>
      </c>
      <c r="L115" s="71">
        <f t="shared" si="24"/>
        <v>156.96339311352543</v>
      </c>
      <c r="M115" s="71">
        <f t="shared" si="24"/>
        <v>83.665423375972438</v>
      </c>
      <c r="N115" s="71">
        <f t="shared" si="24"/>
        <v>99.961690612284855</v>
      </c>
      <c r="O115" s="71">
        <f t="shared" si="24"/>
        <v>198.14645194537133</v>
      </c>
      <c r="T115"/>
      <c r="V115" s="562"/>
      <c r="W115" s="562"/>
      <c r="X115" s="562"/>
    </row>
    <row r="116" spans="2:24">
      <c r="B116" s="73"/>
      <c r="C116" s="80"/>
      <c r="D116" s="80"/>
      <c r="E116" s="80"/>
      <c r="F116" s="80"/>
      <c r="G116" s="80"/>
      <c r="H116" s="80"/>
      <c r="I116" s="80"/>
      <c r="J116" s="80"/>
      <c r="K116" s="80"/>
      <c r="L116" s="80"/>
      <c r="M116" s="80"/>
      <c r="N116" s="80"/>
      <c r="O116" s="80"/>
    </row>
    <row r="117" spans="2:24" ht="20.100000000000001" customHeight="1" thickBot="1">
      <c r="B117" s="570" t="s">
        <v>392</v>
      </c>
      <c r="C117" s="80"/>
      <c r="D117" s="80"/>
      <c r="E117" s="80"/>
      <c r="F117" s="80"/>
      <c r="G117" s="80"/>
      <c r="H117" s="80"/>
      <c r="I117" s="80"/>
      <c r="J117" s="80"/>
      <c r="K117" s="80"/>
      <c r="L117" s="80"/>
      <c r="M117" s="80"/>
      <c r="N117" s="80"/>
      <c r="O117" s="80"/>
    </row>
    <row r="118" spans="2:24" ht="20.100000000000001" customHeight="1" thickTop="1">
      <c r="B118" s="33" t="s">
        <v>232</v>
      </c>
      <c r="C118" s="81">
        <f>Historicos!J41</f>
        <v>8.1777959213077775E-2</v>
      </c>
      <c r="D118" s="80"/>
      <c r="E118" s="80"/>
      <c r="F118" s="80"/>
      <c r="G118" s="80"/>
      <c r="H118" s="80"/>
      <c r="I118" s="80"/>
      <c r="J118" s="80"/>
      <c r="K118" s="80"/>
      <c r="L118" s="80"/>
      <c r="M118" s="80"/>
      <c r="N118" s="80"/>
      <c r="O118" s="80"/>
    </row>
    <row r="119" spans="2:24" ht="20.100000000000001" customHeight="1">
      <c r="B119" s="33" t="s">
        <v>332</v>
      </c>
      <c r="C119" s="24"/>
      <c r="D119" s="24"/>
      <c r="E119" s="26">
        <f>(E100+E109)*(1+$C$118)</f>
        <v>7367.1207033252394</v>
      </c>
      <c r="F119" s="26">
        <f>(F100+F109)*(1+$C$118)</f>
        <v>17885.022867107935</v>
      </c>
      <c r="G119" s="26">
        <f>(G100+G109)*(1+$C$118)</f>
        <v>16550.591527117882</v>
      </c>
      <c r="H119" s="26">
        <f t="shared" ref="H119:O119" si="25">(H100+H109)*(1+$C$118)</f>
        <v>16603.043206481481</v>
      </c>
      <c r="I119" s="26">
        <f t="shared" si="25"/>
        <v>17357.0551652432</v>
      </c>
      <c r="J119" s="26">
        <f t="shared" si="25"/>
        <v>17068.27074946426</v>
      </c>
      <c r="K119" s="26">
        <f t="shared" si="25"/>
        <v>16683.922280652328</v>
      </c>
      <c r="L119" s="26">
        <f t="shared" si="25"/>
        <v>16728.285052388197</v>
      </c>
      <c r="M119" s="26">
        <f t="shared" si="25"/>
        <v>17201.477309902471</v>
      </c>
      <c r="N119" s="26">
        <f t="shared" si="25"/>
        <v>17195.130150525776</v>
      </c>
      <c r="O119" s="26">
        <f t="shared" si="25"/>
        <v>16628.290777066995</v>
      </c>
    </row>
    <row r="121" spans="2:24" ht="20.100000000000001" customHeight="1" thickBot="1">
      <c r="B121" s="570" t="s">
        <v>393</v>
      </c>
    </row>
    <row r="122" spans="2:24" ht="20.100000000000001" customHeight="1" thickTop="1">
      <c r="B122" s="33" t="s">
        <v>334</v>
      </c>
      <c r="C122" s="24"/>
      <c r="D122" s="24"/>
      <c r="E122" s="26">
        <f t="shared" ref="E122:O122" si="26">IF(E133&gt;(E74*Dias_año*E18/Mes_año*TOP_Cusiana),0,IF(E16&lt;=Vigencia_Contratato_Gas,(E74*Dias_año*E18/Mes_año*TOP_Cusiana)-E133,IF(Tipo_combustible="Gas Cusiana",(E74*Dias_año*E18/Mes_año*TOP_Cusiana)-E133,0)))</f>
        <v>0</v>
      </c>
      <c r="F122" s="26">
        <f t="shared" si="26"/>
        <v>0</v>
      </c>
      <c r="G122" s="26">
        <f t="shared" si="26"/>
        <v>0</v>
      </c>
      <c r="H122" s="26">
        <f t="shared" si="26"/>
        <v>0</v>
      </c>
      <c r="I122" s="26">
        <f t="shared" si="26"/>
        <v>0</v>
      </c>
      <c r="J122" s="26">
        <f t="shared" si="26"/>
        <v>0</v>
      </c>
      <c r="K122" s="26">
        <f t="shared" si="26"/>
        <v>0</v>
      </c>
      <c r="L122" s="26">
        <f t="shared" si="26"/>
        <v>0</v>
      </c>
      <c r="M122" s="26">
        <f t="shared" si="26"/>
        <v>0</v>
      </c>
      <c r="N122" s="26">
        <f t="shared" si="26"/>
        <v>0</v>
      </c>
      <c r="O122" s="26">
        <f t="shared" si="26"/>
        <v>0</v>
      </c>
    </row>
    <row r="125" spans="2:24" ht="20.100000000000001" customHeight="1" thickBot="1">
      <c r="B125" s="570" t="s">
        <v>346</v>
      </c>
    </row>
    <row r="126" spans="2:24" ht="15.75" thickTop="1"/>
    <row r="127" spans="2:24" ht="20.100000000000001" customHeight="1" thickBot="1">
      <c r="B127" s="570" t="s">
        <v>394</v>
      </c>
    </row>
    <row r="128" spans="2:24" ht="20.100000000000001" customHeight="1" thickTop="1">
      <c r="B128" s="33" t="s">
        <v>248</v>
      </c>
      <c r="C128" s="24"/>
      <c r="D128" s="24"/>
      <c r="E128" s="26">
        <f>E119-E100-E109</f>
        <v>556.92398912675981</v>
      </c>
      <c r="F128" s="26">
        <f>F119-F100-F109</f>
        <v>1352.0340824980958</v>
      </c>
      <c r="G128" s="26">
        <f t="shared" ref="G128:O128" si="27">G119-G100-G109</f>
        <v>1251.1565680645961</v>
      </c>
      <c r="H128" s="26">
        <f t="shared" si="27"/>
        <v>1255.1216990409882</v>
      </c>
      <c r="I128" s="26">
        <f t="shared" si="27"/>
        <v>1312.121898282099</v>
      </c>
      <c r="J128" s="26">
        <f t="shared" si="27"/>
        <v>1290.290985594507</v>
      </c>
      <c r="K128" s="26">
        <f t="shared" si="27"/>
        <v>1261.2358240075826</v>
      </c>
      <c r="L128" s="26">
        <f t="shared" si="27"/>
        <v>1264.5894668755079</v>
      </c>
      <c r="M128" s="26">
        <f t="shared" si="27"/>
        <v>1300.3608530508152</v>
      </c>
      <c r="N128" s="26">
        <f t="shared" si="27"/>
        <v>1299.8810339380232</v>
      </c>
      <c r="O128" s="26">
        <f t="shared" si="27"/>
        <v>1257.0303114137839</v>
      </c>
    </row>
    <row r="129" spans="2:15" ht="20.100000000000001" customHeight="1">
      <c r="B129" s="33" t="s">
        <v>395</v>
      </c>
      <c r="C129" s="24"/>
      <c r="D129" s="24"/>
      <c r="E129" s="26">
        <f>E100+E109+E128-E119</f>
        <v>0</v>
      </c>
      <c r="F129" s="26">
        <f t="shared" ref="F129:O129" si="28">F100+F109+F128-F119</f>
        <v>0</v>
      </c>
      <c r="G129" s="26">
        <f t="shared" si="28"/>
        <v>0</v>
      </c>
      <c r="H129" s="26">
        <f t="shared" si="28"/>
        <v>0</v>
      </c>
      <c r="I129" s="26">
        <f t="shared" si="28"/>
        <v>0</v>
      </c>
      <c r="J129" s="26">
        <f t="shared" si="28"/>
        <v>0</v>
      </c>
      <c r="K129" s="26">
        <f t="shared" si="28"/>
        <v>0</v>
      </c>
      <c r="L129" s="26">
        <f t="shared" si="28"/>
        <v>0</v>
      </c>
      <c r="M129" s="26">
        <f t="shared" si="28"/>
        <v>0</v>
      </c>
      <c r="N129" s="26">
        <f t="shared" si="28"/>
        <v>0</v>
      </c>
      <c r="O129" s="26">
        <f t="shared" si="28"/>
        <v>0</v>
      </c>
    </row>
    <row r="130" spans="2:15" ht="20.100000000000001" customHeight="1">
      <c r="B130" s="33" t="s">
        <v>1023</v>
      </c>
      <c r="C130" s="24"/>
      <c r="D130" s="24"/>
      <c r="E130" s="197" t="str">
        <f>IF(E129=0,"OK","Revisar")</f>
        <v>OK</v>
      </c>
      <c r="F130" s="197" t="str">
        <f t="shared" ref="F130:O130" si="29">IF(F129=0,"OK","Revisar")</f>
        <v>OK</v>
      </c>
      <c r="G130" s="197" t="str">
        <f t="shared" si="29"/>
        <v>OK</v>
      </c>
      <c r="H130" s="197" t="str">
        <f t="shared" si="29"/>
        <v>OK</v>
      </c>
      <c r="I130" s="197" t="str">
        <f t="shared" si="29"/>
        <v>OK</v>
      </c>
      <c r="J130" s="197" t="str">
        <f t="shared" si="29"/>
        <v>OK</v>
      </c>
      <c r="K130" s="197" t="str">
        <f t="shared" si="29"/>
        <v>OK</v>
      </c>
      <c r="L130" s="197" t="str">
        <f t="shared" si="29"/>
        <v>OK</v>
      </c>
      <c r="M130" s="197" t="str">
        <f t="shared" si="29"/>
        <v>OK</v>
      </c>
      <c r="N130" s="197" t="str">
        <f t="shared" si="29"/>
        <v>OK</v>
      </c>
      <c r="O130" s="197" t="str">
        <f t="shared" si="29"/>
        <v>OK</v>
      </c>
    </row>
    <row r="131" spans="2:15">
      <c r="E131" s="61"/>
      <c r="F131" s="61"/>
      <c r="G131" s="61"/>
      <c r="H131" s="61"/>
      <c r="I131" s="61"/>
      <c r="J131" s="61"/>
      <c r="K131" s="61"/>
      <c r="L131" s="61"/>
      <c r="M131" s="61"/>
      <c r="N131" s="61"/>
      <c r="O131" s="61"/>
    </row>
    <row r="132" spans="2:15" ht="20.100000000000001" customHeight="1" thickBot="1">
      <c r="B132" s="570" t="s">
        <v>345</v>
      </c>
    </row>
    <row r="133" spans="2:15" ht="20.100000000000001" customHeight="1" thickTop="1">
      <c r="B133" s="33" t="s">
        <v>335</v>
      </c>
      <c r="C133" s="24"/>
      <c r="D133" s="24"/>
      <c r="E133" s="44">
        <f t="shared" ref="E133:O133" si="30">(E98+E105+E107)*MW_a_KW*E38</f>
        <v>5292500</v>
      </c>
      <c r="F133" s="44">
        <f>(F98+F105+F107)*MW_a_KW*F38</f>
        <v>11262759.956596</v>
      </c>
      <c r="G133" s="44">
        <f t="shared" si="30"/>
        <v>0</v>
      </c>
      <c r="H133" s="44">
        <f t="shared" si="30"/>
        <v>0</v>
      </c>
      <c r="I133" s="44">
        <f t="shared" si="30"/>
        <v>0</v>
      </c>
      <c r="J133" s="44">
        <f t="shared" si="30"/>
        <v>0</v>
      </c>
      <c r="K133" s="44">
        <f t="shared" si="30"/>
        <v>0</v>
      </c>
      <c r="L133" s="44">
        <f t="shared" si="30"/>
        <v>0</v>
      </c>
      <c r="M133" s="44">
        <f t="shared" si="30"/>
        <v>0</v>
      </c>
      <c r="N133" s="44">
        <f t="shared" si="30"/>
        <v>0</v>
      </c>
      <c r="O133" s="44">
        <f t="shared" si="30"/>
        <v>0</v>
      </c>
    </row>
    <row r="134" spans="2:15" ht="20.100000000000001" customHeight="1">
      <c r="B134" s="33" t="s">
        <v>336</v>
      </c>
      <c r="C134" s="24"/>
      <c r="D134" s="24"/>
      <c r="E134" s="44">
        <f t="shared" ref="E134:N134" si="31">(E99+E106+E108)*MW_a_KW*E39</f>
        <v>0</v>
      </c>
      <c r="F134" s="44">
        <f t="shared" si="31"/>
        <v>0</v>
      </c>
      <c r="G134" s="44">
        <f t="shared" si="31"/>
        <v>95398.56</v>
      </c>
      <c r="H134" s="44">
        <f t="shared" si="31"/>
        <v>95398.56</v>
      </c>
      <c r="I134" s="44">
        <f t="shared" si="31"/>
        <v>95398.56</v>
      </c>
      <c r="J134" s="44">
        <f t="shared" si="31"/>
        <v>796029.75928979996</v>
      </c>
      <c r="K134" s="44">
        <f t="shared" si="31"/>
        <v>95398.56</v>
      </c>
      <c r="L134" s="44">
        <f t="shared" si="31"/>
        <v>95398.56</v>
      </c>
      <c r="M134" s="44">
        <f t="shared" si="31"/>
        <v>95398.56</v>
      </c>
      <c r="N134" s="44">
        <f t="shared" si="31"/>
        <v>833297.37627329992</v>
      </c>
      <c r="O134" s="44">
        <f>(O99+O106+O108)*MW_a_KW*O39</f>
        <v>95398.56</v>
      </c>
    </row>
    <row r="135" spans="2:15">
      <c r="G135" s="60"/>
      <c r="H135" s="60"/>
      <c r="I135" s="60"/>
      <c r="J135" s="60"/>
    </row>
    <row r="136" spans="2:15" ht="20.100000000000001" customHeight="1" thickBot="1">
      <c r="B136" s="570" t="s">
        <v>432</v>
      </c>
    </row>
    <row r="137" spans="2:15" ht="20.100000000000001" customHeight="1" thickTop="1">
      <c r="B137" s="33" t="s">
        <v>225</v>
      </c>
      <c r="C137" s="26"/>
      <c r="D137" s="26"/>
      <c r="E137" s="71">
        <f t="shared" ref="E137:O137" si="32">E25</f>
        <v>29.784100894945052</v>
      </c>
      <c r="F137" s="71">
        <f t="shared" si="32"/>
        <v>32.495877711558471</v>
      </c>
      <c r="G137" s="71">
        <f t="shared" si="32"/>
        <v>34.582930368095774</v>
      </c>
      <c r="H137" s="71">
        <f t="shared" si="32"/>
        <v>36.488555607978114</v>
      </c>
      <c r="I137" s="71">
        <f t="shared" si="32"/>
        <v>38.008207625775221</v>
      </c>
      <c r="J137" s="71">
        <f t="shared" si="32"/>
        <v>39.480509949415939</v>
      </c>
      <c r="K137" s="71">
        <f t="shared" si="32"/>
        <v>41.123532365825248</v>
      </c>
      <c r="L137" s="71">
        <f t="shared" si="32"/>
        <v>42.816169810344675</v>
      </c>
      <c r="M137" s="71">
        <f t="shared" si="32"/>
        <v>44.591387987927618</v>
      </c>
      <c r="N137" s="71">
        <f t="shared" si="32"/>
        <v>46.438393989038026</v>
      </c>
      <c r="O137" s="71">
        <f t="shared" si="32"/>
        <v>48.358495969688768</v>
      </c>
    </row>
    <row r="138" spans="2:15" ht="20.100000000000001" customHeight="1">
      <c r="B138" s="33" t="s">
        <v>227</v>
      </c>
      <c r="C138" s="26"/>
      <c r="D138" s="26"/>
      <c r="E138" s="71">
        <f>E26</f>
        <v>4.0757255440036024</v>
      </c>
      <c r="F138" s="71">
        <f t="shared" ref="F138:O138" si="33">F26</f>
        <v>3.5934228006640443</v>
      </c>
      <c r="G138" s="71">
        <f t="shared" si="33"/>
        <v>3.7270981288487461</v>
      </c>
      <c r="H138" s="71">
        <f t="shared" si="33"/>
        <v>3.8617382803788951</v>
      </c>
      <c r="I138" s="71">
        <f t="shared" si="33"/>
        <v>3.9173228477463544</v>
      </c>
      <c r="J138" s="71">
        <f t="shared" si="33"/>
        <v>3.2308147313219981</v>
      </c>
      <c r="K138" s="71">
        <f t="shared" si="33"/>
        <v>3.7119927364050533</v>
      </c>
      <c r="L138" s="71">
        <f t="shared" si="33"/>
        <v>4.2148747583169452</v>
      </c>
      <c r="M138" s="71">
        <f t="shared" si="33"/>
        <v>4.3001347371800156</v>
      </c>
      <c r="N138" s="71">
        <f t="shared" si="33"/>
        <v>4.9189017119920759</v>
      </c>
      <c r="O138" s="71">
        <f t="shared" si="33"/>
        <v>5.286702383948926</v>
      </c>
    </row>
    <row r="139" spans="2:15" ht="20.100000000000001" customHeight="1">
      <c r="B139" s="33" t="s">
        <v>433</v>
      </c>
      <c r="C139" s="26"/>
      <c r="D139" s="26"/>
      <c r="E139" s="71">
        <f>E27</f>
        <v>4.1433885332899125</v>
      </c>
      <c r="F139" s="71">
        <f t="shared" ref="F139:O139" si="34">F27</f>
        <v>4.2855067599817565</v>
      </c>
      <c r="G139" s="71">
        <f t="shared" si="34"/>
        <v>4.441070655369094</v>
      </c>
      <c r="H139" s="71">
        <f t="shared" si="34"/>
        <v>4.5956199141759377</v>
      </c>
      <c r="I139" s="71">
        <f t="shared" si="34"/>
        <v>4.7486540573179976</v>
      </c>
      <c r="J139" s="71">
        <f t="shared" si="34"/>
        <v>4.9001361217464421</v>
      </c>
      <c r="K139" s="71">
        <f t="shared" si="34"/>
        <v>5.0564504640301537</v>
      </c>
      <c r="L139" s="71">
        <f t="shared" si="34"/>
        <v>5.2177512338327157</v>
      </c>
      <c r="M139" s="71">
        <f t="shared" si="34"/>
        <v>5.3841974981919796</v>
      </c>
      <c r="N139" s="71">
        <f t="shared" si="34"/>
        <v>5.555953398384303</v>
      </c>
      <c r="O139" s="71">
        <f t="shared" si="34"/>
        <v>5.7331883117927633</v>
      </c>
    </row>
    <row r="140" spans="2:15" ht="20.100000000000001" customHeight="1">
      <c r="B140" s="33" t="s">
        <v>434</v>
      </c>
      <c r="C140" s="26"/>
      <c r="D140" s="26"/>
      <c r="E140" s="71">
        <f>E139*4/6</f>
        <v>2.762259022193275</v>
      </c>
      <c r="F140" s="71">
        <f t="shared" ref="F140:O140" si="35">F139*4/6</f>
        <v>2.8570045066545044</v>
      </c>
      <c r="G140" s="71">
        <f t="shared" si="35"/>
        <v>2.9607137702460626</v>
      </c>
      <c r="H140" s="71">
        <f t="shared" si="35"/>
        <v>3.0637466094506252</v>
      </c>
      <c r="I140" s="71">
        <f t="shared" si="35"/>
        <v>3.1657693715453319</v>
      </c>
      <c r="J140" s="71">
        <f t="shared" si="35"/>
        <v>3.2667574144976279</v>
      </c>
      <c r="K140" s="71">
        <f t="shared" si="35"/>
        <v>3.3709669760201026</v>
      </c>
      <c r="L140" s="71">
        <f t="shared" si="35"/>
        <v>3.4785008225551439</v>
      </c>
      <c r="M140" s="71">
        <f t="shared" si="35"/>
        <v>3.5894649987946532</v>
      </c>
      <c r="N140" s="71">
        <f t="shared" si="35"/>
        <v>3.7039689322562022</v>
      </c>
      <c r="O140" s="71">
        <f t="shared" si="35"/>
        <v>3.8221255411951756</v>
      </c>
    </row>
    <row r="141" spans="2:15" ht="20.100000000000001" customHeight="1">
      <c r="B141" s="33" t="s">
        <v>131</v>
      </c>
      <c r="C141" s="26"/>
      <c r="D141" s="26"/>
      <c r="E141" s="71">
        <f t="shared" ref="E141:O141" si="36">E28</f>
        <v>1.2003973779763801</v>
      </c>
      <c r="F141" s="71">
        <f t="shared" si="36"/>
        <v>1.242531325943351</v>
      </c>
      <c r="G141" s="71">
        <f t="shared" si="36"/>
        <v>1.2887534912684435</v>
      </c>
      <c r="H141" s="71">
        <f t="shared" si="36"/>
        <v>1.3377261239366443</v>
      </c>
      <c r="I141" s="71">
        <f t="shared" si="36"/>
        <v>1.3845465382744269</v>
      </c>
      <c r="J141" s="71">
        <f t="shared" si="36"/>
        <v>1.4330056671140317</v>
      </c>
      <c r="K141" s="71">
        <f t="shared" si="36"/>
        <v>1.4831608654630226</v>
      </c>
      <c r="L141" s="71">
        <f t="shared" si="36"/>
        <v>1.5350714957542282</v>
      </c>
      <c r="M141" s="71">
        <f t="shared" si="36"/>
        <v>1.5887989981056261</v>
      </c>
      <c r="N141" s="71">
        <f t="shared" si="36"/>
        <v>1.644406963039323</v>
      </c>
      <c r="O141" s="71">
        <f t="shared" si="36"/>
        <v>1.7019612067456993</v>
      </c>
    </row>
    <row r="142" spans="2:15" ht="20.100000000000001" customHeight="1">
      <c r="B142" s="33" t="s">
        <v>324</v>
      </c>
      <c r="C142" s="26"/>
      <c r="D142" s="26"/>
      <c r="E142" s="71">
        <f t="shared" ref="E142:O142" si="37">E29</f>
        <v>3.3441850617467304</v>
      </c>
      <c r="F142" s="71">
        <f t="shared" si="37"/>
        <v>3.4615659574140407</v>
      </c>
      <c r="G142" s="71">
        <f t="shared" si="37"/>
        <v>3.5903362110298422</v>
      </c>
      <c r="H142" s="71">
        <f t="shared" si="37"/>
        <v>3.7267689870489766</v>
      </c>
      <c r="I142" s="71">
        <f t="shared" si="37"/>
        <v>3.857205901595691</v>
      </c>
      <c r="J142" s="71">
        <f t="shared" si="37"/>
        <v>3.9922081081515395</v>
      </c>
      <c r="K142" s="71">
        <f t="shared" si="37"/>
        <v>4.1319353919368433</v>
      </c>
      <c r="L142" s="71">
        <f t="shared" si="37"/>
        <v>4.2765531306546318</v>
      </c>
      <c r="M142" s="71">
        <f t="shared" si="37"/>
        <v>4.4262324902275436</v>
      </c>
      <c r="N142" s="71">
        <f t="shared" si="37"/>
        <v>4.581150627385508</v>
      </c>
      <c r="O142" s="71">
        <f t="shared" si="37"/>
        <v>4.7414908993439999</v>
      </c>
    </row>
    <row r="143" spans="2:15" ht="20.100000000000001" customHeight="1">
      <c r="B143" s="33" t="s">
        <v>494</v>
      </c>
      <c r="C143" s="24"/>
      <c r="D143" s="24"/>
      <c r="E143" s="29">
        <f>SUM(E137:E139)+SUM(E141:E142)</f>
        <v>42.547797411961675</v>
      </c>
      <c r="F143" s="29">
        <f t="shared" ref="F143:O143" si="38">SUM(F137:F139)+SUM(F141:F142)</f>
        <v>45.078904555561664</v>
      </c>
      <c r="G143" s="29">
        <f t="shared" si="38"/>
        <v>47.630188854611902</v>
      </c>
      <c r="H143" s="29">
        <f t="shared" si="38"/>
        <v>50.01040891351856</v>
      </c>
      <c r="I143" s="29">
        <f t="shared" si="38"/>
        <v>51.915936970709694</v>
      </c>
      <c r="J143" s="29">
        <f t="shared" si="38"/>
        <v>53.036674577749949</v>
      </c>
      <c r="K143" s="29">
        <f t="shared" si="38"/>
        <v>55.507071823660326</v>
      </c>
      <c r="L143" s="29">
        <f t="shared" si="38"/>
        <v>58.060420428903193</v>
      </c>
      <c r="M143" s="29">
        <f t="shared" si="38"/>
        <v>60.290751711632787</v>
      </c>
      <c r="N143" s="29">
        <f t="shared" si="38"/>
        <v>63.138806689839242</v>
      </c>
      <c r="O143" s="29">
        <f t="shared" si="38"/>
        <v>65.821838771520163</v>
      </c>
    </row>
    <row r="144" spans="2:15" ht="20.100000000000001" customHeight="1">
      <c r="B144" s="33" t="s">
        <v>495</v>
      </c>
      <c r="C144" s="24"/>
      <c r="D144" s="24"/>
      <c r="E144" s="29">
        <f>SUM(E137:E138)+SUM(E140:E142)</f>
        <v>41.166667900865036</v>
      </c>
      <c r="F144" s="29">
        <f t="shared" ref="F144:O144" si="39">SUM(F137:F138)+SUM(F140:F142)</f>
        <v>43.650402302234411</v>
      </c>
      <c r="G144" s="29">
        <f t="shared" si="39"/>
        <v>46.149831969488865</v>
      </c>
      <c r="H144" s="29">
        <f t="shared" si="39"/>
        <v>48.478535608793251</v>
      </c>
      <c r="I144" s="29">
        <f t="shared" si="39"/>
        <v>50.333052284937025</v>
      </c>
      <c r="J144" s="29">
        <f t="shared" si="39"/>
        <v>51.40329587050114</v>
      </c>
      <c r="K144" s="29">
        <f t="shared" si="39"/>
        <v>53.821588335650269</v>
      </c>
      <c r="L144" s="29">
        <f t="shared" si="39"/>
        <v>56.321170017625626</v>
      </c>
      <c r="M144" s="29">
        <f t="shared" si="39"/>
        <v>58.496019212235453</v>
      </c>
      <c r="N144" s="29">
        <f t="shared" si="39"/>
        <v>61.286822223711141</v>
      </c>
      <c r="O144" s="29">
        <f t="shared" si="39"/>
        <v>63.910776000922567</v>
      </c>
    </row>
    <row r="146" spans="2:24" ht="16.5" thickBot="1">
      <c r="B146" s="570" t="s">
        <v>500</v>
      </c>
    </row>
    <row r="147" spans="2:24" s="137" customFormat="1" ht="20.100000000000001" customHeight="1" thickTop="1">
      <c r="B147" s="33" t="s">
        <v>503</v>
      </c>
      <c r="C147" s="71"/>
      <c r="D147" s="71"/>
      <c r="E147" s="71">
        <f>(134.454337652638+104.527436948636)*Macroeconomicos!E26</f>
        <v>247.3934766120494</v>
      </c>
      <c r="F147" s="71">
        <f>(134.454337652638+104.527436948636)*Macroeconomicos!F26</f>
        <v>255.87907285984269</v>
      </c>
      <c r="G147" s="71">
        <f>(134.454337652638+104.527436948636)*Macroeconomicos!G26</f>
        <v>265.16748320465496</v>
      </c>
      <c r="H147" s="71">
        <f>(134.454337652638+104.527436948636)*Macroeconomicos!H26</f>
        <v>274.39531162017698</v>
      </c>
      <c r="I147" s="71">
        <f>(134.454337652638+104.527436948636)*Macroeconomicos!I26</f>
        <v>283.53267549712888</v>
      </c>
      <c r="J147" s="71">
        <f>(134.454337652638+104.527436948636)*Macroeconomicos!J26</f>
        <v>292.57736784548734</v>
      </c>
      <c r="K147" s="71">
        <f>(134.454337652638+104.527436948636)*Macroeconomicos!K26</f>
        <v>301.9105858797584</v>
      </c>
      <c r="L147" s="71">
        <f>(134.454337652638+104.527436948636)*Macroeconomicos!L26</f>
        <v>311.54153356932267</v>
      </c>
      <c r="M147" s="71">
        <f>(134.454337652638+104.527436948636)*Macroeconomicos!M26</f>
        <v>321.47970849018407</v>
      </c>
      <c r="N147" s="71">
        <f>(134.454337652638+104.527436948636)*Macroeconomicos!N26</f>
        <v>331.73491119102096</v>
      </c>
      <c r="O147" s="71">
        <f>(134.454337652638+104.527436948636)*Macroeconomicos!O26</f>
        <v>342.31725485801456</v>
      </c>
      <c r="V147" s="562"/>
      <c r="W147" s="562"/>
      <c r="X147" s="562"/>
    </row>
    <row r="148" spans="2:24" s="137" customFormat="1" ht="20.100000000000001" customHeight="1">
      <c r="B148" s="33" t="s">
        <v>501</v>
      </c>
      <c r="C148" s="71"/>
      <c r="D148" s="71"/>
      <c r="E148" s="71">
        <f>(228920/(Historicos!$H$19*Historicos!$G$35)*Macroeconomicos!E27)</f>
        <v>49.234055598871571</v>
      </c>
      <c r="F148" s="71">
        <f>(228920/(Historicos!$H$19*Historicos!$G$35)*Macroeconomicos!F27)</f>
        <v>50.962170950391958</v>
      </c>
      <c r="G148" s="71">
        <f>(228920/(Historicos!$H$19*Historicos!$G$35)*Macroeconomicos!G27)</f>
        <v>52.857963709746528</v>
      </c>
      <c r="H148" s="71">
        <f>(228920/(Historicos!$H$19*Historicos!$G$35)*Macroeconomicos!H27)</f>
        <v>54.8665663307169</v>
      </c>
      <c r="I148" s="71">
        <f>(228920/(Historicos!$H$19*Historicos!$G$35)*Macroeconomicos!I27)</f>
        <v>56.786896152291995</v>
      </c>
      <c r="J148" s="71">
        <f>(228920/(Historicos!$H$19*Historicos!$G$35)*Macroeconomicos!J27)</f>
        <v>58.774437517622211</v>
      </c>
      <c r="K148" s="71">
        <f>(228920/(Historicos!$H$19*Historicos!$G$35)*Macroeconomicos!K27)</f>
        <v>60.831542830738975</v>
      </c>
      <c r="L148" s="71">
        <f>(228920/(Historicos!$H$19*Historicos!$G$35)*Macroeconomicos!L27)</f>
        <v>62.960646829814834</v>
      </c>
      <c r="M148" s="71">
        <f>(228920/(Historicos!$H$19*Historicos!$G$35)*Macroeconomicos!M27)</f>
        <v>65.16426946885835</v>
      </c>
      <c r="N148" s="71">
        <f>(228920/(Historicos!$H$19*Historicos!$G$35)*Macroeconomicos!N27)</f>
        <v>67.445018900268394</v>
      </c>
      <c r="O148" s="71">
        <f>(228920/(Historicos!$H$19*Historicos!$G$35)*Macroeconomicos!O27)</f>
        <v>69.805594561777781</v>
      </c>
      <c r="V148" s="562"/>
      <c r="W148" s="562"/>
      <c r="X148" s="562"/>
    </row>
    <row r="150" spans="2:24" ht="16.5" thickBot="1">
      <c r="B150" s="570" t="s">
        <v>506</v>
      </c>
      <c r="E150" s="289"/>
      <c r="F150" s="289"/>
      <c r="G150" s="289"/>
      <c r="H150" s="289"/>
    </row>
    <row r="151" spans="2:24" ht="20.100000000000001" customHeight="1" thickTop="1">
      <c r="B151" s="33" t="s">
        <v>1032</v>
      </c>
      <c r="C151" s="24"/>
      <c r="D151" s="24"/>
      <c r="E151" s="29">
        <f>Macroeconomicos!E22</f>
        <v>179.85339905826959</v>
      </c>
      <c r="F151" s="29">
        <f>Macroeconomicos!F22</f>
        <v>186.02237064596824</v>
      </c>
      <c r="G151" s="29">
        <f>Macroeconomicos!G22</f>
        <v>192.77498270041687</v>
      </c>
      <c r="H151" s="29">
        <f>Macroeconomicos!H22</f>
        <v>199.48355209839139</v>
      </c>
      <c r="I151" s="29">
        <f>Macroeconomicos!I22</f>
        <v>206.12635438326785</v>
      </c>
      <c r="J151" s="29">
        <f>Macroeconomicos!J22</f>
        <v>212.70178508809411</v>
      </c>
      <c r="K151" s="29">
        <f>Macroeconomicos!K22</f>
        <v>219.48697203240434</v>
      </c>
      <c r="L151" s="29">
        <f>Macroeconomicos!L22</f>
        <v>226.48860644023802</v>
      </c>
      <c r="M151" s="29">
        <f>Macroeconomicos!M22</f>
        <v>233.7135929856816</v>
      </c>
      <c r="N151" s="29">
        <f>Macroeconomicos!N22</f>
        <v>241.16905660192486</v>
      </c>
      <c r="O151" s="29">
        <f>Macroeconomicos!O22</f>
        <v>248.86234950752629</v>
      </c>
    </row>
    <row r="152" spans="2:24" ht="20.100000000000001" customHeight="1">
      <c r="B152" s="33" t="s">
        <v>497</v>
      </c>
      <c r="C152" s="24"/>
      <c r="D152" s="24"/>
      <c r="E152" s="29">
        <f>Macroeconomicos!E21</f>
        <v>0.66345500000000013</v>
      </c>
      <c r="F152" s="29">
        <f>Macroeconomicos!F21</f>
        <v>0.67725486400000012</v>
      </c>
      <c r="G152" s="29">
        <f>Macroeconomicos!G21</f>
        <v>0.68389504100530696</v>
      </c>
      <c r="H152" s="29">
        <f>Macroeconomicos!H21</f>
        <v>0.69171043529922271</v>
      </c>
      <c r="I152" s="29">
        <f>Macroeconomicos!I21</f>
        <v>0.69771713536336033</v>
      </c>
      <c r="J152" s="29">
        <f>Macroeconomicos!J21</f>
        <v>0.70467436766091296</v>
      </c>
      <c r="K152" s="29">
        <f>Macroeconomicos!K21</f>
        <v>0.71174017544153756</v>
      </c>
      <c r="L152" s="29">
        <f>Macroeconomicos!L21</f>
        <v>0.71854482435329514</v>
      </c>
      <c r="M152" s="29">
        <f>Macroeconomicos!M21</f>
        <v>0.72562464458268072</v>
      </c>
      <c r="N152" s="29">
        <f>Macroeconomicos!N21</f>
        <v>0.73274558044034288</v>
      </c>
      <c r="O152" s="29">
        <f>Macroeconomicos!O21</f>
        <v>0.73988425113409606</v>
      </c>
    </row>
    <row r="153" spans="2:24" ht="20.100000000000001" customHeight="1">
      <c r="B153" s="33" t="s">
        <v>505</v>
      </c>
      <c r="C153" s="24"/>
      <c r="D153" s="24"/>
      <c r="E153" s="29">
        <f>IF(E16&gt;Fecha_Final_Contrato_TGI,0,IF(Escenario_Combustible="Medio",AVERAGEIF('Proyeccion Gas Cusiana'!$O$5:$O$136,E16,'Proyeccion Gas Cusiana'!$E$5:$E$136),IF(Escenario_Combustible="Alto",AVERAGEIF('Proyeccion Gas Cusiana'!$O$5:$O$136,E16,'Proyeccion Gas Cusiana'!$I$5:$I$136),AVERAGEIF('Proyeccion Gas Cusiana'!$O$5:$O$136,E16,'Proyeccion Gas Cusiana'!$M$5:$M$136)))*Macroeconomicos!E28)</f>
        <v>1.3983590000000004</v>
      </c>
      <c r="F153" s="29">
        <f>IF(F16&gt;Fecha_Final_Contrato_TGI,0,IF(Escenario_Combustible="Medio",AVERAGEIF('Proyeccion Gas Cusiana'!$O$5:$O$136,F16,'Proyeccion Gas Cusiana'!$E$5:$E$136),IF(Escenario_Combustible="Alto",AVERAGEIF('Proyeccion Gas Cusiana'!$O$5:$O$136,F16,'Proyeccion Gas Cusiana'!$I$5:$I$136),AVERAGEIF('Proyeccion Gas Cusiana'!$O$5:$O$136,F16,'Proyeccion Gas Cusiana'!$M$5:$M$136)))*Macroeconomicos!F28)</f>
        <v>1.4274448672000006</v>
      </c>
      <c r="G153" s="29">
        <f>IF(G16&gt;Fecha_Final_Contrato_TGI,0,IF(Escenario_Combustible="Medio",AVERAGEIF('Proyeccion Gas Cusiana'!$O$5:$O$136,G16,'Proyeccion Gas Cusiana'!$E$5:$E$136),IF(Escenario_Combustible="Alto",AVERAGEIF('Proyeccion Gas Cusiana'!$O$5:$O$136,G16,'Proyeccion Gas Cusiana'!$I$5:$I$136),AVERAGEIF('Proyeccion Gas Cusiana'!$O$5:$O$136,G16,'Proyeccion Gas Cusiana'!$M$5:$M$136)))*Macroeconomicos!G28)</f>
        <v>1.441440317195801</v>
      </c>
      <c r="H153" s="29">
        <f>IF(H16&gt;Fecha_Final_Contrato_TGI,0,IF(Escenario_Combustible="Medio",AVERAGEIF('Proyeccion Gas Cusiana'!$O$5:$O$136,H16,'Proyeccion Gas Cusiana'!$E$5:$E$136),IF(Escenario_Combustible="Alto",AVERAGEIF('Proyeccion Gas Cusiana'!$O$5:$O$136,H16,'Proyeccion Gas Cusiana'!$I$5:$I$136),AVERAGEIF('Proyeccion Gas Cusiana'!$O$5:$O$136,H16,'Proyeccion Gas Cusiana'!$M$5:$M$136)))*Macroeconomicos!H28)</f>
        <v>1.4579127636306697</v>
      </c>
      <c r="I153" s="29">
        <f>IF(I16&gt;Fecha_Final_Contrato_TGI,0,IF(Escenario_Combustible="Medio",AVERAGEIF('Proyeccion Gas Cusiana'!$O$5:$O$136,I16,'Proyeccion Gas Cusiana'!$E$5:$E$136),IF(Escenario_Combustible="Alto",AVERAGEIF('Proyeccion Gas Cusiana'!$O$5:$O$136,I16,'Proyeccion Gas Cusiana'!$I$5:$I$136),AVERAGEIF('Proyeccion Gas Cusiana'!$O$5:$O$136,I16,'Proyeccion Gas Cusiana'!$M$5:$M$136)))*Macroeconomicos!I28)</f>
        <v>1.4705730391504674</v>
      </c>
      <c r="J153" s="29">
        <f>IF(J16&gt;Fecha_Final_Contrato_TGI,0,IF(Escenario_Combustible="Medio",AVERAGEIF('Proyeccion Gas Cusiana'!$O$5:$O$136,J16,'Proyeccion Gas Cusiana'!$E$5:$E$136),IF(Escenario_Combustible="Alto",AVERAGEIF('Proyeccion Gas Cusiana'!$O$5:$O$136,J16,'Proyeccion Gas Cusiana'!$I$5:$I$136),AVERAGEIF('Proyeccion Gas Cusiana'!$O$5:$O$136,J16,'Proyeccion Gas Cusiana'!$M$5:$M$136)))*Macroeconomicos!J28)</f>
        <v>1.4852367441468477</v>
      </c>
      <c r="K153" s="29">
        <f>IF(K16&gt;Fecha_Final_Contrato_TGI,0,IF(Escenario_Combustible="Medio",AVERAGEIF('Proyeccion Gas Cusiana'!$O$5:$O$136,K16,'Proyeccion Gas Cusiana'!$E$5:$E$136),IF(Escenario_Combustible="Alto",AVERAGEIF('Proyeccion Gas Cusiana'!$O$5:$O$136,K16,'Proyeccion Gas Cusiana'!$I$5:$I$136),AVERAGEIF('Proyeccion Gas Cusiana'!$O$5:$O$136,K16,'Proyeccion Gas Cusiana'!$M$5:$M$136)))*Macroeconomicos!K28)</f>
        <v>1.5001292928537024</v>
      </c>
      <c r="L153" s="29">
        <f>IF(L16&gt;Fecha_Final_Contrato_TGI,0,IF(Escenario_Combustible="Medio",AVERAGEIF('Proyeccion Gas Cusiana'!$O$5:$O$136,L16,'Proyeccion Gas Cusiana'!$E$5:$E$136),IF(Escenario_Combustible="Alto",AVERAGEIF('Proyeccion Gas Cusiana'!$O$5:$O$136,L16,'Proyeccion Gas Cusiana'!$I$5:$I$136),AVERAGEIF('Proyeccion Gas Cusiana'!$O$5:$O$136,L16,'Proyeccion Gas Cusiana'!$M$5:$M$136)))*Macroeconomicos!L28)</f>
        <v>0</v>
      </c>
      <c r="M153" s="29">
        <f>IF(M16&gt;Fecha_Final_Contrato_TGI,0,IF(Escenario_Combustible="Medio",AVERAGEIF('Proyeccion Gas Cusiana'!$O$5:$O$136,M16,'Proyeccion Gas Cusiana'!$E$5:$E$136),IF(Escenario_Combustible="Alto",AVERAGEIF('Proyeccion Gas Cusiana'!$O$5:$O$136,M16,'Proyeccion Gas Cusiana'!$I$5:$I$136),AVERAGEIF('Proyeccion Gas Cusiana'!$O$5:$O$136,M16,'Proyeccion Gas Cusiana'!$M$5:$M$136)))*Macroeconomicos!M28)</f>
        <v>0</v>
      </c>
      <c r="N153" s="29">
        <f>IF(N16&gt;Fecha_Final_Contrato_TGI,0,IF(Escenario_Combustible="Medio",AVERAGEIF('Proyeccion Gas Cusiana'!$O$5:$O$136,N16,'Proyeccion Gas Cusiana'!$E$5:$E$136),IF(Escenario_Combustible="Alto",AVERAGEIF('Proyeccion Gas Cusiana'!$O$5:$O$136,N16,'Proyeccion Gas Cusiana'!$I$5:$I$136),AVERAGEIF('Proyeccion Gas Cusiana'!$O$5:$O$136,N16,'Proyeccion Gas Cusiana'!$M$5:$M$136)))*Macroeconomicos!N28)</f>
        <v>0</v>
      </c>
      <c r="O153" s="29">
        <f>IF(O16&gt;Fecha_Final_Contrato_TGI,0,IF(Escenario_Combustible="Medio",AVERAGEIF('Proyeccion Gas Cusiana'!$O$5:$O$136,O16,'Proyeccion Gas Cusiana'!$E$5:$E$136),IF(Escenario_Combustible="Alto",AVERAGEIF('Proyeccion Gas Cusiana'!$O$5:$O$136,O16,'Proyeccion Gas Cusiana'!$I$5:$I$136),AVERAGEIF('Proyeccion Gas Cusiana'!$O$5:$O$136,O16,'Proyeccion Gas Cusiana'!$M$5:$M$136)))*Macroeconomicos!O28)</f>
        <v>0</v>
      </c>
    </row>
    <row r="154" spans="2:24" s="137" customFormat="1" ht="20.100000000000001" customHeight="1">
      <c r="B154" s="33" t="s">
        <v>508</v>
      </c>
      <c r="C154" s="136"/>
      <c r="D154" s="136"/>
      <c r="E154" s="288">
        <f>36313*Macroeconomicos!D10*(1+Macroeconomicos!E7)/Macroeconomicos!E10</f>
        <v>35720.193951800044</v>
      </c>
      <c r="F154" s="287">
        <f>E154*Macroeconomicos!E10*(1+Macroeconomicos!F7)/Macroeconomicos!F10</f>
        <v>34593.380276278665</v>
      </c>
      <c r="G154" s="287">
        <f>F154*Macroeconomicos!F10*(1+Macroeconomicos!G7)/Macroeconomicos!G10</f>
        <v>34045.468305493698</v>
      </c>
      <c r="H154" s="287">
        <f>G154*Macroeconomicos!G10*(1+Macroeconomicos!H7)/Macroeconomicos!H10</f>
        <v>33876.353560969677</v>
      </c>
      <c r="I154" s="287">
        <f>H154*Macroeconomicos!H10*(1+Macroeconomicos!I7)/Macroeconomicos!I10</f>
        <v>33952.468152831345</v>
      </c>
      <c r="J154" s="287">
        <f>I154*Macroeconomicos!I10*(1+Macroeconomicos!J7)/Macroeconomicos!J10</f>
        <v>34167.674566353904</v>
      </c>
      <c r="K154" s="287">
        <f>J154*Macroeconomicos!J10*(1+Macroeconomicos!K7)/Macroeconomicos!K10</f>
        <v>34291.076567647498</v>
      </c>
      <c r="L154" s="287">
        <f>K154*Macroeconomicos!K10*(1+Macroeconomicos!L7)/Macroeconomicos!L10</f>
        <v>34414.102828968447</v>
      </c>
      <c r="M154" s="287">
        <f>L154*Macroeconomicos!L10*(1+Macroeconomicos!M7)/Macroeconomicos!M10</f>
        <v>34537.570472202402</v>
      </c>
      <c r="N154" s="287">
        <f>M154*Macroeconomicos!M10*(1+Macroeconomicos!N7)/Macroeconomicos!N10</f>
        <v>34661.481080897393</v>
      </c>
      <c r="O154" s="287">
        <f>N154*Macroeconomicos!N10*(1+Macroeconomicos!O7)/Macroeconomicos!O10</f>
        <v>34785.836244282749</v>
      </c>
      <c r="V154" s="562"/>
      <c r="W154" s="562"/>
      <c r="X154" s="562"/>
    </row>
    <row r="155" spans="2:24" s="137" customFormat="1" ht="20.100000000000001" customHeight="1">
      <c r="B155" s="33" t="s">
        <v>509</v>
      </c>
      <c r="C155" s="136"/>
      <c r="D155" s="136"/>
      <c r="E155" s="288">
        <f>85970*Macroeconomicos!D10*(1+Macroeconomicos!E7)/Macroeconomicos!E10</f>
        <v>84566.548454720061</v>
      </c>
      <c r="F155" s="287">
        <f>E155*Macroeconomicos!E10*(1+Macroeconomicos!F7)/Macroeconomicos!F10</f>
        <v>81898.848961850483</v>
      </c>
      <c r="G155" s="287">
        <f>F155*Macroeconomicos!F10*(1+Macroeconomicos!G7)/Macroeconomicos!G10</f>
        <v>80601.682874543345</v>
      </c>
      <c r="H155" s="287">
        <f>G155*Macroeconomicos!G10*(1+Macroeconomicos!H7)/Macroeconomicos!H10</f>
        <v>80201.308502094631</v>
      </c>
      <c r="I155" s="287">
        <f>H155*Macroeconomicos!H10*(1+Macroeconomicos!I7)/Macroeconomicos!I10</f>
        <v>80381.507644615136</v>
      </c>
      <c r="J155" s="287">
        <f>I155*Macroeconomicos!I10*(1+Macroeconomicos!J7)/Macroeconomicos!J10</f>
        <v>80891.002739224074</v>
      </c>
      <c r="K155" s="287">
        <f>J155*Macroeconomicos!J10*(1+Macroeconomicos!K7)/Macroeconomicos!K10</f>
        <v>81183.153485546631</v>
      </c>
      <c r="L155" s="287">
        <f>K155*Macroeconomicos!K10*(1+Macroeconomicos!L7)/Macroeconomicos!L10</f>
        <v>81474.414678115732</v>
      </c>
      <c r="M155" s="287">
        <f>L155*Macroeconomicos!L10*(1+Macroeconomicos!M7)/Macroeconomicos!M10</f>
        <v>81766.720829874699</v>
      </c>
      <c r="N155" s="287">
        <f>M155*Macroeconomicos!M10*(1+Macroeconomicos!N7)/Macroeconomicos!N10</f>
        <v>82060.075689828649</v>
      </c>
      <c r="O155" s="287">
        <f>N155*Macroeconomicos!N10*(1+Macroeconomicos!O7)/Macroeconomicos!O10</f>
        <v>82354.483020433094</v>
      </c>
      <c r="V155" s="562"/>
      <c r="W155" s="562"/>
      <c r="X155" s="562"/>
    </row>
    <row r="156" spans="2:24">
      <c r="E156" s="68"/>
      <c r="F156" s="68"/>
      <c r="G156" s="68"/>
      <c r="H156" s="68"/>
      <c r="I156" s="68"/>
      <c r="J156" s="68"/>
      <c r="K156" s="68"/>
      <c r="L156" s="68"/>
      <c r="M156" s="68"/>
      <c r="N156" s="68"/>
      <c r="O156" s="68"/>
    </row>
    <row r="157" spans="2:24" ht="16.5" thickBot="1">
      <c r="B157" s="570" t="s">
        <v>533</v>
      </c>
      <c r="C157" s="68"/>
      <c r="D157" s="68"/>
      <c r="E157" s="68"/>
      <c r="F157" s="68"/>
      <c r="G157" s="68"/>
      <c r="H157" s="68"/>
      <c r="I157" s="68"/>
      <c r="J157" s="68"/>
      <c r="K157" s="68"/>
      <c r="L157" s="68"/>
      <c r="M157" s="68"/>
      <c r="N157" s="68"/>
      <c r="O157" s="68"/>
    </row>
    <row r="158" spans="2:24" ht="20.100000000000001" customHeight="1" thickTop="1">
      <c r="B158" s="33" t="s">
        <v>510</v>
      </c>
      <c r="C158" s="614">
        <f>(18243+15795)*1000000/Macroeconomicos!C10/(Macroeconomicos!C73-Macroeconomicos!C66)/MW_a_KW</f>
        <v>8.3288955248185292</v>
      </c>
      <c r="D158" s="71">
        <f>$C$158*Macroeconomicos!$C$10*Macroeconomicos!D26/Macroeconomicos!D10</f>
        <v>8.3073125869601618</v>
      </c>
      <c r="E158" s="71">
        <f>$C$158*Macroeconomicos!$C$10*Macroeconomicos!E26/Macroeconomicos!E10</f>
        <v>8.1560335790080725</v>
      </c>
      <c r="F158" s="71">
        <f>$C$158*Macroeconomicos!$C$10*Macroeconomicos!F26/Macroeconomicos!F10</f>
        <v>7.89264217543254</v>
      </c>
      <c r="G158" s="71">
        <f>$C$158*Macroeconomicos!$C$10*Macroeconomicos!G26/Macroeconomicos!G10</f>
        <v>7.7608933490279757</v>
      </c>
      <c r="H158" s="71">
        <f>$C$158*Macroeconomicos!$C$10*Macroeconomicos!H26/Macroeconomicos!H10</f>
        <v>7.698535670005719</v>
      </c>
      <c r="I158" s="71">
        <f>$C$158*Macroeconomicos!$C$10*Macroeconomicos!I26/Macroeconomicos!I10</f>
        <v>7.7031596638986555</v>
      </c>
      <c r="J158" s="71">
        <f>$C$158*Macroeconomicos!$C$10*Macroeconomicos!J26/Macroeconomicos!J10</f>
        <v>7.7287673368244283</v>
      </c>
      <c r="K158" s="71">
        <f>$C$158*Macroeconomicos!$C$10*Macroeconomicos!K26/Macroeconomicos!K10</f>
        <v>7.7334484404895694</v>
      </c>
      <c r="L158" s="71">
        <f>$C$158*Macroeconomicos!$C$10*Macroeconomicos!L26/Macroeconomicos!L10</f>
        <v>7.7379476832552943</v>
      </c>
      <c r="M158" s="71">
        <f>$C$158*Macroeconomicos!$C$10*Macroeconomicos!M26/Macroeconomicos!M10</f>
        <v>7.7424495436353515</v>
      </c>
      <c r="N158" s="71">
        <f>$C$158*Macroeconomicos!$C$10*Macroeconomicos!N26/Macroeconomicos!N10</f>
        <v>7.7469540231526404</v>
      </c>
      <c r="O158" s="71">
        <f>$C$158*Macroeconomicos!$C$10*Macroeconomicos!O26/Macroeconomicos!O10</f>
        <v>7.7514611233309516</v>
      </c>
    </row>
    <row r="159" spans="2:24" s="137" customFormat="1" ht="20.100000000000001" customHeight="1">
      <c r="B159" s="33" t="s">
        <v>511</v>
      </c>
      <c r="C159" s="614">
        <f>(12799+9696)*1000000/Macroeconomicos!C10/(Macroeconomicos!C73-Macroeconomicos!C66)/MW_a_KW</f>
        <v>5.5043922918735753</v>
      </c>
      <c r="D159" s="71">
        <f>$C$159*Macroeconomicos!$C$10*Macroeconomicos!D26/Macroeconomicos!D10</f>
        <v>5.4901285811054921</v>
      </c>
      <c r="E159" s="71">
        <f>$C$159*Macroeconomicos!$C$10*Macroeconomicos!E26/Macroeconomicos!E10</f>
        <v>5.3901514589513653</v>
      </c>
      <c r="F159" s="71">
        <f>$C$159*Macroeconomicos!$C$10*Macroeconomicos!F26/Macroeconomicos!F10</f>
        <v>5.2160816069203513</v>
      </c>
      <c r="G159" s="71">
        <f>$C$159*Macroeconomicos!$C$10*Macroeconomicos!G26/Macroeconomicos!G10</f>
        <v>5.1290115719602865</v>
      </c>
      <c r="H159" s="71">
        <f>$C$159*Macroeconomicos!$C$10*Macroeconomicos!H26/Macroeconomicos!H10</f>
        <v>5.0878006903102007</v>
      </c>
      <c r="I159" s="71">
        <f>$C$159*Macroeconomicos!$C$10*Macroeconomicos!I26/Macroeconomicos!I10</f>
        <v>5.0908565908514065</v>
      </c>
      <c r="J159" s="71">
        <f>$C$159*Macroeconomicos!$C$10*Macroeconomicos!J26/Macroeconomicos!J10</f>
        <v>5.1077801645768091</v>
      </c>
      <c r="K159" s="71">
        <f>$C$159*Macroeconomicos!$C$10*Macroeconomicos!K26/Macroeconomicos!K10</f>
        <v>5.110873807768165</v>
      </c>
      <c r="L159" s="71">
        <f>$C$159*Macroeconomicos!$C$10*Macroeconomicos!L26/Macroeconomicos!L10</f>
        <v>5.1138472629069804</v>
      </c>
      <c r="M159" s="71">
        <f>$C$159*Macroeconomicos!$C$10*Macroeconomicos!M26/Macroeconomicos!M10</f>
        <v>5.1168224479721838</v>
      </c>
      <c r="N159" s="71">
        <f>$C$159*Macroeconomicos!$C$10*Macroeconomicos!N26/Macroeconomicos!N10</f>
        <v>5.1197993639702268</v>
      </c>
      <c r="O159" s="71">
        <f>$C$159*Macroeconomicos!$C$10*Macroeconomicos!O26/Macroeconomicos!O10</f>
        <v>5.122778011908153</v>
      </c>
      <c r="V159" s="562"/>
      <c r="W159" s="562"/>
      <c r="X159" s="562"/>
    </row>
    <row r="160" spans="2:24" s="137" customFormat="1" ht="20.100000000000001" customHeight="1">
      <c r="B160" s="33" t="s">
        <v>512</v>
      </c>
      <c r="C160" s="614">
        <f>(13842+9532+6789+3653+3314+405+3976)*1000000/Macroeconomicos!C10/(Macroeconomicos!C73-Macroeconomicos!C66)/MW_a_KW</f>
        <v>10.157494039918381</v>
      </c>
      <c r="D160" s="71">
        <f>$C$160*Macroeconomicos!$C$10*Macroeconomicos!D26/Macroeconomicos!D10</f>
        <v>10.131172595255395</v>
      </c>
      <c r="E160" s="71">
        <f>$C$160*Macroeconomicos!$C$10*Macroeconomicos!E26/Macroeconomicos!E10</f>
        <v>9.9466804717728436</v>
      </c>
      <c r="F160" s="71">
        <f>$C$160*Macroeconomicos!$C$10*Macroeconomicos!F26/Macroeconomicos!F10</f>
        <v>9.6254618175092563</v>
      </c>
      <c r="G160" s="71">
        <f>$C$160*Macroeconomicos!$C$10*Macroeconomicos!G26/Macroeconomicos!G10</f>
        <v>9.4647877023180023</v>
      </c>
      <c r="H160" s="71">
        <f>$C$160*Macroeconomicos!$C$10*Macroeconomicos!H26/Macroeconomicos!H10</f>
        <v>9.3887394734592906</v>
      </c>
      <c r="I160" s="71">
        <f>$C$160*Macroeconomicos!$C$10*Macroeconomicos!I26/Macroeconomicos!I10</f>
        <v>9.3943786593835394</v>
      </c>
      <c r="J160" s="71">
        <f>$C$160*Macroeconomicos!$C$10*Macroeconomicos!J26/Macroeconomicos!J10</f>
        <v>9.4256084646253822</v>
      </c>
      <c r="K160" s="71">
        <f>$C$160*Macroeconomicos!$C$10*Macroeconomicos!K26/Macroeconomicos!K10</f>
        <v>9.4313172987003462</v>
      </c>
      <c r="L160" s="71">
        <f>$C$160*Macroeconomicos!$C$10*Macroeconomicos!L26/Macroeconomicos!L10</f>
        <v>9.4368043445446403</v>
      </c>
      <c r="M160" s="71">
        <f>$C$160*Macroeconomicos!$C$10*Macroeconomicos!M26/Macroeconomicos!M10</f>
        <v>9.4422945826971905</v>
      </c>
      <c r="N160" s="71">
        <f>$C$160*Macroeconomicos!$C$10*Macroeconomicos!N26/Macroeconomicos!N10</f>
        <v>9.4477880150152522</v>
      </c>
      <c r="O160" s="71">
        <f>$C$160*Macroeconomicos!$C$10*Macroeconomicos!O26/Macroeconomicos!O10</f>
        <v>9.4532846433571613</v>
      </c>
      <c r="V160" s="562"/>
      <c r="W160" s="562"/>
      <c r="X160" s="562"/>
    </row>
    <row r="161" spans="2:24" s="137" customFormat="1" ht="20.100000000000001" customHeight="1">
      <c r="B161" s="33" t="s">
        <v>535</v>
      </c>
      <c r="C161" s="615">
        <f t="shared" ref="C161:O161" si="40">SUM(C158:C160)</f>
        <v>23.990781856610486</v>
      </c>
      <c r="D161" s="615">
        <f t="shared" si="40"/>
        <v>23.928613763321046</v>
      </c>
      <c r="E161" s="615">
        <f t="shared" si="40"/>
        <v>23.492865509732283</v>
      </c>
      <c r="F161" s="615">
        <f t="shared" si="40"/>
        <v>22.734185599862148</v>
      </c>
      <c r="G161" s="615">
        <f t="shared" si="40"/>
        <v>22.354692623306263</v>
      </c>
      <c r="H161" s="615">
        <f t="shared" si="40"/>
        <v>22.17507583377521</v>
      </c>
      <c r="I161" s="615">
        <f t="shared" si="40"/>
        <v>22.188394914133603</v>
      </c>
      <c r="J161" s="615">
        <f t="shared" si="40"/>
        <v>22.262155966026619</v>
      </c>
      <c r="K161" s="615">
        <f t="shared" si="40"/>
        <v>22.275639546958082</v>
      </c>
      <c r="L161" s="615">
        <f t="shared" si="40"/>
        <v>22.288599290706916</v>
      </c>
      <c r="M161" s="615">
        <f t="shared" si="40"/>
        <v>22.301566574304726</v>
      </c>
      <c r="N161" s="615">
        <f t="shared" si="40"/>
        <v>22.314541402138119</v>
      </c>
      <c r="O161" s="615">
        <f t="shared" si="40"/>
        <v>22.327523778596266</v>
      </c>
      <c r="V161" s="562"/>
      <c r="W161" s="562"/>
      <c r="X161" s="562"/>
    </row>
    <row r="162" spans="2:24" s="137" customFormat="1" ht="20.100000000000001" customHeight="1">
      <c r="B162" s="73"/>
      <c r="C162" s="295"/>
      <c r="D162" s="295"/>
      <c r="E162" s="295"/>
      <c r="F162" s="295"/>
      <c r="G162" s="295"/>
      <c r="H162" s="295"/>
      <c r="I162" s="295"/>
      <c r="J162" s="295"/>
      <c r="K162" s="295"/>
      <c r="L162" s="295"/>
      <c r="M162" s="295"/>
      <c r="N162" s="295"/>
      <c r="O162" s="295"/>
      <c r="V162" s="562"/>
      <c r="W162" s="562"/>
      <c r="X162" s="562"/>
    </row>
    <row r="163" spans="2:24" ht="16.5" thickBot="1">
      <c r="B163" s="570" t="s">
        <v>534</v>
      </c>
      <c r="E163" s="68"/>
      <c r="F163" s="68"/>
      <c r="G163" s="68"/>
      <c r="H163" s="68"/>
      <c r="I163" s="68"/>
      <c r="J163" s="68"/>
      <c r="K163" s="68"/>
      <c r="L163" s="68"/>
      <c r="M163" s="68"/>
      <c r="N163" s="68"/>
      <c r="O163" s="68"/>
    </row>
    <row r="164" spans="2:24" ht="20.100000000000001" customHeight="1" thickTop="1">
      <c r="B164" s="33" t="s">
        <v>513</v>
      </c>
      <c r="C164" s="587">
        <f>66350*1000000/Macroeconomicos!C10/(Historicos!I39*MW_a_KW)</f>
        <v>3.4791281754910628</v>
      </c>
      <c r="D164" s="29">
        <f>$C$164*Macroeconomicos!$C$10*(1+(Macroeconomicos!D6+Incremento_salarial))/Macroeconomicos!D10</f>
        <v>3.520751462135475</v>
      </c>
      <c r="E164" s="71">
        <f>((D164*Macroeconomicos!D10*(1+(Macroeconomicos!E6+Incremento_salarial)))/Macroeconomicos!E10)</f>
        <v>3.5081213959540936</v>
      </c>
      <c r="F164" s="71">
        <f>((E164*Macroeconomicos!E10*(1+(Macroeconomicos!F6+Incremento_salarial)))/Macroeconomicos!F10)</f>
        <v>3.4440636597231258</v>
      </c>
      <c r="G164" s="71">
        <f>((F164*Macroeconomicos!F10*(1+(Macroeconomicos!G6+Incremento_salarial)))/Macroeconomicos!G10)</f>
        <v>3.4355924372328182</v>
      </c>
      <c r="H164" s="71">
        <f>((G164*Macroeconomicos!G10*(1+(Macroeconomicos!H6+Incremento_salarial)))/Macroeconomicos!H10)</f>
        <v>3.4573886140895111</v>
      </c>
      <c r="I164" s="71">
        <f>((H164*Macroeconomicos!H10*(1+(Macroeconomicos!I6+Incremento_salarial)))/Macroeconomicos!I10)</f>
        <v>3.5096848992085778</v>
      </c>
      <c r="J164" s="71">
        <f>((I164*Macroeconomicos!I10*(1+(Macroeconomicos!J6+Incremento_salarial)))/Macroeconomicos!J10)</f>
        <v>3.5725395760927423</v>
      </c>
      <c r="K164" s="71">
        <f>((J164*Macroeconomicos!J10*(1+(Macroeconomicos!K6+Incremento_salarial)))/Macroeconomicos!K10)</f>
        <v>3.626666298843507</v>
      </c>
      <c r="L164" s="71">
        <f>((K164*Macroeconomicos!K10*(1+(Macroeconomicos!L6+Incremento_salarial)))/Macroeconomicos!L10)</f>
        <v>3.6815252092109638</v>
      </c>
      <c r="M164" s="71">
        <f>((L164*Macroeconomicos!L10*(1+(Macroeconomicos!M6+Incremento_salarial)))/Macroeconomicos!M10)</f>
        <v>3.7372139450431083</v>
      </c>
      <c r="N164" s="71">
        <f>((M164*Macroeconomicos!M10*(1+(Macroeconomicos!N6+Incremento_salarial)))/Macroeconomicos!N10)</f>
        <v>3.7937450587274593</v>
      </c>
      <c r="O164" s="71">
        <f>((N164*Macroeconomicos!N10*(1+(Macroeconomicos!O6+Incremento_salarial)))/Macroeconomicos!O10)</f>
        <v>3.8511312925257219</v>
      </c>
    </row>
    <row r="165" spans="2:24" s="137" customFormat="1" ht="20.100000000000001" customHeight="1">
      <c r="B165" s="33" t="s">
        <v>514</v>
      </c>
      <c r="C165" s="614">
        <f>31541*1000000/Macroeconomicos!C10/(Historicos!I39*MW_a_KW)</f>
        <v>1.6538836741999039</v>
      </c>
      <c r="D165" s="71">
        <f>$C$165*Macroeconomicos!$C$10*Macroeconomicos!D27/Macroeconomicos!D10</f>
        <v>1.6627574630365098</v>
      </c>
      <c r="E165" s="71">
        <f>$C$165*Macroeconomicos!$C$10*Macroeconomicos!E27/Macroeconomicos!E10</f>
        <v>1.6356131158116141</v>
      </c>
      <c r="F165" s="71">
        <f>$C$165*Macroeconomicos!$C$10*Macroeconomicos!F27/Macroeconomicos!F10</f>
        <v>1.5840167770782465</v>
      </c>
      <c r="G165" s="71">
        <f>$C$165*Macroeconomicos!$C$10*Macroeconomicos!G27/Macroeconomicos!G10</f>
        <v>1.5589281113522047</v>
      </c>
      <c r="H165" s="71">
        <f>$C$165*Macroeconomicos!$C$10*Macroeconomicos!H27/Macroeconomicos!H10</f>
        <v>1.5511844161585597</v>
      </c>
      <c r="I165" s="71">
        <f>$C$165*Macroeconomicos!$C$10*Macroeconomicos!I27/Macroeconomicos!I10</f>
        <v>1.554669672283473</v>
      </c>
      <c r="J165" s="71">
        <f>$C$165*Macroeconomicos!$C$10*Macroeconomicos!J27/Macroeconomicos!J10</f>
        <v>1.5645238862062543</v>
      </c>
      <c r="K165" s="71">
        <f>$C$165*Macroeconomicos!$C$10*Macroeconomicos!K27/Macroeconomicos!K10</f>
        <v>1.5701744135271745</v>
      </c>
      <c r="L165" s="71">
        <f>$C$165*Macroeconomicos!$C$10*Macroeconomicos!L27/Macroeconomicos!L10</f>
        <v>1.5758077358679581</v>
      </c>
      <c r="M165" s="71">
        <f>$C$165*Macroeconomicos!$C$10*Macroeconomicos!M27/Macroeconomicos!M10</f>
        <v>1.581461268906561</v>
      </c>
      <c r="N165" s="71">
        <f>$C$165*Macroeconomicos!$C$10*Macroeconomicos!N27/Macroeconomicos!N10</f>
        <v>1.5871350851530015</v>
      </c>
      <c r="O165" s="71">
        <f>$C$165*Macroeconomicos!$C$10*Macroeconomicos!O27/Macroeconomicos!O10</f>
        <v>1.5928292573774423</v>
      </c>
      <c r="V165" s="562"/>
      <c r="W165" s="562"/>
      <c r="X165" s="562"/>
    </row>
    <row r="166" spans="2:24" s="137" customFormat="1" ht="20.100000000000001" customHeight="1">
      <c r="B166" s="33" t="s">
        <v>536</v>
      </c>
      <c r="C166" s="615">
        <f>SUM(C164:C165)</f>
        <v>5.1330118496909662</v>
      </c>
      <c r="D166" s="615">
        <f t="shared" ref="D166:O166" si="41">SUM(D164:D165)</f>
        <v>5.183508925171985</v>
      </c>
      <c r="E166" s="615">
        <f t="shared" si="41"/>
        <v>5.1437345117657074</v>
      </c>
      <c r="F166" s="615">
        <f t="shared" si="41"/>
        <v>5.0280804368013721</v>
      </c>
      <c r="G166" s="615">
        <f t="shared" si="41"/>
        <v>4.9945205485850224</v>
      </c>
      <c r="H166" s="615">
        <f t="shared" si="41"/>
        <v>5.0085730302480709</v>
      </c>
      <c r="I166" s="615">
        <f t="shared" si="41"/>
        <v>5.0643545714920508</v>
      </c>
      <c r="J166" s="615">
        <f t="shared" si="41"/>
        <v>5.1370634622989968</v>
      </c>
      <c r="K166" s="615">
        <f t="shared" si="41"/>
        <v>5.1968407123706815</v>
      </c>
      <c r="L166" s="615">
        <f t="shared" si="41"/>
        <v>5.2573329450789217</v>
      </c>
      <c r="M166" s="615">
        <f t="shared" si="41"/>
        <v>5.3186752139496694</v>
      </c>
      <c r="N166" s="615">
        <f t="shared" si="41"/>
        <v>5.3808801438804608</v>
      </c>
      <c r="O166" s="615">
        <f t="shared" si="41"/>
        <v>5.4439605499031645</v>
      </c>
      <c r="V166" s="562"/>
      <c r="W166" s="562"/>
      <c r="X166" s="562"/>
    </row>
    <row r="168" spans="2:24" ht="16.5" thickBot="1">
      <c r="B168" s="570" t="s">
        <v>537</v>
      </c>
      <c r="E168" s="68"/>
      <c r="F168" s="68"/>
      <c r="G168" s="68"/>
      <c r="H168" s="68"/>
      <c r="I168" s="68"/>
      <c r="J168" s="68"/>
      <c r="K168" s="68"/>
      <c r="L168" s="68"/>
      <c r="M168" s="68"/>
      <c r="N168" s="68"/>
      <c r="O168" s="68"/>
    </row>
    <row r="169" spans="2:24" ht="20.100000000000001" customHeight="1" thickTop="1">
      <c r="B169" s="33" t="s">
        <v>519</v>
      </c>
      <c r="C169" s="26">
        <f>OYM_VARIABLE_REF_INTERNAL*Macroeconomicos!C28</f>
        <v>5.94</v>
      </c>
      <c r="D169" s="29">
        <f>OYM_VARIABLE_REF_INTERNAL*Macroeconomicos!D28</f>
        <v>5.9756400000000003</v>
      </c>
      <c r="E169" s="29">
        <f>OYM_VARIABLE_REF_INTERNAL*Macroeconomicos!E28</f>
        <v>6.062958000000001</v>
      </c>
      <c r="F169" s="29">
        <f>OYM_VARIABLE_REF_INTERNAL*Macroeconomicos!F28</f>
        <v>6.1890675264000015</v>
      </c>
      <c r="G169" s="29">
        <f>OYM_VARIABLE_REF_INTERNAL*Macroeconomicos!G28</f>
        <v>6.2497485285715744</v>
      </c>
      <c r="H169" s="29">
        <f>OYM_VARIABLE_REF_INTERNAL*Macroeconomicos!H28</f>
        <v>6.3211692087344362</v>
      </c>
      <c r="I169" s="29">
        <f>OYM_VARIABLE_REF_INTERNAL*Macroeconomicos!I28</f>
        <v>6.3760612062436319</v>
      </c>
      <c r="J169" s="29">
        <f>OYM_VARIABLE_REF_INTERNAL*Macroeconomicos!J28</f>
        <v>6.4396396060089591</v>
      </c>
      <c r="K169" s="29">
        <f>OYM_VARIABLE_REF_INTERNAL*Macroeconomicos!K28</f>
        <v>6.5042102186503588</v>
      </c>
      <c r="L169" s="29">
        <f>OYM_VARIABLE_REF_INTERNAL*Macroeconomicos!L28</f>
        <v>6.5663942410131897</v>
      </c>
      <c r="M169" s="29">
        <f>OYM_VARIABLE_REF_INTERNAL*Macroeconomicos!M28</f>
        <v>6.6310929058786519</v>
      </c>
      <c r="N169" s="29">
        <f>OYM_VARIABLE_REF_INTERNAL*Macroeconomicos!N28</f>
        <v>6.6961673043317491</v>
      </c>
      <c r="O169" s="29">
        <f>OYM_VARIABLE_REF_INTERNAL*Macroeconomicos!O28</f>
        <v>6.761403771902355</v>
      </c>
    </row>
    <row r="170" spans="2:24" s="137" customFormat="1" ht="20.100000000000001" customHeight="1">
      <c r="B170" s="33" t="s">
        <v>529</v>
      </c>
      <c r="C170" s="290">
        <f>OYM_FIJO_REF_INTERNAL*Macroeconomicos!C28</f>
        <v>15</v>
      </c>
      <c r="D170" s="290">
        <f>OYM_FIJO_REF_INTERNAL*Macroeconomicos!D28</f>
        <v>15.09</v>
      </c>
      <c r="E170" s="290">
        <f>OYM_FIJO_REF_INTERNAL*Macroeconomicos!E28</f>
        <v>15.310500000000003</v>
      </c>
      <c r="F170" s="290">
        <f>OYM_FIJO_REF_INTERNAL*Macroeconomicos!F28</f>
        <v>15.628958400000002</v>
      </c>
      <c r="G170" s="290">
        <f>OYM_FIJO_REF_INTERNAL*Macroeconomicos!G28</f>
        <v>15.782193253968622</v>
      </c>
      <c r="H170" s="290">
        <f>OYM_FIJO_REF_INTERNAL*Macroeconomicos!H28</f>
        <v>15.96254850690514</v>
      </c>
      <c r="I170" s="290">
        <f>OYM_FIJO_REF_INTERNAL*Macroeconomicos!I28</f>
        <v>16.10116466223139</v>
      </c>
      <c r="J170" s="290">
        <f>OYM_FIJO_REF_INTERNAL*Macroeconomicos!J28</f>
        <v>16.261716176790301</v>
      </c>
      <c r="K170" s="290">
        <f>OYM_FIJO_REF_INTERNAL*Macroeconomicos!K28</f>
        <v>16.424773279420098</v>
      </c>
      <c r="L170" s="290">
        <f>OYM_FIJO_REF_INTERNAL*Macroeconomicos!L28</f>
        <v>16.581803638922196</v>
      </c>
      <c r="M170" s="290">
        <f>OYM_FIJO_REF_INTERNAL*Macroeconomicos!M28</f>
        <v>16.74518410575417</v>
      </c>
      <c r="N170" s="290">
        <f>OYM_FIJO_REF_INTERNAL*Macroeconomicos!N28</f>
        <v>16.909513394777143</v>
      </c>
      <c r="O170" s="290">
        <f>OYM_FIJO_REF_INTERNAL*Macroeconomicos!O28</f>
        <v>17.074251949248371</v>
      </c>
      <c r="V170" s="562"/>
      <c r="W170" s="562"/>
      <c r="X170" s="562"/>
    </row>
    <row r="173" spans="2:24" ht="16.5" thickBot="1">
      <c r="B173" s="570" t="s">
        <v>541</v>
      </c>
      <c r="C173" s="294"/>
    </row>
    <row r="174" spans="2:24" ht="20.100000000000001" customHeight="1" thickTop="1">
      <c r="B174" s="33" t="s">
        <v>504</v>
      </c>
      <c r="C174" s="594">
        <f>2781000000*Macroeconomicos!C26/Mes_año</f>
        <v>231750000</v>
      </c>
      <c r="D174" s="46">
        <f>2781000000*Macroeconomicos!D26/Mes_año</f>
        <v>238215825</v>
      </c>
      <c r="E174" s="46">
        <f>2781000000*Macroeconomicos!E26/Mes_año</f>
        <v>239907157.35750005</v>
      </c>
      <c r="F174" s="46">
        <f>2781000000*Macroeconomicos!F26/Mes_año</f>
        <v>248135972.8548623</v>
      </c>
      <c r="G174" s="46">
        <f>2781000000*Macroeconomicos!G26/Mes_año</f>
        <v>257143308.66949379</v>
      </c>
      <c r="H174" s="46">
        <f>2781000000*Macroeconomicos!H26/Mes_año</f>
        <v>266091895.81119215</v>
      </c>
      <c r="I174" s="46">
        <f>2781000000*Macroeconomicos!I26/Mes_año</f>
        <v>274952755.94170493</v>
      </c>
      <c r="J174" s="46">
        <f>2781000000*Macroeconomicos!J26/Mes_año</f>
        <v>283723748.85624534</v>
      </c>
      <c r="K174" s="46">
        <f>2781000000*Macroeconomicos!K26/Mes_año</f>
        <v>292774536.44475955</v>
      </c>
      <c r="L174" s="46">
        <f>2781000000*Macroeconomicos!L26/Mes_año</f>
        <v>302114044.15734738</v>
      </c>
      <c r="M174" s="46">
        <f>2781000000*Macroeconomicos!M26/Mes_año</f>
        <v>311751482.16596675</v>
      </c>
      <c r="N174" s="46">
        <f>2781000000*Macroeconomicos!N26/Mes_año</f>
        <v>321696354.44706112</v>
      </c>
      <c r="O174" s="46">
        <f>2781000000*Macroeconomicos!O26/Mes_año</f>
        <v>331958468.15392238</v>
      </c>
    </row>
    <row r="175" spans="2:24" s="137" customFormat="1" ht="20.100000000000001" customHeight="1">
      <c r="B175" s="33" t="s">
        <v>531</v>
      </c>
      <c r="C175" s="594">
        <f>2192000000*Macroeconomicos!C26/Mes_año</f>
        <v>182666666.66666666</v>
      </c>
      <c r="D175" s="46">
        <f>2192000000*Macroeconomicos!D26/Mes_año</f>
        <v>187763066.66666666</v>
      </c>
      <c r="E175" s="46">
        <f>2192000000*Macroeconomicos!E26/Mes_año</f>
        <v>189096184.44000003</v>
      </c>
      <c r="F175" s="46">
        <f>2192000000*Macroeconomicos!F26/Mes_año</f>
        <v>195582183.56629205</v>
      </c>
      <c r="G175" s="46">
        <f>2192000000*Macroeconomicos!G26/Mes_año</f>
        <v>202681816.82974842</v>
      </c>
      <c r="H175" s="46">
        <f>2192000000*Macroeconomicos!H26/Mes_año</f>
        <v>209735144.05542365</v>
      </c>
      <c r="I175" s="46">
        <f>2192000000*Macroeconomicos!I26/Mes_año</f>
        <v>216719324.35246933</v>
      </c>
      <c r="J175" s="46">
        <f>2192000000*Macroeconomicos!J26/Mes_año</f>
        <v>223632670.7993131</v>
      </c>
      <c r="K175" s="46">
        <f>2192000000*Macroeconomicos!K26/Mes_año</f>
        <v>230766552.9978112</v>
      </c>
      <c r="L175" s="46">
        <f>2192000000*Macroeconomicos!L26/Mes_año</f>
        <v>238128006.03844139</v>
      </c>
      <c r="M175" s="46">
        <f>2192000000*Macroeconomicos!M26/Mes_año</f>
        <v>245724289.43106768</v>
      </c>
      <c r="N175" s="46">
        <f>2192000000*Macroeconomicos!N26/Mes_año</f>
        <v>253562894.26391873</v>
      </c>
      <c r="O175" s="46">
        <f>2192000000*Macroeconomicos!O26/Mes_año</f>
        <v>261651550.59093773</v>
      </c>
      <c r="V175" s="562"/>
      <c r="W175" s="562"/>
      <c r="X175" s="562"/>
    </row>
    <row r="176" spans="2:24" s="137" customFormat="1" ht="20.100000000000001" customHeight="1">
      <c r="B176" s="33" t="s">
        <v>532</v>
      </c>
      <c r="C176" s="594">
        <f>870000000*Macroeconomicos!C26/Mes_año</f>
        <v>72500000</v>
      </c>
      <c r="D176" s="46">
        <f>870000000*Macroeconomicos!D26/Mes_año</f>
        <v>74522750</v>
      </c>
      <c r="E176" s="46">
        <f>870000000*Macroeconomicos!E26/Mes_año</f>
        <v>75051861.525000021</v>
      </c>
      <c r="F176" s="46">
        <f>870000000*Macroeconomicos!F26/Mes_año</f>
        <v>77626140.375307515</v>
      </c>
      <c r="G176" s="46">
        <f>870000000*Macroeconomicos!G26/Mes_año</f>
        <v>80443969.270931169</v>
      </c>
      <c r="H176" s="46">
        <f>870000000*Macroeconomicos!H26/Mes_año</f>
        <v>83243419.401559576</v>
      </c>
      <c r="I176" s="46">
        <f>870000000*Macroeconomicos!I26/Mes_año</f>
        <v>86015425.267631531</v>
      </c>
      <c r="J176" s="46">
        <f>870000000*Macroeconomicos!J26/Mes_año</f>
        <v>88759317.333668977</v>
      </c>
      <c r="K176" s="46">
        <f>870000000*Macroeconomicos!K26/Mes_año</f>
        <v>91590739.556613028</v>
      </c>
      <c r="L176" s="46">
        <f>870000000*Macroeconomicos!L26/Mes_año</f>
        <v>94512484.148468971</v>
      </c>
      <c r="M176" s="46">
        <f>870000000*Macroeconomicos!M26/Mes_año</f>
        <v>97527432.392805144</v>
      </c>
      <c r="N176" s="46">
        <f>870000000*Macroeconomicos!N26/Mes_año</f>
        <v>100638557.48613562</v>
      </c>
      <c r="O176" s="46">
        <f>870000000*Macroeconomicos!O26/Mes_año</f>
        <v>103848927.46994336</v>
      </c>
      <c r="V176" s="562"/>
      <c r="W176" s="562"/>
      <c r="X176" s="562"/>
    </row>
    <row r="177" spans="2:15" ht="20.100000000000001" customHeight="1">
      <c r="B177" s="33" t="s">
        <v>530</v>
      </c>
      <c r="C177" s="594">
        <f>11990000000*Macroeconomicos!C26/Mes_año</f>
        <v>999166666.66666663</v>
      </c>
      <c r="D177" s="46">
        <f>11990000000*Macroeconomicos!D26/Mes_año</f>
        <v>1027043416.6666666</v>
      </c>
      <c r="E177" s="46">
        <f>11990000000*Macroeconomicos!E26/Mes_año</f>
        <v>1034335424.9250002</v>
      </c>
      <c r="F177" s="46">
        <f>11990000000*Macroeconomicos!F26/Mes_año</f>
        <v>1069813129.9999276</v>
      </c>
      <c r="G177" s="46">
        <f>11990000000*Macroeconomicos!G26/Mes_año</f>
        <v>1108647346.6189251</v>
      </c>
      <c r="H177" s="46">
        <f>11990000000*Macroeconomicos!H26/Mes_año</f>
        <v>1147228274.2812636</v>
      </c>
      <c r="I177" s="46">
        <f>11990000000*Macroeconomicos!I26/Mes_año</f>
        <v>1185430975.8148298</v>
      </c>
      <c r="J177" s="46">
        <f>11990000000*Macroeconomicos!J26/Mes_año</f>
        <v>1223246223.9433229</v>
      </c>
      <c r="K177" s="46">
        <f>11990000000*Macroeconomicos!K26/Mes_año</f>
        <v>1262267778.4871151</v>
      </c>
      <c r="L177" s="46">
        <f>11990000000*Macroeconomicos!L26/Mes_año</f>
        <v>1302534120.6208541</v>
      </c>
      <c r="M177" s="46">
        <f>11990000000*Macroeconomicos!M26/Mes_año</f>
        <v>1344084959.0686593</v>
      </c>
      <c r="N177" s="46">
        <f>11990000000*Macroeconomicos!N26/Mes_año</f>
        <v>1386961269.2629495</v>
      </c>
      <c r="O177" s="46">
        <f>11990000000*Macroeconomicos!O26/Mes_año</f>
        <v>1431205333.7524378</v>
      </c>
    </row>
    <row r="178" spans="2:15" ht="20.100000000000001" customHeight="1">
      <c r="B178" s="33" t="s">
        <v>539</v>
      </c>
      <c r="C178" s="594">
        <f>49489000000*Macroeconomicos!C26/Mes_año</f>
        <v>4124083333.3333335</v>
      </c>
      <c r="D178" s="46">
        <f>C178*(1+(Macroeconomicos!D6+Incremento_salarial))</f>
        <v>4301006508.333333</v>
      </c>
      <c r="E178" s="46">
        <f>D178*(1+(Macroeconomicos!E6+Incremento_salarial))</f>
        <v>4396058752.1674995</v>
      </c>
      <c r="F178" s="46">
        <f>E178*(1+(Macroeconomicos!F6+Incremento_salarial))</f>
        <v>4612784448.6493568</v>
      </c>
      <c r="G178" s="46">
        <f>F178*(1+(Macroeconomicos!G6+Incremento_salarial))</f>
        <v>4849420290.8650684</v>
      </c>
      <c r="H178" s="46">
        <f>G178*(1+(Macroeconomicos!H6+Incremento_salarial))</f>
        <v>5090921421.3501492</v>
      </c>
      <c r="I178" s="46">
        <f>H178*(1+(Macroeconomicos!I6+Incremento_salarial))</f>
        <v>5336812926.0013618</v>
      </c>
      <c r="J178" s="46">
        <f>I178*(1+(Macroeconomicos!J6+Incremento_salarial))</f>
        <v>5587109452.2308254</v>
      </c>
      <c r="K178" s="46">
        <f>J178*(1+(Macroeconomicos!K6+Incremento_salarial))</f>
        <v>5849144885.540451</v>
      </c>
      <c r="L178" s="46">
        <f>K178*(1+(Macroeconomicos!L6+Incremento_salarial))</f>
        <v>6123469780.6722975</v>
      </c>
      <c r="M178" s="46">
        <f>L178*(1+(Macroeconomicos!M6+Incremento_salarial))</f>
        <v>6410660513.385828</v>
      </c>
      <c r="N178" s="46">
        <f>M178*(1+(Macroeconomicos!N6+Incremento_salarial))</f>
        <v>6711320491.463623</v>
      </c>
      <c r="O178" s="46">
        <f>N178*(1+(Macroeconomicos!O6+Incremento_salarial))</f>
        <v>7026081422.5132666</v>
      </c>
    </row>
    <row r="179" spans="2:15" ht="20.100000000000001" customHeight="1">
      <c r="B179" s="33" t="s">
        <v>540</v>
      </c>
      <c r="C179" s="594">
        <f>(10524000000+6825000000+2182000000+2152000000+2050000000+1190000000+1024000000+852000000+647000000+113000000+5067000000)*Macroeconomicos!C26/Mes_año</f>
        <v>2718833333.3333335</v>
      </c>
      <c r="D179" s="46">
        <f>(10524000000+6825000000+2182000000+2152000000+2050000000+1190000000+1024000000+852000000+647000000+113000000+5067000000)*Macroeconomicos!D26/Mes_año</f>
        <v>2794688783.3333335</v>
      </c>
      <c r="E179" s="46">
        <f>(10524000000+6825000000+2182000000+2152000000+2050000000+1190000000+1024000000+852000000+647000000+113000000+5067000000)*Macroeconomicos!E26/Mes_año</f>
        <v>2814531073.6950006</v>
      </c>
      <c r="F179" s="46">
        <f>(10524000000+6825000000+2182000000+2152000000+2050000000+1190000000+1024000000+852000000+647000000+113000000+5067000000)*Macroeconomicos!F26/Mes_año</f>
        <v>2911069489.5227394</v>
      </c>
      <c r="G179" s="46">
        <f>(10524000000+6825000000+2182000000+2152000000+2050000000+1190000000+1024000000+852000000+647000000+113000000+5067000000)*Macroeconomicos!G26/Mes_año</f>
        <v>3016741311.9924145</v>
      </c>
      <c r="H179" s="46">
        <f>(10524000000+6825000000+2182000000+2152000000+2050000000+1190000000+1024000000+852000000+647000000+113000000+5067000000)*Macroeconomicos!H26/Mes_año</f>
        <v>3121723909.6497502</v>
      </c>
      <c r="I179" s="46">
        <f>(10524000000+6825000000+2182000000+2152000000+2050000000+1190000000+1024000000+852000000+647000000+113000000+5067000000)*Macroeconomicos!I26/Mes_año</f>
        <v>3225677315.8410873</v>
      </c>
      <c r="J179" s="46">
        <f>(10524000000+6825000000+2182000000+2152000000+2050000000+1190000000+1024000000+852000000+647000000+113000000+5067000000)*Macroeconomicos!J26/Mes_año</f>
        <v>3328576422.2164187</v>
      </c>
      <c r="K179" s="46">
        <f>(10524000000+6825000000+2182000000+2152000000+2050000000+1190000000+1024000000+852000000+647000000+113000000+5067000000)*Macroeconomicos!K26/Mes_año</f>
        <v>3434758010.0851226</v>
      </c>
      <c r="L179" s="46">
        <f>(10524000000+6825000000+2182000000+2152000000+2050000000+1190000000+1024000000+852000000+647000000+113000000+5067000000)*Macroeconomicos!L26/Mes_año</f>
        <v>3544326790.6068377</v>
      </c>
      <c r="M179" s="46">
        <f>(10524000000+6825000000+2182000000+2152000000+2050000000+1190000000+1024000000+852000000+647000000+113000000+5067000000)*Macroeconomicos!M26/Mes_año</f>
        <v>3657390815.2271957</v>
      </c>
      <c r="N179" s="46">
        <f>(10524000000+6825000000+2182000000+2152000000+2050000000+1190000000+1024000000+852000000+647000000+113000000+5067000000)*Macroeconomicos!N26/Mes_año</f>
        <v>3774061582.2329431</v>
      </c>
      <c r="O179" s="46">
        <f>(10524000000+6825000000+2182000000+2152000000+2050000000+1190000000+1024000000+852000000+647000000+113000000+5067000000)*Macroeconomicos!O26/Mes_año</f>
        <v>3894454146.7061749</v>
      </c>
    </row>
    <row r="180" spans="2:15" ht="20.100000000000001" customHeight="1">
      <c r="B180" s="33" t="s">
        <v>543</v>
      </c>
      <c r="C180" s="46">
        <f>SUM(C174:C179)</f>
        <v>8329000000</v>
      </c>
      <c r="D180" s="46">
        <f t="shared" ref="D180:O180" si="42">SUM(D174:D179)</f>
        <v>8623240350</v>
      </c>
      <c r="E180" s="46">
        <f t="shared" si="42"/>
        <v>8748980454.1100006</v>
      </c>
      <c r="F180" s="46">
        <f t="shared" si="42"/>
        <v>9115011364.9684868</v>
      </c>
      <c r="G180" s="46">
        <f t="shared" si="42"/>
        <v>9515078044.246582</v>
      </c>
      <c r="H180" s="46">
        <f t="shared" si="42"/>
        <v>9918944064.5493374</v>
      </c>
      <c r="I180" s="46">
        <f t="shared" si="42"/>
        <v>10325608723.219086</v>
      </c>
      <c r="J180" s="46">
        <f t="shared" si="42"/>
        <v>10735047835.379795</v>
      </c>
      <c r="K180" s="46">
        <f t="shared" si="42"/>
        <v>11161302503.111874</v>
      </c>
      <c r="L180" s="46">
        <f t="shared" si="42"/>
        <v>11605085226.244247</v>
      </c>
      <c r="M180" s="46">
        <f t="shared" si="42"/>
        <v>12067139491.671522</v>
      </c>
      <c r="N180" s="46">
        <f t="shared" si="42"/>
        <v>12548241149.15663</v>
      </c>
      <c r="O180" s="46">
        <f t="shared" si="42"/>
        <v>13049199849.186682</v>
      </c>
    </row>
    <row r="181" spans="2:15" ht="20.100000000000001" customHeight="1">
      <c r="B181" s="73"/>
      <c r="C181" s="296"/>
      <c r="D181" s="296"/>
      <c r="E181" s="296"/>
      <c r="F181" s="296"/>
      <c r="G181" s="296"/>
      <c r="H181" s="296"/>
      <c r="I181" s="296"/>
      <c r="J181" s="296"/>
      <c r="K181" s="296"/>
      <c r="L181" s="296"/>
      <c r="M181" s="296"/>
      <c r="N181" s="296"/>
      <c r="O181" s="296"/>
    </row>
    <row r="182" spans="2:15" ht="20.100000000000001" customHeight="1" thickBot="1">
      <c r="B182" s="570" t="s">
        <v>542</v>
      </c>
      <c r="C182" s="296"/>
      <c r="D182" s="296"/>
      <c r="E182" s="296"/>
      <c r="F182" s="296"/>
      <c r="G182" s="296"/>
      <c r="H182" s="296"/>
      <c r="I182" s="296"/>
      <c r="J182" s="296"/>
      <c r="K182" s="296"/>
      <c r="L182" s="296"/>
      <c r="M182" s="296"/>
      <c r="N182" s="296"/>
      <c r="O182" s="296"/>
    </row>
    <row r="183" spans="2:15" ht="20.100000000000001" customHeight="1" thickTop="1">
      <c r="B183" s="33" t="s">
        <v>538</v>
      </c>
      <c r="C183" s="71">
        <f>Historicos!AI57</f>
        <v>433.07664299249438</v>
      </c>
      <c r="D183" s="71">
        <f>C183*(1+Macroeconomicos!D6)</f>
        <v>445.15948133198498</v>
      </c>
      <c r="E183" s="71">
        <f>D183*(1+Macroeconomicos!E6)</f>
        <v>448.32011364944213</v>
      </c>
      <c r="F183" s="71">
        <f>E183*(1+Macroeconomicos!F6)</f>
        <v>463.69749354761802</v>
      </c>
      <c r="G183" s="71">
        <f>F183*(1+Macroeconomicos!G6)</f>
        <v>480.52971256339657</v>
      </c>
      <c r="H183" s="71">
        <f>G183*(1+Macroeconomicos!H6)</f>
        <v>497.25214656060274</v>
      </c>
      <c r="I183" s="71">
        <f>H183*(1+Macroeconomicos!I6)</f>
        <v>513.81064304107088</v>
      </c>
      <c r="J183" s="71">
        <f>I183*(1+Macroeconomicos!J6)</f>
        <v>530.20120255408108</v>
      </c>
      <c r="K183" s="71">
        <f>J183*(1+Macroeconomicos!K6)</f>
        <v>547.11462091555632</v>
      </c>
      <c r="L183" s="71">
        <f>K183*(1+Macroeconomicos!L6)</f>
        <v>564.56757732276253</v>
      </c>
      <c r="M183" s="71">
        <f>L183*(1+Macroeconomicos!M6)</f>
        <v>582.57728303935869</v>
      </c>
      <c r="N183" s="71">
        <f>M183*(1+Macroeconomicos!N6)</f>
        <v>601.16149836831426</v>
      </c>
      <c r="O183" s="71">
        <f>N183*(1+Macroeconomicos!O6)</f>
        <v>620.33855016626353</v>
      </c>
    </row>
    <row r="184" spans="2:15" ht="20.100000000000001" customHeight="1">
      <c r="B184" s="33" t="s">
        <v>854</v>
      </c>
      <c r="C184" s="71">
        <f>(((SUM('Activos fijos'!$C$8:C8,'Activos fijos'!$C$11:C11)+'Activos fijos'!$C$20+'Activos fijos'!$C$21)*Historicos!$C$63*Historicos!$C$64)/(Macroeconomicos!$C$73*1000))*Macroeconomicos!C26</f>
        <v>1259.3222625695237</v>
      </c>
      <c r="D184" s="71">
        <f>(((SUM('Activos fijos'!$C$8:D8,'Activos fijos'!$C$11:D11)+'Activos fijos'!$C$20+'Activos fijos'!$C$21)*Historicos!$C$63*Historicos!$C$64)/(Macroeconomicos!$C$73*1000))*Macroeconomicos!D26</f>
        <v>1405.8235008952929</v>
      </c>
      <c r="E184" s="71">
        <f>(((SUM('Activos fijos'!$C$8:E8,'Activos fijos'!$C$11:E11)+'Activos fijos'!$C$20+'Activos fijos'!$C$21)*Historicos!$C$63*Historicos!$C$64)/(Macroeconomicos!$C$73*1000))*Macroeconomicos!E26</f>
        <v>1661.2889982115273</v>
      </c>
      <c r="F184" s="71">
        <f>(((SUM('Activos fijos'!$C$8:F8,'Activos fijos'!$C$11:F11)+'Activos fijos'!$C$20+'Activos fijos'!$C$21)*Historicos!$C$63*Historicos!$C$64)/(Macroeconomicos!$C$73*1000))*Macroeconomicos!F26</f>
        <v>1718.2712108501828</v>
      </c>
      <c r="G184" s="71">
        <f>(((SUM('Activos fijos'!$C$8:G8,'Activos fijos'!$C$11:G11)+'Activos fijos'!$C$20+'Activos fijos'!$C$21)*Historicos!$C$63*Historicos!$C$64)/(Macroeconomicos!$C$73*1000))*Macroeconomicos!G26</f>
        <v>1780.6444558040444</v>
      </c>
      <c r="H184" s="71">
        <f>(((SUM('Activos fijos'!$C$8:H8,'Activos fijos'!$C$11:H11)+'Activos fijos'!$C$20+'Activos fijos'!$C$21)*Historicos!$C$63*Historicos!$C$64)/(Macroeconomicos!$C$73*1000))*Macroeconomicos!H26</f>
        <v>1842.6108828660249</v>
      </c>
      <c r="I184" s="71">
        <f>(((SUM('Activos fijos'!$C$8:I8,'Activos fijos'!$C$11:I11)+'Activos fijos'!$C$20+'Activos fijos'!$C$21)*Historicos!$C$63*Historicos!$C$64)/(Macroeconomicos!$C$73*1000))*Macroeconomicos!I26</f>
        <v>1903.9698252654639</v>
      </c>
      <c r="J184" s="71">
        <f>(((SUM('Activos fijos'!$C$8:J8,'Activos fijos'!$C$11:J11)+'Activos fijos'!$C$20+'Activos fijos'!$C$21)*Historicos!$C$63*Historicos!$C$64)/(Macroeconomicos!$C$73*1000))*Macroeconomicos!J26</f>
        <v>1964.7064626914323</v>
      </c>
      <c r="K184" s="71">
        <f>(((SUM('Activos fijos'!$C$8:K8,'Activos fijos'!$C$11:K11)+'Activos fijos'!$C$20+'Activos fijos'!$C$21)*Historicos!$C$63*Historicos!$C$64)/(Macroeconomicos!$C$73*1000))*Macroeconomicos!K26</f>
        <v>2027.3805988512893</v>
      </c>
      <c r="L184" s="71">
        <f>(((SUM('Activos fijos'!$C$8:L8,'Activos fijos'!$C$11:L11)+'Activos fijos'!$C$20+'Activos fijos'!$C$21)*Historicos!$C$63*Historicos!$C$64)/(Macroeconomicos!$C$73*1000))*Macroeconomicos!L26</f>
        <v>2092.0540399546453</v>
      </c>
      <c r="M184" s="71">
        <f>(((SUM('Activos fijos'!$C$8:M8,'Activos fijos'!$C$11:M11)+'Activos fijos'!$C$20+'Activos fijos'!$C$21)*Historicos!$C$63*Historicos!$C$64)/(Macroeconomicos!$C$73*1000))*Macroeconomicos!M26</f>
        <v>2158.7905638291986</v>
      </c>
      <c r="N184" s="71">
        <f>(((SUM('Activos fijos'!$C$8:N8,'Activos fijos'!$C$11:N11)+'Activos fijos'!$C$20+'Activos fijos'!$C$21)*Historicos!$C$63*Historicos!$C$64)/(Macroeconomicos!$C$73*1000))*Macroeconomicos!N26</f>
        <v>2227.6559828153499</v>
      </c>
      <c r="O184" s="71">
        <f>(((SUM('Activos fijos'!$C$8:O8,'Activos fijos'!$C$11:O11)+'Activos fijos'!$C$20+'Activos fijos'!$C$21)*Historicos!$C$63*Historicos!$C$64)/(Macroeconomicos!$C$73*1000))*Macroeconomicos!O26</f>
        <v>2298.7182086671596</v>
      </c>
    </row>
  </sheetData>
  <mergeCells count="22">
    <mergeCell ref="B13:H13"/>
    <mergeCell ref="E2:G2"/>
    <mergeCell ref="E3:G3"/>
    <mergeCell ref="E4:G4"/>
    <mergeCell ref="E5:G5"/>
    <mergeCell ref="E6:G6"/>
    <mergeCell ref="E7:G7"/>
    <mergeCell ref="E8:G8"/>
    <mergeCell ref="E9:G9"/>
    <mergeCell ref="E10:G10"/>
    <mergeCell ref="E11:G11"/>
    <mergeCell ref="E12:G12"/>
    <mergeCell ref="J11:L12"/>
    <mergeCell ref="J10:L10"/>
    <mergeCell ref="J9:L9"/>
    <mergeCell ref="J2:L2"/>
    <mergeCell ref="J3:L3"/>
    <mergeCell ref="J5:L5"/>
    <mergeCell ref="J6:L6"/>
    <mergeCell ref="J4:L4"/>
    <mergeCell ref="J7:L7"/>
    <mergeCell ref="J8:L8"/>
  </mergeCells>
  <conditionalFormatting sqref="C42:D43 C49:D51 C38:D39 C74:D80">
    <cfRule type="cellIs" dxfId="4" priority="49" operator="equal">
      <formula>1</formula>
    </cfRule>
  </conditionalFormatting>
  <conditionalFormatting sqref="E38:O39 E49:O51 E42:O43 E74:O80">
    <cfRule type="cellIs" dxfId="3" priority="48" operator="equal">
      <formula>1</formula>
    </cfRule>
  </conditionalFormatting>
  <conditionalFormatting sqref="E130:O130">
    <cfRule type="containsText" dxfId="2" priority="1" operator="containsText" text="Revisar">
      <formula>NOT(ISERROR(SEARCH("Revisar",E130)))</formula>
    </cfRule>
  </conditionalFormatting>
  <dataValidations disablePrompts="1" count="9">
    <dataValidation type="list" allowBlank="1" showInputMessage="1" showErrorMessage="1" sqref="H11">
      <formula1>$V$8:$X$8</formula1>
    </dataValidation>
    <dataValidation type="list" allowBlank="1" showInputMessage="1" showErrorMessage="1" sqref="H10">
      <formula1>$V$3:$Z$3</formula1>
    </dataValidation>
    <dataValidation type="list" allowBlank="1" showInputMessage="1" showErrorMessage="1" sqref="C4 H7">
      <formula1>$V$4:$W$4</formula1>
    </dataValidation>
    <dataValidation type="list" allowBlank="1" showInputMessage="1" showErrorMessage="1" sqref="C7">
      <formula1>$V$7:$X$7</formula1>
    </dataValidation>
    <dataValidation type="list" allowBlank="1" showInputMessage="1" showErrorMessage="1" sqref="C5">
      <formula1>$V$5:$X$5</formula1>
    </dataValidation>
    <dataValidation type="list" allowBlank="1" showInputMessage="1" showErrorMessage="1" sqref="C6">
      <formula1>$V$6:$X$6</formula1>
    </dataValidation>
    <dataValidation type="list" allowBlank="1" showInputMessage="1" showErrorMessage="1" sqref="C3">
      <formula1>$W$2:$DS$2</formula1>
    </dataValidation>
    <dataValidation type="list" allowBlank="1" showInputMessage="1" showErrorMessage="1" sqref="C9">
      <formula1>$V$9:$W$9</formula1>
    </dataValidation>
    <dataValidation type="list" allowBlank="1" showInputMessage="1" showErrorMessage="1" sqref="C3">
      <formula1>$T$3:$T$113</formula1>
    </dataValidation>
  </dataValidations>
  <hyperlinks>
    <hyperlink ref="B76" r:id="rId1" display="http://kosmos.upb.edu.co/web/uploads/articulos/(A)_Analisis_Energetico_y_Economico_Para_el_Cambio_de_Combustible_en_una_Central_de_Ciclo_Combinado_en_Thermoflex_1041.pdf"/>
    <hyperlink ref="B77" r:id="rId2" display="http://www.sui.gov.co/MEM/archivos/informesexpert/informe44.pdf"/>
    <hyperlink ref="B79" r:id="rId3" display="http://apolo.creg.gov.co/Publicac.nsf/1aed427ff782911965256751001e9e55/30382cf20ca7b6bc0525785a007a71d3/$FILE/CIRCULAR045-2009%20ANEXO.pdf"/>
    <hyperlink ref="B80" r:id="rId4" display="http://www.sui.gov.co/MEM/archivos/informesexpert/informe88.pdf"/>
  </hyperlinks>
  <pageMargins left="0.7" right="0.7" top="0.75" bottom="0.75" header="0.3" footer="0.3"/>
  <pageSetup orientation="portrait" r:id="rId5"/>
  <legacyDrawing r:id="rId6"/>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
  <dimension ref="B2:V21"/>
  <sheetViews>
    <sheetView showGridLines="0" workbookViewId="0">
      <selection activeCell="E16" sqref="E16"/>
    </sheetView>
  </sheetViews>
  <sheetFormatPr baseColWidth="10" defaultRowHeight="12.75"/>
  <cols>
    <col min="1" max="1" width="3.28515625" style="184" customWidth="1"/>
    <col min="2" max="2" width="59.7109375" style="184" customWidth="1"/>
    <col min="3" max="3" width="23.28515625" style="184" bestFit="1" customWidth="1"/>
    <col min="4" max="7" width="14.140625" style="184" bestFit="1" customWidth="1"/>
    <col min="8" max="8" width="14.140625" style="184" customWidth="1"/>
    <col min="9" max="9" width="14.140625" style="184" bestFit="1" customWidth="1"/>
    <col min="10" max="19" width="14.140625" style="184" customWidth="1"/>
    <col min="20" max="20" width="16" style="184" bestFit="1" customWidth="1"/>
    <col min="21" max="21" width="15" style="184" bestFit="1" customWidth="1"/>
    <col min="22" max="267" width="11.42578125" style="184"/>
    <col min="268" max="268" width="3.28515625" style="184" customWidth="1"/>
    <col min="269" max="269" width="37.42578125" style="184" customWidth="1"/>
    <col min="270" max="523" width="11.42578125" style="184"/>
    <col min="524" max="524" width="3.28515625" style="184" customWidth="1"/>
    <col min="525" max="525" width="37.42578125" style="184" customWidth="1"/>
    <col min="526" max="779" width="11.42578125" style="184"/>
    <col min="780" max="780" width="3.28515625" style="184" customWidth="1"/>
    <col min="781" max="781" width="37.42578125" style="184" customWidth="1"/>
    <col min="782" max="1035" width="11.42578125" style="184"/>
    <col min="1036" max="1036" width="3.28515625" style="184" customWidth="1"/>
    <col min="1037" max="1037" width="37.42578125" style="184" customWidth="1"/>
    <col min="1038" max="1291" width="11.42578125" style="184"/>
    <col min="1292" max="1292" width="3.28515625" style="184" customWidth="1"/>
    <col min="1293" max="1293" width="37.42578125" style="184" customWidth="1"/>
    <col min="1294" max="1547" width="11.42578125" style="184"/>
    <col min="1548" max="1548" width="3.28515625" style="184" customWidth="1"/>
    <col min="1549" max="1549" width="37.42578125" style="184" customWidth="1"/>
    <col min="1550" max="1803" width="11.42578125" style="184"/>
    <col min="1804" max="1804" width="3.28515625" style="184" customWidth="1"/>
    <col min="1805" max="1805" width="37.42578125" style="184" customWidth="1"/>
    <col min="1806" max="2059" width="11.42578125" style="184"/>
    <col min="2060" max="2060" width="3.28515625" style="184" customWidth="1"/>
    <col min="2061" max="2061" width="37.42578125" style="184" customWidth="1"/>
    <col min="2062" max="2315" width="11.42578125" style="184"/>
    <col min="2316" max="2316" width="3.28515625" style="184" customWidth="1"/>
    <col min="2317" max="2317" width="37.42578125" style="184" customWidth="1"/>
    <col min="2318" max="2571" width="11.42578125" style="184"/>
    <col min="2572" max="2572" width="3.28515625" style="184" customWidth="1"/>
    <col min="2573" max="2573" width="37.42578125" style="184" customWidth="1"/>
    <col min="2574" max="2827" width="11.42578125" style="184"/>
    <col min="2828" max="2828" width="3.28515625" style="184" customWidth="1"/>
    <col min="2829" max="2829" width="37.42578125" style="184" customWidth="1"/>
    <col min="2830" max="3083" width="11.42578125" style="184"/>
    <col min="3084" max="3084" width="3.28515625" style="184" customWidth="1"/>
    <col min="3085" max="3085" width="37.42578125" style="184" customWidth="1"/>
    <col min="3086" max="3339" width="11.42578125" style="184"/>
    <col min="3340" max="3340" width="3.28515625" style="184" customWidth="1"/>
    <col min="3341" max="3341" width="37.42578125" style="184" customWidth="1"/>
    <col min="3342" max="3595" width="11.42578125" style="184"/>
    <col min="3596" max="3596" width="3.28515625" style="184" customWidth="1"/>
    <col min="3597" max="3597" width="37.42578125" style="184" customWidth="1"/>
    <col min="3598" max="3851" width="11.42578125" style="184"/>
    <col min="3852" max="3852" width="3.28515625" style="184" customWidth="1"/>
    <col min="3853" max="3853" width="37.42578125" style="184" customWidth="1"/>
    <col min="3854" max="4107" width="11.42578125" style="184"/>
    <col min="4108" max="4108" width="3.28515625" style="184" customWidth="1"/>
    <col min="4109" max="4109" width="37.42578125" style="184" customWidth="1"/>
    <col min="4110" max="4363" width="11.42578125" style="184"/>
    <col min="4364" max="4364" width="3.28515625" style="184" customWidth="1"/>
    <col min="4365" max="4365" width="37.42578125" style="184" customWidth="1"/>
    <col min="4366" max="4619" width="11.42578125" style="184"/>
    <col min="4620" max="4620" width="3.28515625" style="184" customWidth="1"/>
    <col min="4621" max="4621" width="37.42578125" style="184" customWidth="1"/>
    <col min="4622" max="4875" width="11.42578125" style="184"/>
    <col min="4876" max="4876" width="3.28515625" style="184" customWidth="1"/>
    <col min="4877" max="4877" width="37.42578125" style="184" customWidth="1"/>
    <col min="4878" max="5131" width="11.42578125" style="184"/>
    <col min="5132" max="5132" width="3.28515625" style="184" customWidth="1"/>
    <col min="5133" max="5133" width="37.42578125" style="184" customWidth="1"/>
    <col min="5134" max="5387" width="11.42578125" style="184"/>
    <col min="5388" max="5388" width="3.28515625" style="184" customWidth="1"/>
    <col min="5389" max="5389" width="37.42578125" style="184" customWidth="1"/>
    <col min="5390" max="5643" width="11.42578125" style="184"/>
    <col min="5644" max="5644" width="3.28515625" style="184" customWidth="1"/>
    <col min="5645" max="5645" width="37.42578125" style="184" customWidth="1"/>
    <col min="5646" max="5899" width="11.42578125" style="184"/>
    <col min="5900" max="5900" width="3.28515625" style="184" customWidth="1"/>
    <col min="5901" max="5901" width="37.42578125" style="184" customWidth="1"/>
    <col min="5902" max="6155" width="11.42578125" style="184"/>
    <col min="6156" max="6156" width="3.28515625" style="184" customWidth="1"/>
    <col min="6157" max="6157" width="37.42578125" style="184" customWidth="1"/>
    <col min="6158" max="6411" width="11.42578125" style="184"/>
    <col min="6412" max="6412" width="3.28515625" style="184" customWidth="1"/>
    <col min="6413" max="6413" width="37.42578125" style="184" customWidth="1"/>
    <col min="6414" max="6667" width="11.42578125" style="184"/>
    <col min="6668" max="6668" width="3.28515625" style="184" customWidth="1"/>
    <col min="6669" max="6669" width="37.42578125" style="184" customWidth="1"/>
    <col min="6670" max="6923" width="11.42578125" style="184"/>
    <col min="6924" max="6924" width="3.28515625" style="184" customWidth="1"/>
    <col min="6925" max="6925" width="37.42578125" style="184" customWidth="1"/>
    <col min="6926" max="7179" width="11.42578125" style="184"/>
    <col min="7180" max="7180" width="3.28515625" style="184" customWidth="1"/>
    <col min="7181" max="7181" width="37.42578125" style="184" customWidth="1"/>
    <col min="7182" max="7435" width="11.42578125" style="184"/>
    <col min="7436" max="7436" width="3.28515625" style="184" customWidth="1"/>
    <col min="7437" max="7437" width="37.42578125" style="184" customWidth="1"/>
    <col min="7438" max="7691" width="11.42578125" style="184"/>
    <col min="7692" max="7692" width="3.28515625" style="184" customWidth="1"/>
    <col min="7693" max="7693" width="37.42578125" style="184" customWidth="1"/>
    <col min="7694" max="7947" width="11.42578125" style="184"/>
    <col min="7948" max="7948" width="3.28515625" style="184" customWidth="1"/>
    <col min="7949" max="7949" width="37.42578125" style="184" customWidth="1"/>
    <col min="7950" max="8203" width="11.42578125" style="184"/>
    <col min="8204" max="8204" width="3.28515625" style="184" customWidth="1"/>
    <col min="8205" max="8205" width="37.42578125" style="184" customWidth="1"/>
    <col min="8206" max="8459" width="11.42578125" style="184"/>
    <col min="8460" max="8460" width="3.28515625" style="184" customWidth="1"/>
    <col min="8461" max="8461" width="37.42578125" style="184" customWidth="1"/>
    <col min="8462" max="8715" width="11.42578125" style="184"/>
    <col min="8716" max="8716" width="3.28515625" style="184" customWidth="1"/>
    <col min="8717" max="8717" width="37.42578125" style="184" customWidth="1"/>
    <col min="8718" max="8971" width="11.42578125" style="184"/>
    <col min="8972" max="8972" width="3.28515625" style="184" customWidth="1"/>
    <col min="8973" max="8973" width="37.42578125" style="184" customWidth="1"/>
    <col min="8974" max="9227" width="11.42578125" style="184"/>
    <col min="9228" max="9228" width="3.28515625" style="184" customWidth="1"/>
    <col min="9229" max="9229" width="37.42578125" style="184" customWidth="1"/>
    <col min="9230" max="9483" width="11.42578125" style="184"/>
    <col min="9484" max="9484" width="3.28515625" style="184" customWidth="1"/>
    <col min="9485" max="9485" width="37.42578125" style="184" customWidth="1"/>
    <col min="9486" max="9739" width="11.42578125" style="184"/>
    <col min="9740" max="9740" width="3.28515625" style="184" customWidth="1"/>
    <col min="9741" max="9741" width="37.42578125" style="184" customWidth="1"/>
    <col min="9742" max="9995" width="11.42578125" style="184"/>
    <col min="9996" max="9996" width="3.28515625" style="184" customWidth="1"/>
    <col min="9997" max="9997" width="37.42578125" style="184" customWidth="1"/>
    <col min="9998" max="10251" width="11.42578125" style="184"/>
    <col min="10252" max="10252" width="3.28515625" style="184" customWidth="1"/>
    <col min="10253" max="10253" width="37.42578125" style="184" customWidth="1"/>
    <col min="10254" max="10507" width="11.42578125" style="184"/>
    <col min="10508" max="10508" width="3.28515625" style="184" customWidth="1"/>
    <col min="10509" max="10509" width="37.42578125" style="184" customWidth="1"/>
    <col min="10510" max="10763" width="11.42578125" style="184"/>
    <col min="10764" max="10764" width="3.28515625" style="184" customWidth="1"/>
    <col min="10765" max="10765" width="37.42578125" style="184" customWidth="1"/>
    <col min="10766" max="11019" width="11.42578125" style="184"/>
    <col min="11020" max="11020" width="3.28515625" style="184" customWidth="1"/>
    <col min="11021" max="11021" width="37.42578125" style="184" customWidth="1"/>
    <col min="11022" max="11275" width="11.42578125" style="184"/>
    <col min="11276" max="11276" width="3.28515625" style="184" customWidth="1"/>
    <col min="11277" max="11277" width="37.42578125" style="184" customWidth="1"/>
    <col min="11278" max="11531" width="11.42578125" style="184"/>
    <col min="11532" max="11532" width="3.28515625" style="184" customWidth="1"/>
    <col min="11533" max="11533" width="37.42578125" style="184" customWidth="1"/>
    <col min="11534" max="11787" width="11.42578125" style="184"/>
    <col min="11788" max="11788" width="3.28515625" style="184" customWidth="1"/>
    <col min="11789" max="11789" width="37.42578125" style="184" customWidth="1"/>
    <col min="11790" max="12043" width="11.42578125" style="184"/>
    <col min="12044" max="12044" width="3.28515625" style="184" customWidth="1"/>
    <col min="12045" max="12045" width="37.42578125" style="184" customWidth="1"/>
    <col min="12046" max="12299" width="11.42578125" style="184"/>
    <col min="12300" max="12300" width="3.28515625" style="184" customWidth="1"/>
    <col min="12301" max="12301" width="37.42578125" style="184" customWidth="1"/>
    <col min="12302" max="12555" width="11.42578125" style="184"/>
    <col min="12556" max="12556" width="3.28515625" style="184" customWidth="1"/>
    <col min="12557" max="12557" width="37.42578125" style="184" customWidth="1"/>
    <col min="12558" max="12811" width="11.42578125" style="184"/>
    <col min="12812" max="12812" width="3.28515625" style="184" customWidth="1"/>
    <col min="12813" max="12813" width="37.42578125" style="184" customWidth="1"/>
    <col min="12814" max="13067" width="11.42578125" style="184"/>
    <col min="13068" max="13068" width="3.28515625" style="184" customWidth="1"/>
    <col min="13069" max="13069" width="37.42578125" style="184" customWidth="1"/>
    <col min="13070" max="13323" width="11.42578125" style="184"/>
    <col min="13324" max="13324" width="3.28515625" style="184" customWidth="1"/>
    <col min="13325" max="13325" width="37.42578125" style="184" customWidth="1"/>
    <col min="13326" max="13579" width="11.42578125" style="184"/>
    <col min="13580" max="13580" width="3.28515625" style="184" customWidth="1"/>
    <col min="13581" max="13581" width="37.42578125" style="184" customWidth="1"/>
    <col min="13582" max="13835" width="11.42578125" style="184"/>
    <col min="13836" max="13836" width="3.28515625" style="184" customWidth="1"/>
    <col min="13837" max="13837" width="37.42578125" style="184" customWidth="1"/>
    <col min="13838" max="14091" width="11.42578125" style="184"/>
    <col min="14092" max="14092" width="3.28515625" style="184" customWidth="1"/>
    <col min="14093" max="14093" width="37.42578125" style="184" customWidth="1"/>
    <col min="14094" max="14347" width="11.42578125" style="184"/>
    <col min="14348" max="14348" width="3.28515625" style="184" customWidth="1"/>
    <col min="14349" max="14349" width="37.42578125" style="184" customWidth="1"/>
    <col min="14350" max="14603" width="11.42578125" style="184"/>
    <col min="14604" max="14604" width="3.28515625" style="184" customWidth="1"/>
    <col min="14605" max="14605" width="37.42578125" style="184" customWidth="1"/>
    <col min="14606" max="14859" width="11.42578125" style="184"/>
    <col min="14860" max="14860" width="3.28515625" style="184" customWidth="1"/>
    <col min="14861" max="14861" width="37.42578125" style="184" customWidth="1"/>
    <col min="14862" max="15115" width="11.42578125" style="184"/>
    <col min="15116" max="15116" width="3.28515625" style="184" customWidth="1"/>
    <col min="15117" max="15117" width="37.42578125" style="184" customWidth="1"/>
    <col min="15118" max="15371" width="11.42578125" style="184"/>
    <col min="15372" max="15372" width="3.28515625" style="184" customWidth="1"/>
    <col min="15373" max="15373" width="37.42578125" style="184" customWidth="1"/>
    <col min="15374" max="15627" width="11.42578125" style="184"/>
    <col min="15628" max="15628" width="3.28515625" style="184" customWidth="1"/>
    <col min="15629" max="15629" width="37.42578125" style="184" customWidth="1"/>
    <col min="15630" max="15883" width="11.42578125" style="184"/>
    <col min="15884" max="15884" width="3.28515625" style="184" customWidth="1"/>
    <col min="15885" max="15885" width="37.42578125" style="184" customWidth="1"/>
    <col min="15886" max="16139" width="11.42578125" style="184"/>
    <col min="16140" max="16140" width="3.28515625" style="184" customWidth="1"/>
    <col min="16141" max="16141" width="37.42578125" style="184" customWidth="1"/>
    <col min="16142" max="16384" width="11.42578125" style="184"/>
  </cols>
  <sheetData>
    <row r="2" spans="2:22" ht="21">
      <c r="B2" s="300" t="str">
        <f>Nombre_Empresa</f>
        <v>ISAGEN</v>
      </c>
    </row>
    <row r="3" spans="2:22" ht="21">
      <c r="B3" s="300" t="s">
        <v>381</v>
      </c>
    </row>
    <row r="5" spans="2:22" ht="15.75">
      <c r="B5" s="183" t="s">
        <v>1040</v>
      </c>
    </row>
    <row r="7" spans="2:22">
      <c r="B7" s="190" t="s">
        <v>0</v>
      </c>
      <c r="C7" s="191">
        <v>2009</v>
      </c>
      <c r="D7" s="191">
        <v>2010</v>
      </c>
      <c r="E7" s="191">
        <v>2011</v>
      </c>
      <c r="F7" s="191">
        <v>2012</v>
      </c>
      <c r="G7" s="191">
        <v>2013</v>
      </c>
      <c r="H7" s="193">
        <v>41820</v>
      </c>
      <c r="I7" s="193">
        <v>42004</v>
      </c>
      <c r="J7" s="443">
        <f>'Datos Generales'!G21</f>
        <v>2015</v>
      </c>
      <c r="K7" s="443">
        <f>'Datos Generales'!H21</f>
        <v>2016</v>
      </c>
      <c r="L7" s="443">
        <f>'Datos Generales'!I21</f>
        <v>2017</v>
      </c>
      <c r="M7" s="443">
        <f>'Datos Generales'!J21</f>
        <v>2018</v>
      </c>
      <c r="N7" s="443">
        <f>'Datos Generales'!K21</f>
        <v>2019</v>
      </c>
      <c r="O7" s="443">
        <f>'Datos Generales'!L21</f>
        <v>2020</v>
      </c>
      <c r="P7" s="443">
        <f>'Datos Generales'!M21</f>
        <v>2021</v>
      </c>
      <c r="Q7" s="443">
        <f>'Datos Generales'!N21</f>
        <v>2022</v>
      </c>
      <c r="R7" s="443">
        <f>'Datos Generales'!O21</f>
        <v>2023</v>
      </c>
      <c r="S7" s="443">
        <f>'Datos Generales'!P21</f>
        <v>2024</v>
      </c>
      <c r="T7" s="191" t="s">
        <v>382</v>
      </c>
      <c r="U7" s="239" t="s">
        <v>383</v>
      </c>
    </row>
    <row r="8" spans="2:22" ht="15">
      <c r="B8" s="185" t="s">
        <v>442</v>
      </c>
      <c r="C8" s="186">
        <v>0</v>
      </c>
      <c r="D8" s="186">
        <f>102710</f>
        <v>102710</v>
      </c>
      <c r="E8" s="186">
        <f>60304</f>
        <v>60304</v>
      </c>
      <c r="F8" s="186">
        <f>20601</f>
        <v>20601</v>
      </c>
      <c r="G8" s="186">
        <v>24200</v>
      </c>
      <c r="H8" s="186">
        <v>24660</v>
      </c>
      <c r="I8" s="186">
        <f>2190+9722</f>
        <v>11912</v>
      </c>
      <c r="J8" s="186"/>
      <c r="K8" s="186"/>
      <c r="L8" s="186"/>
      <c r="M8" s="186"/>
      <c r="N8" s="186"/>
      <c r="O8" s="186"/>
      <c r="P8" s="186"/>
      <c r="Q8" s="186"/>
      <c r="R8" s="186"/>
      <c r="S8" s="186"/>
      <c r="T8" s="186">
        <f t="shared" ref="T8:T14" si="0">SUM(C8:S8)</f>
        <v>244387</v>
      </c>
      <c r="U8" s="240">
        <f>T8/$T$14</f>
        <v>5.6167814277782203E-2</v>
      </c>
      <c r="V8" s="187"/>
    </row>
    <row r="9" spans="2:22" ht="15">
      <c r="B9" s="185" t="s">
        <v>443</v>
      </c>
      <c r="C9" s="186">
        <v>0</v>
      </c>
      <c r="D9" s="186">
        <f>326742*$D$16</f>
        <v>286509.36539064668</v>
      </c>
      <c r="E9" s="186">
        <f>449196*$D$16</f>
        <v>393885.27001737437</v>
      </c>
      <c r="F9" s="186">
        <f>581735*$D$16</f>
        <v>510104.38105761691</v>
      </c>
      <c r="G9" s="186">
        <f>746904*$D$16</f>
        <v>654935.67110360949</v>
      </c>
      <c r="H9" s="186">
        <v>180650.68094576383</v>
      </c>
      <c r="I9" s="186">
        <f>178321+((SUM(D9:G9)/$D$16)*(1-$D$16))</f>
        <v>437463.3124307525</v>
      </c>
      <c r="J9" s="186"/>
      <c r="K9" s="186"/>
      <c r="L9" s="186"/>
      <c r="M9" s="186"/>
      <c r="N9" s="186"/>
      <c r="O9" s="186"/>
      <c r="P9" s="186"/>
      <c r="Q9" s="186"/>
      <c r="R9" s="186"/>
      <c r="S9" s="186"/>
      <c r="T9" s="186">
        <f t="shared" si="0"/>
        <v>2463548.6809457638</v>
      </c>
      <c r="U9" s="240">
        <f>T9/$T$14</f>
        <v>0.56620092220796114</v>
      </c>
    </row>
    <row r="10" spans="2:22" ht="15">
      <c r="B10" s="185" t="s">
        <v>437</v>
      </c>
      <c r="C10" s="186">
        <v>0</v>
      </c>
      <c r="D10" s="186">
        <f>66132*$D$16</f>
        <v>57988.986270556736</v>
      </c>
      <c r="E10" s="186">
        <f>166879*$D$16</f>
        <v>146330.73307694061</v>
      </c>
      <c r="F10" s="186">
        <f>364549*90%</f>
        <v>328094.10000000003</v>
      </c>
      <c r="G10" s="186">
        <f>70272*$D$16</f>
        <v>61619.216766536061</v>
      </c>
      <c r="H10" s="186">
        <f>13064+((SUM(D10:G10)/$D$16)*(1-$D$16))</f>
        <v>96480.170550915223</v>
      </c>
      <c r="I10" s="186">
        <f>45222+38030</f>
        <v>83252</v>
      </c>
      <c r="J10" s="186"/>
      <c r="K10" s="186"/>
      <c r="L10" s="186"/>
      <c r="M10" s="186"/>
      <c r="N10" s="186"/>
      <c r="O10" s="186"/>
      <c r="P10" s="186"/>
      <c r="Q10" s="186"/>
      <c r="R10" s="186"/>
      <c r="S10" s="186"/>
      <c r="T10" s="186">
        <f t="shared" si="0"/>
        <v>773765.20666494849</v>
      </c>
      <c r="U10" s="240">
        <f>T10/$T$14</f>
        <v>0.17783556581392052</v>
      </c>
    </row>
    <row r="11" spans="2:22" ht="15">
      <c r="B11" s="185" t="s">
        <v>384</v>
      </c>
      <c r="C11" s="186">
        <v>0</v>
      </c>
      <c r="D11" s="186">
        <v>0</v>
      </c>
      <c r="E11" s="186">
        <f>22782*$D$16</f>
        <v>19976.790135121024</v>
      </c>
      <c r="F11" s="186">
        <f>80480*$D$16</f>
        <v>70570.277854206826</v>
      </c>
      <c r="G11" s="186">
        <f>95773*$D$16</f>
        <v>83980.209007591329</v>
      </c>
      <c r="H11" s="186">
        <f>50771+((SUM(D11:G11)/$D$16)*(1-$D$16))</f>
        <v>75278.723003080813</v>
      </c>
      <c r="I11" s="186">
        <f>3498+29675</f>
        <v>33173</v>
      </c>
      <c r="J11" s="186"/>
      <c r="K11" s="186"/>
      <c r="L11" s="186"/>
      <c r="M11" s="186"/>
      <c r="N11" s="186"/>
      <c r="O11" s="186"/>
      <c r="P11" s="186"/>
      <c r="Q11" s="186"/>
      <c r="R11" s="186"/>
      <c r="S11" s="186"/>
      <c r="T11" s="186">
        <f t="shared" si="0"/>
        <v>282979</v>
      </c>
      <c r="U11" s="240">
        <f>T11/$T$14</f>
        <v>6.5037468918201585E-2</v>
      </c>
    </row>
    <row r="12" spans="2:22" ht="15">
      <c r="B12" s="188" t="s">
        <v>385</v>
      </c>
      <c r="C12" s="189">
        <f>SUM(C8:C11)</f>
        <v>0</v>
      </c>
      <c r="D12" s="189">
        <f t="shared" ref="D12:I12" si="1">SUM(D8:D11)</f>
        <v>447208.35166120343</v>
      </c>
      <c r="E12" s="189">
        <f t="shared" si="1"/>
        <v>620496.79322943592</v>
      </c>
      <c r="F12" s="189">
        <f t="shared" si="1"/>
        <v>929369.75891182374</v>
      </c>
      <c r="G12" s="189">
        <f t="shared" si="1"/>
        <v>824735.09687773685</v>
      </c>
      <c r="H12" s="189">
        <f t="shared" si="1"/>
        <v>377069.57449975988</v>
      </c>
      <c r="I12" s="189">
        <f t="shared" si="1"/>
        <v>565800.31243075244</v>
      </c>
      <c r="J12" s="189"/>
      <c r="K12" s="189"/>
      <c r="L12" s="189"/>
      <c r="M12" s="189"/>
      <c r="N12" s="189"/>
      <c r="O12" s="189"/>
      <c r="P12" s="189"/>
      <c r="Q12" s="189"/>
      <c r="R12" s="189"/>
      <c r="S12" s="189"/>
      <c r="T12" s="189">
        <f t="shared" si="0"/>
        <v>3764679.8876107126</v>
      </c>
      <c r="U12" s="240">
        <f>SUM(U8:U11)</f>
        <v>0.8652417712178655</v>
      </c>
    </row>
    <row r="13" spans="2:22" ht="15">
      <c r="B13" s="185" t="s">
        <v>444</v>
      </c>
      <c r="C13" s="186"/>
      <c r="D13" s="186">
        <f>(SUM($C$14:C14)+D12)*Estructura_Deuda_Sogamoso*Tasa_interes_creditos</f>
        <v>25058.037511284921</v>
      </c>
      <c r="E13" s="186">
        <f>(SUM($C$14:D14)+E12)*Estructura_Deuda_Sogamoso*Tasa_interes_creditos</f>
        <v>61229.851173090283</v>
      </c>
      <c r="F13" s="186">
        <f>(SUM($C$14:E14)+F12)*Estructura_Deuda_Sogamoso*Tasa_interes_creditos</f>
        <v>116735.25954922239</v>
      </c>
      <c r="G13" s="186">
        <f>(SUM($C$14:F14)+G12)*Estructura_Deuda_Sogamoso*Tasa_interes_creditos</f>
        <v>169487.85108620231</v>
      </c>
      <c r="H13" s="618">
        <f>(SUM($C$14:G14)+H12)*Estructura_Deuda_Sogamoso*(((1+Tasa_interes_creditos)^0.5)-1)</f>
        <v>97823.425500239988</v>
      </c>
      <c r="I13" s="618">
        <f>(SUM($C$14:H14)+I12)*Estructura_Deuda_Sogamoso*(((1+Tasa_interes_creditos)^0.5)-1)</f>
        <v>116000.64413076633</v>
      </c>
      <c r="J13" s="186"/>
      <c r="K13" s="186"/>
      <c r="L13" s="186"/>
      <c r="M13" s="186"/>
      <c r="N13" s="186"/>
      <c r="O13" s="186"/>
      <c r="P13" s="186"/>
      <c r="Q13" s="186"/>
      <c r="R13" s="186"/>
      <c r="S13" s="186"/>
      <c r="T13" s="186">
        <f t="shared" si="0"/>
        <v>586335.06895080628</v>
      </c>
      <c r="U13" s="240">
        <f>T13/$T$14</f>
        <v>0.13475822878213453</v>
      </c>
    </row>
    <row r="14" spans="2:22" ht="15">
      <c r="B14" s="188" t="s">
        <v>445</v>
      </c>
      <c r="C14" s="189">
        <f>SUM(C10:C13)</f>
        <v>0</v>
      </c>
      <c r="D14" s="446">
        <f t="shared" ref="D14:I14" si="2">D12+D13</f>
        <v>472266.38917248836</v>
      </c>
      <c r="E14" s="446">
        <f t="shared" si="2"/>
        <v>681726.6444025262</v>
      </c>
      <c r="F14" s="446">
        <f t="shared" si="2"/>
        <v>1046105.0184610462</v>
      </c>
      <c r="G14" s="446">
        <f t="shared" si="2"/>
        <v>994222.94796393916</v>
      </c>
      <c r="H14" s="189">
        <f t="shared" si="2"/>
        <v>474892.99999999988</v>
      </c>
      <c r="I14" s="189">
        <f t="shared" si="2"/>
        <v>681800.95656151883</v>
      </c>
      <c r="J14" s="189"/>
      <c r="K14" s="189"/>
      <c r="L14" s="189"/>
      <c r="M14" s="189"/>
      <c r="N14" s="189"/>
      <c r="O14" s="189"/>
      <c r="P14" s="189"/>
      <c r="Q14" s="189"/>
      <c r="R14" s="189"/>
      <c r="S14" s="189"/>
      <c r="T14" s="189">
        <f t="shared" si="0"/>
        <v>4351014.9565615188</v>
      </c>
      <c r="U14" s="240">
        <f>U12+U13</f>
        <v>1</v>
      </c>
    </row>
    <row r="15" spans="2:22">
      <c r="B15" s="241"/>
      <c r="C15" s="242"/>
      <c r="D15" s="242"/>
      <c r="G15" s="189">
        <v>3194321</v>
      </c>
      <c r="H15" s="189">
        <f>SUM(D14:G14)</f>
        <v>3194321</v>
      </c>
      <c r="I15" s="618">
        <f>G15-H15</f>
        <v>0</v>
      </c>
      <c r="J15" s="245"/>
      <c r="K15" s="245"/>
      <c r="L15" s="245"/>
      <c r="M15" s="245"/>
      <c r="N15" s="245"/>
      <c r="O15" s="245"/>
      <c r="P15" s="245"/>
      <c r="Q15" s="245"/>
      <c r="R15" s="245"/>
      <c r="S15" s="245"/>
    </row>
    <row r="16" spans="2:22" ht="15">
      <c r="B16" s="185" t="s">
        <v>446</v>
      </c>
      <c r="C16" s="244"/>
      <c r="D16" s="447">
        <v>0.87686726956022398</v>
      </c>
      <c r="E16" s="275"/>
      <c r="F16" s="242"/>
      <c r="H16" s="242"/>
      <c r="I16" s="242"/>
      <c r="J16" s="242"/>
      <c r="K16" s="242"/>
      <c r="L16" s="242"/>
      <c r="M16" s="242"/>
      <c r="N16" s="242"/>
      <c r="O16" s="242"/>
      <c r="P16" s="242"/>
      <c r="Q16" s="242"/>
      <c r="R16" s="242"/>
      <c r="S16" s="242"/>
      <c r="T16" s="242"/>
      <c r="U16" s="243"/>
    </row>
    <row r="17" spans="4:8">
      <c r="D17" s="442"/>
      <c r="H17" s="245"/>
    </row>
    <row r="20" spans="4:8">
      <c r="H20" s="245"/>
    </row>
    <row r="21" spans="4:8">
      <c r="H21" s="245"/>
    </row>
  </sheetData>
  <conditionalFormatting sqref="I15">
    <cfRule type="cellIs" dxfId="1" priority="1" operator="lessThan">
      <formula>0</formula>
    </cfRule>
    <cfRule type="cellIs" dxfId="0" priority="2" operator="greaterThan">
      <formula>0</formula>
    </cfRule>
  </conditionalFormatting>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B2:O56"/>
  <sheetViews>
    <sheetView showGridLines="0" topLeftCell="B1" workbookViewId="0">
      <selection activeCell="F20" sqref="F20"/>
    </sheetView>
  </sheetViews>
  <sheetFormatPr baseColWidth="10" defaultRowHeight="15"/>
  <cols>
    <col min="1" max="1" width="4.28515625" customWidth="1"/>
    <col min="2" max="2" width="45.7109375" customWidth="1"/>
    <col min="3" max="4" width="10.7109375" customWidth="1"/>
    <col min="5" max="13" width="17.7109375" customWidth="1"/>
    <col min="14" max="14" width="18.85546875" bestFit="1" customWidth="1"/>
    <col min="15" max="15" width="17.7109375" customWidth="1"/>
  </cols>
  <sheetData>
    <row r="2" spans="2:15" ht="21">
      <c r="B2" s="300" t="str">
        <f>Nombre_Empresa</f>
        <v>ISAGEN</v>
      </c>
      <c r="E2" s="31" t="s">
        <v>429</v>
      </c>
    </row>
    <row r="3" spans="2:15" ht="15.75">
      <c r="C3" s="265">
        <v>2013</v>
      </c>
      <c r="D3" s="266">
        <v>41820</v>
      </c>
      <c r="E3" s="192">
        <v>2014</v>
      </c>
      <c r="F3" s="192">
        <v>2015</v>
      </c>
      <c r="G3" s="192">
        <v>2016</v>
      </c>
      <c r="H3" s="192">
        <v>2017</v>
      </c>
      <c r="I3" s="192">
        <v>2018</v>
      </c>
      <c r="J3" s="192">
        <v>2019</v>
      </c>
      <c r="K3" s="192">
        <v>2020</v>
      </c>
      <c r="L3" s="192">
        <v>2021</v>
      </c>
      <c r="M3" s="192">
        <v>2022</v>
      </c>
      <c r="N3" s="192">
        <v>2023</v>
      </c>
      <c r="O3" s="192">
        <v>2024</v>
      </c>
    </row>
    <row r="4" spans="2:15" ht="16.5" thickBot="1">
      <c r="B4" s="620" t="s">
        <v>600</v>
      </c>
      <c r="C4" s="326"/>
      <c r="D4" s="327"/>
      <c r="E4" s="334">
        <f>Meses_Proyectados_Año_Base</f>
        <v>6</v>
      </c>
      <c r="F4" s="334">
        <f t="shared" ref="F4:O4" si="0">Mes_año</f>
        <v>12</v>
      </c>
      <c r="G4" s="334">
        <f t="shared" si="0"/>
        <v>12</v>
      </c>
      <c r="H4" s="334">
        <f t="shared" si="0"/>
        <v>12</v>
      </c>
      <c r="I4" s="334">
        <f t="shared" si="0"/>
        <v>12</v>
      </c>
      <c r="J4" s="334">
        <f t="shared" si="0"/>
        <v>12</v>
      </c>
      <c r="K4" s="334">
        <f t="shared" si="0"/>
        <v>12</v>
      </c>
      <c r="L4" s="334">
        <f t="shared" si="0"/>
        <v>12</v>
      </c>
      <c r="M4" s="334">
        <f t="shared" si="0"/>
        <v>12</v>
      </c>
      <c r="N4" s="334">
        <f t="shared" si="0"/>
        <v>12</v>
      </c>
      <c r="O4" s="334">
        <f t="shared" si="0"/>
        <v>12</v>
      </c>
    </row>
    <row r="5" spans="2:15" ht="15.75" thickTop="1"/>
    <row r="6" spans="2:15" ht="16.5" thickBot="1">
      <c r="B6" s="621" t="s">
        <v>470</v>
      </c>
    </row>
    <row r="7" spans="2:15" ht="15.75" thickTop="1"/>
    <row r="8" spans="2:15">
      <c r="B8" s="263" t="s">
        <v>489</v>
      </c>
      <c r="C8" s="267"/>
      <c r="D8" s="267"/>
      <c r="E8" s="278">
        <f>'Supuestos de Operacion'!E35*('Supuestos de Operacion'!E119-'Supuestos de Operacion'!E109)*'Supuestos de Operacion'!E84*Part_Mcdo_Regulado*GW_a_KW</f>
        <v>435688575200.16217</v>
      </c>
      <c r="F8" s="278">
        <f>'Supuestos de Operacion'!F35*('Supuestos de Operacion'!F119-'Supuestos de Operacion'!F109)*'Supuestos de Operacion'!F84*Part_Mcdo_Regulado*GW_a_KW</f>
        <v>1018667986164.3501</v>
      </c>
      <c r="G8" s="278">
        <f>'Supuestos de Operacion'!G35*('Supuestos de Operacion'!G119-'Supuestos de Operacion'!G109)*'Supuestos de Operacion'!G84*Part_Mcdo_Regulado*GW_a_KW</f>
        <v>1058551670934.8799</v>
      </c>
      <c r="H8" s="278">
        <f>'Supuestos de Operacion'!H35*('Supuestos de Operacion'!H119-'Supuestos de Operacion'!H109)*'Supuestos de Operacion'!H84*Part_Mcdo_Regulado*GW_a_KW</f>
        <v>1172735235102.8276</v>
      </c>
      <c r="I8" s="278">
        <f>'Supuestos de Operacion'!I35*('Supuestos de Operacion'!I119-'Supuestos de Operacion'!I109)*'Supuestos de Operacion'!I84*Part_Mcdo_Regulado*GW_a_KW</f>
        <v>1230111783581.2268</v>
      </c>
      <c r="J8" s="278">
        <f>'Supuestos de Operacion'!J35*('Supuestos de Operacion'!J119-'Supuestos de Operacion'!J109)*'Supuestos de Operacion'!J84*Part_Mcdo_Regulado*GW_a_KW</f>
        <v>499676502556.19092</v>
      </c>
      <c r="K8" s="278">
        <f>'Supuestos de Operacion'!K35*('Supuestos de Operacion'!K119-'Supuestos de Operacion'!K109)*'Supuestos de Operacion'!K84*Part_Mcdo_Regulado*GW_a_KW</f>
        <v>585968269413.41199</v>
      </c>
      <c r="L8" s="278">
        <f>'Supuestos de Operacion'!L35*('Supuestos de Operacion'!L119-'Supuestos de Operacion'!L109)*'Supuestos de Operacion'!L84*Part_Mcdo_Regulado*GW_a_KW</f>
        <v>1013555183793.3698</v>
      </c>
      <c r="M8" s="278">
        <f>'Supuestos de Operacion'!M35*('Supuestos de Operacion'!M119-'Supuestos de Operacion'!M109)*'Supuestos de Operacion'!M84*Part_Mcdo_Regulado*GW_a_KW</f>
        <v>555543548191.41394</v>
      </c>
      <c r="N8" s="278">
        <f>'Supuestos de Operacion'!N35*('Supuestos de Operacion'!N119-'Supuestos de Operacion'!N109)*'Supuestos de Operacion'!N84*Part_Mcdo_Regulado*GW_a_KW</f>
        <v>577369490066.52185</v>
      </c>
      <c r="O8" s="278">
        <f>'Supuestos de Operacion'!O35*('Supuestos de Operacion'!O119-'Supuestos de Operacion'!O109)*'Supuestos de Operacion'!O84*Part_Mcdo_Regulado*GW_a_KW</f>
        <v>1271831563086.7676</v>
      </c>
    </row>
    <row r="9" spans="2:15">
      <c r="B9" s="263" t="s">
        <v>490</v>
      </c>
      <c r="C9" s="267"/>
      <c r="D9" s="267"/>
      <c r="E9" s="278">
        <f>('Supuestos de Operacion'!E35+'Supuestos de Operacion'!E148)*('Supuestos de Operacion'!E119-'Supuestos de Operacion'!E109)*'Supuestos de Operacion'!E84*(1-Part_Mcdo_Regulado)*GW_a_KW</f>
        <v>588028131930.82947</v>
      </c>
      <c r="F9" s="278">
        <f>('Supuestos de Operacion'!F35+'Supuestos de Operacion'!F148)*('Supuestos de Operacion'!F119-'Supuestos de Operacion'!F109)*'Supuestos de Operacion'!F84*(1-Part_Mcdo_Regulado)*GW_a_KW</f>
        <v>1354104806590.2432</v>
      </c>
      <c r="G9" s="278">
        <f>('Supuestos de Operacion'!G35+'Supuestos de Operacion'!G148)*('Supuestos de Operacion'!G119-'Supuestos de Operacion'!G109)*'Supuestos de Operacion'!G84*(1-Part_Mcdo_Regulado)*GW_a_KW</f>
        <v>1408225104870.6509</v>
      </c>
      <c r="H9" s="278">
        <f>('Supuestos de Operacion'!H35+'Supuestos de Operacion'!H148)*('Supuestos de Operacion'!H119-'Supuestos de Operacion'!H109)*'Supuestos de Operacion'!H84*(1-Part_Mcdo_Regulado)*GW_a_KW</f>
        <v>1536847396946.1421</v>
      </c>
      <c r="I9" s="278">
        <f>('Supuestos de Operacion'!I35+'Supuestos de Operacion'!I148)*('Supuestos de Operacion'!I119-'Supuestos de Operacion'!I109)*'Supuestos de Operacion'!I84*(1-Part_Mcdo_Regulado)*GW_a_KW</f>
        <v>1624095070608.9729</v>
      </c>
      <c r="J9" s="278">
        <f>('Supuestos de Operacion'!J35+'Supuestos de Operacion'!J148)*('Supuestos de Operacion'!J119-'Supuestos de Operacion'!J109)*'Supuestos de Operacion'!J84*(1-Part_Mcdo_Regulado)*GW_a_KW</f>
        <v>848687810019.2655</v>
      </c>
      <c r="K9" s="278">
        <f>('Supuestos de Operacion'!K35+'Supuestos de Operacion'!K148)*('Supuestos de Operacion'!K119-'Supuestos de Operacion'!K109)*'Supuestos de Operacion'!K84*(1-Part_Mcdo_Regulado)*GW_a_KW</f>
        <v>991633931299.80164</v>
      </c>
      <c r="L9" s="278">
        <f>('Supuestos de Operacion'!L35+'Supuestos de Operacion'!L148)*('Supuestos de Operacion'!L119-'Supuestos de Operacion'!L109)*'Supuestos de Operacion'!L84*(1-Part_Mcdo_Regulado)*GW_a_KW</f>
        <v>1434536387367.2446</v>
      </c>
      <c r="M9" s="278">
        <f>('Supuestos de Operacion'!M35+'Supuestos de Operacion'!M148)*('Supuestos de Operacion'!M119-'Supuestos de Operacion'!M109)*'Supuestos de Operacion'!M84*(1-Part_Mcdo_Regulado)*GW_a_KW</f>
        <v>1003593185002.0692</v>
      </c>
      <c r="N9" s="278">
        <f>('Supuestos de Operacion'!N35+'Supuestos de Operacion'!N148)*('Supuestos de Operacion'!N119-'Supuestos de Operacion'!N109)*'Supuestos de Operacion'!N84*(1-Part_Mcdo_Regulado)*GW_a_KW</f>
        <v>980749732243.79553</v>
      </c>
      <c r="O9" s="278">
        <f>('Supuestos de Operacion'!O35+'Supuestos de Operacion'!O148)*('Supuestos de Operacion'!O119-'Supuestos de Operacion'!O109)*'Supuestos de Operacion'!O84*(1-Part_Mcdo_Regulado)*GW_a_KW</f>
        <v>1735788884591.5078</v>
      </c>
    </row>
    <row r="10" spans="2:15">
      <c r="B10" s="263" t="s">
        <v>479</v>
      </c>
      <c r="C10" s="267"/>
      <c r="D10" s="267"/>
      <c r="E10" s="44">
        <f>'Supuestos de Operacion'!E31*('Supuestos de Operacion'!E119-'Supuestos de Operacion'!E109)*'Supuestos de Operacion'!E83*GW_a_KW</f>
        <v>162138257871.49628</v>
      </c>
      <c r="F10" s="44">
        <f>'Supuestos de Operacion'!F31*('Supuestos de Operacion'!F119-'Supuestos de Operacion'!F109)*'Supuestos de Operacion'!F83*GW_a_KW</f>
        <v>699266817244.78809</v>
      </c>
      <c r="G10" s="44">
        <f>'Supuestos de Operacion'!G31*('Supuestos de Operacion'!G119-'Supuestos de Operacion'!G109)*'Supuestos de Operacion'!G83*GW_a_KW</f>
        <v>517035906608.19818</v>
      </c>
      <c r="H10" s="44">
        <f>'Supuestos de Operacion'!H31*('Supuestos de Operacion'!H119-'Supuestos de Operacion'!H109)*'Supuestos de Operacion'!H83*GW_a_KW</f>
        <v>572807395369.99927</v>
      </c>
      <c r="I10" s="44">
        <f>'Supuestos de Operacion'!I31*('Supuestos de Operacion'!I119-'Supuestos de Operacion'!I109)*'Supuestos de Operacion'!I83*GW_a_KW</f>
        <v>600832230222.30115</v>
      </c>
      <c r="J10" s="44">
        <f>'Supuestos de Operacion'!J31*('Supuestos de Operacion'!J119-'Supuestos de Operacion'!J109)*'Supuestos de Operacion'!J83*GW_a_KW</f>
        <v>418389498897.84491</v>
      </c>
      <c r="K10" s="44">
        <f>'Supuestos de Operacion'!K31*('Supuestos de Operacion'!K119-'Supuestos de Operacion'!K109)*'Supuestos de Operacion'!K83*GW_a_KW</f>
        <v>286208641239.24121</v>
      </c>
      <c r="L10" s="44">
        <f>'Supuestos de Operacion'!L31*('Supuestos de Operacion'!L119-'Supuestos de Operacion'!L109)*'Supuestos de Operacion'!L83*GW_a_KW</f>
        <v>495057952992.71899</v>
      </c>
      <c r="M10" s="44">
        <f>'Supuestos de Operacion'!M31*('Supuestos de Operacion'!M119-'Supuestos de Operacion'!M109)*'Supuestos de Operacion'!M83*GW_a_KW</f>
        <v>271348078687.36832</v>
      </c>
      <c r="N10" s="44">
        <f>'Supuestos de Operacion'!N31*('Supuestos de Operacion'!N119-'Supuestos de Operacion'!N109)*'Supuestos de Operacion'!N83*GW_a_KW</f>
        <v>483443448695.43103</v>
      </c>
      <c r="O10" s="44">
        <f>'Supuestos de Operacion'!O31*('Supuestos de Operacion'!O119-'Supuestos de Operacion'!O109)*'Supuestos de Operacion'!O83*GW_a_KW</f>
        <v>621209718267.91626</v>
      </c>
    </row>
    <row r="11" spans="2:15">
      <c r="B11" s="263" t="s">
        <v>477</v>
      </c>
      <c r="C11" s="267"/>
      <c r="D11" s="267"/>
      <c r="E11" s="44">
        <f>('Supuestos de Operacion'!E105+'Supuestos de Operacion'!E106)*GW_a_KW*IF(OR(Tipo_combustible="Gas Cusiana",E3&lt;=Vigencia_Contratato_Gas),'Supuestos de Operacion'!E57,IF(Tipo_combustible="Gas GNL",'Supuestos de Operacion'!E64,'Supuestos de Operacion'!E71))</f>
        <v>0</v>
      </c>
      <c r="F11" s="44">
        <f>('Supuestos de Operacion'!F105+'Supuestos de Operacion'!F106)*GW_a_KW*IF(OR(Tipo_combustible="Gas Cusiana",F3&lt;=Vigencia_Contratato_Gas),'Supuestos de Operacion'!F57,IF(Tipo_combustible="Gas GNL",'Supuestos de Operacion'!F64,'Supuestos de Operacion'!F71))</f>
        <v>0</v>
      </c>
      <c r="G11" s="44">
        <f>('Supuestos de Operacion'!G105+'Supuestos de Operacion'!G106)*GW_a_KW*IF(OR(Tipo_combustible="Gas Cusiana",G3&lt;=Vigencia_Contratato_Gas),'Supuestos de Operacion'!G57,IF(Tipo_combustible="Gas GNL",'Supuestos de Operacion'!G64,'Supuestos de Operacion'!G71))</f>
        <v>6966927517.4552269</v>
      </c>
      <c r="H11" s="44">
        <f>('Supuestos de Operacion'!H105+'Supuestos de Operacion'!H106)*GW_a_KW*IF(OR(Tipo_combustible="Gas Cusiana",H3&lt;=Vigencia_Contratato_Gas),'Supuestos de Operacion'!H57,IF(Tipo_combustible="Gas GNL",'Supuestos de Operacion'!H64,'Supuestos de Operacion'!H71))</f>
        <v>7212054215.5433292</v>
      </c>
      <c r="I11" s="44">
        <f>('Supuestos de Operacion'!I105+'Supuestos de Operacion'!I106)*GW_a_KW*IF(OR(Tipo_combustible="Gas Cusiana",I3&lt;=Vigencia_Contratato_Gas),'Supuestos de Operacion'!I57,IF(Tipo_combustible="Gas GNL",'Supuestos de Operacion'!I64,'Supuestos de Operacion'!I71))</f>
        <v>7506828204.7257843</v>
      </c>
      <c r="J11" s="44">
        <f>('Supuestos de Operacion'!J105+'Supuestos de Operacion'!J106)*GW_a_KW*IF(OR(Tipo_combustible="Gas Cusiana",J3&lt;=Vigencia_Contratato_Gas),'Supuestos de Operacion'!J57,IF(Tipo_combustible="Gas GNL",'Supuestos de Operacion'!J64,'Supuestos de Operacion'!J71))</f>
        <v>7917632520.4076977</v>
      </c>
      <c r="K11" s="44">
        <f>('Supuestos de Operacion'!K105+'Supuestos de Operacion'!K106)*GW_a_KW*IF(OR(Tipo_combustible="Gas Cusiana",K3&lt;=Vigencia_Contratato_Gas),'Supuestos de Operacion'!K57,IF(Tipo_combustible="Gas GNL",'Supuestos de Operacion'!K64,'Supuestos de Operacion'!K71))</f>
        <v>8426172732.2801628</v>
      </c>
      <c r="L11" s="44">
        <f>('Supuestos de Operacion'!L105+'Supuestos de Operacion'!L106)*GW_a_KW*IF(OR(Tipo_combustible="Gas Cusiana",L3&lt;=Vigencia_Contratato_Gas),'Supuestos de Operacion'!L57,IF(Tipo_combustible="Gas GNL",'Supuestos de Operacion'!L64,'Supuestos de Operacion'!L71))</f>
        <v>8950068126.2753086</v>
      </c>
      <c r="M11" s="44">
        <f>('Supuestos de Operacion'!M105+'Supuestos de Operacion'!M106)*GW_a_KW*IF(OR(Tipo_combustible="Gas Cusiana",M3&lt;=Vigencia_Contratato_Gas),'Supuestos de Operacion'!M57,IF(Tipo_combustible="Gas GNL",'Supuestos de Operacion'!M64,'Supuestos de Operacion'!M71))</f>
        <v>9520495964.7434444</v>
      </c>
      <c r="N11" s="44">
        <f>('Supuestos de Operacion'!N105+'Supuestos de Operacion'!N106)*GW_a_KW*IF(OR(Tipo_combustible="Gas Cusiana",N3&lt;=Vigencia_Contratato_Gas),'Supuestos de Operacion'!N57,IF(Tipo_combustible="Gas GNL",'Supuestos de Operacion'!N64,'Supuestos de Operacion'!N71))</f>
        <v>10108469991.787758</v>
      </c>
      <c r="O11" s="44">
        <f>('Supuestos de Operacion'!O105+'Supuestos de Operacion'!O106)*GW_a_KW*IF(OR(Tipo_combustible="Gas Cusiana",O3&lt;=Vigencia_Contratato_Gas),'Supuestos de Operacion'!O57,IF(Tipo_combustible="Gas GNL",'Supuestos de Operacion'!O64,'Supuestos de Operacion'!O71))</f>
        <v>10709366509.877144</v>
      </c>
    </row>
    <row r="12" spans="2:15">
      <c r="B12" s="263" t="s">
        <v>478</v>
      </c>
      <c r="C12" s="267"/>
      <c r="D12" s="267"/>
      <c r="E12" s="44">
        <f>('Supuestos de Operacion'!E107+'Supuestos de Operacion'!E108)*GW_a_KW*'Supuestos de Operacion'!E46</f>
        <v>0</v>
      </c>
      <c r="F12" s="44">
        <f>('Supuestos de Operacion'!F107+'Supuestos de Operacion'!F108)*GW_a_KW*'Supuestos de Operacion'!F46</f>
        <v>43878179340.054123</v>
      </c>
      <c r="G12" s="44">
        <f>('Supuestos de Operacion'!G107+'Supuestos de Operacion'!G108)*GW_a_KW*'Supuestos de Operacion'!G46</f>
        <v>0</v>
      </c>
      <c r="H12" s="44">
        <f>('Supuestos de Operacion'!H107+'Supuestos de Operacion'!H108)*GW_a_KW*'Supuestos de Operacion'!H46</f>
        <v>0</v>
      </c>
      <c r="I12" s="44">
        <f>('Supuestos de Operacion'!I107+'Supuestos de Operacion'!I108)*GW_a_KW*'Supuestos de Operacion'!I46</f>
        <v>0</v>
      </c>
      <c r="J12" s="44">
        <f>('Supuestos de Operacion'!J107+'Supuestos de Operacion'!J108)*GW_a_KW*'Supuestos de Operacion'!J46</f>
        <v>41665248664.512978</v>
      </c>
      <c r="K12" s="44">
        <f>('Supuestos de Operacion'!K107+'Supuestos de Operacion'!K108)*GW_a_KW*'Supuestos de Operacion'!K46</f>
        <v>0</v>
      </c>
      <c r="L12" s="44">
        <f>('Supuestos de Operacion'!L107+'Supuestos de Operacion'!L108)*GW_a_KW*'Supuestos de Operacion'!L46</f>
        <v>0</v>
      </c>
      <c r="M12" s="44">
        <f>('Supuestos de Operacion'!M107+'Supuestos de Operacion'!M108)*GW_a_KW*'Supuestos de Operacion'!M46</f>
        <v>0</v>
      </c>
      <c r="N12" s="44">
        <f>('Supuestos de Operacion'!N107+'Supuestos de Operacion'!N108)*GW_a_KW*'Supuestos de Operacion'!N46</f>
        <v>50292227053.084648</v>
      </c>
      <c r="O12" s="44">
        <f>('Supuestos de Operacion'!O107+'Supuestos de Operacion'!O108)*GW_a_KW*'Supuestos de Operacion'!O46</f>
        <v>0</v>
      </c>
    </row>
    <row r="13" spans="2:15">
      <c r="B13" s="263" t="s">
        <v>472</v>
      </c>
      <c r="C13" s="267"/>
      <c r="D13" s="267"/>
      <c r="E13" s="44">
        <f>IF(('Supuestos de Operacion'!E90*'Supuestos de Operacion'!E87*Macroeconomicos!E10+'Supuestos de Operacion'!E92*'Supuestos de Operacion'!E91*Macroeconomicos!E10+'Supuestos de Operacion'!E94*'Supuestos de Operacion'!E93*Macroeconomicos!E10)-(('Supuestos de Operacion'!E100+'Supuestos de Operacion'!E109-IF(Calderas_Cere="No",'Supuestos de Operacion'!E102,0))*GW_a_KW*'Supuestos de Operacion'!E25)&lt;0,0,('Supuestos de Operacion'!E90*'Supuestos de Operacion'!E87*Macroeconomicos!E10+'Supuestos de Operacion'!E92*'Supuestos de Operacion'!E91*Macroeconomicos!E10+'Supuestos de Operacion'!E94*'Supuestos de Operacion'!E93*Macroeconomicos!E10)-(('Supuestos de Operacion'!E100+'Supuestos de Operacion'!E109-IF(Calderas_Cere="No",'Supuestos de Operacion'!E102,0))*GW_a_KW*'Supuestos de Operacion'!E25))</f>
        <v>0</v>
      </c>
      <c r="F13" s="44">
        <f>IF(('Supuestos de Operacion'!F90*'Supuestos de Operacion'!F87*Macroeconomicos!F10+'Supuestos de Operacion'!F92*'Supuestos de Operacion'!F91*Macroeconomicos!F10+'Supuestos de Operacion'!F94*'Supuestos de Operacion'!F93*Macroeconomicos!F10)-(('Supuestos de Operacion'!F100+'Supuestos de Operacion'!F109-IF(Calderas_Cere="No",'Supuestos de Operacion'!F102,0))*GW_a_KW*'Supuestos de Operacion'!F25)&lt;0,0,('Supuestos de Operacion'!F90*'Supuestos de Operacion'!F87*Macroeconomicos!F10+'Supuestos de Operacion'!F92*'Supuestos de Operacion'!F91*Macroeconomicos!F10+'Supuestos de Operacion'!F94*'Supuestos de Operacion'!F93*Macroeconomicos!F10)-(('Supuestos de Operacion'!F100+'Supuestos de Operacion'!F109-IF(Calderas_Cere="No",'Supuestos de Operacion'!F102,0))*GW_a_KW*'Supuestos de Operacion'!F25))</f>
        <v>0</v>
      </c>
      <c r="G13" s="44">
        <f>IF(('Supuestos de Operacion'!G90*'Supuestos de Operacion'!G87*Macroeconomicos!G10+'Supuestos de Operacion'!G92*'Supuestos de Operacion'!G91*Macroeconomicos!G10+'Supuestos de Operacion'!G94*'Supuestos de Operacion'!G93*Macroeconomicos!G10)-(('Supuestos de Operacion'!G100+'Supuestos de Operacion'!G109-IF(Calderas_Cere="No",'Supuestos de Operacion'!G102,0))*GW_a_KW*'Supuestos de Operacion'!G25)&lt;0,0,('Supuestos de Operacion'!G90*'Supuestos de Operacion'!G87*Macroeconomicos!G10+'Supuestos de Operacion'!G92*'Supuestos de Operacion'!G91*Macroeconomicos!G10+'Supuestos de Operacion'!G94*'Supuestos de Operacion'!G93*Macroeconomicos!G10)-(('Supuestos de Operacion'!G100+'Supuestos de Operacion'!G109-IF(Calderas_Cere="No",'Supuestos de Operacion'!G102,0))*GW_a_KW*'Supuestos de Operacion'!G25))</f>
        <v>0</v>
      </c>
      <c r="H13" s="44">
        <f>IF(('Supuestos de Operacion'!H90*'Supuestos de Operacion'!H87*Macroeconomicos!H10+'Supuestos de Operacion'!H92*'Supuestos de Operacion'!H91*Macroeconomicos!H10+'Supuestos de Operacion'!H94*'Supuestos de Operacion'!H93*Macroeconomicos!H10)-(('Supuestos de Operacion'!H100+'Supuestos de Operacion'!H109-IF(Calderas_Cere="No",'Supuestos de Operacion'!H102,0))*GW_a_KW*'Supuestos de Operacion'!H25)&lt;0,0,('Supuestos de Operacion'!H90*'Supuestos de Operacion'!H87*Macroeconomicos!H10+'Supuestos de Operacion'!H92*'Supuestos de Operacion'!H91*Macroeconomicos!H10+'Supuestos de Operacion'!H94*'Supuestos de Operacion'!H93*Macroeconomicos!H10)-(('Supuestos de Operacion'!H100+'Supuestos de Operacion'!H109-IF(Calderas_Cere="No",'Supuestos de Operacion'!H102,0))*GW_a_KW*'Supuestos de Operacion'!H25))</f>
        <v>0</v>
      </c>
      <c r="I13" s="44">
        <f>IF(('Supuestos de Operacion'!I90*'Supuestos de Operacion'!I87*Macroeconomicos!I10+'Supuestos de Operacion'!I92*'Supuestos de Operacion'!I91*Macroeconomicos!I10+'Supuestos de Operacion'!I94*'Supuestos de Operacion'!I93*Macroeconomicos!I10)-(('Supuestos de Operacion'!I100+'Supuestos de Operacion'!I109-IF(Calderas_Cere="No",'Supuestos de Operacion'!I102,0))*GW_a_KW*'Supuestos de Operacion'!I25)&lt;0,0,('Supuestos de Operacion'!I90*'Supuestos de Operacion'!I87*Macroeconomicos!I10+'Supuestos de Operacion'!I92*'Supuestos de Operacion'!I91*Macroeconomicos!I10+'Supuestos de Operacion'!I94*'Supuestos de Operacion'!I93*Macroeconomicos!I10)-(('Supuestos de Operacion'!I100+'Supuestos de Operacion'!I109-IF(Calderas_Cere="No",'Supuestos de Operacion'!I102,0))*GW_a_KW*'Supuestos de Operacion'!I25))</f>
        <v>0</v>
      </c>
      <c r="J13" s="44">
        <f>IF(('Supuestos de Operacion'!J90*'Supuestos de Operacion'!J87*Macroeconomicos!J10+'Supuestos de Operacion'!J92*'Supuestos de Operacion'!J91*Macroeconomicos!J10+'Supuestos de Operacion'!J94*'Supuestos de Operacion'!J93*Macroeconomicos!J10)-(('Supuestos de Operacion'!J100+'Supuestos de Operacion'!J109-IF(Calderas_Cere="No",'Supuestos de Operacion'!J102,0))*GW_a_KW*'Supuestos de Operacion'!J25)&lt;0,0,('Supuestos de Operacion'!J90*'Supuestos de Operacion'!J87*Macroeconomicos!J10+'Supuestos de Operacion'!J92*'Supuestos de Operacion'!J91*Macroeconomicos!J10+'Supuestos de Operacion'!J94*'Supuestos de Operacion'!J93*Macroeconomicos!J10)-(('Supuestos de Operacion'!J100+'Supuestos de Operacion'!J109-IF(Calderas_Cere="No",'Supuestos de Operacion'!J102,0))*GW_a_KW*'Supuestos de Operacion'!J25))</f>
        <v>0</v>
      </c>
      <c r="K13" s="44">
        <f>IF(('Supuestos de Operacion'!K90*'Supuestos de Operacion'!K87*Macroeconomicos!K10+'Supuestos de Operacion'!K92*'Supuestos de Operacion'!K91*Macroeconomicos!K10+'Supuestos de Operacion'!K94*'Supuestos de Operacion'!K93*Macroeconomicos!K10)-(('Supuestos de Operacion'!K100+'Supuestos de Operacion'!K109-IF(Calderas_Cere="No",'Supuestos de Operacion'!K102,0))*GW_a_KW*'Supuestos de Operacion'!K25)&lt;0,0,('Supuestos de Operacion'!K90*'Supuestos de Operacion'!K87*Macroeconomicos!K10+'Supuestos de Operacion'!K92*'Supuestos de Operacion'!K91*Macroeconomicos!K10+'Supuestos de Operacion'!K94*'Supuestos de Operacion'!K93*Macroeconomicos!K10)-(('Supuestos de Operacion'!K100+'Supuestos de Operacion'!K109-IF(Calderas_Cere="No",'Supuestos de Operacion'!K102,0))*GW_a_KW*'Supuestos de Operacion'!K25))</f>
        <v>0</v>
      </c>
      <c r="L13" s="44">
        <f>IF(('Supuestos de Operacion'!L90*'Supuestos de Operacion'!L87*Macroeconomicos!L10+'Supuestos de Operacion'!L92*'Supuestos de Operacion'!L91*Macroeconomicos!L10+'Supuestos de Operacion'!L94*'Supuestos de Operacion'!L93*Macroeconomicos!L10)-(('Supuestos de Operacion'!L100+'Supuestos de Operacion'!L109-IF(Calderas_Cere="No",'Supuestos de Operacion'!L102,0))*GW_a_KW*'Supuestos de Operacion'!L25)&lt;0,0,('Supuestos de Operacion'!L90*'Supuestos de Operacion'!L87*Macroeconomicos!L10+'Supuestos de Operacion'!L92*'Supuestos de Operacion'!L91*Macroeconomicos!L10+'Supuestos de Operacion'!L94*'Supuestos de Operacion'!L93*Macroeconomicos!L10)-(('Supuestos de Operacion'!L100+'Supuestos de Operacion'!L109-IF(Calderas_Cere="No",'Supuestos de Operacion'!L102,0))*GW_a_KW*'Supuestos de Operacion'!L25))</f>
        <v>0</v>
      </c>
      <c r="M13" s="44">
        <f>IF(('Supuestos de Operacion'!M90*'Supuestos de Operacion'!M87*Macroeconomicos!M10+'Supuestos de Operacion'!M92*'Supuestos de Operacion'!M91*Macroeconomicos!M10+'Supuestos de Operacion'!M94*'Supuestos de Operacion'!M93*Macroeconomicos!M10)-(('Supuestos de Operacion'!M100+'Supuestos de Operacion'!M109-IF(Calderas_Cere="No",'Supuestos de Operacion'!M102,0))*GW_a_KW*'Supuestos de Operacion'!M25)&lt;0,0,('Supuestos de Operacion'!M90*'Supuestos de Operacion'!M87*Macroeconomicos!M10+'Supuestos de Operacion'!M92*'Supuestos de Operacion'!M91*Macroeconomicos!M10+'Supuestos de Operacion'!M94*'Supuestos de Operacion'!M93*Macroeconomicos!M10)-(('Supuestos de Operacion'!M100+'Supuestos de Operacion'!M109-IF(Calderas_Cere="No",'Supuestos de Operacion'!M102,0))*GW_a_KW*'Supuestos de Operacion'!M25))</f>
        <v>0</v>
      </c>
      <c r="N13" s="44">
        <f>IF(('Supuestos de Operacion'!N90*'Supuestos de Operacion'!N87*Macroeconomicos!N10+'Supuestos de Operacion'!N92*'Supuestos de Operacion'!N91*Macroeconomicos!N10+'Supuestos de Operacion'!N94*'Supuestos de Operacion'!N93*Macroeconomicos!N10)-(('Supuestos de Operacion'!N100+'Supuestos de Operacion'!N109-IF(Calderas_Cere="No",'Supuestos de Operacion'!N102,0))*GW_a_KW*'Supuestos de Operacion'!N25)&lt;0,0,('Supuestos de Operacion'!N90*'Supuestos de Operacion'!N87*Macroeconomicos!N10+'Supuestos de Operacion'!N92*'Supuestos de Operacion'!N91*Macroeconomicos!N10+'Supuestos de Operacion'!N94*'Supuestos de Operacion'!N93*Macroeconomicos!N10)-(('Supuestos de Operacion'!N100+'Supuestos de Operacion'!N109-IF(Calderas_Cere="No",'Supuestos de Operacion'!N102,0))*GW_a_KW*'Supuestos de Operacion'!N25))</f>
        <v>0</v>
      </c>
      <c r="O13" s="44">
        <f>IF(('Supuestos de Operacion'!O90*'Supuestos de Operacion'!O87*Macroeconomicos!O10+'Supuestos de Operacion'!O92*'Supuestos de Operacion'!O91*Macroeconomicos!O10+'Supuestos de Operacion'!O94*'Supuestos de Operacion'!O93*Macroeconomicos!O10)-(('Supuestos de Operacion'!O100+'Supuestos de Operacion'!O109-IF(Calderas_Cere="No",'Supuestos de Operacion'!O102,0))*GW_a_KW*'Supuestos de Operacion'!O25)&lt;0,0,('Supuestos de Operacion'!O90*'Supuestos de Operacion'!O87*Macroeconomicos!O10+'Supuestos de Operacion'!O92*'Supuestos de Operacion'!O91*Macroeconomicos!O10+'Supuestos de Operacion'!O94*'Supuestos de Operacion'!O93*Macroeconomicos!O10)-(('Supuestos de Operacion'!O100+'Supuestos de Operacion'!O109-IF(Calderas_Cere="No",'Supuestos de Operacion'!O102,0))*GW_a_KW*'Supuestos de Operacion'!O25))</f>
        <v>0</v>
      </c>
    </row>
    <row r="14" spans="2:15">
      <c r="B14" s="263" t="s">
        <v>549</v>
      </c>
      <c r="C14" s="267"/>
      <c r="D14" s="267"/>
      <c r="E14" s="44">
        <f>IF(('Supuestos de Operacion'!E114*GW_a_KW*'Supuestos de Operacion'!E115)-('Supuestos de Operacion'!E119*GW_a_KW*'Supuestos de Operacion'!E26)&lt;0,0,('Supuestos de Operacion'!E114*GW_a_KW*'Supuestos de Operacion'!E115)-('Supuestos de Operacion'!E119*GW_a_KW*'Supuestos de Operacion'!E26))</f>
        <v>0</v>
      </c>
      <c r="F14" s="44">
        <f>IF(('Supuestos de Operacion'!F114*GW_a_KW*'Supuestos de Operacion'!F115)-('Supuestos de Operacion'!F119*GW_a_KW*'Supuestos de Operacion'!F26)&lt;0,0,('Supuestos de Operacion'!F114*GW_a_KW*'Supuestos de Operacion'!F115)-('Supuestos de Operacion'!F119*GW_a_KW*'Supuestos de Operacion'!F26))</f>
        <v>15216879760.805038</v>
      </c>
      <c r="G14" s="44">
        <f>IF(('Supuestos de Operacion'!G114*GW_a_KW*'Supuestos de Operacion'!G115)-('Supuestos de Operacion'!G119*GW_a_KW*'Supuestos de Operacion'!G26)&lt;0,0,('Supuestos de Operacion'!G114*GW_a_KW*'Supuestos de Operacion'!G115)-('Supuestos de Operacion'!G119*GW_a_KW*'Supuestos de Operacion'!G26))</f>
        <v>14364633597.276115</v>
      </c>
      <c r="H14" s="44">
        <f>IF(('Supuestos de Operacion'!H114*GW_a_KW*'Supuestos de Operacion'!H115)-('Supuestos de Operacion'!H119*GW_a_KW*'Supuestos de Operacion'!H26)&lt;0,0,('Supuestos de Operacion'!H114*GW_a_KW*'Supuestos de Operacion'!H115)-('Supuestos de Operacion'!H119*GW_a_KW*'Supuestos de Operacion'!H26))</f>
        <v>20136882231.075539</v>
      </c>
      <c r="I14" s="44">
        <f>IF(('Supuestos de Operacion'!I114*GW_a_KW*'Supuestos de Operacion'!I115)-('Supuestos de Operacion'!I119*GW_a_KW*'Supuestos de Operacion'!I26)&lt;0,0,('Supuestos de Operacion'!I114*GW_a_KW*'Supuestos de Operacion'!I115)-('Supuestos de Operacion'!I119*GW_a_KW*'Supuestos de Operacion'!I26))</f>
        <v>20379604975.864143</v>
      </c>
      <c r="J14" s="44">
        <f>IF(('Supuestos de Operacion'!J114*GW_a_KW*'Supuestos de Operacion'!J115)-('Supuestos de Operacion'!J119*GW_a_KW*'Supuestos de Operacion'!J26)&lt;0,0,('Supuestos de Operacion'!J114*GW_a_KW*'Supuestos de Operacion'!J115)-('Supuestos de Operacion'!J119*GW_a_KW*'Supuestos de Operacion'!J26))</f>
        <v>0</v>
      </c>
      <c r="K14" s="44">
        <f>IF(('Supuestos de Operacion'!K114*GW_a_KW*'Supuestos de Operacion'!K115)-('Supuestos de Operacion'!K119*GW_a_KW*'Supuestos de Operacion'!K26)&lt;0,0,('Supuestos de Operacion'!K114*GW_a_KW*'Supuestos de Operacion'!K115)-('Supuestos de Operacion'!K119*GW_a_KW*'Supuestos de Operacion'!K26))</f>
        <v>0</v>
      </c>
      <c r="L14" s="44">
        <f>IF(('Supuestos de Operacion'!L114*GW_a_KW*'Supuestos de Operacion'!L115)-('Supuestos de Operacion'!L119*GW_a_KW*'Supuestos de Operacion'!L26)&lt;0,0,('Supuestos de Operacion'!L114*GW_a_KW*'Supuestos de Operacion'!L115)-('Supuestos de Operacion'!L119*GW_a_KW*'Supuestos de Operacion'!L26))</f>
        <v>2309397458.0598145</v>
      </c>
      <c r="M14" s="44">
        <f>IF(('Supuestos de Operacion'!M114*GW_a_KW*'Supuestos de Operacion'!M115)-('Supuestos de Operacion'!M119*GW_a_KW*'Supuestos de Operacion'!M26)&lt;0,0,('Supuestos de Operacion'!M114*GW_a_KW*'Supuestos de Operacion'!M115)-('Supuestos de Operacion'!M119*GW_a_KW*'Supuestos de Operacion'!M26))</f>
        <v>0</v>
      </c>
      <c r="N14" s="44">
        <f>IF(('Supuestos de Operacion'!N114*GW_a_KW*'Supuestos de Operacion'!N115)-('Supuestos de Operacion'!N119*GW_a_KW*'Supuestos de Operacion'!N26)&lt;0,0,('Supuestos de Operacion'!N114*GW_a_KW*'Supuestos de Operacion'!N115)-('Supuestos de Operacion'!N119*GW_a_KW*'Supuestos de Operacion'!N26))</f>
        <v>0</v>
      </c>
      <c r="O14" s="44">
        <f>IF(('Supuestos de Operacion'!O114*GW_a_KW*'Supuestos de Operacion'!O115)-('Supuestos de Operacion'!O119*GW_a_KW*'Supuestos de Operacion'!O26)&lt;0,0,('Supuestos de Operacion'!O114*GW_a_KW*'Supuestos de Operacion'!O115)-('Supuestos de Operacion'!O119*GW_a_KW*'Supuestos de Operacion'!O26))</f>
        <v>3463997203.8041687</v>
      </c>
    </row>
    <row r="15" spans="2:15">
      <c r="B15" s="263" t="s">
        <v>473</v>
      </c>
      <c r="C15" s="267"/>
      <c r="D15" s="267"/>
      <c r="E15" s="44">
        <f>'Supuestos de Operacion'!E122*Macroeconomicos!E19*Macroeconomicos!E10*Historicos!$C$54</f>
        <v>0</v>
      </c>
      <c r="F15" s="44">
        <f>'Supuestos de Operacion'!F122*Macroeconomicos!F19*Macroeconomicos!F10*Historicos!$C$54</f>
        <v>0</v>
      </c>
      <c r="G15" s="44">
        <f>'Supuestos de Operacion'!G122*Macroeconomicos!G19*Macroeconomicos!G10*Historicos!$C$54</f>
        <v>0</v>
      </c>
      <c r="H15" s="44">
        <f>'Supuestos de Operacion'!H122*Macroeconomicos!H19*Macroeconomicos!H10*Historicos!$C$54</f>
        <v>0</v>
      </c>
      <c r="I15" s="44">
        <f>'Supuestos de Operacion'!I122*Macroeconomicos!I19*Macroeconomicos!I10*Historicos!$C$54</f>
        <v>0</v>
      </c>
      <c r="J15" s="44">
        <f>'Supuestos de Operacion'!J122*Macroeconomicos!J19*Macroeconomicos!J10*Historicos!$C$54</f>
        <v>0</v>
      </c>
      <c r="K15" s="44">
        <f>'Supuestos de Operacion'!K122*Macroeconomicos!K19*Macroeconomicos!K10*Historicos!$C$54</f>
        <v>0</v>
      </c>
      <c r="L15" s="44">
        <f>'Supuestos de Operacion'!L122*Macroeconomicos!L19*Macroeconomicos!L10*Historicos!$C$54</f>
        <v>0</v>
      </c>
      <c r="M15" s="44">
        <f>'Supuestos de Operacion'!M122*Macroeconomicos!M19*Macroeconomicos!M10*Historicos!$C$54</f>
        <v>0</v>
      </c>
      <c r="N15" s="44">
        <f>'Supuestos de Operacion'!N122*Macroeconomicos!N19*Macroeconomicos!N10*Historicos!$C$54</f>
        <v>0</v>
      </c>
      <c r="O15" s="44">
        <f>'Supuestos de Operacion'!O122*Macroeconomicos!O19*Macroeconomicos!O10*Historicos!$C$54</f>
        <v>0</v>
      </c>
    </row>
    <row r="16" spans="2:15" s="264" customFormat="1">
      <c r="B16" s="268" t="s">
        <v>474</v>
      </c>
      <c r="C16" s="269"/>
      <c r="D16" s="269"/>
      <c r="E16" s="270">
        <f>SUM(E8:E15)</f>
        <v>1185854965002.488</v>
      </c>
      <c r="F16" s="270">
        <f t="shared" ref="F16:O16" si="1">SUM(F8:F15)</f>
        <v>3131134669100.2407</v>
      </c>
      <c r="G16" s="270">
        <f t="shared" si="1"/>
        <v>3005144243528.46</v>
      </c>
      <c r="H16" s="270">
        <f t="shared" si="1"/>
        <v>3309738963865.5879</v>
      </c>
      <c r="I16" s="270">
        <f t="shared" si="1"/>
        <v>3482925517593.0908</v>
      </c>
      <c r="J16" s="270">
        <f t="shared" si="1"/>
        <v>1816336692658.2222</v>
      </c>
      <c r="K16" s="270">
        <f t="shared" si="1"/>
        <v>1872237014684.7351</v>
      </c>
      <c r="L16" s="270">
        <f t="shared" si="1"/>
        <v>2954408989737.668</v>
      </c>
      <c r="M16" s="270">
        <f t="shared" si="1"/>
        <v>1840005307845.595</v>
      </c>
      <c r="N16" s="270">
        <f t="shared" si="1"/>
        <v>2101963368050.6211</v>
      </c>
      <c r="O16" s="270">
        <f t="shared" si="1"/>
        <v>3643003529659.8726</v>
      </c>
    </row>
    <row r="19" spans="2:15" ht="16.5" thickBot="1">
      <c r="B19" s="621" t="s">
        <v>480</v>
      </c>
      <c r="E19" s="61"/>
    </row>
    <row r="20" spans="2:15" ht="15.75" thickTop="1">
      <c r="B20" s="263" t="s">
        <v>544</v>
      </c>
      <c r="C20" s="267"/>
      <c r="D20" s="267"/>
      <c r="E20" s="44">
        <f>'Supuestos de Operacion'!E128*GW_a_KW*'Supuestos de Operacion'!E31*(1+Δ_compra_bolsa)</f>
        <v>84266769458.020325</v>
      </c>
      <c r="F20" s="44">
        <f>'Supuestos de Operacion'!F128*GW_a_KW*'Supuestos de Operacion'!F31*(1+Δ_compra_bolsa)</f>
        <v>224847885763.53918</v>
      </c>
      <c r="G20" s="44">
        <f>'Supuestos de Operacion'!G128*GW_a_KW*'Supuestos de Operacion'!G31*(1+Δ_compra_bolsa)</f>
        <v>215130920502.90179</v>
      </c>
      <c r="H20" s="44">
        <f>'Supuestos de Operacion'!H128*GW_a_KW*'Supuestos de Operacion'!H31*(1+Δ_compra_bolsa)</f>
        <v>238336046961.57385</v>
      </c>
      <c r="I20" s="44">
        <f>'Supuestos de Operacion'!I128*GW_a_KW*'Supuestos de Operacion'!I31*(1+Δ_compra_bolsa)</f>
        <v>249988723100.65018</v>
      </c>
      <c r="J20" s="44">
        <f>'Supuestos de Operacion'!J128*GW_a_KW*'Supuestos de Operacion'!J31*(1+Δ_compra_bolsa)</f>
        <v>116669382019.21487</v>
      </c>
      <c r="K20" s="44">
        <f>'Supuestos de Operacion'!K128*GW_a_KW*'Supuestos de Operacion'!K31*(1+Δ_compra_bolsa)</f>
        <v>119086437689.44078</v>
      </c>
      <c r="L20" s="44">
        <f>'Supuestos de Operacion'!L128*GW_a_KW*'Supuestos de Operacion'!L31*(1+Δ_compra_bolsa)</f>
        <v>205984602809.47571</v>
      </c>
      <c r="M20" s="44">
        <f>'Supuestos de Operacion'!M128*GW_a_KW*'Supuestos de Operacion'!M31*(1+Δ_compra_bolsa)</f>
        <v>112900722116.26495</v>
      </c>
      <c r="N20" s="44">
        <f>'Supuestos de Operacion'!N128*GW_a_KW*'Supuestos de Operacion'!N31*(1+Δ_compra_bolsa)</f>
        <v>134841638039.64018</v>
      </c>
      <c r="O20" s="44">
        <f>'Supuestos de Operacion'!O128*GW_a_KW*'Supuestos de Operacion'!O31*(1+Δ_compra_bolsa)</f>
        <v>258475194164.02756</v>
      </c>
    </row>
    <row r="21" spans="2:15">
      <c r="B21" s="263" t="s">
        <v>547</v>
      </c>
      <c r="C21" s="267"/>
      <c r="D21" s="267"/>
      <c r="E21" s="46">
        <f>IF(('Supuestos de Operacion'!E90*'Supuestos de Operacion'!E87*Macroeconomicos!E10+'Supuestos de Operacion'!E92*'Supuestos de Operacion'!E91*Macroeconomicos!E10+'Supuestos de Operacion'!E94*'Supuestos de Operacion'!E93*Macroeconomicos!E10)-(('Supuestos de Operacion'!E100+'Supuestos de Operacion'!E109-IF(Calderas_Cere="No",'Supuestos de Operacion'!E102,0))*GW_a_KW*'Supuestos de Operacion'!E25)&gt;=0,0,-(('Supuestos de Operacion'!E90*'Supuestos de Operacion'!E87*Macroeconomicos!E10+'Supuestos de Operacion'!E92*'Supuestos de Operacion'!E91*Macroeconomicos!E10+'Supuestos de Operacion'!E94*'Supuestos de Operacion'!E93*Macroeconomicos!E10)-(('Supuestos de Operacion'!E100+'Supuestos de Operacion'!E109-IF(Calderas_Cere="No",'Supuestos de Operacion'!E102,0))*GW_a_KW*'Supuestos de Operacion'!E25)))</f>
        <v>57840996710.733429</v>
      </c>
      <c r="F21" s="46">
        <f>IF(('Supuestos de Operacion'!F90*'Supuestos de Operacion'!F87*Macroeconomicos!F10+'Supuestos de Operacion'!F92*'Supuestos de Operacion'!F91*Macroeconomicos!F10+'Supuestos de Operacion'!F94*'Supuestos de Operacion'!F93*Macroeconomicos!F10)-(('Supuestos de Operacion'!F100+'Supuestos de Operacion'!F109-IF(Calderas_Cere="No",'Supuestos de Operacion'!F102,0))*GW_a_KW*'Supuestos de Operacion'!F25)&gt;=0,0,-(('Supuestos de Operacion'!F90*'Supuestos de Operacion'!F87*Macroeconomicos!F10+'Supuestos de Operacion'!F92*'Supuestos de Operacion'!F91*Macroeconomicos!F10+'Supuestos de Operacion'!F94*'Supuestos de Operacion'!F93*Macroeconomicos!F10)-(('Supuestos de Operacion'!F100+'Supuestos de Operacion'!F109-IF(Calderas_Cere="No",'Supuestos de Operacion'!F102,0))*GW_a_KW*'Supuestos de Operacion'!F25)))</f>
        <v>134664303466.30261</v>
      </c>
      <c r="G21" s="46">
        <f>IF(('Supuestos de Operacion'!G90*'Supuestos de Operacion'!G87*Macroeconomicos!G10+'Supuestos de Operacion'!G92*'Supuestos de Operacion'!G91*Macroeconomicos!G10+'Supuestos de Operacion'!G94*'Supuestos de Operacion'!G93*Macroeconomicos!G10)-(('Supuestos de Operacion'!G100+'Supuestos de Operacion'!G109-IF(Calderas_Cere="No",'Supuestos de Operacion'!G102,0))*GW_a_KW*'Supuestos de Operacion'!G25)&gt;=0,0,-(('Supuestos de Operacion'!G90*'Supuestos de Operacion'!G87*Macroeconomicos!G10+'Supuestos de Operacion'!G92*'Supuestos de Operacion'!G91*Macroeconomicos!G10+'Supuestos de Operacion'!G94*'Supuestos de Operacion'!G93*Macroeconomicos!G10)-(('Supuestos de Operacion'!G100+'Supuestos de Operacion'!G109-IF(Calderas_Cere="No",'Supuestos de Operacion'!G102,0))*GW_a_KW*'Supuestos de Operacion'!G25)))</f>
        <v>84255473886.529541</v>
      </c>
      <c r="H21" s="46">
        <f>IF(('Supuestos de Operacion'!H90*'Supuestos de Operacion'!H87*Macroeconomicos!H10+'Supuestos de Operacion'!H92*'Supuestos de Operacion'!H91*Macroeconomicos!H10+'Supuestos de Operacion'!H94*'Supuestos de Operacion'!H93*Macroeconomicos!H10)-(('Supuestos de Operacion'!H100+'Supuestos de Operacion'!H109-IF(Calderas_Cere="No",'Supuestos de Operacion'!H102,0))*GW_a_KW*'Supuestos de Operacion'!H25)&gt;=0,0,-(('Supuestos de Operacion'!H90*'Supuestos de Operacion'!H87*Macroeconomicos!H10+'Supuestos de Operacion'!H92*'Supuestos de Operacion'!H91*Macroeconomicos!H10+'Supuestos de Operacion'!H94*'Supuestos de Operacion'!H93*Macroeconomicos!H10)-(('Supuestos de Operacion'!H100+'Supuestos de Operacion'!H109-IF(Calderas_Cere="No",'Supuestos de Operacion'!H102,0))*GW_a_KW*'Supuestos de Operacion'!H25)))</f>
        <v>93806986193.389587</v>
      </c>
      <c r="I21" s="46">
        <f>IF(('Supuestos de Operacion'!I90*'Supuestos de Operacion'!I87*Macroeconomicos!I10+'Supuestos de Operacion'!I92*'Supuestos de Operacion'!I91*Macroeconomicos!I10+'Supuestos de Operacion'!I94*'Supuestos de Operacion'!I93*Macroeconomicos!I10)-(('Supuestos de Operacion'!I100+'Supuestos de Operacion'!I109-IF(Calderas_Cere="No",'Supuestos de Operacion'!I102,0))*GW_a_KW*'Supuestos de Operacion'!I25)&gt;=0,0,-(('Supuestos de Operacion'!I90*'Supuestos de Operacion'!I87*Macroeconomicos!I10+'Supuestos de Operacion'!I92*'Supuestos de Operacion'!I91*Macroeconomicos!I10+'Supuestos de Operacion'!I94*'Supuestos de Operacion'!I93*Macroeconomicos!I10)-(('Supuestos de Operacion'!I100+'Supuestos de Operacion'!I109-IF(Calderas_Cere="No",'Supuestos de Operacion'!I102,0))*GW_a_KW*'Supuestos de Operacion'!I25)))</f>
        <v>143784106831.80963</v>
      </c>
      <c r="J21" s="46">
        <f>IF(('Supuestos de Operacion'!J90*'Supuestos de Operacion'!J87*Macroeconomicos!J10+'Supuestos de Operacion'!J92*'Supuestos de Operacion'!J91*Macroeconomicos!J10+'Supuestos de Operacion'!J94*'Supuestos de Operacion'!J93*Macroeconomicos!J10)-(('Supuestos de Operacion'!J100+'Supuestos de Operacion'!J109-IF(Calderas_Cere="No",'Supuestos de Operacion'!J102,0))*GW_a_KW*'Supuestos de Operacion'!J25)&gt;=0,0,-(('Supuestos de Operacion'!J90*'Supuestos de Operacion'!J87*Macroeconomicos!J10+'Supuestos de Operacion'!J92*'Supuestos de Operacion'!J91*Macroeconomicos!J10+'Supuestos de Operacion'!J94*'Supuestos de Operacion'!J93*Macroeconomicos!J10)-(('Supuestos de Operacion'!J100+'Supuestos de Operacion'!J109-IF(Calderas_Cere="No",'Supuestos de Operacion'!J102,0))*GW_a_KW*'Supuestos de Operacion'!J25)))</f>
        <v>135516629868.45184</v>
      </c>
      <c r="K21" s="46">
        <f>IF(('Supuestos de Operacion'!K90*'Supuestos de Operacion'!K87*Macroeconomicos!K10+'Supuestos de Operacion'!K92*'Supuestos de Operacion'!K91*Macroeconomicos!K10+'Supuestos de Operacion'!K94*'Supuestos de Operacion'!K93*Macroeconomicos!K10)-(('Supuestos de Operacion'!K100+'Supuestos de Operacion'!K109-IF(Calderas_Cere="No",'Supuestos de Operacion'!K102,0))*GW_a_KW*'Supuestos de Operacion'!K25)&gt;=0,0,-(('Supuestos de Operacion'!K90*'Supuestos de Operacion'!K87*Macroeconomicos!K10+'Supuestos de Operacion'!K92*'Supuestos de Operacion'!K91*Macroeconomicos!K10+'Supuestos de Operacion'!K94*'Supuestos de Operacion'!K93*Macroeconomicos!K10)-(('Supuestos de Operacion'!K100+'Supuestos de Operacion'!K109-IF(Calderas_Cere="No",'Supuestos de Operacion'!K102,0))*GW_a_KW*'Supuestos de Operacion'!K25)))</f>
        <v>122965453893.77728</v>
      </c>
      <c r="L21" s="46">
        <f>IF(('Supuestos de Operacion'!L90*'Supuestos de Operacion'!L87*Macroeconomicos!L10+'Supuestos de Operacion'!L92*'Supuestos de Operacion'!L91*Macroeconomicos!L10+'Supuestos de Operacion'!L94*'Supuestos de Operacion'!L93*Macroeconomicos!L10)-(('Supuestos de Operacion'!L100+'Supuestos de Operacion'!L109-IF(Calderas_Cere="No",'Supuestos de Operacion'!L102,0))*GW_a_KW*'Supuestos de Operacion'!L25)&gt;=0,0,-(('Supuestos de Operacion'!L90*'Supuestos de Operacion'!L87*Macroeconomicos!L10+'Supuestos de Operacion'!L92*'Supuestos de Operacion'!L91*Macroeconomicos!L10+'Supuestos de Operacion'!L94*'Supuestos de Operacion'!L93*Macroeconomicos!L10)-(('Supuestos de Operacion'!L100+'Supuestos de Operacion'!L109-IF(Calderas_Cere="No",'Supuestos de Operacion'!L102,0))*GW_a_KW*'Supuestos de Operacion'!L25)))</f>
        <v>118683471052.8573</v>
      </c>
      <c r="M21" s="46">
        <f>IF(('Supuestos de Operacion'!M90*'Supuestos de Operacion'!M87*Macroeconomicos!M10+'Supuestos de Operacion'!M92*'Supuestos de Operacion'!M91*Macroeconomicos!M10+'Supuestos de Operacion'!M94*'Supuestos de Operacion'!M93*Macroeconomicos!M10)-(('Supuestos de Operacion'!M100+'Supuestos de Operacion'!M109-IF(Calderas_Cere="No",'Supuestos de Operacion'!M102,0))*GW_a_KW*'Supuestos de Operacion'!M25)&gt;=0,0,-(('Supuestos de Operacion'!M90*'Supuestos de Operacion'!M87*Macroeconomicos!M10+'Supuestos de Operacion'!M92*'Supuestos de Operacion'!M91*Macroeconomicos!M10+'Supuestos de Operacion'!M94*'Supuestos de Operacion'!M93*Macroeconomicos!M10)-(('Supuestos de Operacion'!M100+'Supuestos de Operacion'!M109-IF(Calderas_Cere="No",'Supuestos de Operacion'!M102,0))*GW_a_KW*'Supuestos de Operacion'!M25)))</f>
        <v>135395175692.35461</v>
      </c>
      <c r="N21" s="46">
        <f>IF(('Supuestos de Operacion'!N90*'Supuestos de Operacion'!N87*Macroeconomicos!N10+'Supuestos de Operacion'!N92*'Supuestos de Operacion'!N91*Macroeconomicos!N10+'Supuestos de Operacion'!N94*'Supuestos de Operacion'!N93*Macroeconomicos!N10)-(('Supuestos de Operacion'!N100+'Supuestos de Operacion'!N109-IF(Calderas_Cere="No",'Supuestos de Operacion'!N102,0))*GW_a_KW*'Supuestos de Operacion'!N25)&gt;=0,0,-(('Supuestos de Operacion'!N90*'Supuestos de Operacion'!N87*Macroeconomicos!N10+'Supuestos de Operacion'!N92*'Supuestos de Operacion'!N91*Macroeconomicos!N10+'Supuestos de Operacion'!N94*'Supuestos de Operacion'!N93*Macroeconomicos!N10)-(('Supuestos de Operacion'!N100+'Supuestos de Operacion'!N109-IF(Calderas_Cere="No",'Supuestos de Operacion'!N102,0))*GW_a_KW*'Supuestos de Operacion'!N25)))</f>
        <v>144705513990.74854</v>
      </c>
      <c r="O21" s="46">
        <f>IF(('Supuestos de Operacion'!O90*'Supuestos de Operacion'!O87*Macroeconomicos!O10+'Supuestos de Operacion'!O92*'Supuestos de Operacion'!O91*Macroeconomicos!O10+'Supuestos de Operacion'!O94*'Supuestos de Operacion'!O93*Macroeconomicos!O10)-(('Supuestos de Operacion'!O100+'Supuestos de Operacion'!O109-IF(Calderas_Cere="No",'Supuestos de Operacion'!O102,0))*GW_a_KW*'Supuestos de Operacion'!O25)&gt;=0,0,-(('Supuestos de Operacion'!O90*'Supuestos de Operacion'!O87*Macroeconomicos!O10+'Supuestos de Operacion'!O92*'Supuestos de Operacion'!O91*Macroeconomicos!O10+'Supuestos de Operacion'!O94*'Supuestos de Operacion'!O93*Macroeconomicos!O10)-(('Supuestos de Operacion'!O100+'Supuestos de Operacion'!O109-IF(Calderas_Cere="No",'Supuestos de Operacion'!O102,0))*GW_a_KW*'Supuestos de Operacion'!O25)))</f>
        <v>121238353032.11755</v>
      </c>
    </row>
    <row r="22" spans="2:15">
      <c r="B22" s="263" t="s">
        <v>548</v>
      </c>
      <c r="C22" s="267"/>
      <c r="D22" s="267"/>
      <c r="E22" s="44">
        <f>IF(('Supuestos de Operacion'!E114*GW_a_KW*'Supuestos de Operacion'!E115)-('Supuestos de Operacion'!E119*GW_a_KW*'Supuestos de Operacion'!E26)&gt;=0,0,-(('Supuestos de Operacion'!E114*GW_a_KW*'Supuestos de Operacion'!E115)-('Supuestos de Operacion'!E119*GW_a_KW*'Supuestos de Operacion'!E26)))</f>
        <v>237458983.21789551</v>
      </c>
      <c r="F22" s="44">
        <f>IF(('Supuestos de Operacion'!F114*GW_a_KW*'Supuestos de Operacion'!F115)-('Supuestos de Operacion'!F119*GW_a_KW*'Supuestos de Operacion'!F26)&gt;=0,0,-(('Supuestos de Operacion'!F114*GW_a_KW*'Supuestos de Operacion'!F115)-('Supuestos de Operacion'!F119*GW_a_KW*'Supuestos de Operacion'!F26)))</f>
        <v>0</v>
      </c>
      <c r="G22" s="44">
        <f>IF(('Supuestos de Operacion'!G114*GW_a_KW*'Supuestos de Operacion'!G115)-('Supuestos de Operacion'!G119*GW_a_KW*'Supuestos de Operacion'!G26)&gt;=0,0,-(('Supuestos de Operacion'!G114*GW_a_KW*'Supuestos de Operacion'!G115)-('Supuestos de Operacion'!G119*GW_a_KW*'Supuestos de Operacion'!G26)))</f>
        <v>0</v>
      </c>
      <c r="H22" s="44">
        <f>IF(('Supuestos de Operacion'!H114*GW_a_KW*'Supuestos de Operacion'!H115)-('Supuestos de Operacion'!H119*GW_a_KW*'Supuestos de Operacion'!H26)&gt;=0,0,-(('Supuestos de Operacion'!H114*GW_a_KW*'Supuestos de Operacion'!H115)-('Supuestos de Operacion'!H119*GW_a_KW*'Supuestos de Operacion'!H26)))</f>
        <v>0</v>
      </c>
      <c r="I22" s="44">
        <f>IF(('Supuestos de Operacion'!I114*GW_a_KW*'Supuestos de Operacion'!I115)-('Supuestos de Operacion'!I119*GW_a_KW*'Supuestos de Operacion'!I26)&gt;=0,0,-(('Supuestos de Operacion'!I114*GW_a_KW*'Supuestos de Operacion'!I115)-('Supuestos de Operacion'!I119*GW_a_KW*'Supuestos de Operacion'!I26)))</f>
        <v>0</v>
      </c>
      <c r="J22" s="44">
        <f>IF(('Supuestos de Operacion'!J114*GW_a_KW*'Supuestos de Operacion'!J115)-('Supuestos de Operacion'!J119*GW_a_KW*'Supuestos de Operacion'!J26)&gt;=0,0,-(('Supuestos de Operacion'!J114*GW_a_KW*'Supuestos de Operacion'!J115)-('Supuestos de Operacion'!J119*GW_a_KW*'Supuestos de Operacion'!J26)))</f>
        <v>13900963248.473206</v>
      </c>
      <c r="K22" s="44">
        <f>IF(('Supuestos de Operacion'!K114*GW_a_KW*'Supuestos de Operacion'!K115)-('Supuestos de Operacion'!K119*GW_a_KW*'Supuestos de Operacion'!K26)&gt;=0,0,-(('Supuestos de Operacion'!K114*GW_a_KW*'Supuestos de Operacion'!K115)-('Supuestos de Operacion'!K119*GW_a_KW*'Supuestos de Operacion'!K26)))</f>
        <v>19832694602.562737</v>
      </c>
      <c r="L22" s="44">
        <f>IF(('Supuestos de Operacion'!L114*GW_a_KW*'Supuestos de Operacion'!L115)-('Supuestos de Operacion'!L119*GW_a_KW*'Supuestos de Operacion'!L26)&gt;=0,0,-(('Supuestos de Operacion'!L114*GW_a_KW*'Supuestos de Operacion'!L115)-('Supuestos de Operacion'!L119*GW_a_KW*'Supuestos de Operacion'!L26)))</f>
        <v>0</v>
      </c>
      <c r="M22" s="44">
        <f>IF(('Supuestos de Operacion'!M114*GW_a_KW*'Supuestos de Operacion'!M115)-('Supuestos de Operacion'!M119*GW_a_KW*'Supuestos de Operacion'!M26)&gt;=0,0,-(('Supuestos de Operacion'!M114*GW_a_KW*'Supuestos de Operacion'!M115)-('Supuestos de Operacion'!M119*GW_a_KW*'Supuestos de Operacion'!M26)))</f>
        <v>34057460895.731361</v>
      </c>
      <c r="N22" s="44">
        <f>IF(('Supuestos de Operacion'!N114*GW_a_KW*'Supuestos de Operacion'!N115)-('Supuestos de Operacion'!N119*GW_a_KW*'Supuestos de Operacion'!N26)&gt;=0,0,-(('Supuestos de Operacion'!N114*GW_a_KW*'Supuestos de Operacion'!N115)-('Supuestos de Operacion'!N119*GW_a_KW*'Supuestos de Operacion'!N26)))</f>
        <v>36913675903.421638</v>
      </c>
      <c r="O22" s="44">
        <f>IF(('Supuestos de Operacion'!O114*GW_a_KW*'Supuestos de Operacion'!O115)-('Supuestos de Operacion'!O119*GW_a_KW*'Supuestos de Operacion'!O26)&gt;=0,0,-(('Supuestos de Operacion'!O114*GW_a_KW*'Supuestos de Operacion'!O115)-('Supuestos de Operacion'!O119*GW_a_KW*'Supuestos de Operacion'!O26)))</f>
        <v>0</v>
      </c>
    </row>
    <row r="23" spans="2:15">
      <c r="B23" s="263" t="s">
        <v>551</v>
      </c>
      <c r="C23" s="267"/>
      <c r="D23" s="267"/>
      <c r="E23" s="44">
        <f>('Supuestos de Operacion'!E119-'Supuestos de Operacion'!E109-'Supuestos de Operacion'!E99-'Supuestos de Operacion'!E98)*GW_a_KW*'Supuestos de Operacion'!E139</f>
        <v>27430690068.666908</v>
      </c>
      <c r="F23" s="44">
        <f>('Supuestos de Operacion'!F119-'Supuestos de Operacion'!F109-'Supuestos de Operacion'!F99-'Supuestos de Operacion'!F98)*GW_a_KW*'Supuestos de Operacion'!F139</f>
        <v>69835991048.639923</v>
      </c>
      <c r="G23" s="44">
        <f>('Supuestos de Operacion'!G119-'Supuestos de Operacion'!G109-'Supuestos de Operacion'!G99-'Supuestos de Operacion'!G98)*GW_a_KW*'Supuestos de Operacion'!G139</f>
        <v>73447987655.261856</v>
      </c>
      <c r="H23" s="44">
        <f>('Supuestos de Operacion'!H119-'Supuestos de Operacion'!H109-'Supuestos de Operacion'!H99-'Supuestos de Operacion'!H98)*GW_a_KW*'Supuestos de Operacion'!H139</f>
        <v>76245025607.880295</v>
      </c>
      <c r="I23" s="44">
        <f>('Supuestos de Operacion'!I119-'Supuestos de Operacion'!I109-'Supuestos de Operacion'!I99-'Supuestos de Operacion'!I98)*GW_a_KW*'Supuestos de Operacion'!I139</f>
        <v>82364526907.862854</v>
      </c>
      <c r="J23" s="44">
        <f>('Supuestos de Operacion'!J119-'Supuestos de Operacion'!J109-'Supuestos de Operacion'!J99-'Supuestos de Operacion'!J98)*GW_a_KW*'Supuestos de Operacion'!J139</f>
        <v>83136381190.25563</v>
      </c>
      <c r="K23" s="44">
        <f>('Supuestos de Operacion'!K119-'Supuestos de Operacion'!K109-'Supuestos de Operacion'!K99-'Supuestos de Operacion'!K98)*GW_a_KW*'Supuestos de Operacion'!K139</f>
        <v>84299535604.167755</v>
      </c>
      <c r="L23" s="44">
        <f>('Supuestos de Operacion'!L119-'Supuestos de Operacion'!L109-'Supuestos de Operacion'!L99-'Supuestos de Operacion'!L98)*GW_a_KW*'Supuestos de Operacion'!L139</f>
        <v>87220164696.901764</v>
      </c>
      <c r="M23" s="44">
        <f>('Supuestos de Operacion'!M119-'Supuestos de Operacion'!M109-'Supuestos de Operacion'!M99-'Supuestos de Operacion'!M98)*GW_a_KW*'Supuestos de Operacion'!M139</f>
        <v>92550248519.805115</v>
      </c>
      <c r="N23" s="44">
        <f>('Supuestos de Operacion'!N119-'Supuestos de Operacion'!N109-'Supuestos de Operacion'!N99-'Supuestos de Operacion'!N98)*GW_a_KW*'Supuestos de Operacion'!N139</f>
        <v>94941325707.512772</v>
      </c>
      <c r="O23" s="44">
        <f>('Supuestos de Operacion'!O119-'Supuestos de Operacion'!O109-'Supuestos de Operacion'!O99-'Supuestos de Operacion'!O98)*GW_a_KW*'Supuestos de Operacion'!O139</f>
        <v>95262948103.23555</v>
      </c>
    </row>
    <row r="24" spans="2:15">
      <c r="B24" s="263" t="s">
        <v>552</v>
      </c>
      <c r="C24" s="267"/>
      <c r="D24" s="267"/>
      <c r="E24" s="44">
        <f>('Supuestos de Operacion'!E99+'Supuestos de Operacion'!E98)*GW_a_KW*'Supuestos de Operacion'!E140</f>
        <v>2062768917.9024024</v>
      </c>
      <c r="F24" s="44">
        <f>('Supuestos de Operacion'!F99+'Supuestos de Operacion'!F98)*GW_a_KW*'Supuestos de Operacion'!F140</f>
        <v>4267043783.5729098</v>
      </c>
      <c r="G24" s="44">
        <f>('Supuestos de Operacion'!G99+'Supuestos de Operacion'!G98)*GW_a_KW*'Supuestos de Operacion'!G140</f>
        <v>0</v>
      </c>
      <c r="H24" s="44">
        <f>('Supuestos de Operacion'!H99+'Supuestos de Operacion'!H98)*GW_a_KW*'Supuestos de Operacion'!H140</f>
        <v>0</v>
      </c>
      <c r="I24" s="44">
        <f>('Supuestos de Operacion'!I99+'Supuestos de Operacion'!I98)*GW_a_KW*'Supuestos de Operacion'!I140</f>
        <v>0</v>
      </c>
      <c r="J24" s="44">
        <f>('Supuestos de Operacion'!J99+'Supuestos de Operacion'!J98)*GW_a_KW*'Supuestos de Operacion'!J140</f>
        <v>0</v>
      </c>
      <c r="K24" s="44">
        <f>('Supuestos de Operacion'!K99+'Supuestos de Operacion'!K98)*GW_a_KW*'Supuestos de Operacion'!K140</f>
        <v>0</v>
      </c>
      <c r="L24" s="44">
        <f>('Supuestos de Operacion'!L99+'Supuestos de Operacion'!L98)*GW_a_KW*'Supuestos de Operacion'!L140</f>
        <v>0</v>
      </c>
      <c r="M24" s="44">
        <f>('Supuestos de Operacion'!M99+'Supuestos de Operacion'!M98)*GW_a_KW*'Supuestos de Operacion'!M140</f>
        <v>0</v>
      </c>
      <c r="N24" s="44">
        <f>('Supuestos de Operacion'!N99+'Supuestos de Operacion'!N98)*GW_a_KW*'Supuestos de Operacion'!N140</f>
        <v>0</v>
      </c>
      <c r="O24" s="44">
        <f>('Supuestos de Operacion'!O99+'Supuestos de Operacion'!O98)*GW_a_KW*'Supuestos de Operacion'!O140</f>
        <v>0</v>
      </c>
    </row>
    <row r="25" spans="2:15">
      <c r="B25" s="263" t="s">
        <v>131</v>
      </c>
      <c r="C25" s="267"/>
      <c r="D25" s="267"/>
      <c r="E25" s="44">
        <f>('Supuestos de Operacion'!E119-'Supuestos de Operacion'!E109)*GW_a_KW*'Supuestos de Operacion'!E141</f>
        <v>8843472375.507122</v>
      </c>
      <c r="F25" s="44">
        <f>('Supuestos de Operacion'!F119-'Supuestos de Operacion'!F109)*GW_a_KW*'Supuestos de Operacion'!F141</f>
        <v>22103875974.758598</v>
      </c>
      <c r="G25" s="44">
        <f>('Supuestos de Operacion'!G119-'Supuestos de Operacion'!G109)*GW_a_KW*'Supuestos de Operacion'!G141</f>
        <v>21313858270.397961</v>
      </c>
      <c r="H25" s="44">
        <f>('Supuestos de Operacion'!H119-'Supuestos de Operacion'!H109)*GW_a_KW*'Supuestos de Operacion'!H141</f>
        <v>22193950866.402119</v>
      </c>
      <c r="I25" s="44">
        <f>('Supuestos de Operacion'!I119-'Supuestos de Operacion'!I109)*GW_a_KW*'Supuestos de Operacion'!I141</f>
        <v>24014703794.047253</v>
      </c>
      <c r="J25" s="44">
        <f>('Supuestos de Operacion'!J119-'Supuestos de Operacion'!J109)*GW_a_KW*'Supuestos de Operacion'!J141</f>
        <v>24312570595.799736</v>
      </c>
      <c r="K25" s="44">
        <f>('Supuestos de Operacion'!K119-'Supuestos de Operacion'!K109)*GW_a_KW*'Supuestos de Operacion'!K141</f>
        <v>24726786720.096844</v>
      </c>
      <c r="L25" s="44">
        <f>('Supuestos de Operacion'!L119-'Supuestos de Operacion'!L109)*GW_a_KW*'Supuestos de Operacion'!L141</f>
        <v>25660324281.664612</v>
      </c>
      <c r="M25" s="44">
        <f>('Supuestos de Operacion'!M119-'Supuestos de Operacion'!M109)*GW_a_KW*'Supuestos de Operacion'!M141</f>
        <v>27310243016.17289</v>
      </c>
      <c r="N25" s="44">
        <f>('Supuestos de Operacion'!N119-'Supuestos de Operacion'!N109)*GW_a_KW*'Supuestos de Operacion'!N141</f>
        <v>28099979585.68539</v>
      </c>
      <c r="O25" s="44">
        <f>('Supuestos de Operacion'!O119-'Supuestos de Operacion'!O109)*GW_a_KW*'Supuestos de Operacion'!O141</f>
        <v>28279873831.884754</v>
      </c>
    </row>
    <row r="26" spans="2:15">
      <c r="B26" s="263" t="s">
        <v>324</v>
      </c>
      <c r="C26" s="267"/>
      <c r="D26" s="267"/>
      <c r="E26" s="44">
        <f>('Supuestos de Operacion'!E119-'Supuestos de Operacion'!E109)*GW_a_KW*'Supuestos de Operacion'!E142</f>
        <v>24637015004.145332</v>
      </c>
      <c r="F26" s="44">
        <f>('Supuestos de Operacion'!F119-'Supuestos de Operacion'!F109)*GW_a_KW*'Supuestos de Operacion'!F142</f>
        <v>61579151369.109917</v>
      </c>
      <c r="G26" s="44">
        <f>('Supuestos de Operacion'!G119-'Supuestos de Operacion'!G109)*GW_a_KW*'Supuestos de Operacion'!G142</f>
        <v>59378242358.552017</v>
      </c>
      <c r="H26" s="44">
        <f>('Supuestos de Operacion'!H119-'Supuestos de Operacion'!H109)*GW_a_KW*'Supuestos de Operacion'!H142</f>
        <v>61830090860.147896</v>
      </c>
      <c r="I26" s="44">
        <f>('Supuestos de Operacion'!I119-'Supuestos de Operacion'!I109)*GW_a_KW*'Supuestos de Operacion'!I142</f>
        <v>66902523417.462502</v>
      </c>
      <c r="J26" s="44">
        <f>('Supuestos de Operacion'!J119-'Supuestos de Operacion'!J109)*GW_a_KW*'Supuestos de Operacion'!J142</f>
        <v>67732350045.78302</v>
      </c>
      <c r="K26" s="44">
        <f>('Supuestos de Operacion'!K119-'Supuestos de Operacion'!K109)*GW_a_KW*'Supuestos de Operacion'!K142</f>
        <v>68886314058.553696</v>
      </c>
      <c r="L26" s="44">
        <f>('Supuestos de Operacion'!L119-'Supuestos de Operacion'!L109)*GW_a_KW*'Supuestos de Operacion'!L142</f>
        <v>71487054800.954605</v>
      </c>
      <c r="M26" s="44">
        <f>('Supuestos de Operacion'!M119-'Supuestos de Operacion'!M109)*GW_a_KW*'Supuestos de Operacion'!M142</f>
        <v>76083560663.321808</v>
      </c>
      <c r="N26" s="44">
        <f>('Supuestos de Operacion'!N119-'Supuestos de Operacion'!N109)*GW_a_KW*'Supuestos de Operacion'!N142</f>
        <v>78283686460.773178</v>
      </c>
      <c r="O26" s="44">
        <f>('Supuestos de Operacion'!O119-'Supuestos de Operacion'!O109)*GW_a_KW*'Supuestos de Operacion'!O142</f>
        <v>78784853542.500946</v>
      </c>
    </row>
    <row r="27" spans="2:15">
      <c r="B27" s="263" t="s">
        <v>553</v>
      </c>
      <c r="C27" s="267"/>
      <c r="D27" s="267"/>
      <c r="E27" s="44">
        <f>IF(E3&gt;Año_Inicio_Sogamoso,Macroeconomicos!$C$73,(Macroeconomicos!$C$73-Macroeconomicos!$C$66))*MW_a_KW*'Supuestos de Operacion'!E147*E4</f>
        <v>3283406221.5951195</v>
      </c>
      <c r="F27" s="44">
        <f>IF(F3&gt;Año_Inicio_Sogamoso,Macroeconomicos!$C$73,(Macroeconomicos!$C$73-Macroeconomicos!$C$66))*MW_a_KW*'Supuestos de Operacion'!F147*F4</f>
        <v>9309904186.9325161</v>
      </c>
      <c r="G27" s="44">
        <f>IF(G3&gt;Año_Inicio_Sogamoso,Macroeconomicos!$C$73,(Macroeconomicos!$C$73-Macroeconomicos!$C$66))*MW_a_KW*'Supuestos de Operacion'!G147*G4</f>
        <v>9647853708.9181671</v>
      </c>
      <c r="H27" s="44">
        <f>IF(H3&gt;Año_Inicio_Sogamoso,Macroeconomicos!$C$73,(Macroeconomicos!$C$73-Macroeconomicos!$C$66))*MW_a_KW*'Supuestos de Operacion'!H147*H4</f>
        <v>9983599017.9885197</v>
      </c>
      <c r="I27" s="44">
        <f>IF(I3&gt;Año_Inicio_Sogamoso,Macroeconomicos!$C$73,(Macroeconomicos!$C$73-Macroeconomicos!$C$66))*MW_a_KW*'Supuestos de Operacion'!I147*I4</f>
        <v>10316052865.287537</v>
      </c>
      <c r="J27" s="44">
        <f>IF(J3&gt;Año_Inicio_Sogamoso,Macroeconomicos!$C$73,(Macroeconomicos!$C$73-Macroeconomicos!$C$66))*MW_a_KW*'Supuestos de Operacion'!J147*J4</f>
        <v>10645134951.690212</v>
      </c>
      <c r="K27" s="44">
        <f>IF(K3&gt;Año_Inicio_Sogamoso,Macroeconomicos!$C$73,(Macroeconomicos!$C$73-Macroeconomicos!$C$66))*MW_a_KW*'Supuestos de Operacion'!K147*K4</f>
        <v>10984714756.64913</v>
      </c>
      <c r="L27" s="44">
        <f>IF(L3&gt;Año_Inicio_Sogamoso,Macroeconomicos!$C$73,(Macroeconomicos!$C$73-Macroeconomicos!$C$66))*MW_a_KW*'Supuestos de Operacion'!L147*L4</f>
        <v>11335127157.386234</v>
      </c>
      <c r="M27" s="44">
        <f>IF(M3&gt;Año_Inicio_Sogamoso,Macroeconomicos!$C$73,(Macroeconomicos!$C$73-Macroeconomicos!$C$66))*MW_a_KW*'Supuestos de Operacion'!M147*M4</f>
        <v>11696717713.706858</v>
      </c>
      <c r="N27" s="44">
        <f>IF(N3&gt;Año_Inicio_Sogamoso,Macroeconomicos!$C$73,(Macroeconomicos!$C$73-Macroeconomicos!$C$66))*MW_a_KW*'Supuestos de Operacion'!N147*N4</f>
        <v>12069843008.774107</v>
      </c>
      <c r="O27" s="44">
        <f>IF(O3&gt;Año_Inicio_Sogamoso,Macroeconomicos!$C$73,(Macroeconomicos!$C$73-Macroeconomicos!$C$66))*MW_a_KW*'Supuestos de Operacion'!O147*O4</f>
        <v>12454871000.754002</v>
      </c>
    </row>
    <row r="28" spans="2:15">
      <c r="B28" s="263" t="s">
        <v>554</v>
      </c>
      <c r="C28" s="267"/>
      <c r="D28" s="267"/>
      <c r="E28" s="44">
        <f>('Supuestos de Operacion'!E119-'Supuestos de Operacion'!E109)*'Supuestos de Operacion'!E84*(1-Part_Mcdo_Regulado)*GW_a_KW*'Supuestos de Operacion'!E148</f>
        <v>152339556730.6673</v>
      </c>
      <c r="F28" s="44">
        <f>('Supuestos de Operacion'!F119-'Supuestos de Operacion'!F109)*'Supuestos de Operacion'!F84*(1-Part_Mcdo_Regulado)*GW_a_KW*'Supuestos de Operacion'!F148</f>
        <v>335436820425.89294</v>
      </c>
      <c r="G28" s="44">
        <f>('Supuestos de Operacion'!G119-'Supuestos de Operacion'!G109)*'Supuestos de Operacion'!G84*(1-Part_Mcdo_Regulado)*GW_a_KW*'Supuestos de Operacion'!G148</f>
        <v>349673433935.77118</v>
      </c>
      <c r="H28" s="44">
        <f>('Supuestos de Operacion'!H119-'Supuestos de Operacion'!H109)*'Supuestos de Operacion'!H84*(1-Part_Mcdo_Regulado)*GW_a_KW*'Supuestos de Operacion'!H148</f>
        <v>364112161843.31464</v>
      </c>
      <c r="I28" s="44">
        <f>('Supuestos de Operacion'!I119-'Supuestos de Operacion'!I109)*'Supuestos de Operacion'!I84*(1-Part_Mcdo_Regulado)*GW_a_KW*'Supuestos de Operacion'!I148</f>
        <v>393983287027.74591</v>
      </c>
      <c r="J28" s="44">
        <f>('Supuestos de Operacion'!J119-'Supuestos de Operacion'!J109)*'Supuestos de Operacion'!J84*(1-Part_Mcdo_Regulado)*GW_a_KW*'Supuestos de Operacion'!J148</f>
        <v>349011307463.07465</v>
      </c>
      <c r="K28" s="44">
        <f>('Supuestos de Operacion'!K119-'Supuestos de Operacion'!K109)*'Supuestos de Operacion'!K84*(1-Part_Mcdo_Regulado)*GW_a_KW*'Supuestos de Operacion'!K148</f>
        <v>405665661886.38959</v>
      </c>
      <c r="L28" s="44">
        <f>('Supuestos de Operacion'!L119-'Supuestos de Operacion'!L109)*'Supuestos de Operacion'!L84*(1-Part_Mcdo_Regulado)*GW_a_KW*'Supuestos de Operacion'!L148</f>
        <v>420981203573.87469</v>
      </c>
      <c r="M28" s="44">
        <f>('Supuestos de Operacion'!M119-'Supuestos de Operacion'!M109)*'Supuestos de Operacion'!M84*(1-Part_Mcdo_Regulado)*GW_a_KW*'Supuestos de Operacion'!M148</f>
        <v>448049636810.65533</v>
      </c>
      <c r="N28" s="44">
        <f>('Supuestos de Operacion'!N119-'Supuestos de Operacion'!N109)*'Supuestos de Operacion'!N84*(1-Part_Mcdo_Regulado)*GW_a_KW*'Supuestos de Operacion'!N148</f>
        <v>403380242177.27386</v>
      </c>
      <c r="O28" s="44">
        <f>('Supuestos de Operacion'!O119-'Supuestos de Operacion'!O109)*'Supuestos de Operacion'!O84*(1-Part_Mcdo_Regulado)*GW_a_KW*'Supuestos de Operacion'!O148</f>
        <v>463957321504.74042</v>
      </c>
    </row>
    <row r="29" spans="2:15" s="264" customFormat="1">
      <c r="B29" s="268" t="s">
        <v>555</v>
      </c>
      <c r="C29" s="269"/>
      <c r="D29" s="269"/>
      <c r="E29" s="76">
        <f>SUM(E20:E28)</f>
        <v>360942134470.45581</v>
      </c>
      <c r="F29" s="76">
        <f t="shared" ref="F29:O29" si="2">SUM(F20:F28)</f>
        <v>862044976018.74854</v>
      </c>
      <c r="G29" s="76">
        <f t="shared" si="2"/>
        <v>812847770318.33252</v>
      </c>
      <c r="H29" s="76">
        <f t="shared" si="2"/>
        <v>866507861350.6969</v>
      </c>
      <c r="I29" s="76">
        <f t="shared" si="2"/>
        <v>971353923944.86572</v>
      </c>
      <c r="J29" s="76">
        <f t="shared" si="2"/>
        <v>800924719382.74316</v>
      </c>
      <c r="K29" s="76">
        <f t="shared" si="2"/>
        <v>856447599211.63794</v>
      </c>
      <c r="L29" s="76">
        <f t="shared" si="2"/>
        <v>941351948373.11487</v>
      </c>
      <c r="M29" s="76">
        <f t="shared" si="2"/>
        <v>938043765428.01294</v>
      </c>
      <c r="N29" s="76">
        <f t="shared" si="2"/>
        <v>933235904873.82959</v>
      </c>
      <c r="O29" s="76">
        <f t="shared" si="2"/>
        <v>1058453415179.2607</v>
      </c>
    </row>
    <row r="30" spans="2:15">
      <c r="E30" s="60"/>
      <c r="F30" s="60"/>
      <c r="G30" s="60"/>
      <c r="H30" s="60"/>
      <c r="I30" s="60"/>
      <c r="J30" s="60"/>
      <c r="K30" s="60"/>
      <c r="L30" s="60"/>
      <c r="M30" s="60"/>
      <c r="N30" s="60"/>
      <c r="O30" s="60"/>
    </row>
    <row r="31" spans="2:15" ht="16.5" thickBot="1">
      <c r="B31" s="621" t="s">
        <v>558</v>
      </c>
      <c r="E31" s="60"/>
      <c r="F31" s="60"/>
      <c r="G31" s="60"/>
      <c r="H31" s="60"/>
      <c r="I31" s="60"/>
      <c r="J31" s="60"/>
      <c r="K31" s="60"/>
      <c r="L31" s="60"/>
      <c r="M31" s="60"/>
      <c r="N31" s="60"/>
      <c r="O31" s="60"/>
    </row>
    <row r="32" spans="2:15" ht="15.75" thickTop="1">
      <c r="B32" s="263" t="s">
        <v>545</v>
      </c>
      <c r="C32" s="267"/>
      <c r="D32" s="267"/>
      <c r="E32" s="44">
        <f>IF(OR(Tipo_combustible="Gas Cusiana",E3&lt;=Vigencia_Contratato_Gas),MAX('Supuestos de Operacion'!E74*Dias_año*'Supuestos de Operacion'!E18/Mes_año*Macroeconomicos!E19*TOP_Cusiana,'Supuestos de Operacion'!E133*Macroeconomicos!E19),IF(Tipo_combustible="Gas GNL",'Supuestos de Operacion'!E133*Macroeconomicos!E20,0))*Macroeconomicos!E10</f>
        <v>43715175231.951355</v>
      </c>
      <c r="F32" s="44">
        <f>IF(OR(Tipo_combustible="Gas Cusiana",F3&lt;=Vigencia_Contratato_Gas),MAX('Supuestos de Operacion'!F74*Dias_año*'Supuestos de Operacion'!F18/Mes_año*Macroeconomicos!F19*TOP_Cusiana,'Supuestos de Operacion'!F133*Macroeconomicos!F19),IF(Tipo_combustible="Gas GNL",'Supuestos de Operacion'!F133*Macroeconomicos!F20,0))*Macroeconomicos!F10</f>
        <v>101090298365.12692</v>
      </c>
      <c r="G32" s="44">
        <f>IF(OR(Tipo_combustible="Gas Cusiana",G3&lt;=Vigencia_Contratato_Gas),MAX('Supuestos de Operacion'!G74*Dias_año*'Supuestos de Operacion'!G18/Mes_año*Macroeconomicos!G19*TOP_Cusiana,'Supuestos de Operacion'!G133*Macroeconomicos!G19),IF(Tipo_combustible="Gas GNL",'Supuestos de Operacion'!G133*Macroeconomicos!G20,0))*Macroeconomicos!G10</f>
        <v>0</v>
      </c>
      <c r="H32" s="44">
        <f>IF(OR(Tipo_combustible="Gas Cusiana",H3&lt;=Vigencia_Contratato_Gas),MAX('Supuestos de Operacion'!H74*Dias_año*'Supuestos de Operacion'!H18/Mes_año*Macroeconomicos!H19*TOP_Cusiana,'Supuestos de Operacion'!H133*Macroeconomicos!H19),IF(Tipo_combustible="Gas GNL",'Supuestos de Operacion'!H133*Macroeconomicos!H20,0))*Macroeconomicos!H10</f>
        <v>0</v>
      </c>
      <c r="I32" s="44">
        <f>IF(OR(Tipo_combustible="Gas Cusiana",I3&lt;=Vigencia_Contratato_Gas),MAX('Supuestos de Operacion'!I74*Dias_año*'Supuestos de Operacion'!I18/Mes_año*Macroeconomicos!I19*TOP_Cusiana,'Supuestos de Operacion'!I133*Macroeconomicos!I19),IF(Tipo_combustible="Gas GNL",'Supuestos de Operacion'!I133*Macroeconomicos!I20,0))*Macroeconomicos!I10</f>
        <v>0</v>
      </c>
      <c r="J32" s="44">
        <f>IF(OR(Tipo_combustible="Gas Cusiana",J3&lt;=Vigencia_Contratato_Gas),MAX('Supuestos de Operacion'!J74*Dias_año*'Supuestos de Operacion'!J18/Mes_año*Macroeconomicos!J19*TOP_Cusiana,'Supuestos de Operacion'!J133*Macroeconomicos!J19),IF(Tipo_combustible="Gas GNL",'Supuestos de Operacion'!J133*Macroeconomicos!J20,0))*Macroeconomicos!J10</f>
        <v>0</v>
      </c>
      <c r="K32" s="44">
        <f>IF(OR(Tipo_combustible="Gas Cusiana",K3&lt;=Vigencia_Contratato_Gas),MAX('Supuestos de Operacion'!K74*Dias_año*'Supuestos de Operacion'!K18/Mes_año*Macroeconomicos!K19*TOP_Cusiana,'Supuestos de Operacion'!K133*Macroeconomicos!K19),IF(Tipo_combustible="Gas GNL",'Supuestos de Operacion'!K133*Macroeconomicos!K20,0))*Macroeconomicos!K10</f>
        <v>0</v>
      </c>
      <c r="L32" s="44">
        <f>IF(OR(Tipo_combustible="Gas Cusiana",L3&lt;=Vigencia_Contratato_Gas),MAX('Supuestos de Operacion'!L74*Dias_año*'Supuestos de Operacion'!L18/Mes_año*Macroeconomicos!L19*TOP_Cusiana,'Supuestos de Operacion'!L133*Macroeconomicos!L19),IF(Tipo_combustible="Gas GNL",'Supuestos de Operacion'!L133*Macroeconomicos!L20,0))*Macroeconomicos!L10</f>
        <v>0</v>
      </c>
      <c r="M32" s="44">
        <f>IF(OR(Tipo_combustible="Gas Cusiana",M3&lt;=Vigencia_Contratato_Gas),MAX('Supuestos de Operacion'!M74*Dias_año*'Supuestos de Operacion'!M18/Mes_año*Macroeconomicos!M19*TOP_Cusiana,'Supuestos de Operacion'!M133*Macroeconomicos!M19),IF(Tipo_combustible="Gas GNL",'Supuestos de Operacion'!M133*Macroeconomicos!M20,0))*Macroeconomicos!M10</f>
        <v>0</v>
      </c>
      <c r="N32" s="44">
        <f>IF(OR(Tipo_combustible="Gas Cusiana",N3&lt;=Vigencia_Contratato_Gas),MAX('Supuestos de Operacion'!N74*Dias_año*'Supuestos de Operacion'!N18/Mes_año*Macroeconomicos!N19*TOP_Cusiana,'Supuestos de Operacion'!N133*Macroeconomicos!N19),IF(Tipo_combustible="Gas GNL",'Supuestos de Operacion'!N133*Macroeconomicos!N20,0))*Macroeconomicos!N10</f>
        <v>0</v>
      </c>
      <c r="O32" s="44">
        <f>IF(OR(Tipo_combustible="Gas Cusiana",O3&lt;=Vigencia_Contratato_Gas),MAX('Supuestos de Operacion'!O74*Dias_año*'Supuestos de Operacion'!O18/Mes_año*Macroeconomicos!O19*TOP_Cusiana,'Supuestos de Operacion'!O133*Macroeconomicos!O19),IF(Tipo_combustible="Gas GNL",'Supuestos de Operacion'!O133*Macroeconomicos!O20,0))*Macroeconomicos!O10</f>
        <v>0</v>
      </c>
    </row>
    <row r="33" spans="2:15">
      <c r="B33" s="263" t="s">
        <v>546</v>
      </c>
      <c r="C33" s="267"/>
      <c r="D33" s="267"/>
      <c r="E33" s="44">
        <f>'Supuestos de Operacion'!E134*Macroeconomicos!E18*Macroeconomicos!E10</f>
        <v>0</v>
      </c>
      <c r="F33" s="44">
        <f>'Supuestos de Operacion'!F134*Macroeconomicos!F18*Macroeconomicos!F10</f>
        <v>0</v>
      </c>
      <c r="G33" s="44">
        <f>'Supuestos de Operacion'!G134*Macroeconomicos!G18*Macroeconomicos!G10</f>
        <v>5854519806.4084425</v>
      </c>
      <c r="H33" s="44">
        <f>'Supuestos de Operacion'!H134*Macroeconomicos!H18*Macroeconomicos!H10</f>
        <v>6050336888.7773314</v>
      </c>
      <c r="I33" s="44">
        <f>'Supuestos de Operacion'!I134*Macroeconomicos!I18*Macroeconomicos!I10</f>
        <v>6302519692.0617847</v>
      </c>
      <c r="J33" s="44">
        <f>'Supuestos de Operacion'!J134*Macroeconomicos!J18*Macroeconomicos!J10</f>
        <v>55736576350.048286</v>
      </c>
      <c r="K33" s="44">
        <f>'Supuestos de Operacion'!K134*Macroeconomicos!K18*Macroeconomicos!K10</f>
        <v>7137267717.5246305</v>
      </c>
      <c r="L33" s="44">
        <f>'Supuestos de Operacion'!L134*Macroeconomicos!L18*Macroeconomicos!L10</f>
        <v>7608513724.6589499</v>
      </c>
      <c r="M33" s="44">
        <f>'Supuestos de Operacion'!M134*Macroeconomicos!M18*Macroeconomicos!M10</f>
        <v>8129494994.1640406</v>
      </c>
      <c r="N33" s="44">
        <f>'Supuestos de Operacion'!N134*Macroeconomicos!N18*Macroeconomicos!N10</f>
        <v>75641520871.875732</v>
      </c>
      <c r="O33" s="44">
        <f>'Supuestos de Operacion'!O134*Macroeconomicos!O18*Macroeconomicos!O10</f>
        <v>9204011350.6477985</v>
      </c>
    </row>
    <row r="34" spans="2:15">
      <c r="B34" s="263" t="s">
        <v>557</v>
      </c>
      <c r="C34" s="267"/>
      <c r="D34" s="267"/>
      <c r="E34" s="44">
        <f>IF(E3&lt;=Vigencia_Contratato_Gas,0,IF(OR(Tipo_combustible="Gas Cusiana",Tipo_combustible="Jet fuel"),0,'Supuestos de Operacion'!E74*Dias_mes*E4*'Supuestos de Operacion'!E152*Macroeconomicos!E10))</f>
        <v>0</v>
      </c>
      <c r="F34" s="44">
        <f>IF(F3&lt;=Vigencia_Contratato_Gas,0,IF(OR(Tipo_combustible="Gas Cusiana",Tipo_combustible="Jet fuel"),0,'Supuestos de Operacion'!F74*Dias_mes*F4*'Supuestos de Operacion'!F152*Macroeconomicos!F10))</f>
        <v>0</v>
      </c>
      <c r="G34" s="44">
        <f>IF(G3&lt;=Vigencia_Contratato_Gas,0,IF(OR(Tipo_combustible="Gas Cusiana",Tipo_combustible="Jet fuel"),0,'Supuestos de Operacion'!G74*Dias_mes*G4*'Supuestos de Operacion'!G152*Macroeconomicos!G10))</f>
        <v>0</v>
      </c>
      <c r="H34" s="44">
        <f>IF(H3&lt;=Vigencia_Contratato_Gas,0,IF(OR(Tipo_combustible="Gas Cusiana",Tipo_combustible="Jet fuel"),0,'Supuestos de Operacion'!H74*Dias_mes*H4*'Supuestos de Operacion'!H152*Macroeconomicos!H10))</f>
        <v>0</v>
      </c>
      <c r="I34" s="44">
        <f>IF(I3&lt;=Vigencia_Contratato_Gas,0,IF(OR(Tipo_combustible="Gas Cusiana",Tipo_combustible="Jet fuel"),0,'Supuestos de Operacion'!I74*Dias_mes*I4*'Supuestos de Operacion'!I152*Macroeconomicos!I10))</f>
        <v>0</v>
      </c>
      <c r="J34" s="44">
        <f>IF(J3&lt;=Vigencia_Contratato_Gas,0,IF(OR(Tipo_combustible="Gas Cusiana",Tipo_combustible="Jet fuel"),0,'Supuestos de Operacion'!J74*Dias_mes*J4*'Supuestos de Operacion'!J152*Macroeconomicos!J10))</f>
        <v>0</v>
      </c>
      <c r="K34" s="44">
        <f>IF(K3&lt;=Vigencia_Contratato_Gas,0,IF(OR(Tipo_combustible="Gas Cusiana",Tipo_combustible="Jet fuel"),0,'Supuestos de Operacion'!K74*Dias_mes*K4*'Supuestos de Operacion'!K152*Macroeconomicos!K10))</f>
        <v>0</v>
      </c>
      <c r="L34" s="44">
        <f>IF(L3&lt;=Vigencia_Contratato_Gas,0,IF(OR(Tipo_combustible="Gas Cusiana",Tipo_combustible="Jet fuel"),0,'Supuestos de Operacion'!L74*Dias_mes*L4*'Supuestos de Operacion'!L152*Macroeconomicos!L10))</f>
        <v>0</v>
      </c>
      <c r="M34" s="44">
        <f>IF(M3&lt;=Vigencia_Contratato_Gas,0,IF(OR(Tipo_combustible="Gas Cusiana",Tipo_combustible="Jet fuel"),0,'Supuestos de Operacion'!M74*Dias_mes*M4*'Supuestos de Operacion'!M152*Macroeconomicos!M10))</f>
        <v>0</v>
      </c>
      <c r="N34" s="44">
        <f>IF(N3&lt;=Vigencia_Contratato_Gas,0,IF(OR(Tipo_combustible="Gas Cusiana",Tipo_combustible="Jet fuel"),0,'Supuestos de Operacion'!N74*Dias_mes*N4*'Supuestos de Operacion'!N152*Macroeconomicos!N10))</f>
        <v>0</v>
      </c>
      <c r="O34" s="44">
        <f>IF(O3&lt;=Vigencia_Contratato_Gas,0,IF(OR(Tipo_combustible="Gas Cusiana",Tipo_combustible="Jet fuel"),0,'Supuestos de Operacion'!O74*Dias_mes*O4*'Supuestos de Operacion'!O152*Macroeconomicos!O10))</f>
        <v>0</v>
      </c>
    </row>
    <row r="35" spans="2:15">
      <c r="B35" s="263" t="s">
        <v>556</v>
      </c>
      <c r="C35" s="267"/>
      <c r="D35" s="267"/>
      <c r="E35" s="44">
        <f>'Supuestos de Operacion'!E75*'Supuestos de Operacion'!E151*E4</f>
        <v>761427350.25309014</v>
      </c>
      <c r="F35" s="44">
        <f>'Supuestos de Operacion'!F75*'Supuestos de Operacion'!F151*F4</f>
        <v>1575088616.7335422</v>
      </c>
      <c r="G35" s="44">
        <f>'Supuestos de Operacion'!G75*'Supuestos de Operacion'!G151*G4</f>
        <v>3264759997.0211802</v>
      </c>
      <c r="H35" s="44">
        <f>'Supuestos de Operacion'!H75*'Supuestos de Operacion'!H151*H4</f>
        <v>3344381647.6399512</v>
      </c>
      <c r="I35" s="44">
        <f>'Supuestos de Operacion'!I75*'Supuestos de Operacion'!I151*I4</f>
        <v>3246490081.5364685</v>
      </c>
      <c r="J35" s="44">
        <f>'Supuestos de Operacion'!J75*'Supuestos de Operacion'!J151*J4</f>
        <v>3386042257.1743879</v>
      </c>
      <c r="K35" s="44">
        <f>'Supuestos de Operacion'!K75*'Supuestos de Operacion'!K151*K4</f>
        <v>3531194200.8461337</v>
      </c>
      <c r="L35" s="44">
        <f>'Supuestos de Operacion'!L75*'Supuestos de Operacion'!L151*L4</f>
        <v>3758804912.4821901</v>
      </c>
      <c r="M35" s="44">
        <f>'Supuestos de Operacion'!M75*'Supuestos de Operacion'!M151*M4</f>
        <v>3958079925.3683095</v>
      </c>
      <c r="N35" s="44">
        <f>'Supuestos de Operacion'!N75*'Supuestos de Operacion'!N151*N4</f>
        <v>4043247467.7425909</v>
      </c>
      <c r="O35" s="44">
        <f>'Supuestos de Operacion'!O75*'Supuestos de Operacion'!O151*O4</f>
        <v>4214334571.5002532</v>
      </c>
    </row>
    <row r="36" spans="2:15">
      <c r="B36" s="263" t="s">
        <v>572</v>
      </c>
      <c r="C36" s="267"/>
      <c r="D36" s="267"/>
      <c r="E36" s="44">
        <f>('Supuestos de Operacion'!E49*'Supuestos de Operacion'!E154+'Supuestos de Operacion'!E50*'Supuestos de Operacion'!E155+'Supuestos de Operacion'!E42*IF('Supuestos de Operacion'!E107+'Supuestos de Operacion'!E108=0,0,IF(OR(Tipo_combustible="Gas Cusiana",Tipo_combustible="Gas GNL"),'Supuestos de Operacion'!E154,'Supuestos de Operacion'!E155)))*Macroeconomicos!E10</f>
        <v>0</v>
      </c>
      <c r="F36" s="44">
        <f>('Supuestos de Operacion'!F49*'Supuestos de Operacion'!F154+'Supuestos de Operacion'!F50*'Supuestos de Operacion'!F155+'Supuestos de Operacion'!F42*IF('Supuestos de Operacion'!F107+'Supuestos de Operacion'!F108=0,0,IF(OR(Tipo_combustible="Gas Cusiana",Tipo_combustible="Gas GNL"),'Supuestos de Operacion'!F154,'Supuestos de Operacion'!F155)))*Macroeconomicos!F10</f>
        <v>170963847.20786288</v>
      </c>
      <c r="G36" s="44">
        <f>('Supuestos de Operacion'!G49*'Supuestos de Operacion'!G154+'Supuestos de Operacion'!G50*'Supuestos de Operacion'!G155+'Supuestos de Operacion'!G42*IF('Supuestos de Operacion'!G107+'Supuestos de Operacion'!G108=0,0,IF(OR(Tipo_combustible="Gas Cusiana",Tipo_combustible="Gas GNL"),'Supuestos de Operacion'!G154,'Supuestos de Operacion'!G155)))*Macroeconomicos!G10</f>
        <v>1063942213.9439721</v>
      </c>
      <c r="H36" s="44">
        <f>('Supuestos de Operacion'!H49*'Supuestos de Operacion'!H154+'Supuestos de Operacion'!H50*'Supuestos de Operacion'!H155+'Supuestos de Operacion'!H42*IF('Supuestos de Operacion'!H107+'Supuestos de Operacion'!H108=0,0,IF(OR(Tipo_combustible="Gas Cusiana",Tipo_combustible="Gas GNL"),'Supuestos de Operacion'!H154,'Supuestos de Operacion'!H155)))*Macroeconomicos!H10</f>
        <v>1104372018.073843</v>
      </c>
      <c r="I36" s="44">
        <f>('Supuestos de Operacion'!I49*'Supuestos de Operacion'!I154+'Supuestos de Operacion'!I50*'Supuestos de Operacion'!I155+'Supuestos de Operacion'!I42*IF('Supuestos de Operacion'!I107+'Supuestos de Operacion'!I108=0,0,IF(OR(Tipo_combustible="Gas Cusiana",Tipo_combustible="Gas GNL"),'Supuestos de Operacion'!I154,'Supuestos de Operacion'!I155)))*Macroeconomicos!I10</f>
        <v>1143025038.7064273</v>
      </c>
      <c r="J36" s="44">
        <f>('Supuestos de Operacion'!J49*'Supuestos de Operacion'!J154+'Supuestos de Operacion'!J50*'Supuestos de Operacion'!J155+'Supuestos de Operacion'!J42*IF('Supuestos de Operacion'!J107+'Supuestos de Operacion'!J108=0,0,IF(OR(Tipo_combustible="Gas Cusiana",Tipo_combustible="Gas GNL"),'Supuestos de Operacion'!J154,'Supuestos de Operacion'!J155)))*Macroeconomicos!J10</f>
        <v>1380202734.2380109</v>
      </c>
      <c r="K36" s="44">
        <f>('Supuestos de Operacion'!K49*'Supuestos de Operacion'!K154+'Supuestos de Operacion'!K50*'Supuestos de Operacion'!K155+'Supuestos de Operacion'!K42*IF('Supuestos de Operacion'!K107+'Supuestos de Operacion'!K108=0,0,IF(OR(Tipo_combustible="Gas Cusiana",Tipo_combustible="Gas GNL"),'Supuestos de Operacion'!K154,'Supuestos de Operacion'!K155)))*Macroeconomicos!K10</f>
        <v>1224436997.0882924</v>
      </c>
      <c r="L36" s="44">
        <f>('Supuestos de Operacion'!L49*'Supuestos de Operacion'!L154+'Supuestos de Operacion'!L50*'Supuestos de Operacion'!L155+'Supuestos de Operacion'!L42*IF('Supuestos de Operacion'!L107+'Supuestos de Operacion'!L108=0,0,IF(OR(Tipo_combustible="Gas Cusiana",Tipo_combustible="Gas GNL"),'Supuestos de Operacion'!L154,'Supuestos de Operacion'!L155)))*Macroeconomicos!L10</f>
        <v>1267292291.9863825</v>
      </c>
      <c r="M36" s="44">
        <f>('Supuestos de Operacion'!M49*'Supuestos de Operacion'!M154+'Supuestos de Operacion'!M50*'Supuestos de Operacion'!M155+'Supuestos de Operacion'!M42*IF('Supuestos de Operacion'!M107+'Supuestos de Operacion'!M108=0,0,IF(OR(Tipo_combustible="Gas Cusiana",Tipo_combustible="Gas GNL"),'Supuestos de Operacion'!M154,'Supuestos de Operacion'!M155)))*Macroeconomicos!M10</f>
        <v>1311647522.2059062</v>
      </c>
      <c r="N36" s="44">
        <f>('Supuestos de Operacion'!N49*'Supuestos de Operacion'!N154+'Supuestos de Operacion'!N50*'Supuestos de Operacion'!N155+'Supuestos de Operacion'!N42*IF('Supuestos de Operacion'!N107+'Supuestos de Operacion'!N108=0,0,IF(OR(Tipo_combustible="Gas Cusiana",Tipo_combustible="Gas GNL"),'Supuestos de Operacion'!N154,'Supuestos de Operacion'!N155)))*Macroeconomicos!N10</f>
        <v>1583814383.0636311</v>
      </c>
      <c r="O36" s="44">
        <f>('Supuestos de Operacion'!O49*'Supuestos de Operacion'!O154+'Supuestos de Operacion'!O50*'Supuestos de Operacion'!O155+'Supuestos de Operacion'!O42*IF('Supuestos de Operacion'!O107+'Supuestos de Operacion'!O108=0,0,IF(OR(Tipo_combustible="Gas Cusiana",Tipo_combustible="Gas GNL"),'Supuestos de Operacion'!O154,'Supuestos de Operacion'!O155)))*Macroeconomicos!O10</f>
        <v>1405069616.9750211</v>
      </c>
    </row>
    <row r="37" spans="2:15">
      <c r="B37" s="263" t="s">
        <v>550</v>
      </c>
      <c r="C37" s="267"/>
      <c r="D37" s="267"/>
      <c r="E37" s="44">
        <f>IF(Rescisión_contrato_TGI="Sí",0,'Supuestos de Operacion'!$E$74*Componente_Fijo_TGI*Dias_mes*E4*'Supuestos de Operacion'!E153*Macroeconomicos!E10)</f>
        <v>14454494787.073231</v>
      </c>
      <c r="F37" s="44">
        <f>IF(Rescisión_contrato_TGI="Sí",0,'Supuestos de Operacion'!$E$74*Componente_Fijo_TGI*Dias_mes*F4*'Supuestos de Operacion'!F153*Macroeconomicos!F10)</f>
        <v>31541089431.563847</v>
      </c>
      <c r="G37" s="44">
        <f>IF(Rescisión_contrato_TGI="Sí",0,'Supuestos de Operacion'!$E$74*Componente_Fijo_TGI*Dias_mes*G4*'Supuestos de Operacion'!G153*Macroeconomicos!G10)</f>
        <v>33566820666.538654</v>
      </c>
      <c r="H37" s="44">
        <f>IF(Rescisión_contrato_TGI="Sí",0,'Supuestos de Operacion'!$E$74*Componente_Fijo_TGI*Dias_mes*H4*'Supuestos de Operacion'!H153*Macroeconomicos!H10)</f>
        <v>35416455153.955353</v>
      </c>
      <c r="I37" s="44">
        <f>IF(Rescisión_contrato_TGI="Sí",0,'Supuestos de Operacion'!$E$74*Componente_Fijo_TGI*Dias_mes*I4*'Supuestos de Operacion'!I153*Macroeconomicos!I10)</f>
        <v>36891457017.996284</v>
      </c>
      <c r="J37" s="44">
        <f>IF(Rescisión_contrato_TGI="Sí",0,'Supuestos de Operacion'!$E$74*Componente_Fijo_TGI*Dias_mes*J4*'Supuestos de Operacion'!J153*Macroeconomicos!J10)</f>
        <v>38320500408.436348</v>
      </c>
      <c r="K37" s="44">
        <f>IF(Rescisión_contrato_TGI="Sí",0,'Supuestos de Operacion'!$E$74*Componente_Fijo_TGI*Dias_mes*K4*'Supuestos de Operacion'!K153*Macroeconomicos!K10)</f>
        <v>39915247823.293747</v>
      </c>
      <c r="L37" s="44">
        <f>IF(Rescisión_contrato_TGI="Sí",0,'Supuestos de Operacion'!$E$74*Componente_Fijo_TGI*Dias_mes*L4*'Supuestos de Operacion'!L153*Macroeconomicos!L10)</f>
        <v>0</v>
      </c>
      <c r="M37" s="44">
        <f>IF(Rescisión_contrato_TGI="Sí",0,'Supuestos de Operacion'!$E$74*Componente_Fijo_TGI*Dias_mes*M4*'Supuestos de Operacion'!M153*Macroeconomicos!M10)</f>
        <v>0</v>
      </c>
      <c r="N37" s="44">
        <f>IF(Rescisión_contrato_TGI="Sí",0,'Supuestos de Operacion'!$E$74*Componente_Fijo_TGI*Dias_mes*N4*'Supuestos de Operacion'!N153*Macroeconomicos!N10)</f>
        <v>0</v>
      </c>
      <c r="O37" s="44">
        <f>IF(Rescisión_contrato_TGI="Sí",0,'Supuestos de Operacion'!$E$74*Componente_Fijo_TGI*Dias_mes*O4*'Supuestos de Operacion'!O153*Macroeconomicos!O10)</f>
        <v>0</v>
      </c>
    </row>
    <row r="38" spans="2:15" s="264" customFormat="1">
      <c r="B38" s="268" t="s">
        <v>559</v>
      </c>
      <c r="C38" s="269"/>
      <c r="D38" s="269"/>
      <c r="E38" s="76">
        <f>SUM(E32:E37)</f>
        <v>58931097369.277679</v>
      </c>
      <c r="F38" s="76">
        <f t="shared" ref="F38:O38" si="3">SUM(F32:F37)</f>
        <v>134377440260.63217</v>
      </c>
      <c r="G38" s="76">
        <f t="shared" si="3"/>
        <v>43750042683.912247</v>
      </c>
      <c r="H38" s="76">
        <f t="shared" si="3"/>
        <v>45915545708.44648</v>
      </c>
      <c r="I38" s="76">
        <f t="shared" si="3"/>
        <v>47583491830.300964</v>
      </c>
      <c r="J38" s="76">
        <f t="shared" si="3"/>
        <v>98823321749.897034</v>
      </c>
      <c r="K38" s="76">
        <f t="shared" si="3"/>
        <v>51808146738.752808</v>
      </c>
      <c r="L38" s="76">
        <f t="shared" si="3"/>
        <v>12634610929.127522</v>
      </c>
      <c r="M38" s="76">
        <f t="shared" si="3"/>
        <v>13399222441.738256</v>
      </c>
      <c r="N38" s="76">
        <f t="shared" si="3"/>
        <v>81268582722.681946</v>
      </c>
      <c r="O38" s="76">
        <f t="shared" si="3"/>
        <v>14823415539.123074</v>
      </c>
    </row>
    <row r="40" spans="2:15" s="264" customFormat="1">
      <c r="B40" s="268" t="s">
        <v>560</v>
      </c>
      <c r="C40" s="269"/>
      <c r="D40" s="269"/>
      <c r="E40" s="76">
        <f>E16-E29-E38</f>
        <v>765981733162.75452</v>
      </c>
      <c r="F40" s="76">
        <f t="shared" ref="F40:O40" si="4">F16-F29-F38</f>
        <v>2134712252820.8601</v>
      </c>
      <c r="G40" s="76">
        <f t="shared" si="4"/>
        <v>2148546430526.2151</v>
      </c>
      <c r="H40" s="76">
        <f t="shared" si="4"/>
        <v>2397315556806.4448</v>
      </c>
      <c r="I40" s="76">
        <f t="shared" si="4"/>
        <v>2463988101817.9243</v>
      </c>
      <c r="J40" s="76">
        <f t="shared" si="4"/>
        <v>916588651525.58203</v>
      </c>
      <c r="K40" s="76">
        <f t="shared" si="4"/>
        <v>963981268734.34436</v>
      </c>
      <c r="L40" s="76">
        <f t="shared" si="4"/>
        <v>2000422430435.4258</v>
      </c>
      <c r="M40" s="76">
        <f t="shared" si="4"/>
        <v>888562319975.84375</v>
      </c>
      <c r="N40" s="76">
        <f t="shared" si="4"/>
        <v>1087458880454.1096</v>
      </c>
      <c r="O40" s="76">
        <f t="shared" si="4"/>
        <v>2569726698941.4888</v>
      </c>
    </row>
    <row r="41" spans="2:15" s="264" customFormat="1">
      <c r="B41" s="268" t="s">
        <v>561</v>
      </c>
      <c r="C41" s="269"/>
      <c r="D41" s="269"/>
      <c r="E41" s="297">
        <f>E40/E16</f>
        <v>0.64593205389256636</v>
      </c>
      <c r="F41" s="297">
        <f t="shared" ref="F41:O41" si="5">F40/F16</f>
        <v>0.68176954312676963</v>
      </c>
      <c r="G41" s="297">
        <f t="shared" si="5"/>
        <v>0.71495617395174382</v>
      </c>
      <c r="H41" s="297">
        <f t="shared" si="5"/>
        <v>0.7243216407636317</v>
      </c>
      <c r="I41" s="297">
        <f t="shared" si="5"/>
        <v>0.7074478306733033</v>
      </c>
      <c r="J41" s="297">
        <f t="shared" si="5"/>
        <v>0.50463587242965824</v>
      </c>
      <c r="K41" s="297">
        <f t="shared" si="5"/>
        <v>0.51488206951013016</v>
      </c>
      <c r="L41" s="297">
        <f t="shared" si="5"/>
        <v>0.67709732720961224</v>
      </c>
      <c r="M41" s="297">
        <f t="shared" si="5"/>
        <v>0.48291291127645375</v>
      </c>
      <c r="N41" s="297">
        <f t="shared" si="5"/>
        <v>0.5173538687606285</v>
      </c>
      <c r="O41" s="297">
        <f t="shared" si="5"/>
        <v>0.70538682656215002</v>
      </c>
    </row>
    <row r="45" spans="2:15">
      <c r="E45" s="298"/>
    </row>
    <row r="47" spans="2:15">
      <c r="E47" s="298"/>
      <c r="F47" s="298"/>
    </row>
    <row r="48" spans="2:15">
      <c r="E48" s="298"/>
      <c r="F48" s="298"/>
    </row>
    <row r="49" spans="5:6">
      <c r="E49" s="298"/>
      <c r="F49" s="298"/>
    </row>
    <row r="50" spans="5:6">
      <c r="E50" s="298"/>
      <c r="F50" s="298"/>
    </row>
    <row r="51" spans="5:6">
      <c r="E51" s="298"/>
      <c r="F51" s="298"/>
    </row>
    <row r="52" spans="5:6">
      <c r="E52" s="298"/>
      <c r="F52" s="298"/>
    </row>
    <row r="53" spans="5:6">
      <c r="E53" s="298"/>
      <c r="F53" s="298"/>
    </row>
    <row r="54" spans="5:6">
      <c r="E54" s="298"/>
      <c r="F54" s="298"/>
    </row>
    <row r="55" spans="5:6">
      <c r="E55" s="298"/>
      <c r="F55" s="298"/>
    </row>
    <row r="56" spans="5:6">
      <c r="E56" s="298"/>
      <c r="F56" s="298"/>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dimension ref="B2:O43"/>
  <sheetViews>
    <sheetView showGridLines="0" topLeftCell="A10" workbookViewId="0">
      <selection activeCell="E35" sqref="E35"/>
    </sheetView>
  </sheetViews>
  <sheetFormatPr baseColWidth="10" defaultRowHeight="15"/>
  <cols>
    <col min="1" max="1" width="4.28515625" customWidth="1"/>
    <col min="2" max="2" width="46.42578125" customWidth="1"/>
    <col min="3" max="4" width="10.7109375" customWidth="1"/>
    <col min="5" max="13" width="17.7109375" customWidth="1"/>
    <col min="14" max="14" width="18.85546875" bestFit="1" customWidth="1"/>
    <col min="15" max="15" width="17.7109375" customWidth="1"/>
  </cols>
  <sheetData>
    <row r="2" spans="2:15" ht="21">
      <c r="B2" s="300" t="str">
        <f>Nombre_Empresa</f>
        <v>ISAGEN</v>
      </c>
      <c r="E2" s="31" t="s">
        <v>429</v>
      </c>
    </row>
    <row r="3" spans="2:15" ht="15.75">
      <c r="C3" s="265">
        <v>2013</v>
      </c>
      <c r="D3" s="266">
        <v>41820</v>
      </c>
      <c r="E3" s="192">
        <v>2014</v>
      </c>
      <c r="F3" s="192">
        <v>2015</v>
      </c>
      <c r="G3" s="192">
        <v>2016</v>
      </c>
      <c r="H3" s="192">
        <v>2017</v>
      </c>
      <c r="I3" s="192">
        <v>2018</v>
      </c>
      <c r="J3" s="192">
        <v>2019</v>
      </c>
      <c r="K3" s="192">
        <v>2020</v>
      </c>
      <c r="L3" s="192">
        <v>2021</v>
      </c>
      <c r="M3" s="192">
        <v>2022</v>
      </c>
      <c r="N3" s="192">
        <v>2023</v>
      </c>
      <c r="O3" s="192">
        <v>2024</v>
      </c>
    </row>
    <row r="4" spans="2:15" ht="16.5" thickBot="1">
      <c r="B4" s="621" t="s">
        <v>600</v>
      </c>
      <c r="C4" s="326"/>
      <c r="D4" s="327"/>
      <c r="E4" s="334">
        <f>Meses_Proyectados_Año_Base</f>
        <v>6</v>
      </c>
      <c r="F4" s="334">
        <f t="shared" ref="F4:O4" si="0">Mes_año</f>
        <v>12</v>
      </c>
      <c r="G4" s="334">
        <f t="shared" si="0"/>
        <v>12</v>
      </c>
      <c r="H4" s="334">
        <f t="shared" si="0"/>
        <v>12</v>
      </c>
      <c r="I4" s="334">
        <f t="shared" si="0"/>
        <v>12</v>
      </c>
      <c r="J4" s="334">
        <f t="shared" si="0"/>
        <v>12</v>
      </c>
      <c r="K4" s="334">
        <f t="shared" si="0"/>
        <v>12</v>
      </c>
      <c r="L4" s="334">
        <f t="shared" si="0"/>
        <v>12</v>
      </c>
      <c r="M4" s="334">
        <f t="shared" si="0"/>
        <v>12</v>
      </c>
      <c r="N4" s="334">
        <f t="shared" si="0"/>
        <v>12</v>
      </c>
      <c r="O4" s="334">
        <f t="shared" si="0"/>
        <v>12</v>
      </c>
    </row>
    <row r="5" spans="2:15" ht="15.75" thickTop="1"/>
    <row r="6" spans="2:15" ht="16.5" thickBot="1">
      <c r="B6" s="621" t="s">
        <v>563</v>
      </c>
    </row>
    <row r="7" spans="2:15" ht="15.75" thickTop="1">
      <c r="B7" s="263" t="s">
        <v>568</v>
      </c>
      <c r="C7" s="267"/>
      <c r="D7" s="267"/>
      <c r="E7" s="278">
        <f>IF(OYM_PROYECTADO="Histórico Isagén",'Supuestos de Operacion'!E164*('Supuestos de Operacion'!E100*MW_a_KW)*Macroeconomicos!E10,0)</f>
        <v>46661386402.392662</v>
      </c>
      <c r="F7" s="278">
        <f>IF(OYM_PROYECTADO="Histórico Isagén",'Supuestos de Operacion'!F164*('Supuestos de Operacion'!F100*MW_a_KW)*Macroeconomicos!F10,0)</f>
        <v>118176098553.7067</v>
      </c>
      <c r="G7" s="278">
        <f>IF(OYM_PROYECTADO="Histórico Isagén",'Supuestos de Operacion'!G164*('Supuestos de Operacion'!G100*MW_a_KW)*Macroeconomicos!G10,0)</f>
        <v>115545257053.21968</v>
      </c>
      <c r="H7" s="278">
        <f>IF(OYM_PROYECTADO="Histórico Isagén",'Supuestos de Operacion'!H164*('Supuestos de Operacion'!H100*MW_a_KW)*Macroeconomicos!H10,0)</f>
        <v>121684137403.02837</v>
      </c>
      <c r="I7" s="278">
        <f>IF(OYM_PROYECTADO="Histórico Isagén",'Supuestos de Operacion'!I164*('Supuestos de Operacion'!I100*MW_a_KW)*Macroeconomicos!I10,0)</f>
        <v>133359192442.89052</v>
      </c>
      <c r="J7" s="278">
        <f>IF(OYM_PROYECTADO="Histórico Isagén",'Supuestos de Operacion'!J164*('Supuestos de Operacion'!J100*MW_a_KW)*Macroeconomicos!J10,0)</f>
        <v>136506290185.05522</v>
      </c>
      <c r="K7" s="278">
        <f>IF(OYM_PROYECTADO="Histórico Isagén",'Supuestos de Operacion'!K164*('Supuestos de Operacion'!K100*MW_a_KW)*Macroeconomicos!K10,0)</f>
        <v>140488926365.92752</v>
      </c>
      <c r="L7" s="278">
        <f>IF(OYM_PROYECTADO="Histórico Isagén",'Supuestos de Operacion'!L164*('Supuestos de Operacion'!L100*MW_a_KW)*Macroeconomicos!L10,0)</f>
        <v>147469249618.07135</v>
      </c>
      <c r="M7" s="278">
        <f>IF(OYM_PROYECTADO="Histórico Isagén",'Supuestos de Operacion'!M164*('Supuestos de Operacion'!M100*MW_a_KW)*Macroeconomicos!M10,0)</f>
        <v>158756114275.11566</v>
      </c>
      <c r="N7" s="278">
        <f>IF(OYM_PROYECTADO="Histórico Isagén",'Supuestos de Operacion'!N164*('Supuestos de Operacion'!N100*MW_a_KW)*Macroeconomicos!N10,0)</f>
        <v>165150074527.53391</v>
      </c>
      <c r="O7" s="278">
        <f>IF(OYM_PROYECTADO="Histórico Isagén",'Supuestos de Operacion'!O164*('Supuestos de Operacion'!O100*MW_a_KW)*Macroeconomicos!O10,0)</f>
        <v>168194267964.22754</v>
      </c>
    </row>
    <row r="8" spans="2:15">
      <c r="B8" s="263" t="s">
        <v>569</v>
      </c>
      <c r="C8" s="267"/>
      <c r="D8" s="267"/>
      <c r="E8" s="278">
        <f>IF(OYM_PROYECTADO="Histórico Isagén",'Supuestos de Operacion'!E165*('Supuestos de Operacion'!E100*MW_a_KW)*Macroeconomicos!E10,0)</f>
        <v>21755226512.322739</v>
      </c>
      <c r="F8" s="278">
        <f>IF(OYM_PROYECTADO="Histórico Isagén",'Supuestos de Operacion'!F165*('Supuestos de Operacion'!F100*MW_a_KW)*Macroeconomicos!F10,0)</f>
        <v>54352341087.032196</v>
      </c>
      <c r="G8" s="278">
        <f>IF(OYM_PROYECTADO="Histórico Isagén",'Supuestos de Operacion'!G165*('Supuestos de Operacion'!G100*MW_a_KW)*Macroeconomicos!G10,0)</f>
        <v>52429603523.857742</v>
      </c>
      <c r="H8" s="278">
        <f>IF(OYM_PROYECTADO="Histórico Isagén",'Supuestos de Operacion'!H165*('Supuestos de Operacion'!H100*MW_a_KW)*Macroeconomicos!H10,0)</f>
        <v>54594539029.851654</v>
      </c>
      <c r="I8" s="278">
        <f>IF(OYM_PROYECTADO="Histórico Isagén",'Supuestos de Operacion'!I165*('Supuestos de Operacion'!I100*MW_a_KW)*Macroeconomicos!I10,0)</f>
        <v>59073534509.587822</v>
      </c>
      <c r="J8" s="278">
        <f>IF(OYM_PROYECTADO="Histórico Isagén",'Supuestos de Operacion'!J165*('Supuestos de Operacion'!J100*MW_a_KW)*Macroeconomicos!J10,0)</f>
        <v>59780261929.385849</v>
      </c>
      <c r="K8" s="278">
        <f>IF(OYM_PROYECTADO="Histórico Isagén",'Supuestos de Operacion'!K165*('Supuestos de Operacion'!K100*MW_a_KW)*Macroeconomicos!K10,0)</f>
        <v>60825038585.443146</v>
      </c>
      <c r="L8" s="278">
        <f>IF(OYM_PROYECTADO="Histórico Isagén",'Supuestos de Operacion'!L165*('Supuestos de Operacion'!L100*MW_a_KW)*Macroeconomicos!L10,0)</f>
        <v>63121443191.368195</v>
      </c>
      <c r="M8" s="278">
        <f>IF(OYM_PROYECTADO="Histórico Isagén",'Supuestos de Operacion'!M165*('Supuestos de Operacion'!M100*MW_a_KW)*Macroeconomicos!M10,0)</f>
        <v>67180164052.744217</v>
      </c>
      <c r="N8" s="278">
        <f>IF(OYM_PROYECTADO="Histórico Isagén",'Supuestos de Operacion'!N165*('Supuestos de Operacion'!N100*MW_a_KW)*Macroeconomicos!N10,0)</f>
        <v>69091484414.665375</v>
      </c>
      <c r="O8" s="278">
        <f>IF(OYM_PROYECTADO="Histórico Isagén",'Supuestos de Operacion'!O165*('Supuestos de Operacion'!O100*MW_a_KW)*Macroeconomicos!O10,0)</f>
        <v>69565208399.036606</v>
      </c>
    </row>
    <row r="9" spans="2:15">
      <c r="B9" s="263" t="s">
        <v>570</v>
      </c>
      <c r="C9" s="267"/>
      <c r="D9" s="267"/>
      <c r="E9" s="278">
        <f>IF(OYM_PROYECTADO="Histórico Isagén",0,'Supuestos de Operacion'!E169*('Supuestos de Operacion'!E100*MW_a_KW)*Macroeconomicos!E10)</f>
        <v>0</v>
      </c>
      <c r="F9" s="278">
        <f>IF(OYM_PROYECTADO="Histórico Isagén",0,'Supuestos de Operacion'!F169*('Supuestos de Operacion'!F100*MW_a_KW)*Macroeconomicos!F10)</f>
        <v>0</v>
      </c>
      <c r="G9" s="278">
        <f>IF(OYM_PROYECTADO="Histórico Isagén",0,'Supuestos de Operacion'!G169*('Supuestos de Operacion'!G100*MW_a_KW)*Macroeconomicos!G10)</f>
        <v>0</v>
      </c>
      <c r="H9" s="278">
        <f>IF(OYM_PROYECTADO="Histórico Isagén",0,'Supuestos de Operacion'!H169*('Supuestos de Operacion'!H100*MW_a_KW)*Macroeconomicos!H10)</f>
        <v>0</v>
      </c>
      <c r="I9" s="278">
        <f>IF(OYM_PROYECTADO="Histórico Isagén",0,'Supuestos de Operacion'!I169*('Supuestos de Operacion'!I100*MW_a_KW)*Macroeconomicos!I10)</f>
        <v>0</v>
      </c>
      <c r="J9" s="278">
        <f>IF(OYM_PROYECTADO="Histórico Isagén",0,'Supuestos de Operacion'!J169*('Supuestos de Operacion'!J100*MW_a_KW)*Macroeconomicos!J10)</f>
        <v>0</v>
      </c>
      <c r="K9" s="278">
        <f>IF(OYM_PROYECTADO="Histórico Isagén",0,'Supuestos de Operacion'!K169*('Supuestos de Operacion'!K100*MW_a_KW)*Macroeconomicos!K10)</f>
        <v>0</v>
      </c>
      <c r="L9" s="278">
        <f>IF(OYM_PROYECTADO="Histórico Isagén",0,'Supuestos de Operacion'!L169*('Supuestos de Operacion'!L100*MW_a_KW)*Macroeconomicos!L10)</f>
        <v>0</v>
      </c>
      <c r="M9" s="278">
        <f>IF(OYM_PROYECTADO="Histórico Isagén",0,'Supuestos de Operacion'!M169*('Supuestos de Operacion'!M100*MW_a_KW)*Macroeconomicos!M10)</f>
        <v>0</v>
      </c>
      <c r="N9" s="278">
        <f>IF(OYM_PROYECTADO="Histórico Isagén",0,'Supuestos de Operacion'!N169*('Supuestos de Operacion'!N100*MW_a_KW)*Macroeconomicos!N10)</f>
        <v>0</v>
      </c>
      <c r="O9" s="278">
        <f>IF(OYM_PROYECTADO="Histórico Isagén",0,'Supuestos de Operacion'!O169*('Supuestos de Operacion'!O100*MW_a_KW)*Macroeconomicos!O10)</f>
        <v>0</v>
      </c>
    </row>
    <row r="10" spans="2:15" s="264" customFormat="1">
      <c r="B10" s="268" t="s">
        <v>571</v>
      </c>
      <c r="C10" s="269"/>
      <c r="D10" s="269"/>
      <c r="E10" s="270">
        <f>SUM(E7:E9)</f>
        <v>68416612914.715401</v>
      </c>
      <c r="F10" s="270">
        <f t="shared" ref="F10:O10" si="1">SUM(F7:F9)</f>
        <v>172528439640.73889</v>
      </c>
      <c r="G10" s="270">
        <f t="shared" si="1"/>
        <v>167974860577.07742</v>
      </c>
      <c r="H10" s="270">
        <f t="shared" si="1"/>
        <v>176278676432.88</v>
      </c>
      <c r="I10" s="270">
        <f t="shared" si="1"/>
        <v>192432726952.47833</v>
      </c>
      <c r="J10" s="270">
        <f t="shared" si="1"/>
        <v>196286552114.44107</v>
      </c>
      <c r="K10" s="270">
        <f t="shared" si="1"/>
        <v>201313964951.37067</v>
      </c>
      <c r="L10" s="270">
        <f t="shared" si="1"/>
        <v>210590692809.43954</v>
      </c>
      <c r="M10" s="270">
        <f t="shared" si="1"/>
        <v>225936278327.85986</v>
      </c>
      <c r="N10" s="270">
        <f t="shared" si="1"/>
        <v>234241558942.19928</v>
      </c>
      <c r="O10" s="270">
        <f t="shared" si="1"/>
        <v>237759476363.26416</v>
      </c>
    </row>
    <row r="12" spans="2:15" ht="16.5" thickBot="1">
      <c r="B12" s="621" t="s">
        <v>564</v>
      </c>
    </row>
    <row r="13" spans="2:15" ht="15.75" thickTop="1">
      <c r="B13" s="263" t="s">
        <v>510</v>
      </c>
      <c r="C13" s="267"/>
      <c r="D13" s="267"/>
      <c r="E13" s="278">
        <f>IF(OYM_PROYECTADO="Histórico Isagén",'Supuestos de Operacion'!E158*IF(E3&lt;=Año_Inicio_Sogamoso,Macroeconomicos!$C$73-Macroeconomicos!$C$66,IF(AND(E3=Año_Perpetuidad,Perpetuidad_Termocentro="No"),Macroeconomicos!$C$73-Macroeconomicos!$C$69,Macroeconomicos!$C$73))*MW_a_KW*Macroeconomicos!E10*E4/Mes_año,0)</f>
        <v>17618036293.710007</v>
      </c>
      <c r="F13" s="278">
        <f>IF(OYM_PROYECTADO="Histórico Isagén",'Supuestos de Operacion'!F158*IF(F3&lt;=Año_Inicio_Sogamoso,Macroeconomicos!$C$73-Macroeconomicos!$C$66,IF(AND(F3=Año_Perpetuidad,Perpetuidad_Termocentro="No"),Macroeconomicos!$C$73-Macroeconomicos!$C$69,Macroeconomicos!$C$73))*MW_a_KW*Macroeconomicos!F10*F4/Mes_año,0)</f>
        <v>49954900120.965179</v>
      </c>
      <c r="G13" s="278">
        <f>IF(OYM_PROYECTADO="Histórico Isagén",'Supuestos de Operacion'!G158*IF(G3&lt;=Año_Inicio_Sogamoso,Macroeconomicos!$C$73-Macroeconomicos!$C$66,IF(AND(G3=Año_Perpetuidad,Perpetuidad_Termocentro="No"),Macroeconomicos!$C$73-Macroeconomicos!$C$69,Macroeconomicos!$C$73))*MW_a_KW*Macroeconomicos!G10*G4/Mes_año,0)</f>
        <v>51768262995.356209</v>
      </c>
      <c r="H13" s="278">
        <f>IF(OYM_PROYECTADO="Histórico Isagén",'Supuestos de Operacion'!H158*IF(H3&lt;=Año_Inicio_Sogamoso,Macroeconomicos!$C$73-Macroeconomicos!$C$66,IF(AND(H3=Año_Perpetuidad,Perpetuidad_Termocentro="No"),Macroeconomicos!$C$73-Macroeconomicos!$C$69,Macroeconomicos!$C$73))*MW_a_KW*Macroeconomicos!H10*H4/Mes_año,0)</f>
        <v>53569798547.594597</v>
      </c>
      <c r="I13" s="278">
        <f>IF(OYM_PROYECTADO="Histórico Isagén",'Supuestos de Operacion'!I158*IF(I3&lt;=Año_Inicio_Sogamoso,Macroeconomicos!$C$73-Macroeconomicos!$C$66,IF(AND(I3=Año_Perpetuidad,Perpetuidad_Termocentro="No"),Macroeconomicos!$C$73-Macroeconomicos!$C$69,Macroeconomicos!$C$73))*MW_a_KW*Macroeconomicos!I10*I4/Mes_año,0)</f>
        <v>55353672839.229515</v>
      </c>
      <c r="J13" s="278">
        <f>IF(OYM_PROYECTADO="Histórico Isagén",'Supuestos de Operacion'!J158*IF(J3&lt;=Año_Inicio_Sogamoso,Macroeconomicos!$C$73-Macroeconomicos!$C$66,IF(AND(J3=Año_Perpetuidad,Perpetuidad_Termocentro="No"),Macroeconomicos!$C$73-Macroeconomicos!$C$69,Macroeconomicos!$C$73))*MW_a_KW*Macroeconomicos!J10*J4/Mes_año,0)</f>
        <v>57119455002.800941</v>
      </c>
      <c r="K13" s="278">
        <f>IF(OYM_PROYECTADO="Histórico Isagén",'Supuestos de Operacion'!K158*IF(K3&lt;=Año_Inicio_Sogamoso,Macroeconomicos!$C$73-Macroeconomicos!$C$66,IF(AND(K3=Año_Perpetuidad,Perpetuidad_Termocentro="No"),Macroeconomicos!$C$73-Macroeconomicos!$C$69,Macroeconomicos!$C$73))*MW_a_KW*Macroeconomicos!K10*K4/Mes_año,0)</f>
        <v>58941565617.390289</v>
      </c>
      <c r="L13" s="278">
        <f>IF(OYM_PROYECTADO="Histórico Isagén",'Supuestos de Operacion'!L158*IF(L3&lt;=Año_Inicio_Sogamoso,Macroeconomicos!$C$73-Macroeconomicos!$C$66,IF(AND(L3=Año_Perpetuidad,Perpetuidad_Termocentro="No"),Macroeconomicos!$C$73-Macroeconomicos!$C$69,Macroeconomicos!$C$73))*MW_a_KW*Macroeconomicos!L10*L4/Mes_año,0)</f>
        <v>60821801560.58503</v>
      </c>
      <c r="M13" s="278">
        <f>IF(OYM_PROYECTADO="Histórico Isagén",'Supuestos de Operacion'!M158*IF(M3&lt;=Año_Inicio_Sogamoso,Macroeconomicos!$C$73-Macroeconomicos!$C$66,IF(AND(M3=Año_Perpetuidad,Perpetuidad_Termocentro="No"),Macroeconomicos!$C$73-Macroeconomicos!$C$69,Macroeconomicos!$C$73))*MW_a_KW*Macroeconomicos!M10*M4/Mes_año,0)</f>
        <v>62762017030.367706</v>
      </c>
      <c r="N13" s="278">
        <f>IF(OYM_PROYECTADO="Histórico Isagén",'Supuestos de Operacion'!N158*IF(N3&lt;=Año_Inicio_Sogamoso,Macroeconomicos!$C$73-Macroeconomicos!$C$66,IF(AND(N3=Año_Perpetuidad,Perpetuidad_Termocentro="No"),Macroeconomicos!$C$73-Macroeconomicos!$C$69,Macroeconomicos!$C$73))*MW_a_KW*Macroeconomicos!N10*N4/Mes_año,0)</f>
        <v>64764125373.636436</v>
      </c>
      <c r="O13" s="278">
        <f>IF(OYM_PROYECTADO="Histórico Isagén",'Supuestos de Operacion'!O158*IF(O3&lt;=Año_Inicio_Sogamoso,Macroeconomicos!$C$73-Macroeconomicos!$C$66,IF(AND(O3=Año_Perpetuidad,Perpetuidad_Termocentro="No"),Macroeconomicos!$C$73-Macroeconomicos!$C$69,Macroeconomicos!$C$73))*MW_a_KW*Macroeconomicos!O10*O4/Mes_año,0)</f>
        <v>66830100973.055428</v>
      </c>
    </row>
    <row r="14" spans="2:15">
      <c r="B14" s="263" t="s">
        <v>511</v>
      </c>
      <c r="C14" s="267"/>
      <c r="D14" s="267"/>
      <c r="E14" s="278">
        <f>IF(OYM_PROYECTADO="Histórico Isagén",'Supuestos de Operacion'!E159*IF(E3&lt;=Año_Inicio_Sogamoso,Macroeconomicos!$C$73-Macroeconomicos!$C$66,IF(AND(E3=Año_Perpetuidad,Perpetuidad_Termocentro="No"),Macroeconomicos!$C$73-Macroeconomicos!$C$69,Macroeconomicos!$C$73))*MW_a_KW*Macroeconomicos!E10*E4/Mes_año,0)</f>
        <v>11643390517.275002</v>
      </c>
      <c r="F14" s="278">
        <f>IF(OYM_PROYECTADO="Histórico Isagén",'Supuestos de Operacion'!F159*IF(F3&lt;=Año_Inicio_Sogamoso,Macroeconomicos!$C$73-Macroeconomicos!$C$66,IF(AND(F3=Año_Perpetuidad,Perpetuidad_Termocentro="No"),Macroeconomicos!$C$73-Macroeconomicos!$C$69,Macroeconomicos!$C$73))*MW_a_KW*Macroeconomicos!F10*F4/Mes_año,0)</f>
        <v>33014145314.680981</v>
      </c>
      <c r="G14" s="278">
        <f>IF(OYM_PROYECTADO="Histórico Isagén",'Supuestos de Operacion'!G159*IF(G3&lt;=Año_Inicio_Sogamoso,Macroeconomicos!$C$73-Macroeconomicos!$C$66,IF(AND(G3=Año_Perpetuidad,Perpetuidad_Termocentro="No"),Macroeconomicos!$C$73-Macroeconomicos!$C$69,Macroeconomicos!$C$73))*MW_a_KW*Macroeconomicos!G10*G4/Mes_año,0)</f>
        <v>34212558789.603897</v>
      </c>
      <c r="H14" s="278">
        <f>IF(OYM_PROYECTADO="Histórico Isagén",'Supuestos de Operacion'!H159*IF(H3&lt;=Año_Inicio_Sogamoso,Macroeconomicos!$C$73-Macroeconomicos!$C$66,IF(AND(H3=Año_Perpetuidad,Perpetuidad_Termocentro="No"),Macroeconomicos!$C$73-Macroeconomicos!$C$69,Macroeconomicos!$C$73))*MW_a_KW*Macroeconomicos!H10*H4/Mes_año,0)</f>
        <v>35403155835.482109</v>
      </c>
      <c r="I14" s="278">
        <f>IF(OYM_PROYECTADO="Histórico Isagén",'Supuestos de Operacion'!I159*IF(I3&lt;=Año_Inicio_Sogamoso,Macroeconomicos!$C$73-Macroeconomicos!$C$66,IF(AND(I3=Año_Perpetuidad,Perpetuidad_Termocentro="No"),Macroeconomicos!$C$73-Macroeconomicos!$C$69,Macroeconomicos!$C$73))*MW_a_KW*Macroeconomicos!I10*I4/Mes_año,0)</f>
        <v>36582080924.803665</v>
      </c>
      <c r="J14" s="278">
        <f>IF(OYM_PROYECTADO="Histórico Isagén",'Supuestos de Operacion'!J159*IF(J3&lt;=Año_Inicio_Sogamoso,Macroeconomicos!$C$73-Macroeconomicos!$C$66,IF(AND(J3=Año_Perpetuidad,Perpetuidad_Termocentro="No"),Macroeconomicos!$C$73-Macroeconomicos!$C$69,Macroeconomicos!$C$73))*MW_a_KW*Macroeconomicos!J10*J4/Mes_año,0)</f>
        <v>37749049306.304909</v>
      </c>
      <c r="K14" s="278">
        <f>IF(OYM_PROYECTADO="Histórico Isagén",'Supuestos de Operacion'!K159*IF(K3&lt;=Año_Inicio_Sogamoso,Macroeconomicos!$C$73-Macroeconomicos!$C$66,IF(AND(K3=Año_Perpetuidad,Perpetuidad_Termocentro="No"),Macroeconomicos!$C$73-Macroeconomicos!$C$69,Macroeconomicos!$C$73))*MW_a_KW*Macroeconomicos!K10*K4/Mes_año,0)</f>
        <v>38953243979.176041</v>
      </c>
      <c r="L14" s="278">
        <f>IF(OYM_PROYECTADO="Histórico Isagén",'Supuestos de Operacion'!L159*IF(L3&lt;=Año_Inicio_Sogamoso,Macroeconomicos!$C$73-Macroeconomicos!$C$66,IF(AND(L3=Año_Perpetuidad,Perpetuidad_Termocentro="No"),Macroeconomicos!$C$73-Macroeconomicos!$C$69,Macroeconomicos!$C$73))*MW_a_KW*Macroeconomicos!L10*L4/Mes_año,0)</f>
        <v>40195852462.111755</v>
      </c>
      <c r="M14" s="278">
        <f>IF(OYM_PROYECTADO="Histórico Isagén",'Supuestos de Operacion'!M159*IF(M3&lt;=Año_Inicio_Sogamoso,Macroeconomicos!$C$73-Macroeconomicos!$C$66,IF(AND(M3=Año_Perpetuidad,Perpetuidad_Termocentro="No"),Macroeconomicos!$C$73-Macroeconomicos!$C$69,Macroeconomicos!$C$73))*MW_a_KW*Macroeconomicos!M10*M4/Mes_año,0)</f>
        <v>41478100155.653122</v>
      </c>
      <c r="N14" s="278">
        <f>IF(OYM_PROYECTADO="Histórico Isagén",'Supuestos de Operacion'!N159*IF(N3&lt;=Año_Inicio_Sogamoso,Macroeconomicos!$C$73-Macroeconomicos!$C$66,IF(AND(N3=Año_Perpetuidad,Perpetuidad_Termocentro="No"),Macroeconomicos!$C$73-Macroeconomicos!$C$69,Macroeconomicos!$C$73))*MW_a_KW*Macroeconomicos!N10*N4/Mes_año,0)</f>
        <v>42801251550.618454</v>
      </c>
      <c r="O14" s="278">
        <f>IF(OYM_PROYECTADO="Histórico Isagén",'Supuestos de Operacion'!O159*IF(O3&lt;=Año_Inicio_Sogamoso,Macroeconomicos!$C$73-Macroeconomicos!$C$66,IF(AND(O3=Año_Perpetuidad,Perpetuidad_Termocentro="No"),Macroeconomicos!$C$73-Macroeconomicos!$C$69,Macroeconomicos!$C$73))*MW_a_KW*Macroeconomicos!O10*O4/Mes_año,0)</f>
        <v>44166611475.083183</v>
      </c>
    </row>
    <row r="15" spans="2:15">
      <c r="B15" s="263" t="s">
        <v>565</v>
      </c>
      <c r="C15" s="267"/>
      <c r="D15" s="267"/>
      <c r="E15" s="44">
        <f>IF(OYM_PROYECTADO="Histórico Isagén",'Supuestos de Operacion'!E160*IF(E3&lt;=Año_Inicio_Sogamoso,Macroeconomicos!$C$73-Macroeconomicos!$C$66,IF(AND(E3=Año_Perpetuidad,Perpetuidad_Termocentro="No"),Macroeconomicos!$C$73-Macroeconomicos!$C$69,Macroeconomicos!$C$73))*MW_a_KW*Macroeconomicos!E10*E4/Mes_año,0)</f>
        <v>21486053956.995003</v>
      </c>
      <c r="F15" s="44">
        <f>IF(OYM_PROYECTADO="Histórico Isagén",'Supuestos de Operacion'!F160*IF(F3&lt;=Año_Inicio_Sogamoso,Macroeconomicos!$C$73-Macroeconomicos!$C$66,IF(AND(F3=Año_Perpetuidad,Perpetuidad_Termocentro="No"),Macroeconomicos!$C$73-Macroeconomicos!$C$69,Macroeconomicos!$C$73))*MW_a_KW*Macroeconomicos!F10*F4/Mes_año,0)</f>
        <v>60922435481.561333</v>
      </c>
      <c r="G15" s="44">
        <f>IF(OYM_PROYECTADO="Histórico Isagén",'Supuestos de Operacion'!G160*IF(G3&lt;=Año_Inicio_Sogamoso,Macroeconomicos!$C$73-Macroeconomicos!$C$66,IF(AND(G3=Año_Perpetuidad,Perpetuidad_Termocentro="No"),Macroeconomicos!$C$73-Macroeconomicos!$C$69,Macroeconomicos!$C$73))*MW_a_KW*Macroeconomicos!G10*G4/Mes_año,0)</f>
        <v>63133919889.542015</v>
      </c>
      <c r="H15" s="44">
        <f>IF(OYM_PROYECTADO="Histórico Isagén",'Supuestos de Operacion'!H160*IF(H3&lt;=Año_Inicio_Sogamoso,Macroeconomicos!$C$73-Macroeconomicos!$C$66,IF(AND(H3=Año_Perpetuidad,Perpetuidad_Termocentro="No"),Macroeconomicos!$C$73-Macroeconomicos!$C$69,Macroeconomicos!$C$73))*MW_a_KW*Macroeconomicos!H10*H4/Mes_año,0)</f>
        <v>65330980301.698059</v>
      </c>
      <c r="I15" s="44">
        <f>IF(OYM_PROYECTADO="Histórico Isagén",'Supuestos de Operacion'!I160*IF(I3&lt;=Año_Inicio_Sogamoso,Macroeconomicos!$C$73-Macroeconomicos!$C$66,IF(AND(I3=Año_Perpetuidad,Perpetuidad_Termocentro="No"),Macroeconomicos!$C$73-Macroeconomicos!$C$69,Macroeconomicos!$C$73))*MW_a_KW*Macroeconomicos!I10*I4/Mes_año,0)</f>
        <v>67506501945.744606</v>
      </c>
      <c r="J15" s="44">
        <f>IF(OYM_PROYECTADO="Histórico Isagén",'Supuestos de Operacion'!J160*IF(J3&lt;=Año_Inicio_Sogamoso,Macroeconomicos!$C$73-Macroeconomicos!$C$66,IF(AND(J3=Año_Perpetuidad,Perpetuidad_Termocentro="No"),Macroeconomicos!$C$73-Macroeconomicos!$C$69,Macroeconomicos!$C$73))*MW_a_KW*Macroeconomicos!J10*J4/Mes_año,0)</f>
        <v>69659959357.813889</v>
      </c>
      <c r="K15" s="44">
        <f>IF(OYM_PROYECTADO="Histórico Isagén",'Supuestos de Operacion'!K160*IF(K3&lt;=Año_Inicio_Sogamoso,Macroeconomicos!$C$73-Macroeconomicos!$C$66,IF(AND(K3=Año_Perpetuidad,Perpetuidad_Termocentro="No"),Macroeconomicos!$C$73-Macroeconomicos!$C$69,Macroeconomicos!$C$73))*MW_a_KW*Macroeconomicos!K10*K4/Mes_año,0)</f>
        <v>71882112061.32814</v>
      </c>
      <c r="L15" s="44">
        <f>IF(OYM_PROYECTADO="Histórico Isagén",'Supuestos de Operacion'!L160*IF(L3&lt;=Año_Inicio_Sogamoso,Macroeconomicos!$C$73-Macroeconomicos!$C$66,IF(AND(L3=Año_Perpetuidad,Perpetuidad_Termocentro="No"),Macroeconomicos!$C$73-Macroeconomicos!$C$69,Macroeconomicos!$C$73))*MW_a_KW*Macroeconomicos!L10*L4/Mes_año,0)</f>
        <v>74175151436.084518</v>
      </c>
      <c r="M15" s="44">
        <f>IF(OYM_PROYECTADO="Histórico Isagén",'Supuestos de Operacion'!M160*IF(M3&lt;=Año_Inicio_Sogamoso,Macroeconomicos!$C$73-Macroeconomicos!$C$66,IF(AND(M3=Año_Perpetuidad,Perpetuidad_Termocentro="No"),Macroeconomicos!$C$73-Macroeconomicos!$C$69,Macroeconomicos!$C$73))*MW_a_KW*Macroeconomicos!M10*M4/Mes_año,0)</f>
        <v>76541338766.895599</v>
      </c>
      <c r="N15" s="44">
        <f>IF(OYM_PROYECTADO="Histórico Isagén",'Supuestos de Operacion'!N160*IF(N3&lt;=Año_Inicio_Sogamoso,Macroeconomicos!$C$73-Macroeconomicos!$C$66,IF(AND(N3=Año_Perpetuidad,Perpetuidad_Termocentro="No"),Macroeconomicos!$C$73-Macroeconomicos!$C$69,Macroeconomicos!$C$73))*MW_a_KW*Macroeconomicos!N10*N4/Mes_año,0)</f>
        <v>78983007473.559586</v>
      </c>
      <c r="O15" s="46">
        <f>IF(OYM_PROYECTADO="Histórico Isagén",'Supuestos de Operacion'!O160*IF(O3&lt;=Año_Inicio_Sogamoso,Macroeconomicos!$C$73-Macroeconomicos!$C$66,IF(AND(O3=Año_Perpetuidad,Perpetuidad_Termocentro="No"),Macroeconomicos!$C$73-Macroeconomicos!$C$69,Macroeconomicos!$C$73))*MW_a_KW*Macroeconomicos!O10*O4/Mes_año,0)</f>
        <v>81502565411.966141</v>
      </c>
    </row>
    <row r="16" spans="2:15">
      <c r="B16" s="263" t="s">
        <v>566</v>
      </c>
      <c r="C16" s="267"/>
      <c r="D16" s="267"/>
      <c r="E16" s="44">
        <f>IF(OYM_PROYECTADO="Histórico Isagén",0,'Supuestos de Operacion'!E170*IF(E3&lt;=Año_Inicio_Sogamoso,Macroeconomicos!$C$73-Macroeconomicos!$C$66,IF(AND(E3=Año_Perpetuidad,Perpetuidad_Termocentro="No"),Macroeconomicos!$C$73-Macroeconomicos!$C$69,Macroeconomicos!$C$73))*MW_a_KW*Macroeconomicos!E10*E4/Mes_año)</f>
        <v>0</v>
      </c>
      <c r="F16" s="44">
        <f>IF(OYM_PROYECTADO="Histórico Isagén",0,'Supuestos de Operacion'!F170*IF(F3&lt;=Año_Inicio_Sogamoso,Macroeconomicos!$C$73-Macroeconomicos!$C$66,IF(AND(F3=Año_Perpetuidad,Perpetuidad_Termocentro="No"),Macroeconomicos!$C$73-Macroeconomicos!$C$69,Macroeconomicos!$C$73))*MW_a_KW*Macroeconomicos!F10*F4/Mes_año)</f>
        <v>0</v>
      </c>
      <c r="G16" s="44">
        <f>IF(OYM_PROYECTADO="Histórico Isagén",0,'Supuestos de Operacion'!G170*IF(G3&lt;=Año_Inicio_Sogamoso,Macroeconomicos!$C$73-Macroeconomicos!$C$66,IF(AND(G3=Año_Perpetuidad,Perpetuidad_Termocentro="No"),Macroeconomicos!$C$73-Macroeconomicos!$C$69,Macroeconomicos!$C$73))*MW_a_KW*Macroeconomicos!G10*G4/Mes_año)</f>
        <v>0</v>
      </c>
      <c r="H16" s="44">
        <f>IF(OYM_PROYECTADO="Histórico Isagén",0,'Supuestos de Operacion'!H170*IF(H3&lt;=Año_Inicio_Sogamoso,Macroeconomicos!$C$73-Macroeconomicos!$C$66,IF(AND(H3=Año_Perpetuidad,Perpetuidad_Termocentro="No"),Macroeconomicos!$C$73-Macroeconomicos!$C$69,Macroeconomicos!$C$73))*MW_a_KW*Macroeconomicos!H10*H4/Mes_año)</f>
        <v>0</v>
      </c>
      <c r="I16" s="44">
        <f>IF(OYM_PROYECTADO="Histórico Isagén",0,'Supuestos de Operacion'!I170*IF(I3&lt;=Año_Inicio_Sogamoso,Macroeconomicos!$C$73-Macroeconomicos!$C$66,IF(AND(I3=Año_Perpetuidad,Perpetuidad_Termocentro="No"),Macroeconomicos!$C$73-Macroeconomicos!$C$69,Macroeconomicos!$C$73))*MW_a_KW*Macroeconomicos!I10*I4/Mes_año)</f>
        <v>0</v>
      </c>
      <c r="J16" s="44">
        <f>IF(OYM_PROYECTADO="Histórico Isagén",0,'Supuestos de Operacion'!J170*IF(J3&lt;=Año_Inicio_Sogamoso,Macroeconomicos!$C$73-Macroeconomicos!$C$66,IF(AND(J3=Año_Perpetuidad,Perpetuidad_Termocentro="No"),Macroeconomicos!$C$73-Macroeconomicos!$C$69,Macroeconomicos!$C$73))*MW_a_KW*Macroeconomicos!J10*J4/Mes_año)</f>
        <v>0</v>
      </c>
      <c r="K16" s="44">
        <f>IF(OYM_PROYECTADO="Histórico Isagén",0,'Supuestos de Operacion'!K170*IF(K3&lt;=Año_Inicio_Sogamoso,Macroeconomicos!$C$73-Macroeconomicos!$C$66,IF(AND(K3=Año_Perpetuidad,Perpetuidad_Termocentro="No"),Macroeconomicos!$C$73-Macroeconomicos!$C$69,Macroeconomicos!$C$73))*MW_a_KW*Macroeconomicos!K10*K4/Mes_año)</f>
        <v>0</v>
      </c>
      <c r="L16" s="44">
        <f>IF(OYM_PROYECTADO="Histórico Isagén",0,'Supuestos de Operacion'!L170*IF(L3&lt;=Año_Inicio_Sogamoso,Macroeconomicos!$C$73-Macroeconomicos!$C$66,IF(AND(L3=Año_Perpetuidad,Perpetuidad_Termocentro="No"),Macroeconomicos!$C$73-Macroeconomicos!$C$69,Macroeconomicos!$C$73))*MW_a_KW*Macroeconomicos!L10*L4/Mes_año)</f>
        <v>0</v>
      </c>
      <c r="M16" s="44">
        <f>IF(OYM_PROYECTADO="Histórico Isagén",0,'Supuestos de Operacion'!M170*IF(M3&lt;=Año_Inicio_Sogamoso,Macroeconomicos!$C$73-Macroeconomicos!$C$66,IF(AND(M3=Año_Perpetuidad,Perpetuidad_Termocentro="No"),Macroeconomicos!$C$73-Macroeconomicos!$C$69,Macroeconomicos!$C$73))*MW_a_KW*Macroeconomicos!M10*M4/Mes_año)</f>
        <v>0</v>
      </c>
      <c r="N16" s="44">
        <f>IF(OYM_PROYECTADO="Histórico Isagén",0,'Supuestos de Operacion'!N170*IF(N3&lt;=Año_Inicio_Sogamoso,Macroeconomicos!$C$73-Macroeconomicos!$C$66,IF(AND(N3=Año_Perpetuidad,Perpetuidad_Termocentro="No"),Macroeconomicos!$C$73-Macroeconomicos!$C$69,Macroeconomicos!$C$73))*MW_a_KW*Macroeconomicos!N10*N4/Mes_año)</f>
        <v>0</v>
      </c>
      <c r="O16" s="44">
        <f>IF(OYM_PROYECTADO="Histórico Isagén",0,'Supuestos de Operacion'!O170*IF(O3&lt;=Año_Inicio_Sogamoso,Macroeconomicos!$C$73-Macroeconomicos!$C$66,IF(AND(O3=Año_Perpetuidad,Perpetuidad_Termocentro="No"),Macroeconomicos!$C$73-Macroeconomicos!$C$69,Macroeconomicos!$C$73))*MW_a_KW*Macroeconomicos!O10*O4/Mes_año)</f>
        <v>0</v>
      </c>
    </row>
    <row r="17" spans="2:15" s="264" customFormat="1">
      <c r="B17" s="268" t="s">
        <v>567</v>
      </c>
      <c r="C17" s="269"/>
      <c r="D17" s="269"/>
      <c r="E17" s="270">
        <f>SUM(E13:E16)</f>
        <v>50747480767.980011</v>
      </c>
      <c r="F17" s="270">
        <f t="shared" ref="F17:O17" si="2">SUM(F13:F16)</f>
        <v>143891480917.20749</v>
      </c>
      <c r="G17" s="270">
        <f t="shared" si="2"/>
        <v>149114741674.50214</v>
      </c>
      <c r="H17" s="270">
        <f t="shared" si="2"/>
        <v>154303934684.77478</v>
      </c>
      <c r="I17" s="270">
        <f t="shared" si="2"/>
        <v>159442255709.77777</v>
      </c>
      <c r="J17" s="270">
        <f t="shared" si="2"/>
        <v>164528463666.91974</v>
      </c>
      <c r="K17" s="270">
        <f t="shared" si="2"/>
        <v>169776921657.89447</v>
      </c>
      <c r="L17" s="270">
        <f t="shared" si="2"/>
        <v>175192805458.78131</v>
      </c>
      <c r="M17" s="270">
        <f t="shared" si="2"/>
        <v>180781455952.91644</v>
      </c>
      <c r="N17" s="270">
        <f t="shared" si="2"/>
        <v>186548384397.81445</v>
      </c>
      <c r="O17" s="270">
        <f t="shared" si="2"/>
        <v>192499277860.10474</v>
      </c>
    </row>
    <row r="20" spans="2:15" ht="16.5" thickBot="1">
      <c r="B20" s="621" t="s">
        <v>573</v>
      </c>
      <c r="E20" s="61"/>
    </row>
    <row r="21" spans="2:15" ht="15.75" thickTop="1">
      <c r="B21" s="263" t="s">
        <v>574</v>
      </c>
      <c r="C21" s="267"/>
      <c r="D21" s="267"/>
      <c r="E21" s="44">
        <f>'Supuestos de Operacion'!E174*E4</f>
        <v>1439442944.1450002</v>
      </c>
      <c r="F21" s="44">
        <f>'Supuestos de Operacion'!F174*F4</f>
        <v>2977631674.2583475</v>
      </c>
      <c r="G21" s="44">
        <f>'Supuestos de Operacion'!G174*G4</f>
        <v>3085719704.0339255</v>
      </c>
      <c r="H21" s="44">
        <f>'Supuestos de Operacion'!H174*H4</f>
        <v>3193102749.7343059</v>
      </c>
      <c r="I21" s="44">
        <f>'Supuestos de Operacion'!I174*I4</f>
        <v>3299433071.3004589</v>
      </c>
      <c r="J21" s="44">
        <f>'Supuestos de Operacion'!J174*J4</f>
        <v>3404684986.2749443</v>
      </c>
      <c r="K21" s="44">
        <f>'Supuestos de Operacion'!K174*K4</f>
        <v>3513294437.3371143</v>
      </c>
      <c r="L21" s="44">
        <f>'Supuestos de Operacion'!L174*L4</f>
        <v>3625368529.8881683</v>
      </c>
      <c r="M21" s="44">
        <f>'Supuestos de Operacion'!M174*M4</f>
        <v>3741017785.991601</v>
      </c>
      <c r="N21" s="44">
        <f>'Supuestos de Operacion'!N174*N4</f>
        <v>3860356253.3647337</v>
      </c>
      <c r="O21" s="44">
        <f>'Supuestos de Operacion'!O174*O4</f>
        <v>3983501617.8470688</v>
      </c>
    </row>
    <row r="22" spans="2:15">
      <c r="B22" s="263" t="s">
        <v>575</v>
      </c>
      <c r="C22" s="267"/>
      <c r="D22" s="267"/>
      <c r="E22" s="44">
        <f>'Supuestos de Operacion'!E175*E4</f>
        <v>1134577106.6400001</v>
      </c>
      <c r="F22" s="44">
        <f>'Supuestos de Operacion'!F175*F4</f>
        <v>2346986202.7955046</v>
      </c>
      <c r="G22" s="44">
        <f>'Supuestos de Operacion'!G175*G4</f>
        <v>2432181801.9569812</v>
      </c>
      <c r="H22" s="44">
        <f>'Supuestos de Operacion'!H175*H4</f>
        <v>2516821728.6650839</v>
      </c>
      <c r="I22" s="44">
        <f>'Supuestos de Operacion'!I175*I4</f>
        <v>2600631892.2296319</v>
      </c>
      <c r="J22" s="44">
        <f>'Supuestos de Operacion'!J175*J4</f>
        <v>2683592049.5917573</v>
      </c>
      <c r="K22" s="44">
        <f>'Supuestos de Operacion'!K175*K4</f>
        <v>2769198635.9737344</v>
      </c>
      <c r="L22" s="44">
        <f>'Supuestos de Operacion'!L175*L4</f>
        <v>2857536072.4612966</v>
      </c>
      <c r="M22" s="44">
        <f>'Supuestos de Operacion'!M175*M4</f>
        <v>2948691473.172812</v>
      </c>
      <c r="N22" s="44">
        <f>'Supuestos de Operacion'!N175*N4</f>
        <v>3042754731.1670246</v>
      </c>
      <c r="O22" s="44">
        <f>'Supuestos de Operacion'!O175*O4</f>
        <v>3139818607.0912528</v>
      </c>
    </row>
    <row r="23" spans="2:15">
      <c r="B23" s="263" t="s">
        <v>576</v>
      </c>
      <c r="C23" s="267"/>
      <c r="D23" s="267"/>
      <c r="E23" s="44">
        <f>'Supuestos de Operacion'!E176*E4</f>
        <v>450311169.1500001</v>
      </c>
      <c r="F23" s="44">
        <f>'Supuestos de Operacion'!F176*F4</f>
        <v>931513684.50369024</v>
      </c>
      <c r="G23" s="44">
        <f>'Supuestos de Operacion'!G176*G4</f>
        <v>965327631.25117397</v>
      </c>
      <c r="H23" s="44">
        <f>'Supuestos de Operacion'!H176*H4</f>
        <v>998921032.81871486</v>
      </c>
      <c r="I23" s="44">
        <f>'Supuestos de Operacion'!I176*I4</f>
        <v>1032185103.2115784</v>
      </c>
      <c r="J23" s="44">
        <f>'Supuestos de Operacion'!J176*J4</f>
        <v>1065111808.0040277</v>
      </c>
      <c r="K23" s="44">
        <f>'Supuestos de Operacion'!K176*K4</f>
        <v>1099088874.6793563</v>
      </c>
      <c r="L23" s="44">
        <f>'Supuestos de Operacion'!L176*L4</f>
        <v>1134149809.7816277</v>
      </c>
      <c r="M23" s="44">
        <f>'Supuestos de Operacion'!M176*M4</f>
        <v>1170329188.7136617</v>
      </c>
      <c r="N23" s="44">
        <f>'Supuestos de Operacion'!N176*N4</f>
        <v>1207662689.8336275</v>
      </c>
      <c r="O23" s="44">
        <f>'Supuestos de Operacion'!O176*O4</f>
        <v>1246187129.6393204</v>
      </c>
    </row>
    <row r="24" spans="2:15">
      <c r="B24" s="263" t="s">
        <v>577</v>
      </c>
      <c r="C24" s="267"/>
      <c r="D24" s="267"/>
      <c r="E24" s="44">
        <f>'Supuestos de Operacion'!E177*E4</f>
        <v>6206012549.5500011</v>
      </c>
      <c r="F24" s="44">
        <f>'Supuestos de Operacion'!F177*F4</f>
        <v>12837757559.999132</v>
      </c>
      <c r="G24" s="44">
        <f>'Supuestos de Operacion'!G177*G4</f>
        <v>13303768159.427101</v>
      </c>
      <c r="H24" s="44">
        <f>'Supuestos de Operacion'!H177*H4</f>
        <v>13766739291.375164</v>
      </c>
      <c r="I24" s="44">
        <f>'Supuestos de Operacion'!I177*I4</f>
        <v>14225171709.777958</v>
      </c>
      <c r="J24" s="44">
        <f>'Supuestos de Operacion'!J177*J4</f>
        <v>14678954687.319874</v>
      </c>
      <c r="K24" s="44">
        <f>'Supuestos de Operacion'!K177*K4</f>
        <v>15147213341.845383</v>
      </c>
      <c r="L24" s="44">
        <f>'Supuestos de Operacion'!L177*L4</f>
        <v>15630409447.450249</v>
      </c>
      <c r="M24" s="44">
        <f>'Supuestos de Operacion'!M177*M4</f>
        <v>16129019508.823912</v>
      </c>
      <c r="N24" s="44">
        <f>'Supuestos de Operacion'!N177*N4</f>
        <v>16643535231.155394</v>
      </c>
      <c r="O24" s="44">
        <f>'Supuestos de Operacion'!O177*O4</f>
        <v>17174464005.029255</v>
      </c>
    </row>
    <row r="25" spans="2:15">
      <c r="B25" s="263" t="s">
        <v>578</v>
      </c>
      <c r="C25" s="267"/>
      <c r="D25" s="267"/>
      <c r="E25" s="44">
        <f>'Supuestos de Operacion'!E178*E4</f>
        <v>26376352513.004997</v>
      </c>
      <c r="F25" s="44">
        <f>'Supuestos de Operacion'!F178*F4</f>
        <v>55353413383.792282</v>
      </c>
      <c r="G25" s="44">
        <f>'Supuestos de Operacion'!G178*G4</f>
        <v>58193043490.380821</v>
      </c>
      <c r="H25" s="44">
        <f>'Supuestos de Operacion'!H178*H4</f>
        <v>61091057056.20179</v>
      </c>
      <c r="I25" s="44">
        <f>'Supuestos de Operacion'!I178*I4</f>
        <v>64041755112.016342</v>
      </c>
      <c r="J25" s="44">
        <f>'Supuestos de Operacion'!J178*J4</f>
        <v>67045313426.769905</v>
      </c>
      <c r="K25" s="44">
        <f>'Supuestos de Operacion'!K178*K4</f>
        <v>70189738626.485413</v>
      </c>
      <c r="L25" s="44">
        <f>'Supuestos de Operacion'!L178*L4</f>
        <v>73481637368.067566</v>
      </c>
      <c r="M25" s="44">
        <f>'Supuestos de Operacion'!M178*M4</f>
        <v>76927926160.629944</v>
      </c>
      <c r="N25" s="44">
        <f>'Supuestos de Operacion'!N178*N4</f>
        <v>80535845897.563477</v>
      </c>
      <c r="O25" s="44">
        <f>'Supuestos de Operacion'!O178*O4</f>
        <v>84312977070.159195</v>
      </c>
    </row>
    <row r="26" spans="2:15">
      <c r="B26" s="263" t="s">
        <v>580</v>
      </c>
      <c r="C26" s="267"/>
      <c r="D26" s="267"/>
      <c r="E26" s="44">
        <f>'Supuestos de Operacion'!E183*E4*IF(E3&lt;=Año_Inicio_Sogamoso,Macroeconomicos!$C$73-Macroeconomicos!$C$66,IF(AND(E3=Año_Perpetuidad,Perpetuidad_Termocentro="No"),Macroeconomicos!$C$73-Macroeconomicos!$C$69,Macroeconomicos!$C$73))*MW_a_KW</f>
        <v>5950104548.3553963</v>
      </c>
      <c r="F26" s="44">
        <f>'Supuestos de Operacion'!F183*F4*IF(F3&lt;=Año_Inicio_Sogamoso,Macroeconomicos!$C$73-Macroeconomicos!$C$66,IF(AND(F3=Año_Perpetuidad,Perpetuidad_Termocentro="No"),Macroeconomicos!$C$73-Macroeconomicos!$C$69,Macroeconomicos!$C$73))*MW_a_KW</f>
        <v>16871169605.236534</v>
      </c>
      <c r="G26" s="44">
        <f>'Supuestos de Operacion'!G183*G4*IF(G3&lt;=Año_Inicio_Sogamoso,Macroeconomicos!$C$73-Macroeconomicos!$C$66,IF(AND(G3=Año_Perpetuidad,Perpetuidad_Termocentro="No"),Macroeconomicos!$C$73-Macroeconomicos!$C$69,Macroeconomicos!$C$73))*MW_a_KW</f>
        <v>17483593061.90662</v>
      </c>
      <c r="H26" s="44">
        <f>'Supuestos de Operacion'!H183*H4*IF(H3&lt;=Año_Inicio_Sogamoso,Macroeconomicos!$C$73-Macroeconomicos!$C$66,IF(AND(H3=Año_Perpetuidad,Perpetuidad_Termocentro="No"),Macroeconomicos!$C$73-Macroeconomicos!$C$69,Macroeconomicos!$C$73))*MW_a_KW</f>
        <v>18092022100.460968</v>
      </c>
      <c r="I26" s="44">
        <f>'Supuestos de Operacion'!I183*I4*IF(I3&lt;=Año_Inicio_Sogamoso,Macroeconomicos!$C$73-Macroeconomicos!$C$66,IF(AND(I3=Año_Perpetuidad,Perpetuidad_Termocentro="No"),Macroeconomicos!$C$73-Macroeconomicos!$C$69,Macroeconomicos!$C$73))*MW_a_KW</f>
        <v>18694486436.406326</v>
      </c>
      <c r="J26" s="44">
        <f>'Supuestos de Operacion'!J183*J4*IF(J3&lt;=Año_Inicio_Sogamoso,Macroeconomicos!$C$73-Macroeconomicos!$C$66,IF(AND(J3=Año_Perpetuidad,Perpetuidad_Termocentro="No"),Macroeconomicos!$C$73-Macroeconomicos!$C$69,Macroeconomicos!$C$73))*MW_a_KW</f>
        <v>19290840553.727688</v>
      </c>
      <c r="K26" s="44">
        <f>'Supuestos de Operacion'!K183*K4*IF(K3&lt;=Año_Inicio_Sogamoso,Macroeconomicos!$C$73-Macroeconomicos!$C$66,IF(AND(K3=Año_Perpetuidad,Perpetuidad_Termocentro="No"),Macroeconomicos!$C$73-Macroeconomicos!$C$69,Macroeconomicos!$C$73))*MW_a_KW</f>
        <v>19906218367.391602</v>
      </c>
      <c r="L26" s="44">
        <f>'Supuestos de Operacion'!L183*L4*IF(L3&lt;=Año_Inicio_Sogamoso,Macroeconomicos!$C$73-Macroeconomicos!$C$66,IF(AND(L3=Año_Perpetuidad,Perpetuidad_Termocentro="No"),Macroeconomicos!$C$73-Macroeconomicos!$C$69,Macroeconomicos!$C$73))*MW_a_KW</f>
        <v>20541226733.311394</v>
      </c>
      <c r="M26" s="44">
        <f>'Supuestos de Operacion'!M183*M4*IF(M3&lt;=Año_Inicio_Sogamoso,Macroeconomicos!$C$73-Macroeconomicos!$C$66,IF(AND(M3=Año_Perpetuidad,Perpetuidad_Termocentro="No"),Macroeconomicos!$C$73-Macroeconomicos!$C$69,Macroeconomicos!$C$73))*MW_a_KW</f>
        <v>21196491866.104027</v>
      </c>
      <c r="N26" s="44">
        <f>'Supuestos de Operacion'!N183*N4*IF(N3&lt;=Año_Inicio_Sogamoso,Macroeconomicos!$C$73-Macroeconomicos!$C$66,IF(AND(N3=Año_Perpetuidad,Perpetuidad_Termocentro="No"),Macroeconomicos!$C$73-Macroeconomicos!$C$69,Macroeconomicos!$C$73))*MW_a_KW</f>
        <v>21872659956.632744</v>
      </c>
      <c r="O26" s="44">
        <f>'Supuestos de Operacion'!O183*O4*IF(O3&lt;=Año_Inicio_Sogamoso,Macroeconomicos!$C$73-Macroeconomicos!$C$66,IF(AND(O3=Año_Perpetuidad,Perpetuidad_Termocentro="No"),Macroeconomicos!$C$73-Macroeconomicos!$C$69,Macroeconomicos!$C$73))*MW_a_KW</f>
        <v>22570397809.249332</v>
      </c>
    </row>
    <row r="27" spans="2:15">
      <c r="B27" s="263" t="s">
        <v>581</v>
      </c>
      <c r="C27" s="267"/>
      <c r="D27" s="267"/>
      <c r="E27" s="46">
        <f>'Supuestos de Operacion'!E184*IF(E3&lt;=Año_Inicio_Sogamoso,Macroeconomicos!$C$73-Macroeconomicos!$C$66,IF(AND(E3=Año_Perpetuidad,Perpetuidad_Termocentro="No"),Macroeconomicos!$C$73-Macroeconomicos!$C$69,Macroeconomicos!$C$73))*MW_a_KW*E4/Mes_año</f>
        <v>1837385632.0219491</v>
      </c>
      <c r="F27" s="46">
        <f>'Supuestos de Operacion'!F184*IF(F3&lt;=Año_Inicio_Sogamoso,Macroeconomicos!$C$73-Macroeconomicos!$C$66,IF(AND(F3=Año_Perpetuidad,Perpetuidad_Termocentro="No"),Macroeconomicos!$C$73-Macroeconomicos!$C$69,Macroeconomicos!$C$73))*MW_a_KW*F4/Mes_año</f>
        <v>5209798311.2977543</v>
      </c>
      <c r="G27" s="46">
        <f>'Supuestos de Operacion'!G184*IF(G3&lt;=Año_Inicio_Sogamoso,Macroeconomicos!$C$73-Macroeconomicos!$C$66,IF(AND(G3=Año_Perpetuidad,Perpetuidad_Termocentro="No"),Macroeconomicos!$C$73-Macroeconomicos!$C$69,Macroeconomicos!$C$73))*MW_a_KW*G4/Mes_año</f>
        <v>5398913989.9978628</v>
      </c>
      <c r="H27" s="46">
        <f>'Supuestos de Operacion'!H184*IF(H3&lt;=Año_Inicio_Sogamoso,Macroeconomicos!$C$73-Macroeconomicos!$C$66,IF(AND(H3=Año_Perpetuidad,Perpetuidad_Termocentro="No"),Macroeconomicos!$C$73-Macroeconomicos!$C$69,Macroeconomicos!$C$73))*MW_a_KW*H4/Mes_año</f>
        <v>5586796196.8497877</v>
      </c>
      <c r="I27" s="46">
        <f>'Supuestos de Operacion'!I184*IF(I3&lt;=Año_Inicio_Sogamoso,Macroeconomicos!$C$73-Macroeconomicos!$C$66,IF(AND(I3=Año_Perpetuidad,Perpetuidad_Termocentro="No"),Macroeconomicos!$C$73-Macroeconomicos!$C$69,Macroeconomicos!$C$73))*MW_a_KW*I4/Mes_año</f>
        <v>5772836510.2048864</v>
      </c>
      <c r="J27" s="46">
        <f>'Supuestos de Operacion'!J184*IF(J3&lt;=Año_Inicio_Sogamoso,Macroeconomicos!$C$73-Macroeconomicos!$C$66,IF(AND(J3=Año_Perpetuidad,Perpetuidad_Termocentro="No"),Macroeconomicos!$C$73-Macroeconomicos!$C$69,Macroeconomicos!$C$73))*MW_a_KW*J4/Mes_año</f>
        <v>5956989994.8804216</v>
      </c>
      <c r="K27" s="46">
        <f>'Supuestos de Operacion'!K184*IF(K3&lt;=Año_Inicio_Sogamoso,Macroeconomicos!$C$73-Macroeconomicos!$C$66,IF(AND(K3=Año_Perpetuidad,Perpetuidad_Termocentro="No"),Macroeconomicos!$C$73-Macroeconomicos!$C$69,Macroeconomicos!$C$73))*MW_a_KW*K4/Mes_año</f>
        <v>6147017975.7171087</v>
      </c>
      <c r="L27" s="46">
        <f>'Supuestos de Operacion'!L184*IF(L3&lt;=Año_Inicio_Sogamoso,Macroeconomicos!$C$73-Macroeconomicos!$C$66,IF(AND(L3=Año_Perpetuidad,Perpetuidad_Termocentro="No"),Macroeconomicos!$C$73-Macroeconomicos!$C$69,Macroeconomicos!$C$73))*MW_a_KW*L4/Mes_año</f>
        <v>6343107849.1424837</v>
      </c>
      <c r="M27" s="46">
        <f>'Supuestos de Operacion'!M184*IF(M3&lt;=Año_Inicio_Sogamoso,Macroeconomicos!$C$73-Macroeconomicos!$C$66,IF(AND(M3=Año_Perpetuidad,Perpetuidad_Termocentro="No"),Macroeconomicos!$C$73-Macroeconomicos!$C$69,Macroeconomicos!$C$73))*MW_a_KW*M4/Mes_año</f>
        <v>6545452989.5301313</v>
      </c>
      <c r="N27" s="46">
        <f>'Supuestos de Operacion'!N184*IF(N3&lt;=Año_Inicio_Sogamoso,Macroeconomicos!$C$73-Macroeconomicos!$C$66,IF(AND(N3=Año_Perpetuidad,Perpetuidad_Termocentro="No"),Macroeconomicos!$C$73-Macroeconomicos!$C$69,Macroeconomicos!$C$73))*MW_a_KW*N4/Mes_año</f>
        <v>6754252939.8961411</v>
      </c>
      <c r="O27" s="46">
        <f>'Supuestos de Operacion'!O184*IF(O3&lt;=Año_Inicio_Sogamoso,Macroeconomicos!$C$73-Macroeconomicos!$C$66,IF(AND(O3=Año_Perpetuidad,Perpetuidad_Termocentro="No"),Macroeconomicos!$C$73-Macroeconomicos!$C$69,Macroeconomicos!$C$73))*MW_a_KW*O4/Mes_año</f>
        <v>6969713608.6788282</v>
      </c>
    </row>
    <row r="28" spans="2:15">
      <c r="B28" s="263" t="s">
        <v>579</v>
      </c>
      <c r="C28" s="267"/>
      <c r="D28" s="267"/>
      <c r="E28" s="44">
        <f>'Supuestos de Operacion'!E179*E4</f>
        <v>16887186442.170004</v>
      </c>
      <c r="F28" s="44">
        <f>'Supuestos de Operacion'!F179*F4</f>
        <v>34932833874.272873</v>
      </c>
      <c r="G28" s="44">
        <f>'Supuestos de Operacion'!G179*G4</f>
        <v>36200895743.908974</v>
      </c>
      <c r="H28" s="44">
        <f>'Supuestos de Operacion'!H179*H4</f>
        <v>37460686915.797005</v>
      </c>
      <c r="I28" s="44">
        <f>'Supuestos de Operacion'!I179*I4</f>
        <v>38708127790.093048</v>
      </c>
      <c r="J28" s="44">
        <f>'Supuestos de Operacion'!J179*J4</f>
        <v>39942917066.597023</v>
      </c>
      <c r="K28" s="44">
        <f>'Supuestos de Operacion'!K179*K4</f>
        <v>41217096121.021469</v>
      </c>
      <c r="L28" s="44">
        <f>'Supuestos de Operacion'!L179*L4</f>
        <v>42531921487.282051</v>
      </c>
      <c r="M28" s="44">
        <f>'Supuestos de Operacion'!M179*M4</f>
        <v>43888689782.726349</v>
      </c>
      <c r="N28" s="44">
        <f>'Supuestos de Operacion'!N179*N4</f>
        <v>45288738986.795319</v>
      </c>
      <c r="O28" s="44">
        <f>'Supuestos de Operacion'!O179*O4</f>
        <v>46733449760.474098</v>
      </c>
    </row>
    <row r="29" spans="2:15" s="264" customFormat="1">
      <c r="B29" s="268" t="s">
        <v>710</v>
      </c>
      <c r="C29" s="269"/>
      <c r="D29" s="269"/>
      <c r="E29" s="76">
        <f>SUM(E21:E28)</f>
        <v>60281372905.037354</v>
      </c>
      <c r="F29" s="76">
        <f t="shared" ref="F29:O29" si="3">SUM(F21:F28)</f>
        <v>131461104296.15611</v>
      </c>
      <c r="G29" s="76">
        <f t="shared" si="3"/>
        <v>137063443582.86346</v>
      </c>
      <c r="H29" s="76">
        <f t="shared" si="3"/>
        <v>142706147071.90283</v>
      </c>
      <c r="I29" s="76">
        <f t="shared" si="3"/>
        <v>148374627625.24023</v>
      </c>
      <c r="J29" s="76">
        <f t="shared" si="3"/>
        <v>154068404573.16565</v>
      </c>
      <c r="K29" s="76">
        <f t="shared" si="3"/>
        <v>159988866380.45117</v>
      </c>
      <c r="L29" s="76">
        <f t="shared" si="3"/>
        <v>166145357297.38483</v>
      </c>
      <c r="M29" s="76">
        <f t="shared" si="3"/>
        <v>172547618755.69244</v>
      </c>
      <c r="N29" s="76">
        <f t="shared" si="3"/>
        <v>179205806686.40848</v>
      </c>
      <c r="O29" s="76">
        <f t="shared" si="3"/>
        <v>186130509608.16833</v>
      </c>
    </row>
    <row r="31" spans="2:15">
      <c r="E31" s="298"/>
    </row>
    <row r="32" spans="2:15" ht="16.5" thickBot="1">
      <c r="B32" s="621" t="s">
        <v>734</v>
      </c>
      <c r="E32" s="61"/>
    </row>
    <row r="33" spans="2:15" ht="15.75" thickTop="1">
      <c r="B33" s="263" t="s">
        <v>912</v>
      </c>
      <c r="C33" s="267"/>
      <c r="D33" s="267"/>
      <c r="E33" s="44">
        <f>('Flujo de efectivo'!E17+'Flujo de efectivo'!E18+'Flujo de efectivo'!E21+'Flujo de efectivo'!E24)*'Datos Generales'!F57</f>
        <v>5231173483.8304987</v>
      </c>
      <c r="F33" s="44">
        <f ca="1">('Flujo de efectivo'!F17+'Flujo de efectivo'!F18+'Flujo de efectivo'!F21+'Flujo de efectivo'!F24)*'Datos Generales'!G57</f>
        <v>6774108104.4393272</v>
      </c>
      <c r="G33" s="44">
        <f ca="1">('Flujo de efectivo'!G17+'Flujo de efectivo'!G18+'Flujo de efectivo'!G21+'Flujo de efectivo'!G24)*'Datos Generales'!H57</f>
        <v>7920680866.9707928</v>
      </c>
      <c r="H33" s="44">
        <f ca="1">('Flujo de efectivo'!H17+'Flujo de efectivo'!H18+'Flujo de efectivo'!H21+'Flujo de efectivo'!H24)*'Datos Generales'!I57</f>
        <v>7494117792.1497269</v>
      </c>
      <c r="I33" s="44">
        <f ca="1">('Flujo de efectivo'!I17+'Flujo de efectivo'!I18+'Flujo de efectivo'!I21+'Flujo de efectivo'!I24)*'Datos Generales'!J57</f>
        <v>8762464159.0913658</v>
      </c>
      <c r="J33" s="44">
        <f ca="1">('Flujo de efectivo'!J17+'Flujo de efectivo'!J18+'Flujo de efectivo'!J21+'Flujo de efectivo'!J24)*'Datos Generales'!K57</f>
        <v>6262000883.2893686</v>
      </c>
      <c r="K33" s="44">
        <f ca="1">('Flujo de efectivo'!K17+'Flujo de efectivo'!K18+'Flujo de efectivo'!K21+'Flujo de efectivo'!K24)*'Datos Generales'!L57</f>
        <v>2097310652.4847975</v>
      </c>
      <c r="L33" s="44">
        <f ca="1">('Flujo de efectivo'!L17+'Flujo de efectivo'!L18+'Flujo de efectivo'!L21+'Flujo de efectivo'!L24)*'Datos Generales'!M57</f>
        <v>1547096357.3365693</v>
      </c>
      <c r="M33" s="44">
        <f ca="1">('Flujo de efectivo'!M17+'Flujo de efectivo'!M18+'Flujo de efectivo'!M21+'Flujo de efectivo'!M24)*'Datos Generales'!N57</f>
        <v>0</v>
      </c>
      <c r="N33" s="44">
        <f ca="1">('Flujo de efectivo'!N17+'Flujo de efectivo'!N18+'Flujo de efectivo'!N21+'Flujo de efectivo'!N24)*'Datos Generales'!O57</f>
        <v>0</v>
      </c>
      <c r="O33" s="44">
        <f ca="1">('Flujo de efectivo'!O17+'Flujo de efectivo'!O18+'Flujo de efectivo'!O21+'Flujo de efectivo'!O24)*'Datos Generales'!P57</f>
        <v>0</v>
      </c>
    </row>
    <row r="34" spans="2:15">
      <c r="B34" s="263" t="s">
        <v>913</v>
      </c>
      <c r="C34" s="267"/>
      <c r="D34" s="267"/>
      <c r="E34" s="44">
        <f>('Flujo de efectivo'!E19+'Flujo de efectivo'!E20+'Flujo de efectivo'!E22)*'Datos Generales'!F57</f>
        <v>1558863641.9759071</v>
      </c>
      <c r="F34" s="44">
        <f ca="1">('Flujo de efectivo'!F19+'Flujo de efectivo'!F20+'Flujo de efectivo'!F22)*'Datos Generales'!G57</f>
        <v>3306283969.3255858</v>
      </c>
      <c r="G34" s="44">
        <f ca="1">('Flujo de efectivo'!G19+'Flujo de efectivo'!G20+'Flujo de efectivo'!G22)*'Datos Generales'!H57</f>
        <v>5458260965.6722002</v>
      </c>
      <c r="H34" s="44">
        <f ca="1">('Flujo de efectivo'!H19+'Flujo de efectivo'!H20+'Flujo de efectivo'!H22)*'Datos Generales'!I57</f>
        <v>5417250537.8728456</v>
      </c>
      <c r="I34" s="44">
        <f ca="1">('Flujo de efectivo'!I19+'Flujo de efectivo'!I20+'Flujo de efectivo'!I22)*'Datos Generales'!J57</f>
        <v>5758496406.5109005</v>
      </c>
      <c r="J34" s="44">
        <f ca="1">('Flujo de efectivo'!J19+'Flujo de efectivo'!J20+'Flujo de efectivo'!J22)*'Datos Generales'!K57</f>
        <v>4411930301.4961185</v>
      </c>
      <c r="K34" s="44">
        <f ca="1">('Flujo de efectivo'!K19+'Flujo de efectivo'!K20+'Flujo de efectivo'!K22)*'Datos Generales'!L57</f>
        <v>3244134029.0088654</v>
      </c>
      <c r="L34" s="44">
        <f ca="1">('Flujo de efectivo'!L19+'Flujo de efectivo'!L20+'Flujo de efectivo'!L22)*'Datos Generales'!M57</f>
        <v>1300684085.7149847</v>
      </c>
      <c r="M34" s="44">
        <f ca="1">('Flujo de efectivo'!M19+'Flujo de efectivo'!M20+'Flujo de efectivo'!M22)*'Datos Generales'!N57</f>
        <v>0</v>
      </c>
      <c r="N34" s="44">
        <f ca="1">('Flujo de efectivo'!N19+'Flujo de efectivo'!N20+'Flujo de efectivo'!N22)*'Datos Generales'!O57</f>
        <v>0</v>
      </c>
      <c r="O34" s="44">
        <f ca="1">('Flujo de efectivo'!O19+'Flujo de efectivo'!O20+'Flujo de efectivo'!O22)*'Datos Generales'!P57</f>
        <v>0</v>
      </c>
    </row>
    <row r="35" spans="2:15">
      <c r="B35" s="263" t="s">
        <v>722</v>
      </c>
      <c r="C35" s="267"/>
      <c r="D35" s="267"/>
      <c r="E35" s="46">
        <f>('Balance General'!D64-'Balance General'!D22+('Balance General'!D19+Renta!D157))*'Datos Generales'!F59*E4/Mes_año</f>
        <v>14578634250.000013</v>
      </c>
      <c r="F35" s="46">
        <f ca="1">('Balance General'!E64-'Balance General'!E22+('Balance General'!E19+Renta!E157))*'Datos Generales'!G59*F4/Mes_año</f>
        <v>28175375317.357086</v>
      </c>
      <c r="G35" s="46">
        <f ca="1">('Balance General'!F64-'Balance General'!F22+('Balance General'!F19+Renta!F157))*'Datos Generales'!H59*G4/Mes_año</f>
        <v>22218113592.703156</v>
      </c>
      <c r="H35" s="46">
        <f ca="1">('Balance General'!G64-'Balance General'!G22+('Balance General'!G19+Renta!G157))*'Datos Generales'!I59*H4/Mes_año</f>
        <v>8233743435.1756239</v>
      </c>
      <c r="I35" s="46">
        <f ca="1">('Balance General'!H64-'Balance General'!H22+('Balance General'!H19+Renta!H157))*'Datos Generales'!J59*I4/Mes_año</f>
        <v>0</v>
      </c>
      <c r="J35" s="46">
        <f ca="1">('Balance General'!I64-'Balance General'!I22+('Balance General'!I19+Renta!I157))*'Datos Generales'!K59*J4/Mes_año</f>
        <v>0</v>
      </c>
      <c r="K35" s="46">
        <f ca="1">('Balance General'!J64-'Balance General'!J22+('Balance General'!J19+Renta!J157))*'Datos Generales'!L59*K4/Mes_año</f>
        <v>0</v>
      </c>
      <c r="L35" s="46">
        <f ca="1">('Balance General'!K64-'Balance General'!K22+('Balance General'!K19+Renta!K157))*'Datos Generales'!M59*L4/Mes_año</f>
        <v>0</v>
      </c>
      <c r="M35" s="46">
        <f ca="1">('Balance General'!L64-'Balance General'!L22+('Balance General'!L19+Renta!L157))*'Datos Generales'!N59*M4/Mes_año</f>
        <v>0</v>
      </c>
      <c r="N35" s="46">
        <f ca="1">('Balance General'!M64-'Balance General'!M22+('Balance General'!M19+Renta!M157))*'Datos Generales'!O59*N4/Mes_año</f>
        <v>0</v>
      </c>
      <c r="O35" s="46">
        <f ca="1">('Balance General'!N64-'Balance General'!N22+('Balance General'!N19+Renta!N157))*'Datos Generales'!P59*O4/Mes_año</f>
        <v>0</v>
      </c>
    </row>
    <row r="36" spans="2:15">
      <c r="E36" s="623"/>
      <c r="F36" s="623"/>
      <c r="G36" s="623"/>
      <c r="H36" s="623"/>
      <c r="I36" s="623"/>
      <c r="J36" s="623"/>
      <c r="K36" s="623"/>
      <c r="L36" s="623"/>
      <c r="M36" s="623"/>
      <c r="N36" s="623"/>
      <c r="O36" s="623"/>
    </row>
    <row r="37" spans="2:15">
      <c r="E37" s="298"/>
      <c r="F37" s="298"/>
    </row>
    <row r="38" spans="2:15" ht="16.5" thickBot="1">
      <c r="B38" s="621" t="s">
        <v>855</v>
      </c>
      <c r="E38" s="298"/>
      <c r="F38" s="298"/>
    </row>
    <row r="39" spans="2:15" ht="15.75" thickTop="1">
      <c r="B39" s="263" t="s">
        <v>857</v>
      </c>
      <c r="C39" s="267"/>
      <c r="D39" s="267"/>
      <c r="E39" s="46">
        <f>'Balance General'!D60</f>
        <v>1094394000000</v>
      </c>
      <c r="F39" s="46">
        <f>E41</f>
        <v>1079815365750</v>
      </c>
      <c r="G39" s="46">
        <f t="shared" ref="G39:O39" ca="1" si="4">F41</f>
        <v>1051639990432.6429</v>
      </c>
      <c r="H39" s="46">
        <f t="shared" ca="1" si="4"/>
        <v>1029421876839.9398</v>
      </c>
      <c r="I39" s="46">
        <f t="shared" ca="1" si="4"/>
        <v>1021188133404.7642</v>
      </c>
      <c r="J39" s="46">
        <f t="shared" ca="1" si="4"/>
        <v>1021188133404.7642</v>
      </c>
      <c r="K39" s="46">
        <f t="shared" ca="1" si="4"/>
        <v>1021188133404.7642</v>
      </c>
      <c r="L39" s="46">
        <f t="shared" ca="1" si="4"/>
        <v>1021188133404.7642</v>
      </c>
      <c r="M39" s="46">
        <f t="shared" ca="1" si="4"/>
        <v>1021188133404.7642</v>
      </c>
      <c r="N39" s="46">
        <f t="shared" ca="1" si="4"/>
        <v>1021188133404.7642</v>
      </c>
      <c r="O39" s="46">
        <f t="shared" ca="1" si="4"/>
        <v>1021188133404.7642</v>
      </c>
    </row>
    <row r="40" spans="2:15">
      <c r="B40" s="263" t="s">
        <v>856</v>
      </c>
      <c r="C40" s="267"/>
      <c r="D40" s="267"/>
      <c r="E40" s="445">
        <f>-MIN(E35,D41)</f>
        <v>-14578634250.000013</v>
      </c>
      <c r="F40" s="445">
        <f ca="1">-MIN(F35,E41)</f>
        <v>-28175375317.357086</v>
      </c>
      <c r="G40" s="445">
        <f t="shared" ref="G40:O40" ca="1" si="5">-MIN(G35,F41)</f>
        <v>-22218113592.703156</v>
      </c>
      <c r="H40" s="445">
        <f t="shared" ca="1" si="5"/>
        <v>-8233743435.1756239</v>
      </c>
      <c r="I40" s="445">
        <f t="shared" ca="1" si="5"/>
        <v>0</v>
      </c>
      <c r="J40" s="445">
        <f t="shared" ca="1" si="5"/>
        <v>0</v>
      </c>
      <c r="K40" s="445">
        <f t="shared" ca="1" si="5"/>
        <v>0</v>
      </c>
      <c r="L40" s="445">
        <f t="shared" ca="1" si="5"/>
        <v>0</v>
      </c>
      <c r="M40" s="445">
        <f t="shared" ca="1" si="5"/>
        <v>0</v>
      </c>
      <c r="N40" s="445">
        <f t="shared" ca="1" si="5"/>
        <v>0</v>
      </c>
      <c r="O40" s="445">
        <f t="shared" ca="1" si="5"/>
        <v>0</v>
      </c>
    </row>
    <row r="41" spans="2:15">
      <c r="B41" s="263" t="s">
        <v>858</v>
      </c>
      <c r="C41" s="267"/>
      <c r="D41" s="267"/>
      <c r="E41" s="46">
        <f>E39+E40</f>
        <v>1079815365750</v>
      </c>
      <c r="F41" s="46">
        <f ca="1">F39+F40</f>
        <v>1051639990432.6429</v>
      </c>
      <c r="G41" s="46">
        <f t="shared" ref="G41:O41" ca="1" si="6">G39+G40</f>
        <v>1029421876839.9398</v>
      </c>
      <c r="H41" s="46">
        <f t="shared" ca="1" si="6"/>
        <v>1021188133404.7642</v>
      </c>
      <c r="I41" s="46">
        <f t="shared" ca="1" si="6"/>
        <v>1021188133404.7642</v>
      </c>
      <c r="J41" s="46">
        <f t="shared" ca="1" si="6"/>
        <v>1021188133404.7642</v>
      </c>
      <c r="K41" s="46">
        <f t="shared" ca="1" si="6"/>
        <v>1021188133404.7642</v>
      </c>
      <c r="L41" s="46">
        <f t="shared" ca="1" si="6"/>
        <v>1021188133404.7642</v>
      </c>
      <c r="M41" s="46">
        <f t="shared" ca="1" si="6"/>
        <v>1021188133404.7642</v>
      </c>
      <c r="N41" s="46">
        <f t="shared" ca="1" si="6"/>
        <v>1021188133404.7642</v>
      </c>
      <c r="O41" s="46">
        <f t="shared" ca="1" si="6"/>
        <v>1021188133404.7642</v>
      </c>
    </row>
    <row r="42" spans="2:15">
      <c r="E42" s="298"/>
      <c r="F42" s="298"/>
    </row>
    <row r="43" spans="2:15">
      <c r="B43" s="263" t="s">
        <v>859</v>
      </c>
      <c r="C43" s="267"/>
      <c r="D43" s="267"/>
      <c r="E43" s="46">
        <f t="shared" ref="E43:O43" si="7">E35+E40</f>
        <v>0</v>
      </c>
      <c r="F43" s="46">
        <f t="shared" ca="1" si="7"/>
        <v>0</v>
      </c>
      <c r="G43" s="46">
        <f t="shared" ca="1" si="7"/>
        <v>0</v>
      </c>
      <c r="H43" s="46">
        <f t="shared" ca="1" si="7"/>
        <v>0</v>
      </c>
      <c r="I43" s="46">
        <f t="shared" ca="1" si="7"/>
        <v>0</v>
      </c>
      <c r="J43" s="46">
        <f t="shared" ca="1" si="7"/>
        <v>0</v>
      </c>
      <c r="K43" s="46">
        <f t="shared" ca="1" si="7"/>
        <v>0</v>
      </c>
      <c r="L43" s="46">
        <f t="shared" ca="1" si="7"/>
        <v>0</v>
      </c>
      <c r="M43" s="46">
        <f t="shared" ca="1" si="7"/>
        <v>0</v>
      </c>
      <c r="N43" s="46">
        <f t="shared" ca="1" si="7"/>
        <v>0</v>
      </c>
      <c r="O43" s="46">
        <f t="shared" ca="1" si="7"/>
        <v>0</v>
      </c>
    </row>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
  <dimension ref="A2:O293"/>
  <sheetViews>
    <sheetView showGridLines="0" zoomScaleNormal="100" workbookViewId="0">
      <selection activeCell="C14" sqref="C14"/>
    </sheetView>
  </sheetViews>
  <sheetFormatPr baseColWidth="10" defaultRowHeight="15.75"/>
  <cols>
    <col min="1" max="1" width="41" style="302" customWidth="1"/>
    <col min="2" max="2" width="19.7109375" style="302" bestFit="1" customWidth="1"/>
    <col min="3" max="3" width="22.7109375" style="302" bestFit="1" customWidth="1"/>
    <col min="4" max="12" width="20.140625" style="302" bestFit="1" customWidth="1"/>
    <col min="13" max="15" width="20.85546875" style="302" bestFit="1" customWidth="1"/>
    <col min="16" max="16384" width="11.42578125" style="302"/>
  </cols>
  <sheetData>
    <row r="2" spans="1:15" ht="21">
      <c r="A2" s="300" t="str">
        <f>Nombre_Empresa</f>
        <v>ISAGEN</v>
      </c>
      <c r="B2" s="301"/>
    </row>
    <row r="3" spans="1:15">
      <c r="C3" s="303"/>
      <c r="D3" s="303"/>
      <c r="E3" s="303"/>
      <c r="F3" s="303"/>
      <c r="G3" s="303"/>
      <c r="H3" s="303"/>
      <c r="I3" s="303"/>
      <c r="J3" s="303"/>
      <c r="K3" s="303"/>
      <c r="L3" s="303"/>
      <c r="M3" s="303"/>
      <c r="N3" s="303"/>
      <c r="O3" s="303"/>
    </row>
    <row r="4" spans="1:15" ht="16.5" thickBot="1">
      <c r="A4" s="622" t="s">
        <v>582</v>
      </c>
      <c r="B4" s="331" t="s">
        <v>583</v>
      </c>
      <c r="C4" s="345">
        <f>'Datos Generales'!D21</f>
        <v>2013</v>
      </c>
      <c r="D4" s="322">
        <f>'Datos Generales'!E21</f>
        <v>41820</v>
      </c>
      <c r="E4" s="305">
        <f>YEAR('Datos Generales'!F21)</f>
        <v>2014</v>
      </c>
      <c r="F4" s="305">
        <f>'Datos Generales'!G21</f>
        <v>2015</v>
      </c>
      <c r="G4" s="305">
        <f>'Datos Generales'!H21</f>
        <v>2016</v>
      </c>
      <c r="H4" s="305">
        <f>'Datos Generales'!I21</f>
        <v>2017</v>
      </c>
      <c r="I4" s="305">
        <f>'Datos Generales'!J21</f>
        <v>2018</v>
      </c>
      <c r="J4" s="305">
        <f>'Datos Generales'!K21</f>
        <v>2019</v>
      </c>
      <c r="K4" s="305">
        <f>'Datos Generales'!L21</f>
        <v>2020</v>
      </c>
      <c r="L4" s="305">
        <f>'Datos Generales'!M21</f>
        <v>2021</v>
      </c>
      <c r="M4" s="305">
        <f>'Datos Generales'!N21</f>
        <v>2022</v>
      </c>
      <c r="N4" s="305">
        <f>'Datos Generales'!O21</f>
        <v>2023</v>
      </c>
      <c r="O4" s="305">
        <f>'Datos Generales'!P21</f>
        <v>2024</v>
      </c>
    </row>
    <row r="5" spans="1:15" ht="17.25" thickTop="1" thickBot="1">
      <c r="A5" s="622" t="s">
        <v>600</v>
      </c>
      <c r="B5" s="323"/>
      <c r="C5" s="328">
        <f>Mes_año</f>
        <v>12</v>
      </c>
      <c r="D5" s="328">
        <f>Meses_Proyectados_Año_Base</f>
        <v>6</v>
      </c>
      <c r="E5" s="305">
        <f>Meses_Proyectados_Año_Base</f>
        <v>6</v>
      </c>
      <c r="F5" s="305">
        <f t="shared" ref="F5:O5" si="0">Mes_año</f>
        <v>12</v>
      </c>
      <c r="G5" s="305">
        <f t="shared" si="0"/>
        <v>12</v>
      </c>
      <c r="H5" s="305">
        <f t="shared" si="0"/>
        <v>12</v>
      </c>
      <c r="I5" s="305">
        <f t="shared" si="0"/>
        <v>12</v>
      </c>
      <c r="J5" s="305">
        <f t="shared" si="0"/>
        <v>12</v>
      </c>
      <c r="K5" s="305">
        <f t="shared" si="0"/>
        <v>12</v>
      </c>
      <c r="L5" s="305">
        <f t="shared" si="0"/>
        <v>12</v>
      </c>
      <c r="M5" s="305">
        <f t="shared" si="0"/>
        <v>12</v>
      </c>
      <c r="N5" s="305">
        <f t="shared" si="0"/>
        <v>12</v>
      </c>
      <c r="O5" s="305">
        <f t="shared" si="0"/>
        <v>12</v>
      </c>
    </row>
    <row r="6" spans="1:15" ht="16.5" thickTop="1">
      <c r="C6" s="306"/>
      <c r="D6" s="306"/>
      <c r="E6" s="306"/>
      <c r="F6" s="306"/>
      <c r="G6" s="306"/>
      <c r="H6" s="306"/>
      <c r="I6" s="306"/>
      <c r="J6" s="306"/>
      <c r="K6" s="306"/>
      <c r="L6" s="306"/>
      <c r="M6" s="306"/>
      <c r="N6" s="306"/>
      <c r="O6" s="306"/>
    </row>
    <row r="7" spans="1:15">
      <c r="A7" s="307" t="s">
        <v>608</v>
      </c>
    </row>
    <row r="8" spans="1:15">
      <c r="A8" s="308" t="s">
        <v>604</v>
      </c>
      <c r="B8" s="330" t="b">
        <f>'Datos Generales'!C24</f>
        <v>0</v>
      </c>
      <c r="C8" s="325">
        <f>'Datos Generales'!D24</f>
        <v>207815000000</v>
      </c>
      <c r="D8" s="325">
        <f>'Datos Generales'!E24</f>
        <v>24660000000</v>
      </c>
      <c r="E8" s="325">
        <f>'Datos Generales'!F24</f>
        <v>11912000000</v>
      </c>
      <c r="F8" s="325">
        <f>'Datos Generales'!G24</f>
        <v>0</v>
      </c>
      <c r="G8" s="325">
        <f>'Datos Generales'!H24</f>
        <v>0</v>
      </c>
      <c r="H8" s="325">
        <f>'Datos Generales'!I24</f>
        <v>0</v>
      </c>
      <c r="I8" s="325">
        <f>'Datos Generales'!J24</f>
        <v>0</v>
      </c>
      <c r="J8" s="325">
        <f>'Datos Generales'!K24</f>
        <v>0</v>
      </c>
      <c r="K8" s="325">
        <f>'Datos Generales'!L24</f>
        <v>0</v>
      </c>
      <c r="L8" s="325">
        <f>'Datos Generales'!M24</f>
        <v>0</v>
      </c>
      <c r="M8" s="325">
        <f>'Datos Generales'!N24</f>
        <v>0</v>
      </c>
      <c r="N8" s="325">
        <f>'Datos Generales'!O24</f>
        <v>0</v>
      </c>
      <c r="O8" s="325">
        <f>'Datos Generales'!P24</f>
        <v>0</v>
      </c>
    </row>
    <row r="9" spans="1:15">
      <c r="A9" s="308" t="s">
        <v>601</v>
      </c>
      <c r="B9" s="330" t="b">
        <f>'Datos Generales'!C25</f>
        <v>1</v>
      </c>
      <c r="C9" s="324">
        <f>'Datos Generales'!D25</f>
        <v>0</v>
      </c>
      <c r="D9" s="324">
        <f>'Datos Generales'!E25</f>
        <v>0</v>
      </c>
      <c r="E9" s="324">
        <f>'Datos Generales'!F25</f>
        <v>0</v>
      </c>
      <c r="F9" s="324">
        <f>'Datos Generales'!G25</f>
        <v>0</v>
      </c>
      <c r="G9" s="324">
        <f>'Datos Generales'!H25</f>
        <v>0</v>
      </c>
      <c r="H9" s="324">
        <f>'Datos Generales'!I25</f>
        <v>0</v>
      </c>
      <c r="I9" s="324">
        <f>'Datos Generales'!J25</f>
        <v>0</v>
      </c>
      <c r="J9" s="324">
        <f>'Datos Generales'!K25</f>
        <v>0</v>
      </c>
      <c r="K9" s="324">
        <f>'Datos Generales'!L25</f>
        <v>0</v>
      </c>
      <c r="L9" s="324">
        <f>'Datos Generales'!M25</f>
        <v>0</v>
      </c>
      <c r="M9" s="324">
        <f>'Datos Generales'!N25</f>
        <v>0</v>
      </c>
      <c r="N9" s="324">
        <f>'Datos Generales'!O25</f>
        <v>0</v>
      </c>
      <c r="O9" s="324">
        <f>'Datos Generales'!P25</f>
        <v>0</v>
      </c>
    </row>
    <row r="10" spans="1:15">
      <c r="A10" s="308" t="s">
        <v>606</v>
      </c>
      <c r="B10" s="330" t="b">
        <f>'Datos Generales'!C26</f>
        <v>1</v>
      </c>
      <c r="C10" s="325">
        <f>'Datos Generales'!D26</f>
        <v>594033036114.03333</v>
      </c>
      <c r="D10" s="325">
        <f>'Datos Generales'!E26</f>
        <v>96480170550.915222</v>
      </c>
      <c r="E10" s="325">
        <f>'Datos Generales'!F26</f>
        <v>83252000000</v>
      </c>
      <c r="F10" s="325">
        <f>'Datos Generales'!G26</f>
        <v>0</v>
      </c>
      <c r="G10" s="325">
        <f>'Datos Generales'!H26</f>
        <v>0</v>
      </c>
      <c r="H10" s="325">
        <f>'Datos Generales'!I26</f>
        <v>0</v>
      </c>
      <c r="I10" s="325">
        <f>'Datos Generales'!J26</f>
        <v>0</v>
      </c>
      <c r="J10" s="325">
        <f>'Datos Generales'!K26</f>
        <v>0</v>
      </c>
      <c r="K10" s="325">
        <f>'Datos Generales'!L26</f>
        <v>0</v>
      </c>
      <c r="L10" s="325">
        <f>'Datos Generales'!M26</f>
        <v>0</v>
      </c>
      <c r="M10" s="325">
        <f>'Datos Generales'!N26</f>
        <v>0</v>
      </c>
      <c r="N10" s="325">
        <f>'Datos Generales'!O26</f>
        <v>0</v>
      </c>
      <c r="O10" s="325">
        <f>'Datos Generales'!P26</f>
        <v>0</v>
      </c>
    </row>
    <row r="11" spans="1:15">
      <c r="A11" s="308" t="s">
        <v>607</v>
      </c>
      <c r="B11" s="330" t="b">
        <f>'Datos Generales'!C27</f>
        <v>1</v>
      </c>
      <c r="C11" s="325">
        <f>'Datos Generales'!D27</f>
        <v>1845434687569.2473</v>
      </c>
      <c r="D11" s="325">
        <f>'Datos Generales'!E27</f>
        <v>180650680945.76382</v>
      </c>
      <c r="E11" s="325">
        <f>'Datos Generales'!F27</f>
        <v>437463312430.7525</v>
      </c>
      <c r="F11" s="325">
        <f>'Datos Generales'!G27</f>
        <v>0</v>
      </c>
      <c r="G11" s="325">
        <f>'Datos Generales'!H27</f>
        <v>0</v>
      </c>
      <c r="H11" s="325">
        <f>'Datos Generales'!I27</f>
        <v>0</v>
      </c>
      <c r="I11" s="325">
        <f>'Datos Generales'!J27</f>
        <v>0</v>
      </c>
      <c r="J11" s="325">
        <f>'Datos Generales'!K27</f>
        <v>0</v>
      </c>
      <c r="K11" s="325">
        <f>'Datos Generales'!L27</f>
        <v>0</v>
      </c>
      <c r="L11" s="325">
        <f>'Datos Generales'!M27</f>
        <v>0</v>
      </c>
      <c r="M11" s="325">
        <f>'Datos Generales'!N27</f>
        <v>0</v>
      </c>
      <c r="N11" s="325">
        <f>'Datos Generales'!O27</f>
        <v>0</v>
      </c>
      <c r="O11" s="325">
        <f>'Datos Generales'!P27</f>
        <v>0</v>
      </c>
    </row>
    <row r="12" spans="1:15">
      <c r="A12" s="308" t="s">
        <v>602</v>
      </c>
      <c r="B12" s="330" t="b">
        <f>'Datos Generales'!C28</f>
        <v>1</v>
      </c>
      <c r="C12" s="325">
        <f>'Datos Generales'!D28</f>
        <v>174527276996.91919</v>
      </c>
      <c r="D12" s="325">
        <f>'Datos Generales'!E28</f>
        <v>75278723003.080811</v>
      </c>
      <c r="E12" s="325">
        <f>'Datos Generales'!F28</f>
        <v>33173000000</v>
      </c>
      <c r="F12" s="325">
        <f>'Datos Generales'!G28</f>
        <v>0</v>
      </c>
      <c r="G12" s="325">
        <f>'Datos Generales'!H28</f>
        <v>0</v>
      </c>
      <c r="H12" s="325">
        <f>'Datos Generales'!I28</f>
        <v>0</v>
      </c>
      <c r="I12" s="325">
        <f>'Datos Generales'!J28</f>
        <v>0</v>
      </c>
      <c r="J12" s="325">
        <f>'Datos Generales'!K28</f>
        <v>0</v>
      </c>
      <c r="K12" s="325">
        <f>'Datos Generales'!L28</f>
        <v>0</v>
      </c>
      <c r="L12" s="325">
        <f>'Datos Generales'!M28</f>
        <v>0</v>
      </c>
      <c r="M12" s="325">
        <f>'Datos Generales'!N28</f>
        <v>0</v>
      </c>
      <c r="N12" s="325">
        <f>'Datos Generales'!O28</f>
        <v>0</v>
      </c>
      <c r="O12" s="325">
        <f>'Datos Generales'!P28</f>
        <v>0</v>
      </c>
    </row>
    <row r="13" spans="1:15">
      <c r="A13" s="308" t="s">
        <v>603</v>
      </c>
      <c r="B13" s="330" t="b">
        <f>'Datos Generales'!C29</f>
        <v>1</v>
      </c>
      <c r="C13" s="325">
        <f>'Datos Generales'!D29</f>
        <v>372510999319.79993</v>
      </c>
      <c r="D13" s="325">
        <f>'Datos Generales'!E29</f>
        <v>97823425500.23999</v>
      </c>
      <c r="E13" s="325">
        <f>'Datos Generales'!F29</f>
        <v>116000644130.76633</v>
      </c>
      <c r="F13" s="325">
        <f>'Datos Generales'!G29</f>
        <v>0</v>
      </c>
      <c r="G13" s="325">
        <f>'Datos Generales'!H29</f>
        <v>0</v>
      </c>
      <c r="H13" s="325">
        <f>'Datos Generales'!I29</f>
        <v>0</v>
      </c>
      <c r="I13" s="325">
        <f>'Datos Generales'!J29</f>
        <v>0</v>
      </c>
      <c r="J13" s="325">
        <f>'Datos Generales'!K29</f>
        <v>0</v>
      </c>
      <c r="K13" s="325">
        <f>'Datos Generales'!L29</f>
        <v>0</v>
      </c>
      <c r="L13" s="325">
        <f>'Datos Generales'!M29</f>
        <v>0</v>
      </c>
      <c r="M13" s="325">
        <f>'Datos Generales'!N29</f>
        <v>0</v>
      </c>
      <c r="N13" s="325">
        <f>'Datos Generales'!O29</f>
        <v>0</v>
      </c>
      <c r="O13" s="325">
        <f>'Datos Generales'!P29</f>
        <v>0</v>
      </c>
    </row>
    <row r="14" spans="1:15" s="329" customFormat="1">
      <c r="A14" s="665" t="s">
        <v>610</v>
      </c>
      <c r="B14" s="666"/>
      <c r="C14" s="332">
        <f>SUM(C8:C13)</f>
        <v>3194321000000</v>
      </c>
      <c r="D14" s="332">
        <f>SUM(D8:D13)</f>
        <v>474892999999.99988</v>
      </c>
      <c r="E14" s="332">
        <f>SUM(E8:E13)</f>
        <v>681800956561.5188</v>
      </c>
      <c r="F14" s="332">
        <f t="shared" ref="F14:N14" si="1">SUM(F8:F13)</f>
        <v>0</v>
      </c>
      <c r="G14" s="332">
        <f t="shared" si="1"/>
        <v>0</v>
      </c>
      <c r="H14" s="332">
        <f t="shared" si="1"/>
        <v>0</v>
      </c>
      <c r="I14" s="332">
        <f t="shared" si="1"/>
        <v>0</v>
      </c>
      <c r="J14" s="332">
        <f t="shared" si="1"/>
        <v>0</v>
      </c>
      <c r="K14" s="332">
        <f t="shared" si="1"/>
        <v>0</v>
      </c>
      <c r="L14" s="332">
        <f t="shared" si="1"/>
        <v>0</v>
      </c>
      <c r="M14" s="332">
        <f t="shared" si="1"/>
        <v>0</v>
      </c>
      <c r="N14" s="332">
        <f t="shared" si="1"/>
        <v>0</v>
      </c>
      <c r="O14" s="332">
        <f>SUM(O8:O13)</f>
        <v>0</v>
      </c>
    </row>
    <row r="15" spans="1:15" ht="16.5" thickBot="1">
      <c r="A15" s="310" t="s">
        <v>623</v>
      </c>
      <c r="B15" s="310"/>
      <c r="C15" s="311">
        <f>C14+B15</f>
        <v>3194321000000</v>
      </c>
      <c r="D15" s="311">
        <f>D14+C15</f>
        <v>3669214000000</v>
      </c>
      <c r="E15" s="311">
        <f t="shared" ref="E15:O15" si="2">IF(E4&gt;Año_Inicio_Sogamoso,0,E14+D15)</f>
        <v>4351014956561.5186</v>
      </c>
      <c r="F15" s="311">
        <f t="shared" si="2"/>
        <v>0</v>
      </c>
      <c r="G15" s="311">
        <f t="shared" si="2"/>
        <v>0</v>
      </c>
      <c r="H15" s="311">
        <f t="shared" si="2"/>
        <v>0</v>
      </c>
      <c r="I15" s="311">
        <f t="shared" si="2"/>
        <v>0</v>
      </c>
      <c r="J15" s="311">
        <f t="shared" si="2"/>
        <v>0</v>
      </c>
      <c r="K15" s="311">
        <f t="shared" si="2"/>
        <v>0</v>
      </c>
      <c r="L15" s="311">
        <f t="shared" si="2"/>
        <v>0</v>
      </c>
      <c r="M15" s="311">
        <f t="shared" si="2"/>
        <v>0</v>
      </c>
      <c r="N15" s="311">
        <f t="shared" si="2"/>
        <v>0</v>
      </c>
      <c r="O15" s="311">
        <f t="shared" si="2"/>
        <v>0</v>
      </c>
    </row>
    <row r="16" spans="1:15" ht="16.5" thickTop="1">
      <c r="A16" s="308"/>
      <c r="C16" s="325"/>
      <c r="D16" s="325"/>
      <c r="E16" s="325"/>
      <c r="F16" s="325"/>
      <c r="G16" s="325"/>
      <c r="H16" s="325"/>
      <c r="I16" s="325"/>
      <c r="J16" s="325"/>
      <c r="K16" s="325"/>
      <c r="L16" s="325"/>
      <c r="M16" s="325"/>
      <c r="N16" s="325"/>
      <c r="O16" s="325"/>
    </row>
    <row r="17" spans="1:15" s="314" customFormat="1">
      <c r="A17" s="406" t="s">
        <v>1044</v>
      </c>
      <c r="B17" s="330" t="b">
        <f>'Datos Generales'!C26</f>
        <v>1</v>
      </c>
      <c r="C17" s="341">
        <v>0</v>
      </c>
      <c r="D17" s="341">
        <v>0</v>
      </c>
      <c r="E17" s="333">
        <f>IF(E4&lt;=Año_Inicio_Sogamoso,Macroeconomicos!$C$73-Macroeconomicos!$C$66,IF(AND(E4=Año_Perpetuidad,Perpetuidad_Termocentro="No"),Macroeconomicos!$C$73-Macroeconomicos!$C$69,Macroeconomicos!$C$73))*MW_a_KW*IF(OYM_PROYECTADO="Histórico Isagén",Historicos!$J$71,Reposicion_Activos)*Macroeconomicos!E28*Macroeconomicos!E10*E5/Mes_año</f>
        <v>10547439594.005108</v>
      </c>
      <c r="F17" s="333">
        <f>IF(F4&lt;=Año_Inicio_Sogamoso,Macroeconomicos!$C$73-Macroeconomicos!$C$66,IF(AND(F4=Año_Perpetuidad,Perpetuidad_Termocentro="No"),Macroeconomicos!$C$73-Macroeconomicos!$C$69,Macroeconomicos!$C$73))*MW_a_KW*IF(OYM_PROYECTADO="Histórico Isagén",Historicos!$J$71,Reposicion_Activos)*Macroeconomicos!F28*Macroeconomicos!F10*F5/Mes_año</f>
        <v>31547496012.95686</v>
      </c>
      <c r="G17" s="333">
        <f>IF(G4&lt;=Año_Inicio_Sogamoso,Macroeconomicos!$C$73-Macroeconomicos!$C$66,IF(AND(G4=Año_Perpetuidad,Perpetuidad_Termocentro="No"),Macroeconomicos!$C$73-Macroeconomicos!$C$69,Macroeconomicos!$C$73))*MW_a_KW*IF(OYM_PROYECTADO="Histórico Isagén",Historicos!$J$71,Reposicion_Activos)*Macroeconomicos!G28*Macroeconomicos!G10*G5/Mes_año</f>
        <v>33573638711.589741</v>
      </c>
      <c r="H17" s="333">
        <f>IF(H4&lt;=Año_Inicio_Sogamoso,Macroeconomicos!$C$73-Macroeconomicos!$C$66,IF(AND(H4=Año_Perpetuidad,Perpetuidad_Termocentro="No"),Macroeconomicos!$C$73-Macroeconomicos!$C$69,Macroeconomicos!$C$73))*MW_a_KW*IF(OYM_PROYECTADO="Histórico Isagén",Historicos!$J$71,Reposicion_Activos)*Macroeconomicos!H28*Macroeconomicos!H10*H5/Mes_año</f>
        <v>35423648894.14267</v>
      </c>
      <c r="I17" s="333">
        <f>IF(I4&lt;=Año_Inicio_Sogamoso,Macroeconomicos!$C$73-Macroeconomicos!$C$66,IF(AND(I4=Año_Perpetuidad,Perpetuidad_Termocentro="No"),Macroeconomicos!$C$73-Macroeconomicos!$C$69,Macroeconomicos!$C$73))*MW_a_KW*IF(OYM_PROYECTADO="Histórico Isagén",Historicos!$J$71,Reposicion_Activos)*Macroeconomicos!I28*Macroeconomicos!I10*I5/Mes_año</f>
        <v>36898950358.472214</v>
      </c>
      <c r="J17" s="333">
        <f>IF(J4&lt;=Año_Inicio_Sogamoso,Macroeconomicos!$C$73-Macroeconomicos!$C$66,IF(AND(J4=Año_Perpetuidad,Perpetuidad_Termocentro="No"),Macroeconomicos!$C$73-Macroeconomicos!$C$69,Macroeconomicos!$C$73))*MW_a_KW*IF(OYM_PROYECTADO="Histórico Isagén",Historicos!$J$71,Reposicion_Activos)*Macroeconomicos!J28*Macroeconomicos!J10*J5/Mes_año</f>
        <v>38328284014.180855</v>
      </c>
      <c r="K17" s="333">
        <f>IF(K4&lt;=Año_Inicio_Sogamoso,Macroeconomicos!$C$73-Macroeconomicos!$C$66,IF(AND(K4=Año_Perpetuidad,Perpetuidad_Termocentro="No"),Macroeconomicos!$C$73-Macroeconomicos!$C$69,Macroeconomicos!$C$73))*MW_a_KW*IF(OYM_PROYECTADO="Histórico Isagén",Historicos!$J$71,Reposicion_Activos)*Macroeconomicos!K28*Macroeconomicos!K10*K5/Mes_año</f>
        <v>39923355351.873466</v>
      </c>
      <c r="L17" s="333">
        <f>IF(L4&lt;=Año_Inicio_Sogamoso,Macroeconomicos!$C$73-Macroeconomicos!$C$66,IF(AND(L4=Año_Perpetuidad,Perpetuidad_Termocentro="No"),Macroeconomicos!$C$73-Macroeconomicos!$C$69,Macroeconomicos!$C$73))*MW_a_KW*IF(OYM_PROYECTADO="Histórico Isagén",Historicos!$J$71,Reposicion_Activos)*Macroeconomicos!L28*Macroeconomicos!L10*L5/Mes_año</f>
        <v>41566593719.100731</v>
      </c>
      <c r="M17" s="333">
        <f>IF(M4&lt;=Año_Inicio_Sogamoso,Macroeconomicos!$C$73-Macroeconomicos!$C$66,IF(AND(M4=Año_Perpetuidad,Perpetuidad_Termocentro="No"),Macroeconomicos!$C$73-Macroeconomicos!$C$69,Macroeconomicos!$C$73))*MW_a_KW*IF(OYM_PROYECTADO="Histórico Isagén",Historicos!$J$71,Reposicion_Activos)*Macroeconomicos!M28*Macroeconomicos!M10*M5/Mes_año</f>
        <v>43290002727.361076</v>
      </c>
      <c r="N17" s="333">
        <f>IF(N4&lt;=Año_Inicio_Sogamoso,Macroeconomicos!$C$73-Macroeconomicos!$C$66,IF(AND(N4=Año_Perpetuidad,Perpetuidad_Termocentro="No"),Macroeconomicos!$C$73-Macroeconomicos!$C$69,Macroeconomicos!$C$73))*MW_a_KW*IF(OYM_PROYECTADO="Histórico Isagén",Historicos!$J$71,Reposicion_Activos)*Macroeconomicos!N28*Macroeconomicos!N10*N5/Mes_año</f>
        <v>45083104454.698402</v>
      </c>
      <c r="O17" s="333">
        <f>IF(O4&lt;=Año_Inicio_Sogamoso,Macroeconomicos!$C$73-Macroeconomicos!$C$66,IF(AND(O4=Año_Perpetuidad,Perpetuidad_Termocentro="No"),Macroeconomicos!$C$73-Macroeconomicos!$C$69,Macroeconomicos!$C$73))*MW_a_KW*IF(OYM_PROYECTADO="Histórico Isagén",Historicos!$J$71,Reposicion_Activos)*Macroeconomicos!O28*Macroeconomicos!O10*O5/Mes_año</f>
        <v>46947168879.014709</v>
      </c>
    </row>
    <row r="18" spans="1:15">
      <c r="A18" s="308"/>
      <c r="C18" s="309"/>
      <c r="D18" s="309"/>
      <c r="E18" s="309"/>
      <c r="F18" s="309"/>
      <c r="G18" s="309"/>
      <c r="H18" s="309"/>
      <c r="I18" s="309"/>
      <c r="J18" s="309"/>
      <c r="K18" s="309"/>
      <c r="L18" s="309"/>
      <c r="M18" s="309"/>
      <c r="N18" s="309"/>
      <c r="O18" s="309"/>
    </row>
    <row r="19" spans="1:15">
      <c r="A19" s="307" t="s">
        <v>621</v>
      </c>
    </row>
    <row r="20" spans="1:15">
      <c r="A20" s="308" t="s">
        <v>605</v>
      </c>
      <c r="C20" s="309">
        <v>155076000000</v>
      </c>
      <c r="D20" s="309">
        <v>0</v>
      </c>
      <c r="E20" s="309">
        <f>IF(AND(D4&lt;=Año_Inicio_Sogamoso,E4&gt;Año_Inicio_Sogamoso),SUM($C$8:E8),0)</f>
        <v>0</v>
      </c>
      <c r="F20" s="309">
        <f>IF(AND(E4&lt;=Año_Inicio_Sogamoso,F4&gt;Año_Inicio_Sogamoso),SUM($C$8:F8),0)</f>
        <v>244387000000</v>
      </c>
      <c r="G20" s="309">
        <f>IF(AND(F4&lt;=Año_Inicio_Sogamoso,G4&gt;Año_Inicio_Sogamoso),SUM($C$8:G8),0)</f>
        <v>0</v>
      </c>
      <c r="H20" s="309">
        <f>IF(AND(G4&lt;=Año_Inicio_Sogamoso,H4&gt;Año_Inicio_Sogamoso),SUM($C$8:H8),0)</f>
        <v>0</v>
      </c>
      <c r="I20" s="309">
        <f>IF(AND(H4&lt;=Año_Inicio_Sogamoso,I4&gt;Año_Inicio_Sogamoso),SUM($C$8:I8),0)</f>
        <v>0</v>
      </c>
      <c r="J20" s="309">
        <f>IF(AND(I4&lt;=Año_Inicio_Sogamoso,J4&gt;Año_Inicio_Sogamoso),SUM($C$8:J8),0)</f>
        <v>0</v>
      </c>
      <c r="K20" s="309">
        <f>IF(AND(J4&lt;=Año_Inicio_Sogamoso,K4&gt;Año_Inicio_Sogamoso),SUM($C$8:K8),0)</f>
        <v>0</v>
      </c>
      <c r="L20" s="309">
        <f>IF(AND(K4&lt;=Año_Inicio_Sogamoso,L4&gt;Año_Inicio_Sogamoso),SUM($C$8:L8),0)</f>
        <v>0</v>
      </c>
      <c r="M20" s="309">
        <f>IF(AND(L4&lt;=Año_Inicio_Sogamoso,M4&gt;Año_Inicio_Sogamoso),SUM($C$8:M8),0)</f>
        <v>0</v>
      </c>
      <c r="N20" s="309">
        <f>IF(AND(M4&lt;=Año_Inicio_Sogamoso,N4&gt;Año_Inicio_Sogamoso),SUM($C$8:N8),0)</f>
        <v>0</v>
      </c>
      <c r="O20" s="309">
        <f>IF(AND(N4&lt;=Año_Inicio_Sogamoso,O4&gt;Año_Inicio_Sogamoso),SUM($C$8:O8),0)</f>
        <v>0</v>
      </c>
    </row>
    <row r="21" spans="1:15">
      <c r="A21" s="308" t="s">
        <v>352</v>
      </c>
      <c r="C21" s="309">
        <v>178090000000</v>
      </c>
      <c r="D21" s="309">
        <v>0</v>
      </c>
      <c r="E21" s="309">
        <f>IF(AND(D4&lt;=Año_Inicio_Sogamoso,E4&gt;Año_Inicio_Sogamoso),SUM($C$9:E9),0)</f>
        <v>0</v>
      </c>
      <c r="F21" s="309">
        <f>IF(AND(E4&lt;=Año_Inicio_Sogamoso,F4&gt;Año_Inicio_Sogamoso),SUM($C$9:F9),0)</f>
        <v>0</v>
      </c>
      <c r="G21" s="309">
        <f>IF(AND(F4&lt;=Año_Inicio_Sogamoso,G4&gt;Año_Inicio_Sogamoso),SUM($C$9:G9),0)</f>
        <v>0</v>
      </c>
      <c r="H21" s="309">
        <f>IF(AND(G4&lt;=Año_Inicio_Sogamoso,H4&gt;Año_Inicio_Sogamoso),SUM($C$9:H9),0)</f>
        <v>0</v>
      </c>
      <c r="I21" s="309">
        <f>IF(AND(H4&lt;=Año_Inicio_Sogamoso,I4&gt;Año_Inicio_Sogamoso),SUM($C$9:I9),0)</f>
        <v>0</v>
      </c>
      <c r="J21" s="309">
        <f>IF(AND(I4&lt;=Año_Inicio_Sogamoso,J4&gt;Año_Inicio_Sogamoso),SUM($C$9:J9),0)</f>
        <v>0</v>
      </c>
      <c r="K21" s="309">
        <f>IF(AND(J4&lt;=Año_Inicio_Sogamoso,K4&gt;Año_Inicio_Sogamoso),SUM($C$9:K9),0)</f>
        <v>0</v>
      </c>
      <c r="L21" s="309">
        <f>IF(AND(K4&lt;=Año_Inicio_Sogamoso,L4&gt;Año_Inicio_Sogamoso),SUM($C$9:L9),0)</f>
        <v>0</v>
      </c>
      <c r="M21" s="309">
        <f>IF(AND(L4&lt;=Año_Inicio_Sogamoso,M4&gt;Año_Inicio_Sogamoso),SUM($C$9:M9),0)</f>
        <v>0</v>
      </c>
      <c r="N21" s="309">
        <f>IF(AND(M4&lt;=Año_Inicio_Sogamoso,N4&gt;Año_Inicio_Sogamoso),SUM($C$9:N9),0)</f>
        <v>0</v>
      </c>
      <c r="O21" s="309">
        <f>IF(AND(N4&lt;=Año_Inicio_Sogamoso,O4&gt;Año_Inicio_Sogamoso),SUM($C$9:O9),0)</f>
        <v>0</v>
      </c>
    </row>
    <row r="22" spans="1:15">
      <c r="A22" s="308" t="s">
        <v>437</v>
      </c>
      <c r="C22" s="309">
        <v>4074976000000</v>
      </c>
      <c r="D22" s="309">
        <f>D17</f>
        <v>0</v>
      </c>
      <c r="E22" s="309">
        <f>E17+IF(AND(D4&lt;=Año_Inicio_Sogamoso,E4&gt;Año_Inicio_Sogamoso),SUM($C$10:E13),0)</f>
        <v>10547439594.005108</v>
      </c>
      <c r="F22" s="309">
        <f>F17+IF(AND(E4&lt;=Año_Inicio_Sogamoso,F4&gt;Año_Inicio_Sogamoso),SUM($C$10:F13),0)</f>
        <v>4138175452574.4751</v>
      </c>
      <c r="G22" s="309">
        <f>G17+IF(AND(F4&lt;=Año_Inicio_Sogamoso,G4&gt;Año_Inicio_Sogamoso),SUM($C$10:G13),0)</f>
        <v>33573638711.589741</v>
      </c>
      <c r="H22" s="309">
        <f>H17+IF(AND(G4&lt;=Año_Inicio_Sogamoso,H4&gt;Año_Inicio_Sogamoso),SUM($C$10:H13),0)</f>
        <v>35423648894.14267</v>
      </c>
      <c r="I22" s="309">
        <f>I17+IF(AND(H4&lt;=Año_Inicio_Sogamoso,I4&gt;Año_Inicio_Sogamoso),SUM($C$10:I13),0)</f>
        <v>36898950358.472214</v>
      </c>
      <c r="J22" s="309">
        <f>J17+IF(AND(I4&lt;=Año_Inicio_Sogamoso,J4&gt;Año_Inicio_Sogamoso),SUM($C$10:J13),0)</f>
        <v>38328284014.180855</v>
      </c>
      <c r="K22" s="309">
        <f>K17+IF(AND(J4&lt;=Año_Inicio_Sogamoso,K4&gt;Año_Inicio_Sogamoso),SUM($C$10:K13),0)</f>
        <v>39923355351.873466</v>
      </c>
      <c r="L22" s="309">
        <f>L17+IF(AND(K4&lt;=Año_Inicio_Sogamoso,L4&gt;Año_Inicio_Sogamoso),SUM($C$10:L13),0)</f>
        <v>41566593719.100731</v>
      </c>
      <c r="M22" s="309">
        <f>M17+IF(AND(L4&lt;=Año_Inicio_Sogamoso,M4&gt;Año_Inicio_Sogamoso),SUM($C$10:M13),0)</f>
        <v>43290002727.361076</v>
      </c>
      <c r="N22" s="309">
        <f>N17+IF(AND(M4&lt;=Año_Inicio_Sogamoso,N4&gt;Año_Inicio_Sogamoso),SUM($C$10:N13),0)</f>
        <v>45083104454.698402</v>
      </c>
      <c r="O22" s="309">
        <f>O17+IF(AND(N4&lt;=Año_Inicio_Sogamoso,O4&gt;Año_Inicio_Sogamoso),SUM($C$10:O13),0)</f>
        <v>46947168879.014709</v>
      </c>
    </row>
    <row r="23" spans="1:15">
      <c r="A23" s="308" t="s">
        <v>609</v>
      </c>
      <c r="C23" s="309">
        <v>99582000000</v>
      </c>
      <c r="D23" s="309">
        <v>0</v>
      </c>
      <c r="E23" s="309">
        <v>0</v>
      </c>
      <c r="F23" s="309">
        <v>0</v>
      </c>
      <c r="G23" s="309">
        <v>0</v>
      </c>
      <c r="H23" s="309">
        <v>0</v>
      </c>
      <c r="I23" s="309">
        <v>0</v>
      </c>
      <c r="J23" s="309">
        <v>0</v>
      </c>
      <c r="K23" s="309">
        <v>0</v>
      </c>
      <c r="L23" s="309">
        <v>0</v>
      </c>
      <c r="M23" s="309">
        <v>0</v>
      </c>
      <c r="N23" s="309">
        <v>0</v>
      </c>
      <c r="O23" s="309">
        <v>0</v>
      </c>
    </row>
    <row r="24" spans="1:15" s="329" customFormat="1">
      <c r="A24" s="665" t="s">
        <v>622</v>
      </c>
      <c r="B24" s="666"/>
      <c r="C24" s="332">
        <f>SUM(C20:C23)</f>
        <v>4507724000000</v>
      </c>
      <c r="D24" s="332">
        <f t="shared" ref="D24:O24" si="3">SUM(D20:D23)</f>
        <v>0</v>
      </c>
      <c r="E24" s="332">
        <f t="shared" si="3"/>
        <v>10547439594.005108</v>
      </c>
      <c r="F24" s="332">
        <f t="shared" si="3"/>
        <v>4382562452574.4751</v>
      </c>
      <c r="G24" s="332">
        <f t="shared" si="3"/>
        <v>33573638711.589741</v>
      </c>
      <c r="H24" s="332">
        <f t="shared" si="3"/>
        <v>35423648894.14267</v>
      </c>
      <c r="I24" s="332">
        <f t="shared" si="3"/>
        <v>36898950358.472214</v>
      </c>
      <c r="J24" s="332">
        <f t="shared" si="3"/>
        <v>38328284014.180855</v>
      </c>
      <c r="K24" s="332">
        <f t="shared" si="3"/>
        <v>39923355351.873466</v>
      </c>
      <c r="L24" s="332">
        <f t="shared" si="3"/>
        <v>41566593719.100731</v>
      </c>
      <c r="M24" s="332">
        <f t="shared" si="3"/>
        <v>43290002727.361076</v>
      </c>
      <c r="N24" s="332">
        <f t="shared" si="3"/>
        <v>45083104454.698402</v>
      </c>
      <c r="O24" s="332">
        <f t="shared" si="3"/>
        <v>46947168879.014709</v>
      </c>
    </row>
    <row r="25" spans="1:15">
      <c r="A25" s="308"/>
      <c r="C25" s="309"/>
      <c r="D25" s="309"/>
      <c r="E25" s="309"/>
      <c r="F25" s="309"/>
      <c r="G25" s="309"/>
      <c r="H25" s="309"/>
      <c r="I25" s="309"/>
      <c r="J25" s="309"/>
      <c r="K25" s="309"/>
      <c r="L25" s="309"/>
      <c r="M25" s="309"/>
      <c r="N25" s="309"/>
      <c r="O25" s="309"/>
    </row>
    <row r="26" spans="1:15" ht="16.5" thickBot="1">
      <c r="A26" s="310" t="s">
        <v>624</v>
      </c>
      <c r="B26" s="310"/>
      <c r="C26" s="311">
        <f>B26+C24</f>
        <v>4507724000000</v>
      </c>
      <c r="D26" s="311">
        <f>C26+D24</f>
        <v>4507724000000</v>
      </c>
      <c r="E26" s="311">
        <f>D26+E24</f>
        <v>4518271439594.0049</v>
      </c>
      <c r="F26" s="311">
        <f>E26+F24</f>
        <v>8900833892168.4805</v>
      </c>
      <c r="G26" s="311">
        <f t="shared" ref="G26:N26" si="4">F26+G24</f>
        <v>8934407530880.0703</v>
      </c>
      <c r="H26" s="311">
        <f t="shared" si="4"/>
        <v>8969831179774.2129</v>
      </c>
      <c r="I26" s="311">
        <f t="shared" si="4"/>
        <v>9006730130132.6855</v>
      </c>
      <c r="J26" s="311">
        <f t="shared" si="4"/>
        <v>9045058414146.8672</v>
      </c>
      <c r="K26" s="311">
        <f t="shared" si="4"/>
        <v>9084981769498.7402</v>
      </c>
      <c r="L26" s="311">
        <f t="shared" si="4"/>
        <v>9126548363217.8418</v>
      </c>
      <c r="M26" s="311">
        <f t="shared" si="4"/>
        <v>9169838365945.2031</v>
      </c>
      <c r="N26" s="311">
        <f t="shared" si="4"/>
        <v>9214921470399.9023</v>
      </c>
      <c r="O26" s="311">
        <f>N26+O24</f>
        <v>9261868639278.918</v>
      </c>
    </row>
    <row r="27" spans="1:15" s="314" customFormat="1" ht="16.5" thickTop="1">
      <c r="A27" s="312"/>
      <c r="B27" s="312"/>
      <c r="C27" s="313"/>
      <c r="D27" s="313"/>
      <c r="E27" s="313"/>
      <c r="F27" s="313"/>
      <c r="G27" s="313"/>
      <c r="H27" s="313"/>
      <c r="I27" s="313"/>
      <c r="J27" s="313"/>
      <c r="K27" s="313"/>
      <c r="L27" s="313"/>
      <c r="M27" s="313"/>
      <c r="N27" s="313"/>
      <c r="O27" s="313"/>
    </row>
    <row r="29" spans="1:15" s="314" customFormat="1">
      <c r="A29" s="312"/>
      <c r="B29" s="312"/>
      <c r="C29" s="313"/>
      <c r="D29" s="313"/>
      <c r="E29" s="313"/>
      <c r="F29" s="313"/>
      <c r="G29" s="313"/>
      <c r="H29" s="313"/>
      <c r="I29" s="313"/>
      <c r="J29" s="313"/>
      <c r="K29" s="313"/>
      <c r="L29" s="313"/>
      <c r="M29" s="313"/>
      <c r="N29" s="313"/>
      <c r="O29" s="313"/>
    </row>
    <row r="30" spans="1:15" ht="16.5" thickBot="1">
      <c r="A30" s="304" t="s">
        <v>584</v>
      </c>
      <c r="B30" s="331" t="s">
        <v>130</v>
      </c>
      <c r="C30" s="345">
        <f>C4</f>
        <v>2013</v>
      </c>
      <c r="D30" s="322">
        <f>'Datos Generales'!E21</f>
        <v>41820</v>
      </c>
      <c r="E30" s="305">
        <f>E4</f>
        <v>2014</v>
      </c>
      <c r="F30" s="305">
        <f>F4</f>
        <v>2015</v>
      </c>
      <c r="G30" s="305">
        <f t="shared" ref="G30:N30" si="5">G4</f>
        <v>2016</v>
      </c>
      <c r="H30" s="305">
        <f t="shared" si="5"/>
        <v>2017</v>
      </c>
      <c r="I30" s="305">
        <f t="shared" si="5"/>
        <v>2018</v>
      </c>
      <c r="J30" s="305">
        <f t="shared" si="5"/>
        <v>2019</v>
      </c>
      <c r="K30" s="305">
        <f t="shared" si="5"/>
        <v>2020</v>
      </c>
      <c r="L30" s="305">
        <f t="shared" si="5"/>
        <v>2021</v>
      </c>
      <c r="M30" s="305">
        <f t="shared" si="5"/>
        <v>2022</v>
      </c>
      <c r="N30" s="305">
        <f t="shared" si="5"/>
        <v>2023</v>
      </c>
      <c r="O30" s="305">
        <f>O4</f>
        <v>2024</v>
      </c>
    </row>
    <row r="31" spans="1:15" ht="16.5" thickTop="1"/>
    <row r="32" spans="1:15">
      <c r="A32" s="346" t="s">
        <v>585</v>
      </c>
      <c r="B32" s="314"/>
      <c r="C32" s="315"/>
      <c r="D32" s="316"/>
      <c r="E32" s="351"/>
      <c r="F32" s="351"/>
      <c r="G32" s="351"/>
      <c r="H32" s="351"/>
      <c r="I32" s="351"/>
      <c r="J32" s="351"/>
      <c r="K32" s="351"/>
      <c r="L32" s="351"/>
      <c r="M32" s="351"/>
      <c r="N32" s="351"/>
      <c r="O32" s="351"/>
    </row>
    <row r="33" spans="1:15">
      <c r="A33" s="347" t="s">
        <v>352</v>
      </c>
      <c r="B33" s="348">
        <f>$C$4</f>
        <v>2013</v>
      </c>
      <c r="C33" s="316">
        <f>-69762000000+(59608000000+5417000000)</f>
        <v>-4737000000</v>
      </c>
      <c r="D33" s="316">
        <v>-2528250000</v>
      </c>
      <c r="E33" s="351">
        <f t="shared" ref="E33:O33" si="6">(-$C$21/Deprec_Contable_Inmuebles)*E5/Mes_año</f>
        <v>-2226125000</v>
      </c>
      <c r="F33" s="351">
        <f t="shared" si="6"/>
        <v>-4452250000</v>
      </c>
      <c r="G33" s="351">
        <f t="shared" si="6"/>
        <v>-4452250000</v>
      </c>
      <c r="H33" s="351">
        <f t="shared" si="6"/>
        <v>-4452250000</v>
      </c>
      <c r="I33" s="351">
        <f t="shared" si="6"/>
        <v>-4452250000</v>
      </c>
      <c r="J33" s="351">
        <f t="shared" si="6"/>
        <v>-4452250000</v>
      </c>
      <c r="K33" s="351">
        <f t="shared" si="6"/>
        <v>-4452250000</v>
      </c>
      <c r="L33" s="351">
        <f t="shared" si="6"/>
        <v>-4452250000</v>
      </c>
      <c r="M33" s="351">
        <f t="shared" si="6"/>
        <v>-4452250000</v>
      </c>
      <c r="N33" s="351">
        <f t="shared" si="6"/>
        <v>-4452250000</v>
      </c>
      <c r="O33" s="351">
        <f t="shared" si="6"/>
        <v>-4452250000</v>
      </c>
    </row>
    <row r="34" spans="1:15">
      <c r="A34" s="347" t="s">
        <v>437</v>
      </c>
      <c r="B34" s="348">
        <f>$C$4</f>
        <v>2013</v>
      </c>
      <c r="C34" s="316">
        <f>-3101732000000+2920975000000+1380645000000-1292741000000</f>
        <v>-92853000000</v>
      </c>
      <c r="D34" s="316">
        <v>-50937200000</v>
      </c>
      <c r="E34" s="351">
        <f t="shared" ref="E34:O34" si="7">(-$C$22/Deprec_Contable_Plantas_Generacion)*E5/Mes_año</f>
        <v>-50937200000</v>
      </c>
      <c r="F34" s="351">
        <f t="shared" si="7"/>
        <v>-101874400000</v>
      </c>
      <c r="G34" s="351">
        <f t="shared" si="7"/>
        <v>-101874400000</v>
      </c>
      <c r="H34" s="351">
        <f t="shared" si="7"/>
        <v>-101874400000</v>
      </c>
      <c r="I34" s="351">
        <f t="shared" si="7"/>
        <v>-101874400000</v>
      </c>
      <c r="J34" s="351">
        <f t="shared" si="7"/>
        <v>-101874400000</v>
      </c>
      <c r="K34" s="351">
        <f t="shared" si="7"/>
        <v>-101874400000</v>
      </c>
      <c r="L34" s="351">
        <f t="shared" si="7"/>
        <v>-101874400000</v>
      </c>
      <c r="M34" s="351">
        <f t="shared" si="7"/>
        <v>-101874400000</v>
      </c>
      <c r="N34" s="351">
        <f t="shared" si="7"/>
        <v>-101874400000</v>
      </c>
      <c r="O34" s="351">
        <f t="shared" si="7"/>
        <v>-101874400000</v>
      </c>
    </row>
    <row r="35" spans="1:15">
      <c r="A35" s="347" t="s">
        <v>609</v>
      </c>
      <c r="B35" s="348">
        <f>$C$4</f>
        <v>2013</v>
      </c>
      <c r="C35" s="316">
        <f>13490000000-5417000000-4501000000</f>
        <v>3572000000</v>
      </c>
      <c r="D35" s="316">
        <v>-2489550000</v>
      </c>
      <c r="E35" s="351">
        <f t="shared" ref="E35:O35" si="8">(-$C$23/Dep_contable_Equipos)*E5/Mes_año</f>
        <v>-2489550000</v>
      </c>
      <c r="F35" s="351">
        <f t="shared" si="8"/>
        <v>-4979100000</v>
      </c>
      <c r="G35" s="351">
        <f t="shared" si="8"/>
        <v>-4979100000</v>
      </c>
      <c r="H35" s="351">
        <f t="shared" si="8"/>
        <v>-4979100000</v>
      </c>
      <c r="I35" s="351">
        <f t="shared" si="8"/>
        <v>-4979100000</v>
      </c>
      <c r="J35" s="351">
        <f t="shared" si="8"/>
        <v>-4979100000</v>
      </c>
      <c r="K35" s="351">
        <f t="shared" si="8"/>
        <v>-4979100000</v>
      </c>
      <c r="L35" s="351">
        <f t="shared" si="8"/>
        <v>-4979100000</v>
      </c>
      <c r="M35" s="351">
        <f t="shared" si="8"/>
        <v>-4979100000</v>
      </c>
      <c r="N35" s="351">
        <f t="shared" si="8"/>
        <v>-4979100000</v>
      </c>
      <c r="O35" s="351">
        <f t="shared" si="8"/>
        <v>-4979100000</v>
      </c>
    </row>
    <row r="36" spans="1:15">
      <c r="A36" s="346" t="s">
        <v>625</v>
      </c>
      <c r="B36" s="314"/>
      <c r="C36" s="315"/>
      <c r="D36" s="316"/>
      <c r="E36" s="351"/>
      <c r="F36" s="351"/>
      <c r="G36" s="351"/>
      <c r="H36" s="351"/>
      <c r="I36" s="351"/>
      <c r="J36" s="351"/>
      <c r="K36" s="351"/>
      <c r="L36" s="351"/>
      <c r="M36" s="351"/>
      <c r="N36" s="351"/>
      <c r="O36" s="351"/>
    </row>
    <row r="37" spans="1:15">
      <c r="A37" s="347" t="s">
        <v>352</v>
      </c>
      <c r="B37" s="349">
        <f>$D$30</f>
        <v>41820</v>
      </c>
      <c r="C37" s="316">
        <v>0</v>
      </c>
      <c r="D37" s="316">
        <v>0</v>
      </c>
      <c r="E37" s="351">
        <f t="shared" ref="E37:O37" si="9">IF(E30&lt;$B$37,0,-$D$21/Deprec_Contable_Inmuebles*E5/Mes_año)</f>
        <v>0</v>
      </c>
      <c r="F37" s="351">
        <f t="shared" si="9"/>
        <v>0</v>
      </c>
      <c r="G37" s="351">
        <f t="shared" si="9"/>
        <v>0</v>
      </c>
      <c r="H37" s="351">
        <f t="shared" si="9"/>
        <v>0</v>
      </c>
      <c r="I37" s="351">
        <f t="shared" si="9"/>
        <v>0</v>
      </c>
      <c r="J37" s="351">
        <f t="shared" si="9"/>
        <v>0</v>
      </c>
      <c r="K37" s="351">
        <f t="shared" si="9"/>
        <v>0</v>
      </c>
      <c r="L37" s="351">
        <f t="shared" si="9"/>
        <v>0</v>
      </c>
      <c r="M37" s="351">
        <f t="shared" si="9"/>
        <v>0</v>
      </c>
      <c r="N37" s="351">
        <f t="shared" si="9"/>
        <v>0</v>
      </c>
      <c r="O37" s="351">
        <f t="shared" si="9"/>
        <v>0</v>
      </c>
    </row>
    <row r="38" spans="1:15">
      <c r="A38" s="347" t="s">
        <v>437</v>
      </c>
      <c r="B38" s="349">
        <f>$D$30</f>
        <v>41820</v>
      </c>
      <c r="C38" s="316">
        <v>0</v>
      </c>
      <c r="D38" s="316">
        <v>0</v>
      </c>
      <c r="E38" s="351">
        <f t="shared" ref="E38:O38" si="10">IF(E30&lt;$B$38,0,-$D$22/Deprec_Contable_Plantas_Generacion*E5/Mes_año)</f>
        <v>0</v>
      </c>
      <c r="F38" s="351">
        <f t="shared" si="10"/>
        <v>0</v>
      </c>
      <c r="G38" s="351">
        <f t="shared" si="10"/>
        <v>0</v>
      </c>
      <c r="H38" s="351">
        <f t="shared" si="10"/>
        <v>0</v>
      </c>
      <c r="I38" s="351">
        <f t="shared" si="10"/>
        <v>0</v>
      </c>
      <c r="J38" s="351">
        <f t="shared" si="10"/>
        <v>0</v>
      </c>
      <c r="K38" s="351">
        <f t="shared" si="10"/>
        <v>0</v>
      </c>
      <c r="L38" s="351">
        <f t="shared" si="10"/>
        <v>0</v>
      </c>
      <c r="M38" s="351">
        <f t="shared" si="10"/>
        <v>0</v>
      </c>
      <c r="N38" s="351">
        <f t="shared" si="10"/>
        <v>0</v>
      </c>
      <c r="O38" s="351">
        <f t="shared" si="10"/>
        <v>0</v>
      </c>
    </row>
    <row r="39" spans="1:15">
      <c r="A39" s="347" t="s">
        <v>609</v>
      </c>
      <c r="B39" s="349">
        <f>$D$30</f>
        <v>41820</v>
      </c>
      <c r="C39" s="316">
        <v>0</v>
      </c>
      <c r="D39" s="316">
        <v>0</v>
      </c>
      <c r="E39" s="351">
        <f t="shared" ref="E39:O39" si="11">IF(E30&lt;$B$39,0,-$D$23/Dep_contable_Equipos*E5/Mes_año)</f>
        <v>0</v>
      </c>
      <c r="F39" s="351">
        <f t="shared" si="11"/>
        <v>0</v>
      </c>
      <c r="G39" s="351">
        <f t="shared" si="11"/>
        <v>0</v>
      </c>
      <c r="H39" s="351">
        <f t="shared" si="11"/>
        <v>0</v>
      </c>
      <c r="I39" s="351">
        <f t="shared" si="11"/>
        <v>0</v>
      </c>
      <c r="J39" s="351">
        <f t="shared" si="11"/>
        <v>0</v>
      </c>
      <c r="K39" s="351">
        <f t="shared" si="11"/>
        <v>0</v>
      </c>
      <c r="L39" s="351">
        <f t="shared" si="11"/>
        <v>0</v>
      </c>
      <c r="M39" s="351">
        <f t="shared" si="11"/>
        <v>0</v>
      </c>
      <c r="N39" s="351">
        <f t="shared" si="11"/>
        <v>0</v>
      </c>
      <c r="O39" s="351">
        <f t="shared" si="11"/>
        <v>0</v>
      </c>
    </row>
    <row r="40" spans="1:15">
      <c r="A40" s="346" t="s">
        <v>626</v>
      </c>
      <c r="B40" s="314"/>
      <c r="C40" s="315"/>
      <c r="D40" s="316"/>
      <c r="E40" s="351"/>
      <c r="F40" s="351"/>
      <c r="G40" s="351"/>
      <c r="H40" s="351"/>
      <c r="I40" s="351"/>
      <c r="J40" s="351"/>
      <c r="K40" s="351"/>
      <c r="L40" s="351"/>
      <c r="M40" s="351"/>
      <c r="N40" s="351"/>
      <c r="O40" s="351"/>
    </row>
    <row r="41" spans="1:15">
      <c r="A41" s="347" t="s">
        <v>352</v>
      </c>
      <c r="B41" s="348">
        <f>$E$30</f>
        <v>2014</v>
      </c>
      <c r="C41" s="316">
        <v>0</v>
      </c>
      <c r="D41" s="316">
        <v>0</v>
      </c>
      <c r="E41" s="351">
        <f t="shared" ref="E41:O41" si="12">IF(E30&lt;$B$41,0,-$E$21/Deprec_Contable_Inmuebles*E5/Mes_año)</f>
        <v>0</v>
      </c>
      <c r="F41" s="351">
        <f t="shared" si="12"/>
        <v>0</v>
      </c>
      <c r="G41" s="351">
        <f t="shared" si="12"/>
        <v>0</v>
      </c>
      <c r="H41" s="351">
        <f t="shared" si="12"/>
        <v>0</v>
      </c>
      <c r="I41" s="351">
        <f t="shared" si="12"/>
        <v>0</v>
      </c>
      <c r="J41" s="351">
        <f t="shared" si="12"/>
        <v>0</v>
      </c>
      <c r="K41" s="351">
        <f t="shared" si="12"/>
        <v>0</v>
      </c>
      <c r="L41" s="351">
        <f t="shared" si="12"/>
        <v>0</v>
      </c>
      <c r="M41" s="351">
        <f t="shared" si="12"/>
        <v>0</v>
      </c>
      <c r="N41" s="351">
        <f t="shared" si="12"/>
        <v>0</v>
      </c>
      <c r="O41" s="351">
        <f t="shared" si="12"/>
        <v>0</v>
      </c>
    </row>
    <row r="42" spans="1:15">
      <c r="A42" s="347" t="s">
        <v>437</v>
      </c>
      <c r="B42" s="348">
        <f>$E$30</f>
        <v>2014</v>
      </c>
      <c r="C42" s="316">
        <v>0</v>
      </c>
      <c r="D42" s="316">
        <v>0</v>
      </c>
      <c r="E42" s="351">
        <f t="shared" ref="E42:O42" si="13">IF(E30&lt;$B$42,0,-$E$22/Deprec_Contable_Plantas_Generacion*E5/Mes_año)</f>
        <v>-131842994.92506385</v>
      </c>
      <c r="F42" s="351">
        <f t="shared" si="13"/>
        <v>-263685989.8501277</v>
      </c>
      <c r="G42" s="351">
        <f t="shared" si="13"/>
        <v>-263685989.8501277</v>
      </c>
      <c r="H42" s="351">
        <f t="shared" si="13"/>
        <v>-263685989.8501277</v>
      </c>
      <c r="I42" s="351">
        <f t="shared" si="13"/>
        <v>-263685989.8501277</v>
      </c>
      <c r="J42" s="351">
        <f t="shared" si="13"/>
        <v>-263685989.8501277</v>
      </c>
      <c r="K42" s="351">
        <f t="shared" si="13"/>
        <v>-263685989.8501277</v>
      </c>
      <c r="L42" s="351">
        <f t="shared" si="13"/>
        <v>-263685989.8501277</v>
      </c>
      <c r="M42" s="351">
        <f t="shared" si="13"/>
        <v>-263685989.8501277</v>
      </c>
      <c r="N42" s="351">
        <f t="shared" si="13"/>
        <v>-263685989.8501277</v>
      </c>
      <c r="O42" s="351">
        <f t="shared" si="13"/>
        <v>-263685989.8501277</v>
      </c>
    </row>
    <row r="43" spans="1:15">
      <c r="A43" s="347" t="s">
        <v>609</v>
      </c>
      <c r="B43" s="348">
        <f>$E$30</f>
        <v>2014</v>
      </c>
      <c r="C43" s="316">
        <v>0</v>
      </c>
      <c r="D43" s="316">
        <v>0</v>
      </c>
      <c r="E43" s="351">
        <f t="shared" ref="E43:O43" si="14">IF(E30&lt;$B$43,0,-$E$23/Dep_contable_Equipos*E5/Mes_año)</f>
        <v>0</v>
      </c>
      <c r="F43" s="351">
        <f t="shared" si="14"/>
        <v>0</v>
      </c>
      <c r="G43" s="351">
        <f t="shared" si="14"/>
        <v>0</v>
      </c>
      <c r="H43" s="351">
        <f t="shared" si="14"/>
        <v>0</v>
      </c>
      <c r="I43" s="351">
        <f t="shared" si="14"/>
        <v>0</v>
      </c>
      <c r="J43" s="351">
        <f t="shared" si="14"/>
        <v>0</v>
      </c>
      <c r="K43" s="351">
        <f t="shared" si="14"/>
        <v>0</v>
      </c>
      <c r="L43" s="351">
        <f t="shared" si="14"/>
        <v>0</v>
      </c>
      <c r="M43" s="351">
        <f t="shared" si="14"/>
        <v>0</v>
      </c>
      <c r="N43" s="351">
        <f t="shared" si="14"/>
        <v>0</v>
      </c>
      <c r="O43" s="351">
        <f t="shared" si="14"/>
        <v>0</v>
      </c>
    </row>
    <row r="44" spans="1:15">
      <c r="A44" s="346" t="s">
        <v>586</v>
      </c>
      <c r="B44" s="314"/>
      <c r="C44" s="315"/>
      <c r="D44" s="316"/>
      <c r="E44" s="351"/>
      <c r="F44" s="351"/>
      <c r="G44" s="351"/>
      <c r="H44" s="351"/>
      <c r="I44" s="351"/>
      <c r="J44" s="351"/>
      <c r="K44" s="351"/>
      <c r="L44" s="351"/>
      <c r="M44" s="351"/>
      <c r="N44" s="351"/>
      <c r="O44" s="351"/>
    </row>
    <row r="45" spans="1:15">
      <c r="A45" s="347" t="s">
        <v>352</v>
      </c>
      <c r="B45" s="314">
        <f>$F$30</f>
        <v>2015</v>
      </c>
      <c r="C45" s="316">
        <v>0</v>
      </c>
      <c r="D45" s="316">
        <v>0</v>
      </c>
      <c r="E45" s="351">
        <f t="shared" ref="E45:O45" si="15">IF(E30&lt;$B$45,0,-$F$21/Deprec_Contable_Inmuebles*E5/Mes_año)</f>
        <v>0</v>
      </c>
      <c r="F45" s="351">
        <f t="shared" si="15"/>
        <v>0</v>
      </c>
      <c r="G45" s="351">
        <f t="shared" si="15"/>
        <v>0</v>
      </c>
      <c r="H45" s="351">
        <f t="shared" si="15"/>
        <v>0</v>
      </c>
      <c r="I45" s="351">
        <f t="shared" si="15"/>
        <v>0</v>
      </c>
      <c r="J45" s="351">
        <f t="shared" si="15"/>
        <v>0</v>
      </c>
      <c r="K45" s="351">
        <f t="shared" si="15"/>
        <v>0</v>
      </c>
      <c r="L45" s="351">
        <f t="shared" si="15"/>
        <v>0</v>
      </c>
      <c r="M45" s="351">
        <f t="shared" si="15"/>
        <v>0</v>
      </c>
      <c r="N45" s="351">
        <f t="shared" si="15"/>
        <v>0</v>
      </c>
      <c r="O45" s="351">
        <f t="shared" si="15"/>
        <v>0</v>
      </c>
    </row>
    <row r="46" spans="1:15">
      <c r="A46" s="347" t="s">
        <v>437</v>
      </c>
      <c r="B46" s="314">
        <f>$F$30</f>
        <v>2015</v>
      </c>
      <c r="C46" s="316">
        <v>0</v>
      </c>
      <c r="D46" s="316">
        <v>0</v>
      </c>
      <c r="E46" s="351">
        <f t="shared" ref="E46:O46" si="16">IF(E30&lt;$B$46,0,-$F$22/Deprec_Contable_Plantas_Generacion*E5/Mes_año)</f>
        <v>0</v>
      </c>
      <c r="F46" s="351">
        <f t="shared" si="16"/>
        <v>-103454386314.36188</v>
      </c>
      <c r="G46" s="351">
        <f t="shared" si="16"/>
        <v>-103454386314.36188</v>
      </c>
      <c r="H46" s="351">
        <f t="shared" si="16"/>
        <v>-103454386314.36188</v>
      </c>
      <c r="I46" s="351">
        <f t="shared" si="16"/>
        <v>-103454386314.36188</v>
      </c>
      <c r="J46" s="351">
        <f t="shared" si="16"/>
        <v>-103454386314.36188</v>
      </c>
      <c r="K46" s="351">
        <f t="shared" si="16"/>
        <v>-103454386314.36188</v>
      </c>
      <c r="L46" s="351">
        <f t="shared" si="16"/>
        <v>-103454386314.36188</v>
      </c>
      <c r="M46" s="351">
        <f t="shared" si="16"/>
        <v>-103454386314.36188</v>
      </c>
      <c r="N46" s="351">
        <f t="shared" si="16"/>
        <v>-103454386314.36188</v>
      </c>
      <c r="O46" s="351">
        <f t="shared" si="16"/>
        <v>-103454386314.36188</v>
      </c>
    </row>
    <row r="47" spans="1:15">
      <c r="A47" s="347" t="s">
        <v>609</v>
      </c>
      <c r="B47" s="314">
        <f>$F$30</f>
        <v>2015</v>
      </c>
      <c r="C47" s="316">
        <v>0</v>
      </c>
      <c r="D47" s="316">
        <v>0</v>
      </c>
      <c r="E47" s="351">
        <f t="shared" ref="E47:O47" si="17">IF(E30&lt;$B$47,0,-$F$23/Dep_contable_Equipos*E5/Mes_año)</f>
        <v>0</v>
      </c>
      <c r="F47" s="351">
        <f t="shared" si="17"/>
        <v>0</v>
      </c>
      <c r="G47" s="351">
        <f t="shared" si="17"/>
        <v>0</v>
      </c>
      <c r="H47" s="351">
        <f t="shared" si="17"/>
        <v>0</v>
      </c>
      <c r="I47" s="351">
        <f t="shared" si="17"/>
        <v>0</v>
      </c>
      <c r="J47" s="351">
        <f t="shared" si="17"/>
        <v>0</v>
      </c>
      <c r="K47" s="351">
        <f t="shared" si="17"/>
        <v>0</v>
      </c>
      <c r="L47" s="351">
        <f t="shared" si="17"/>
        <v>0</v>
      </c>
      <c r="M47" s="351">
        <f t="shared" si="17"/>
        <v>0</v>
      </c>
      <c r="N47" s="351">
        <f t="shared" si="17"/>
        <v>0</v>
      </c>
      <c r="O47" s="351">
        <f t="shared" si="17"/>
        <v>0</v>
      </c>
    </row>
    <row r="48" spans="1:15">
      <c r="A48" s="346" t="s">
        <v>587</v>
      </c>
      <c r="B48" s="314"/>
      <c r="C48" s="315"/>
      <c r="D48" s="316"/>
      <c r="E48" s="351"/>
      <c r="F48" s="351"/>
      <c r="G48" s="351"/>
      <c r="H48" s="351"/>
      <c r="I48" s="351"/>
      <c r="J48" s="351"/>
      <c r="K48" s="351"/>
      <c r="L48" s="351"/>
      <c r="M48" s="351"/>
      <c r="N48" s="351"/>
      <c r="O48" s="351"/>
    </row>
    <row r="49" spans="1:15">
      <c r="A49" s="347" t="s">
        <v>352</v>
      </c>
      <c r="B49" s="314">
        <f>$G$30</f>
        <v>2016</v>
      </c>
      <c r="C49" s="316">
        <v>0</v>
      </c>
      <c r="D49" s="316">
        <v>0</v>
      </c>
      <c r="E49" s="351">
        <f t="shared" ref="E49:O49" si="18">IF(E30&lt;$B$49,0,-$G$21/Deprec_Contable_Inmuebles*E5/Mes_año)</f>
        <v>0</v>
      </c>
      <c r="F49" s="351">
        <f t="shared" si="18"/>
        <v>0</v>
      </c>
      <c r="G49" s="351">
        <f t="shared" si="18"/>
        <v>0</v>
      </c>
      <c r="H49" s="351">
        <f t="shared" si="18"/>
        <v>0</v>
      </c>
      <c r="I49" s="351">
        <f t="shared" si="18"/>
        <v>0</v>
      </c>
      <c r="J49" s="351">
        <f t="shared" si="18"/>
        <v>0</v>
      </c>
      <c r="K49" s="351">
        <f t="shared" si="18"/>
        <v>0</v>
      </c>
      <c r="L49" s="351">
        <f t="shared" si="18"/>
        <v>0</v>
      </c>
      <c r="M49" s="351">
        <f t="shared" si="18"/>
        <v>0</v>
      </c>
      <c r="N49" s="351">
        <f t="shared" si="18"/>
        <v>0</v>
      </c>
      <c r="O49" s="351">
        <f t="shared" si="18"/>
        <v>0</v>
      </c>
    </row>
    <row r="50" spans="1:15">
      <c r="A50" s="347" t="s">
        <v>437</v>
      </c>
      <c r="B50" s="314">
        <f>$G$30</f>
        <v>2016</v>
      </c>
      <c r="C50" s="316">
        <v>0</v>
      </c>
      <c r="D50" s="316">
        <v>0</v>
      </c>
      <c r="E50" s="351">
        <f t="shared" ref="E50:O50" si="19">IF(E30&lt;$B$50,0,-$G$22/Deprec_Contable_Plantas_Generacion*E5/Mes_año)</f>
        <v>0</v>
      </c>
      <c r="F50" s="351">
        <f t="shared" si="19"/>
        <v>0</v>
      </c>
      <c r="G50" s="351">
        <f t="shared" si="19"/>
        <v>-839340967.78974354</v>
      </c>
      <c r="H50" s="351">
        <f t="shared" si="19"/>
        <v>-839340967.78974354</v>
      </c>
      <c r="I50" s="351">
        <f t="shared" si="19"/>
        <v>-839340967.78974354</v>
      </c>
      <c r="J50" s="351">
        <f t="shared" si="19"/>
        <v>-839340967.78974354</v>
      </c>
      <c r="K50" s="351">
        <f t="shared" si="19"/>
        <v>-839340967.78974354</v>
      </c>
      <c r="L50" s="351">
        <f t="shared" si="19"/>
        <v>-839340967.78974354</v>
      </c>
      <c r="M50" s="351">
        <f t="shared" si="19"/>
        <v>-839340967.78974354</v>
      </c>
      <c r="N50" s="351">
        <f t="shared" si="19"/>
        <v>-839340967.78974354</v>
      </c>
      <c r="O50" s="351">
        <f t="shared" si="19"/>
        <v>-839340967.78974354</v>
      </c>
    </row>
    <row r="51" spans="1:15">
      <c r="A51" s="347" t="s">
        <v>609</v>
      </c>
      <c r="B51" s="314">
        <f>$G$30</f>
        <v>2016</v>
      </c>
      <c r="C51" s="316">
        <v>0</v>
      </c>
      <c r="D51" s="316">
        <v>0</v>
      </c>
      <c r="E51" s="351">
        <f t="shared" ref="E51:O51" si="20">IF(E30&lt;$B$51,0,-$G$23/Dep_contable_Equipos*E5/Mes_año)</f>
        <v>0</v>
      </c>
      <c r="F51" s="351">
        <f t="shared" si="20"/>
        <v>0</v>
      </c>
      <c r="G51" s="351">
        <f t="shared" si="20"/>
        <v>0</v>
      </c>
      <c r="H51" s="351">
        <f t="shared" si="20"/>
        <v>0</v>
      </c>
      <c r="I51" s="351">
        <f t="shared" si="20"/>
        <v>0</v>
      </c>
      <c r="J51" s="351">
        <f t="shared" si="20"/>
        <v>0</v>
      </c>
      <c r="K51" s="351">
        <f t="shared" si="20"/>
        <v>0</v>
      </c>
      <c r="L51" s="351">
        <f t="shared" si="20"/>
        <v>0</v>
      </c>
      <c r="M51" s="351">
        <f t="shared" si="20"/>
        <v>0</v>
      </c>
      <c r="N51" s="351">
        <f t="shared" si="20"/>
        <v>0</v>
      </c>
      <c r="O51" s="351">
        <f t="shared" si="20"/>
        <v>0</v>
      </c>
    </row>
    <row r="52" spans="1:15">
      <c r="A52" s="346" t="s">
        <v>588</v>
      </c>
      <c r="B52" s="314"/>
      <c r="C52" s="315"/>
      <c r="D52" s="316"/>
      <c r="E52" s="351"/>
      <c r="F52" s="351"/>
      <c r="G52" s="351"/>
      <c r="H52" s="351"/>
      <c r="I52" s="351"/>
      <c r="J52" s="351"/>
      <c r="K52" s="351"/>
      <c r="L52" s="351"/>
      <c r="M52" s="351"/>
      <c r="N52" s="351"/>
      <c r="O52" s="351"/>
    </row>
    <row r="53" spans="1:15">
      <c r="A53" s="347" t="s">
        <v>352</v>
      </c>
      <c r="B53" s="314">
        <f>$H$30</f>
        <v>2017</v>
      </c>
      <c r="C53" s="316">
        <v>0</v>
      </c>
      <c r="D53" s="316">
        <v>0</v>
      </c>
      <c r="E53" s="351">
        <f t="shared" ref="E53:O53" si="21">IF(E30&lt;$B$53,0,-$H$21/Deprec_Contable_Inmuebles*E5/Mes_año)</f>
        <v>0</v>
      </c>
      <c r="F53" s="351">
        <f t="shared" si="21"/>
        <v>0</v>
      </c>
      <c r="G53" s="351">
        <f t="shared" si="21"/>
        <v>0</v>
      </c>
      <c r="H53" s="351">
        <f t="shared" si="21"/>
        <v>0</v>
      </c>
      <c r="I53" s="351">
        <f t="shared" si="21"/>
        <v>0</v>
      </c>
      <c r="J53" s="351">
        <f t="shared" si="21"/>
        <v>0</v>
      </c>
      <c r="K53" s="351">
        <f t="shared" si="21"/>
        <v>0</v>
      </c>
      <c r="L53" s="351">
        <f t="shared" si="21"/>
        <v>0</v>
      </c>
      <c r="M53" s="351">
        <f t="shared" si="21"/>
        <v>0</v>
      </c>
      <c r="N53" s="351">
        <f t="shared" si="21"/>
        <v>0</v>
      </c>
      <c r="O53" s="351">
        <f t="shared" si="21"/>
        <v>0</v>
      </c>
    </row>
    <row r="54" spans="1:15">
      <c r="A54" s="347" t="s">
        <v>437</v>
      </c>
      <c r="B54" s="314">
        <f>$H$30</f>
        <v>2017</v>
      </c>
      <c r="C54" s="316">
        <v>0</v>
      </c>
      <c r="D54" s="316">
        <v>0</v>
      </c>
      <c r="E54" s="351">
        <f t="shared" ref="E54:O54" si="22">IF(E30&lt;$B$54,0,-$H$22/Deprec_Contable_Plantas_Generacion*E5/Mes_año)</f>
        <v>0</v>
      </c>
      <c r="F54" s="351">
        <f t="shared" si="22"/>
        <v>0</v>
      </c>
      <c r="G54" s="351">
        <f t="shared" si="22"/>
        <v>0</v>
      </c>
      <c r="H54" s="351">
        <f t="shared" si="22"/>
        <v>-885591222.35356677</v>
      </c>
      <c r="I54" s="351">
        <f t="shared" si="22"/>
        <v>-885591222.35356677</v>
      </c>
      <c r="J54" s="351">
        <f t="shared" si="22"/>
        <v>-885591222.35356677</v>
      </c>
      <c r="K54" s="351">
        <f t="shared" si="22"/>
        <v>-885591222.35356677</v>
      </c>
      <c r="L54" s="351">
        <f t="shared" si="22"/>
        <v>-885591222.35356677</v>
      </c>
      <c r="M54" s="351">
        <f t="shared" si="22"/>
        <v>-885591222.35356677</v>
      </c>
      <c r="N54" s="351">
        <f t="shared" si="22"/>
        <v>-885591222.35356677</v>
      </c>
      <c r="O54" s="351">
        <f t="shared" si="22"/>
        <v>-885591222.35356677</v>
      </c>
    </row>
    <row r="55" spans="1:15">
      <c r="A55" s="347" t="s">
        <v>609</v>
      </c>
      <c r="B55" s="314">
        <f>$H$30</f>
        <v>2017</v>
      </c>
      <c r="C55" s="316">
        <v>0</v>
      </c>
      <c r="D55" s="316">
        <v>0</v>
      </c>
      <c r="E55" s="351">
        <f t="shared" ref="E55:O55" si="23">IF(E30&lt;$B$55,0,-$H$23/Dep_contable_Equipos*E5/Mes_año)</f>
        <v>0</v>
      </c>
      <c r="F55" s="351">
        <f t="shared" si="23"/>
        <v>0</v>
      </c>
      <c r="G55" s="351">
        <f t="shared" si="23"/>
        <v>0</v>
      </c>
      <c r="H55" s="351">
        <f t="shared" si="23"/>
        <v>0</v>
      </c>
      <c r="I55" s="351">
        <f t="shared" si="23"/>
        <v>0</v>
      </c>
      <c r="J55" s="351">
        <f t="shared" si="23"/>
        <v>0</v>
      </c>
      <c r="K55" s="351">
        <f t="shared" si="23"/>
        <v>0</v>
      </c>
      <c r="L55" s="351">
        <f t="shared" si="23"/>
        <v>0</v>
      </c>
      <c r="M55" s="351">
        <f t="shared" si="23"/>
        <v>0</v>
      </c>
      <c r="N55" s="351">
        <f t="shared" si="23"/>
        <v>0</v>
      </c>
      <c r="O55" s="351">
        <f t="shared" si="23"/>
        <v>0</v>
      </c>
    </row>
    <row r="56" spans="1:15">
      <c r="A56" s="346" t="s">
        <v>589</v>
      </c>
      <c r="B56" s="314"/>
      <c r="C56" s="315"/>
      <c r="D56" s="316"/>
      <c r="E56" s="351"/>
      <c r="F56" s="351"/>
      <c r="G56" s="351"/>
      <c r="H56" s="351"/>
      <c r="I56" s="351"/>
      <c r="J56" s="351"/>
      <c r="K56" s="351"/>
      <c r="L56" s="351"/>
      <c r="M56" s="351"/>
      <c r="N56" s="351"/>
      <c r="O56" s="351"/>
    </row>
    <row r="57" spans="1:15">
      <c r="A57" s="347" t="s">
        <v>352</v>
      </c>
      <c r="B57" s="314">
        <f>$I$30</f>
        <v>2018</v>
      </c>
      <c r="C57" s="316">
        <v>0</v>
      </c>
      <c r="D57" s="316">
        <v>0</v>
      </c>
      <c r="E57" s="351">
        <f t="shared" ref="E57:O57" si="24">IF(E30&lt;$B$57,0,-$I$21/Deprec_Contable_Inmuebles*E5/Mes_año)</f>
        <v>0</v>
      </c>
      <c r="F57" s="351">
        <f t="shared" si="24"/>
        <v>0</v>
      </c>
      <c r="G57" s="351">
        <f t="shared" si="24"/>
        <v>0</v>
      </c>
      <c r="H57" s="351">
        <f t="shared" si="24"/>
        <v>0</v>
      </c>
      <c r="I57" s="351">
        <f t="shared" si="24"/>
        <v>0</v>
      </c>
      <c r="J57" s="351">
        <f t="shared" si="24"/>
        <v>0</v>
      </c>
      <c r="K57" s="351">
        <f t="shared" si="24"/>
        <v>0</v>
      </c>
      <c r="L57" s="351">
        <f t="shared" si="24"/>
        <v>0</v>
      </c>
      <c r="M57" s="351">
        <f t="shared" si="24"/>
        <v>0</v>
      </c>
      <c r="N57" s="351">
        <f t="shared" si="24"/>
        <v>0</v>
      </c>
      <c r="O57" s="351">
        <f t="shared" si="24"/>
        <v>0</v>
      </c>
    </row>
    <row r="58" spans="1:15">
      <c r="A58" s="347" t="s">
        <v>437</v>
      </c>
      <c r="B58" s="314">
        <f>$I$30</f>
        <v>2018</v>
      </c>
      <c r="C58" s="316">
        <v>0</v>
      </c>
      <c r="D58" s="316">
        <v>0</v>
      </c>
      <c r="E58" s="351">
        <f t="shared" ref="E58:O58" si="25">IF(E30&lt;$B$58,0,-$I$22/Deprec_Contable_Plantas_Generacion*E5/Mes_año)</f>
        <v>0</v>
      </c>
      <c r="F58" s="351">
        <f t="shared" si="25"/>
        <v>0</v>
      </c>
      <c r="G58" s="351">
        <f t="shared" si="25"/>
        <v>0</v>
      </c>
      <c r="H58" s="351">
        <f t="shared" si="25"/>
        <v>0</v>
      </c>
      <c r="I58" s="351">
        <f t="shared" si="25"/>
        <v>-922473758.96180534</v>
      </c>
      <c r="J58" s="351">
        <f t="shared" si="25"/>
        <v>-922473758.96180534</v>
      </c>
      <c r="K58" s="351">
        <f t="shared" si="25"/>
        <v>-922473758.96180534</v>
      </c>
      <c r="L58" s="351">
        <f t="shared" si="25"/>
        <v>-922473758.96180534</v>
      </c>
      <c r="M58" s="351">
        <f t="shared" si="25"/>
        <v>-922473758.96180534</v>
      </c>
      <c r="N58" s="351">
        <f t="shared" si="25"/>
        <v>-922473758.96180534</v>
      </c>
      <c r="O58" s="351">
        <f t="shared" si="25"/>
        <v>-922473758.96180534</v>
      </c>
    </row>
    <row r="59" spans="1:15">
      <c r="A59" s="347" t="s">
        <v>609</v>
      </c>
      <c r="B59" s="314">
        <f>$I$30</f>
        <v>2018</v>
      </c>
      <c r="C59" s="316">
        <v>0</v>
      </c>
      <c r="D59" s="316">
        <v>0</v>
      </c>
      <c r="E59" s="351">
        <f t="shared" ref="E59:O59" si="26">IF(E30&lt;$B$59,0,-$I$23/Dep_contable_Equipos*E5/Mes_año)</f>
        <v>0</v>
      </c>
      <c r="F59" s="351">
        <f t="shared" si="26"/>
        <v>0</v>
      </c>
      <c r="G59" s="351">
        <f t="shared" si="26"/>
        <v>0</v>
      </c>
      <c r="H59" s="351">
        <f t="shared" si="26"/>
        <v>0</v>
      </c>
      <c r="I59" s="351">
        <f t="shared" si="26"/>
        <v>0</v>
      </c>
      <c r="J59" s="351">
        <f t="shared" si="26"/>
        <v>0</v>
      </c>
      <c r="K59" s="351">
        <f t="shared" si="26"/>
        <v>0</v>
      </c>
      <c r="L59" s="351">
        <f t="shared" si="26"/>
        <v>0</v>
      </c>
      <c r="M59" s="351">
        <f t="shared" si="26"/>
        <v>0</v>
      </c>
      <c r="N59" s="351">
        <f t="shared" si="26"/>
        <v>0</v>
      </c>
      <c r="O59" s="351">
        <f t="shared" si="26"/>
        <v>0</v>
      </c>
    </row>
    <row r="60" spans="1:15">
      <c r="A60" s="346" t="s">
        <v>590</v>
      </c>
      <c r="B60" s="314"/>
      <c r="C60" s="315"/>
      <c r="D60" s="316"/>
      <c r="E60" s="351"/>
      <c r="F60" s="351"/>
      <c r="G60" s="351"/>
      <c r="H60" s="351"/>
      <c r="I60" s="351"/>
      <c r="J60" s="351"/>
      <c r="K60" s="351"/>
      <c r="L60" s="351"/>
      <c r="M60" s="351"/>
      <c r="N60" s="351"/>
      <c r="O60" s="351"/>
    </row>
    <row r="61" spans="1:15">
      <c r="A61" s="347" t="s">
        <v>352</v>
      </c>
      <c r="B61" s="314">
        <f>$J$30</f>
        <v>2019</v>
      </c>
      <c r="C61" s="316">
        <v>0</v>
      </c>
      <c r="D61" s="316">
        <v>0</v>
      </c>
      <c r="E61" s="351">
        <f t="shared" ref="E61:O61" si="27">IF(E30&lt;$B$61,0,-$J$21/Deprec_Contable_Inmuebles*E5/Mes_año)</f>
        <v>0</v>
      </c>
      <c r="F61" s="351">
        <f t="shared" si="27"/>
        <v>0</v>
      </c>
      <c r="G61" s="351">
        <f t="shared" si="27"/>
        <v>0</v>
      </c>
      <c r="H61" s="351">
        <f t="shared" si="27"/>
        <v>0</v>
      </c>
      <c r="I61" s="351">
        <f t="shared" si="27"/>
        <v>0</v>
      </c>
      <c r="J61" s="351">
        <f t="shared" si="27"/>
        <v>0</v>
      </c>
      <c r="K61" s="351">
        <f t="shared" si="27"/>
        <v>0</v>
      </c>
      <c r="L61" s="351">
        <f t="shared" si="27"/>
        <v>0</v>
      </c>
      <c r="M61" s="351">
        <f t="shared" si="27"/>
        <v>0</v>
      </c>
      <c r="N61" s="351">
        <f t="shared" si="27"/>
        <v>0</v>
      </c>
      <c r="O61" s="351">
        <f t="shared" si="27"/>
        <v>0</v>
      </c>
    </row>
    <row r="62" spans="1:15">
      <c r="A62" s="347" t="s">
        <v>437</v>
      </c>
      <c r="B62" s="314">
        <f>$J$30</f>
        <v>2019</v>
      </c>
      <c r="C62" s="316">
        <v>0</v>
      </c>
      <c r="D62" s="316">
        <v>0</v>
      </c>
      <c r="E62" s="351">
        <f t="shared" ref="E62:O62" si="28">IF(E30&lt;$B$62,0,-$J$22/Deprec_Contable_Plantas_Generacion*E5/Mes_año)</f>
        <v>0</v>
      </c>
      <c r="F62" s="351">
        <f t="shared" si="28"/>
        <v>0</v>
      </c>
      <c r="G62" s="351">
        <f t="shared" si="28"/>
        <v>0</v>
      </c>
      <c r="H62" s="351">
        <f t="shared" si="28"/>
        <v>0</v>
      </c>
      <c r="I62" s="351">
        <f t="shared" si="28"/>
        <v>0</v>
      </c>
      <c r="J62" s="351">
        <f t="shared" si="28"/>
        <v>-958207100.35452139</v>
      </c>
      <c r="K62" s="351">
        <f t="shared" si="28"/>
        <v>-958207100.35452139</v>
      </c>
      <c r="L62" s="351">
        <f t="shared" si="28"/>
        <v>-958207100.35452139</v>
      </c>
      <c r="M62" s="351">
        <f t="shared" si="28"/>
        <v>-958207100.35452139</v>
      </c>
      <c r="N62" s="351">
        <f t="shared" si="28"/>
        <v>-958207100.35452139</v>
      </c>
      <c r="O62" s="351">
        <f t="shared" si="28"/>
        <v>-958207100.35452139</v>
      </c>
    </row>
    <row r="63" spans="1:15">
      <c r="A63" s="347" t="s">
        <v>609</v>
      </c>
      <c r="B63" s="314">
        <f>$J$30</f>
        <v>2019</v>
      </c>
      <c r="C63" s="316">
        <v>0</v>
      </c>
      <c r="D63" s="316">
        <v>0</v>
      </c>
      <c r="E63" s="351">
        <f t="shared" ref="E63:O63" si="29">IF(E30&lt;$B$63,0,-$J$23/Dep_contable_Equipos*E5/Mes_año)</f>
        <v>0</v>
      </c>
      <c r="F63" s="351">
        <f t="shared" si="29"/>
        <v>0</v>
      </c>
      <c r="G63" s="351">
        <f t="shared" si="29"/>
        <v>0</v>
      </c>
      <c r="H63" s="351">
        <f t="shared" si="29"/>
        <v>0</v>
      </c>
      <c r="I63" s="351">
        <f t="shared" si="29"/>
        <v>0</v>
      </c>
      <c r="J63" s="351">
        <f t="shared" si="29"/>
        <v>0</v>
      </c>
      <c r="K63" s="351">
        <f t="shared" si="29"/>
        <v>0</v>
      </c>
      <c r="L63" s="351">
        <f t="shared" si="29"/>
        <v>0</v>
      </c>
      <c r="M63" s="351">
        <f t="shared" si="29"/>
        <v>0</v>
      </c>
      <c r="N63" s="351">
        <f t="shared" si="29"/>
        <v>0</v>
      </c>
      <c r="O63" s="351">
        <f t="shared" si="29"/>
        <v>0</v>
      </c>
    </row>
    <row r="64" spans="1:15">
      <c r="A64" s="346" t="s">
        <v>591</v>
      </c>
      <c r="B64" s="314"/>
      <c r="C64" s="315"/>
      <c r="D64" s="316"/>
      <c r="E64" s="351"/>
      <c r="F64" s="351"/>
      <c r="G64" s="351"/>
      <c r="H64" s="351"/>
      <c r="I64" s="351"/>
      <c r="J64" s="351"/>
      <c r="K64" s="351"/>
      <c r="L64" s="351"/>
      <c r="M64" s="351"/>
      <c r="N64" s="351"/>
      <c r="O64" s="351"/>
    </row>
    <row r="65" spans="1:15">
      <c r="A65" s="347" t="s">
        <v>352</v>
      </c>
      <c r="B65" s="314">
        <f>$K$30</f>
        <v>2020</v>
      </c>
      <c r="C65" s="316">
        <v>0</v>
      </c>
      <c r="D65" s="316">
        <v>0</v>
      </c>
      <c r="E65" s="351">
        <f t="shared" ref="E65:O65" si="30">IF(E30&lt;$B$65,0,-$K$21/Deprec_Contable_Inmuebles*E5/Mes_año)</f>
        <v>0</v>
      </c>
      <c r="F65" s="351">
        <f t="shared" si="30"/>
        <v>0</v>
      </c>
      <c r="G65" s="351">
        <f t="shared" si="30"/>
        <v>0</v>
      </c>
      <c r="H65" s="351">
        <f t="shared" si="30"/>
        <v>0</v>
      </c>
      <c r="I65" s="351">
        <f t="shared" si="30"/>
        <v>0</v>
      </c>
      <c r="J65" s="351">
        <f t="shared" si="30"/>
        <v>0</v>
      </c>
      <c r="K65" s="351">
        <f t="shared" si="30"/>
        <v>0</v>
      </c>
      <c r="L65" s="351">
        <f t="shared" si="30"/>
        <v>0</v>
      </c>
      <c r="M65" s="351">
        <f t="shared" si="30"/>
        <v>0</v>
      </c>
      <c r="N65" s="351">
        <f t="shared" si="30"/>
        <v>0</v>
      </c>
      <c r="O65" s="351">
        <f t="shared" si="30"/>
        <v>0</v>
      </c>
    </row>
    <row r="66" spans="1:15">
      <c r="A66" s="347" t="s">
        <v>437</v>
      </c>
      <c r="B66" s="314">
        <f>$K$30</f>
        <v>2020</v>
      </c>
      <c r="C66" s="316">
        <v>0</v>
      </c>
      <c r="D66" s="316">
        <v>0</v>
      </c>
      <c r="E66" s="351">
        <f t="shared" ref="E66:O66" si="31">IF(E30&lt;$B$66,0,-$K$22/Deprec_Contable_Plantas_Generacion*E5/Mes_año)</f>
        <v>0</v>
      </c>
      <c r="F66" s="351">
        <f t="shared" si="31"/>
        <v>0</v>
      </c>
      <c r="G66" s="351">
        <f t="shared" si="31"/>
        <v>0</v>
      </c>
      <c r="H66" s="351">
        <f t="shared" si="31"/>
        <v>0</v>
      </c>
      <c r="I66" s="351">
        <f t="shared" si="31"/>
        <v>0</v>
      </c>
      <c r="J66" s="351">
        <f t="shared" si="31"/>
        <v>0</v>
      </c>
      <c r="K66" s="351">
        <f t="shared" si="31"/>
        <v>-998083883.7968365</v>
      </c>
      <c r="L66" s="351">
        <f t="shared" si="31"/>
        <v>-998083883.7968365</v>
      </c>
      <c r="M66" s="351">
        <f t="shared" si="31"/>
        <v>-998083883.7968365</v>
      </c>
      <c r="N66" s="351">
        <f t="shared" si="31"/>
        <v>-998083883.7968365</v>
      </c>
      <c r="O66" s="351">
        <f t="shared" si="31"/>
        <v>-998083883.7968365</v>
      </c>
    </row>
    <row r="67" spans="1:15">
      <c r="A67" s="347" t="s">
        <v>609</v>
      </c>
      <c r="B67" s="314">
        <f>$K$30</f>
        <v>2020</v>
      </c>
      <c r="C67" s="316">
        <v>0</v>
      </c>
      <c r="D67" s="316">
        <v>0</v>
      </c>
      <c r="E67" s="351">
        <f t="shared" ref="E67:O67" si="32">IF(E30&lt;$B$67,0,-$K$23/Dep_contable_Equipos*E5/Mes_año)</f>
        <v>0</v>
      </c>
      <c r="F67" s="351">
        <f t="shared" si="32"/>
        <v>0</v>
      </c>
      <c r="G67" s="351">
        <f t="shared" si="32"/>
        <v>0</v>
      </c>
      <c r="H67" s="351">
        <f t="shared" si="32"/>
        <v>0</v>
      </c>
      <c r="I67" s="351">
        <f t="shared" si="32"/>
        <v>0</v>
      </c>
      <c r="J67" s="351">
        <f t="shared" si="32"/>
        <v>0</v>
      </c>
      <c r="K67" s="351">
        <f t="shared" si="32"/>
        <v>0</v>
      </c>
      <c r="L67" s="351">
        <f t="shared" si="32"/>
        <v>0</v>
      </c>
      <c r="M67" s="351">
        <f t="shared" si="32"/>
        <v>0</v>
      </c>
      <c r="N67" s="351">
        <f t="shared" si="32"/>
        <v>0</v>
      </c>
      <c r="O67" s="351">
        <f t="shared" si="32"/>
        <v>0</v>
      </c>
    </row>
    <row r="68" spans="1:15">
      <c r="A68" s="346" t="s">
        <v>592</v>
      </c>
      <c r="B68" s="314"/>
      <c r="C68" s="315"/>
      <c r="D68" s="316"/>
      <c r="E68" s="351"/>
      <c r="F68" s="351"/>
      <c r="G68" s="351"/>
      <c r="H68" s="351"/>
      <c r="I68" s="351"/>
      <c r="J68" s="351"/>
      <c r="K68" s="351"/>
      <c r="L68" s="351"/>
      <c r="M68" s="351"/>
      <c r="N68" s="351"/>
      <c r="O68" s="351"/>
    </row>
    <row r="69" spans="1:15">
      <c r="A69" s="347" t="s">
        <v>352</v>
      </c>
      <c r="B69" s="314">
        <f>$L$30</f>
        <v>2021</v>
      </c>
      <c r="C69" s="316">
        <v>0</v>
      </c>
      <c r="D69" s="316">
        <v>0</v>
      </c>
      <c r="E69" s="351">
        <f t="shared" ref="E69:O69" si="33">IF(E30&lt;$B$69,0,-$L$21/Deprec_Contable_Inmuebles*E5/Mes_año)</f>
        <v>0</v>
      </c>
      <c r="F69" s="351">
        <f t="shared" si="33"/>
        <v>0</v>
      </c>
      <c r="G69" s="351">
        <f t="shared" si="33"/>
        <v>0</v>
      </c>
      <c r="H69" s="351">
        <f t="shared" si="33"/>
        <v>0</v>
      </c>
      <c r="I69" s="351">
        <f t="shared" si="33"/>
        <v>0</v>
      </c>
      <c r="J69" s="351">
        <f t="shared" si="33"/>
        <v>0</v>
      </c>
      <c r="K69" s="351">
        <f t="shared" si="33"/>
        <v>0</v>
      </c>
      <c r="L69" s="351">
        <f t="shared" si="33"/>
        <v>0</v>
      </c>
      <c r="M69" s="351">
        <f t="shared" si="33"/>
        <v>0</v>
      </c>
      <c r="N69" s="351">
        <f t="shared" si="33"/>
        <v>0</v>
      </c>
      <c r="O69" s="351">
        <f t="shared" si="33"/>
        <v>0</v>
      </c>
    </row>
    <row r="70" spans="1:15">
      <c r="A70" s="347" t="s">
        <v>437</v>
      </c>
      <c r="B70" s="314">
        <f>$L$30</f>
        <v>2021</v>
      </c>
      <c r="C70" s="316">
        <v>0</v>
      </c>
      <c r="D70" s="316">
        <v>0</v>
      </c>
      <c r="E70" s="351">
        <f t="shared" ref="E70:O70" si="34">IF(E30&lt;$B$70,0,-$L$22/Deprec_Contable_Plantas_Generacion*E5/Mes_año)</f>
        <v>0</v>
      </c>
      <c r="F70" s="351">
        <f t="shared" si="34"/>
        <v>0</v>
      </c>
      <c r="G70" s="351">
        <f t="shared" si="34"/>
        <v>0</v>
      </c>
      <c r="H70" s="351">
        <f t="shared" si="34"/>
        <v>0</v>
      </c>
      <c r="I70" s="351">
        <f t="shared" si="34"/>
        <v>0</v>
      </c>
      <c r="J70" s="351">
        <f t="shared" si="34"/>
        <v>0</v>
      </c>
      <c r="K70" s="351">
        <f t="shared" si="34"/>
        <v>0</v>
      </c>
      <c r="L70" s="351">
        <f t="shared" si="34"/>
        <v>-1039164842.9775184</v>
      </c>
      <c r="M70" s="351">
        <f t="shared" si="34"/>
        <v>-1039164842.9775184</v>
      </c>
      <c r="N70" s="351">
        <f t="shared" si="34"/>
        <v>-1039164842.9775184</v>
      </c>
      <c r="O70" s="351">
        <f t="shared" si="34"/>
        <v>-1039164842.9775184</v>
      </c>
    </row>
    <row r="71" spans="1:15">
      <c r="A71" s="347" t="s">
        <v>609</v>
      </c>
      <c r="B71" s="314">
        <f>$L$30</f>
        <v>2021</v>
      </c>
      <c r="C71" s="316">
        <v>0</v>
      </c>
      <c r="D71" s="316">
        <v>0</v>
      </c>
      <c r="E71" s="351">
        <f t="shared" ref="E71:O71" si="35">IF(E30&lt;$B$71,0,-$L$23/Dep_contable_Equipos*E5/Mes_año)</f>
        <v>0</v>
      </c>
      <c r="F71" s="351">
        <f t="shared" si="35"/>
        <v>0</v>
      </c>
      <c r="G71" s="351">
        <f t="shared" si="35"/>
        <v>0</v>
      </c>
      <c r="H71" s="351">
        <f t="shared" si="35"/>
        <v>0</v>
      </c>
      <c r="I71" s="351">
        <f t="shared" si="35"/>
        <v>0</v>
      </c>
      <c r="J71" s="351">
        <f t="shared" si="35"/>
        <v>0</v>
      </c>
      <c r="K71" s="351">
        <f t="shared" si="35"/>
        <v>0</v>
      </c>
      <c r="L71" s="351">
        <f t="shared" si="35"/>
        <v>0</v>
      </c>
      <c r="M71" s="351">
        <f t="shared" si="35"/>
        <v>0</v>
      </c>
      <c r="N71" s="351">
        <f t="shared" si="35"/>
        <v>0</v>
      </c>
      <c r="O71" s="351">
        <f t="shared" si="35"/>
        <v>0</v>
      </c>
    </row>
    <row r="72" spans="1:15">
      <c r="A72" s="346" t="s">
        <v>593</v>
      </c>
      <c r="B72" s="314"/>
      <c r="C72" s="315"/>
      <c r="D72" s="316"/>
      <c r="E72" s="351"/>
      <c r="F72" s="351"/>
      <c r="G72" s="351"/>
      <c r="H72" s="351"/>
      <c r="I72" s="351"/>
      <c r="J72" s="351"/>
      <c r="K72" s="351"/>
      <c r="L72" s="351"/>
      <c r="M72" s="351"/>
      <c r="N72" s="351"/>
      <c r="O72" s="351"/>
    </row>
    <row r="73" spans="1:15">
      <c r="A73" s="347" t="s">
        <v>352</v>
      </c>
      <c r="B73" s="314">
        <f>$M$30</f>
        <v>2022</v>
      </c>
      <c r="C73" s="316">
        <v>0</v>
      </c>
      <c r="D73" s="316">
        <v>0</v>
      </c>
      <c r="E73" s="351">
        <f t="shared" ref="E73:O73" si="36">IF(E30&lt;$B$73,0,-$M$21/Deprec_Contable_Inmuebles*E5/Mes_año)</f>
        <v>0</v>
      </c>
      <c r="F73" s="351">
        <f t="shared" si="36"/>
        <v>0</v>
      </c>
      <c r="G73" s="351">
        <f t="shared" si="36"/>
        <v>0</v>
      </c>
      <c r="H73" s="351">
        <f t="shared" si="36"/>
        <v>0</v>
      </c>
      <c r="I73" s="351">
        <f t="shared" si="36"/>
        <v>0</v>
      </c>
      <c r="J73" s="351">
        <f t="shared" si="36"/>
        <v>0</v>
      </c>
      <c r="K73" s="351">
        <f t="shared" si="36"/>
        <v>0</v>
      </c>
      <c r="L73" s="351">
        <f t="shared" si="36"/>
        <v>0</v>
      </c>
      <c r="M73" s="351">
        <f t="shared" si="36"/>
        <v>0</v>
      </c>
      <c r="N73" s="351">
        <f t="shared" si="36"/>
        <v>0</v>
      </c>
      <c r="O73" s="351">
        <f t="shared" si="36"/>
        <v>0</v>
      </c>
    </row>
    <row r="74" spans="1:15">
      <c r="A74" s="347" t="s">
        <v>437</v>
      </c>
      <c r="B74" s="314">
        <f>$M$30</f>
        <v>2022</v>
      </c>
      <c r="C74" s="316">
        <v>0</v>
      </c>
      <c r="D74" s="316">
        <v>0</v>
      </c>
      <c r="E74" s="351">
        <f t="shared" ref="E74:O74" si="37">IF(E30&lt;$B$74,0,-$M$22/Deprec_Contable_Plantas_Generacion*E5/Mes_año)</f>
        <v>0</v>
      </c>
      <c r="F74" s="351">
        <f t="shared" si="37"/>
        <v>0</v>
      </c>
      <c r="G74" s="351">
        <f t="shared" si="37"/>
        <v>0</v>
      </c>
      <c r="H74" s="351">
        <f t="shared" si="37"/>
        <v>0</v>
      </c>
      <c r="I74" s="351">
        <f t="shared" si="37"/>
        <v>0</v>
      </c>
      <c r="J74" s="351">
        <f t="shared" si="37"/>
        <v>0</v>
      </c>
      <c r="K74" s="351">
        <f t="shared" si="37"/>
        <v>0</v>
      </c>
      <c r="L74" s="351">
        <f t="shared" si="37"/>
        <v>0</v>
      </c>
      <c r="M74" s="351">
        <f t="shared" si="37"/>
        <v>-1082250068.184027</v>
      </c>
      <c r="N74" s="351">
        <f t="shared" si="37"/>
        <v>-1082250068.184027</v>
      </c>
      <c r="O74" s="351">
        <f t="shared" si="37"/>
        <v>-1082250068.184027</v>
      </c>
    </row>
    <row r="75" spans="1:15">
      <c r="A75" s="347" t="s">
        <v>609</v>
      </c>
      <c r="B75" s="314">
        <f>$M$30</f>
        <v>2022</v>
      </c>
      <c r="C75" s="316">
        <v>0</v>
      </c>
      <c r="D75" s="316">
        <v>0</v>
      </c>
      <c r="E75" s="351">
        <f t="shared" ref="E75:O75" si="38">IF(E30&lt;$B$75,0,-$M$23/Dep_contable_Equipos*E5/Mes_año)</f>
        <v>0</v>
      </c>
      <c r="F75" s="351">
        <f t="shared" si="38"/>
        <v>0</v>
      </c>
      <c r="G75" s="351">
        <f t="shared" si="38"/>
        <v>0</v>
      </c>
      <c r="H75" s="351">
        <f t="shared" si="38"/>
        <v>0</v>
      </c>
      <c r="I75" s="351">
        <f t="shared" si="38"/>
        <v>0</v>
      </c>
      <c r="J75" s="351">
        <f t="shared" si="38"/>
        <v>0</v>
      </c>
      <c r="K75" s="351">
        <f t="shared" si="38"/>
        <v>0</v>
      </c>
      <c r="L75" s="351">
        <f t="shared" si="38"/>
        <v>0</v>
      </c>
      <c r="M75" s="351">
        <f t="shared" si="38"/>
        <v>0</v>
      </c>
      <c r="N75" s="351">
        <f t="shared" si="38"/>
        <v>0</v>
      </c>
      <c r="O75" s="351">
        <f t="shared" si="38"/>
        <v>0</v>
      </c>
    </row>
    <row r="76" spans="1:15">
      <c r="A76" s="346" t="s">
        <v>594</v>
      </c>
      <c r="B76" s="314"/>
      <c r="C76" s="315"/>
      <c r="D76" s="316"/>
      <c r="E76" s="351"/>
      <c r="F76" s="351"/>
      <c r="G76" s="351"/>
      <c r="H76" s="351"/>
      <c r="I76" s="351"/>
      <c r="J76" s="351"/>
      <c r="K76" s="351"/>
      <c r="L76" s="351"/>
      <c r="M76" s="351"/>
      <c r="N76" s="351"/>
      <c r="O76" s="351"/>
    </row>
    <row r="77" spans="1:15">
      <c r="A77" s="347" t="s">
        <v>352</v>
      </c>
      <c r="B77" s="314">
        <f>$N$30</f>
        <v>2023</v>
      </c>
      <c r="C77" s="316">
        <v>0</v>
      </c>
      <c r="D77" s="316">
        <v>0</v>
      </c>
      <c r="E77" s="351">
        <f t="shared" ref="E77:O77" si="39">IF(E30&lt;$B$77,0,-$N$21/Deprec_Contable_Inmuebles*E5/Mes_año)</f>
        <v>0</v>
      </c>
      <c r="F77" s="351">
        <f t="shared" si="39"/>
        <v>0</v>
      </c>
      <c r="G77" s="351">
        <f t="shared" si="39"/>
        <v>0</v>
      </c>
      <c r="H77" s="351">
        <f t="shared" si="39"/>
        <v>0</v>
      </c>
      <c r="I77" s="351">
        <f t="shared" si="39"/>
        <v>0</v>
      </c>
      <c r="J77" s="351">
        <f t="shared" si="39"/>
        <v>0</v>
      </c>
      <c r="K77" s="351">
        <f t="shared" si="39"/>
        <v>0</v>
      </c>
      <c r="L77" s="351">
        <f t="shared" si="39"/>
        <v>0</v>
      </c>
      <c r="M77" s="351">
        <f t="shared" si="39"/>
        <v>0</v>
      </c>
      <c r="N77" s="351">
        <f t="shared" si="39"/>
        <v>0</v>
      </c>
      <c r="O77" s="351">
        <f t="shared" si="39"/>
        <v>0</v>
      </c>
    </row>
    <row r="78" spans="1:15">
      <c r="A78" s="347" t="s">
        <v>437</v>
      </c>
      <c r="B78" s="314">
        <f>$N$30</f>
        <v>2023</v>
      </c>
      <c r="C78" s="316">
        <v>0</v>
      </c>
      <c r="D78" s="316">
        <v>0</v>
      </c>
      <c r="E78" s="351">
        <f t="shared" ref="E78:O78" si="40">IF(E30&lt;$B$78,0,-$N$22/Deprec_Contable_Plantas_Generacion*E5/Mes_año)</f>
        <v>0</v>
      </c>
      <c r="F78" s="351">
        <f t="shared" si="40"/>
        <v>0</v>
      </c>
      <c r="G78" s="351">
        <f t="shared" si="40"/>
        <v>0</v>
      </c>
      <c r="H78" s="351">
        <f t="shared" si="40"/>
        <v>0</v>
      </c>
      <c r="I78" s="351">
        <f t="shared" si="40"/>
        <v>0</v>
      </c>
      <c r="J78" s="351">
        <f t="shared" si="40"/>
        <v>0</v>
      </c>
      <c r="K78" s="351">
        <f t="shared" si="40"/>
        <v>0</v>
      </c>
      <c r="L78" s="351">
        <f t="shared" si="40"/>
        <v>0</v>
      </c>
      <c r="M78" s="351">
        <f t="shared" si="40"/>
        <v>0</v>
      </c>
      <c r="N78" s="351">
        <f t="shared" si="40"/>
        <v>-1127077611.36746</v>
      </c>
      <c r="O78" s="351">
        <f t="shared" si="40"/>
        <v>-1127077611.36746</v>
      </c>
    </row>
    <row r="79" spans="1:15">
      <c r="A79" s="347" t="s">
        <v>609</v>
      </c>
      <c r="B79" s="314">
        <f>$N$30</f>
        <v>2023</v>
      </c>
      <c r="C79" s="316">
        <v>0</v>
      </c>
      <c r="D79" s="316">
        <v>0</v>
      </c>
      <c r="E79" s="351">
        <f t="shared" ref="E79:O79" si="41">IF(E30&lt;$B$79,0,-$N$23/Dep_contable_Equipos*E5/Mes_año)</f>
        <v>0</v>
      </c>
      <c r="F79" s="351">
        <f t="shared" si="41"/>
        <v>0</v>
      </c>
      <c r="G79" s="351">
        <f t="shared" si="41"/>
        <v>0</v>
      </c>
      <c r="H79" s="351">
        <f t="shared" si="41"/>
        <v>0</v>
      </c>
      <c r="I79" s="351">
        <f t="shared" si="41"/>
        <v>0</v>
      </c>
      <c r="J79" s="351">
        <f t="shared" si="41"/>
        <v>0</v>
      </c>
      <c r="K79" s="351">
        <f t="shared" si="41"/>
        <v>0</v>
      </c>
      <c r="L79" s="351">
        <f t="shared" si="41"/>
        <v>0</v>
      </c>
      <c r="M79" s="351">
        <f t="shared" si="41"/>
        <v>0</v>
      </c>
      <c r="N79" s="351">
        <f t="shared" si="41"/>
        <v>0</v>
      </c>
      <c r="O79" s="351">
        <f t="shared" si="41"/>
        <v>0</v>
      </c>
    </row>
    <row r="80" spans="1:15">
      <c r="A80" s="346" t="s">
        <v>595</v>
      </c>
      <c r="B80" s="314"/>
      <c r="C80" s="315"/>
      <c r="D80" s="316"/>
      <c r="E80" s="351"/>
      <c r="F80" s="351"/>
      <c r="G80" s="351"/>
      <c r="H80" s="351"/>
      <c r="I80" s="351"/>
      <c r="J80" s="351"/>
      <c r="K80" s="351"/>
      <c r="L80" s="351"/>
      <c r="M80" s="351"/>
      <c r="N80" s="351"/>
      <c r="O80" s="351"/>
    </row>
    <row r="81" spans="1:15">
      <c r="A81" s="347" t="s">
        <v>352</v>
      </c>
      <c r="B81" s="314">
        <v>2024</v>
      </c>
      <c r="C81" s="316">
        <v>0</v>
      </c>
      <c r="D81" s="316">
        <v>0</v>
      </c>
      <c r="E81" s="351">
        <f t="shared" ref="E81:O81" si="42">IF(E30&lt;$B$81,0,-$O$21/Deprec_Contable_Inmuebles*E5/Mes_año)</f>
        <v>0</v>
      </c>
      <c r="F81" s="351">
        <f t="shared" si="42"/>
        <v>0</v>
      </c>
      <c r="G81" s="351">
        <f t="shared" si="42"/>
        <v>0</v>
      </c>
      <c r="H81" s="351">
        <f t="shared" si="42"/>
        <v>0</v>
      </c>
      <c r="I81" s="351">
        <f t="shared" si="42"/>
        <v>0</v>
      </c>
      <c r="J81" s="351">
        <f t="shared" si="42"/>
        <v>0</v>
      </c>
      <c r="K81" s="351">
        <f t="shared" si="42"/>
        <v>0</v>
      </c>
      <c r="L81" s="351">
        <f t="shared" si="42"/>
        <v>0</v>
      </c>
      <c r="M81" s="351">
        <f t="shared" si="42"/>
        <v>0</v>
      </c>
      <c r="N81" s="351">
        <f t="shared" si="42"/>
        <v>0</v>
      </c>
      <c r="O81" s="351">
        <f t="shared" si="42"/>
        <v>0</v>
      </c>
    </row>
    <row r="82" spans="1:15">
      <c r="A82" s="347" t="s">
        <v>437</v>
      </c>
      <c r="B82" s="314">
        <v>2024</v>
      </c>
      <c r="C82" s="316">
        <v>0</v>
      </c>
      <c r="D82" s="316">
        <v>0</v>
      </c>
      <c r="E82" s="351">
        <f t="shared" ref="E82:O82" si="43">IF(E30&lt;$B$82,0,-$O$22/Deprec_Contable_Plantas_Generacion*E5/Mes_año)</f>
        <v>0</v>
      </c>
      <c r="F82" s="351">
        <f t="shared" si="43"/>
        <v>0</v>
      </c>
      <c r="G82" s="351">
        <f t="shared" si="43"/>
        <v>0</v>
      </c>
      <c r="H82" s="351">
        <f t="shared" si="43"/>
        <v>0</v>
      </c>
      <c r="I82" s="351">
        <f t="shared" si="43"/>
        <v>0</v>
      </c>
      <c r="J82" s="351">
        <f t="shared" si="43"/>
        <v>0</v>
      </c>
      <c r="K82" s="351">
        <f t="shared" si="43"/>
        <v>0</v>
      </c>
      <c r="L82" s="351">
        <f t="shared" si="43"/>
        <v>0</v>
      </c>
      <c r="M82" s="351">
        <f t="shared" si="43"/>
        <v>0</v>
      </c>
      <c r="N82" s="351">
        <f t="shared" si="43"/>
        <v>0</v>
      </c>
      <c r="O82" s="351">
        <f t="shared" si="43"/>
        <v>-1173679221.9753678</v>
      </c>
    </row>
    <row r="83" spans="1:15" ht="16.5" thickBot="1">
      <c r="A83" s="347" t="s">
        <v>609</v>
      </c>
      <c r="B83" s="350">
        <v>2024</v>
      </c>
      <c r="C83" s="342">
        <v>0</v>
      </c>
      <c r="D83" s="342">
        <v>0</v>
      </c>
      <c r="E83" s="352">
        <f t="shared" ref="E83:O83" si="44">IF(E30&lt;$B$83,0,-$O$23/Dep_contable_Equipos*E5/Mes_año)</f>
        <v>0</v>
      </c>
      <c r="F83" s="352">
        <f t="shared" si="44"/>
        <v>0</v>
      </c>
      <c r="G83" s="352">
        <f t="shared" si="44"/>
        <v>0</v>
      </c>
      <c r="H83" s="352">
        <f t="shared" si="44"/>
        <v>0</v>
      </c>
      <c r="I83" s="352">
        <f t="shared" si="44"/>
        <v>0</v>
      </c>
      <c r="J83" s="352">
        <f t="shared" si="44"/>
        <v>0</v>
      </c>
      <c r="K83" s="352">
        <f t="shared" si="44"/>
        <v>0</v>
      </c>
      <c r="L83" s="352">
        <f t="shared" si="44"/>
        <v>0</v>
      </c>
      <c r="M83" s="352">
        <f t="shared" si="44"/>
        <v>0</v>
      </c>
      <c r="N83" s="352">
        <f t="shared" si="44"/>
        <v>0</v>
      </c>
      <c r="O83" s="352">
        <f t="shared" si="44"/>
        <v>0</v>
      </c>
    </row>
    <row r="84" spans="1:15">
      <c r="A84" s="317" t="s">
        <v>596</v>
      </c>
      <c r="B84" s="317"/>
      <c r="C84" s="318">
        <f t="shared" ref="C84:O84" si="45">SUM(C33:C83)</f>
        <v>-94018000000</v>
      </c>
      <c r="D84" s="318">
        <f t="shared" si="45"/>
        <v>-55955000000</v>
      </c>
      <c r="E84" s="318">
        <f t="shared" si="45"/>
        <v>-55784717994.925064</v>
      </c>
      <c r="F84" s="318">
        <f t="shared" si="45"/>
        <v>-215023822304.21201</v>
      </c>
      <c r="G84" s="318">
        <f t="shared" si="45"/>
        <v>-215863163272.00174</v>
      </c>
      <c r="H84" s="318">
        <f t="shared" si="45"/>
        <v>-216748754494.35532</v>
      </c>
      <c r="I84" s="318">
        <f t="shared" si="45"/>
        <v>-217671228253.31711</v>
      </c>
      <c r="J84" s="318">
        <f t="shared" si="45"/>
        <v>-218629435353.67163</v>
      </c>
      <c r="K84" s="318">
        <f t="shared" si="45"/>
        <v>-219627519237.46848</v>
      </c>
      <c r="L84" s="318">
        <f t="shared" si="45"/>
        <v>-220666684080.44598</v>
      </c>
      <c r="M84" s="318">
        <f t="shared" si="45"/>
        <v>-221748934148.63</v>
      </c>
      <c r="N84" s="318">
        <f t="shared" si="45"/>
        <v>-222876011759.99747</v>
      </c>
      <c r="O84" s="318">
        <f t="shared" si="45"/>
        <v>-224049690981.97284</v>
      </c>
    </row>
    <row r="85" spans="1:15">
      <c r="A85" s="317" t="s">
        <v>615</v>
      </c>
      <c r="B85" s="317">
        <v>0</v>
      </c>
      <c r="C85" s="318">
        <v>0</v>
      </c>
      <c r="D85" s="318">
        <v>0</v>
      </c>
      <c r="E85" s="318"/>
      <c r="F85" s="318"/>
      <c r="G85" s="318"/>
      <c r="H85" s="318"/>
      <c r="I85" s="318"/>
      <c r="J85" s="318"/>
      <c r="K85" s="318"/>
      <c r="L85" s="318"/>
      <c r="M85" s="318"/>
      <c r="N85" s="318"/>
      <c r="O85" s="318"/>
    </row>
    <row r="86" spans="1:15">
      <c r="A86" s="317" t="s">
        <v>613</v>
      </c>
      <c r="B86" s="319">
        <f>-3058089000000+1292741000000</f>
        <v>-1765348000000</v>
      </c>
      <c r="C86" s="318">
        <f t="shared" ref="C86:O86" si="46">C84+B86</f>
        <v>-1859366000000</v>
      </c>
      <c r="D86" s="318">
        <f t="shared" si="46"/>
        <v>-1915321000000</v>
      </c>
      <c r="E86" s="318">
        <f t="shared" si="46"/>
        <v>-1971105717994.925</v>
      </c>
      <c r="F86" s="318">
        <f t="shared" si="46"/>
        <v>-2186129540299.137</v>
      </c>
      <c r="G86" s="318">
        <f t="shared" si="46"/>
        <v>-2401992703571.1387</v>
      </c>
      <c r="H86" s="318">
        <f t="shared" si="46"/>
        <v>-2618741458065.4941</v>
      </c>
      <c r="I86" s="318">
        <f t="shared" si="46"/>
        <v>-2836412686318.811</v>
      </c>
      <c r="J86" s="318">
        <f t="shared" si="46"/>
        <v>-3055042121672.4824</v>
      </c>
      <c r="K86" s="318">
        <f t="shared" si="46"/>
        <v>-3274669640909.9507</v>
      </c>
      <c r="L86" s="318">
        <f t="shared" si="46"/>
        <v>-3495336324990.3965</v>
      </c>
      <c r="M86" s="318">
        <f t="shared" si="46"/>
        <v>-3717085259139.0264</v>
      </c>
      <c r="N86" s="318">
        <f t="shared" si="46"/>
        <v>-3939961270899.0239</v>
      </c>
      <c r="O86" s="318">
        <f t="shared" si="46"/>
        <v>-4164010961880.9966</v>
      </c>
    </row>
    <row r="87" spans="1:15">
      <c r="A87" s="317" t="s">
        <v>612</v>
      </c>
      <c r="B87" s="319">
        <v>0</v>
      </c>
      <c r="C87" s="318">
        <v>0</v>
      </c>
      <c r="D87" s="318">
        <v>0</v>
      </c>
      <c r="E87" s="318">
        <v>0</v>
      </c>
      <c r="F87" s="318">
        <v>0</v>
      </c>
      <c r="G87" s="318">
        <v>0</v>
      </c>
      <c r="H87" s="318">
        <v>0</v>
      </c>
      <c r="I87" s="318">
        <v>0</v>
      </c>
      <c r="J87" s="318">
        <v>0</v>
      </c>
      <c r="K87" s="318">
        <v>0</v>
      </c>
      <c r="L87" s="318">
        <v>0</v>
      </c>
      <c r="M87" s="318">
        <v>0</v>
      </c>
      <c r="N87" s="318">
        <v>0</v>
      </c>
      <c r="O87" s="318">
        <v>0</v>
      </c>
    </row>
    <row r="88" spans="1:15">
      <c r="A88" s="317" t="s">
        <v>597</v>
      </c>
      <c r="B88" s="319">
        <f>B86+B87</f>
        <v>-1765348000000</v>
      </c>
      <c r="C88" s="319">
        <f>C86+C87</f>
        <v>-1859366000000</v>
      </c>
      <c r="D88" s="319">
        <f>D86+D87</f>
        <v>-1915321000000</v>
      </c>
      <c r="E88" s="319">
        <f t="shared" ref="E88:N88" si="47">E86+E87</f>
        <v>-1971105717994.925</v>
      </c>
      <c r="F88" s="319">
        <f t="shared" si="47"/>
        <v>-2186129540299.137</v>
      </c>
      <c r="G88" s="319">
        <f t="shared" si="47"/>
        <v>-2401992703571.1387</v>
      </c>
      <c r="H88" s="319">
        <f t="shared" si="47"/>
        <v>-2618741458065.4941</v>
      </c>
      <c r="I88" s="319">
        <f t="shared" si="47"/>
        <v>-2836412686318.811</v>
      </c>
      <c r="J88" s="319">
        <f t="shared" si="47"/>
        <v>-3055042121672.4824</v>
      </c>
      <c r="K88" s="319">
        <f t="shared" si="47"/>
        <v>-3274669640909.9507</v>
      </c>
      <c r="L88" s="319">
        <f t="shared" si="47"/>
        <v>-3495336324990.3965</v>
      </c>
      <c r="M88" s="319">
        <f t="shared" si="47"/>
        <v>-3717085259139.0264</v>
      </c>
      <c r="N88" s="319">
        <f t="shared" si="47"/>
        <v>-3939961270899.0239</v>
      </c>
      <c r="O88" s="319">
        <f>O86+O87</f>
        <v>-4164010961880.9966</v>
      </c>
    </row>
    <row r="89" spans="1:15">
      <c r="A89" s="317" t="s">
        <v>614</v>
      </c>
      <c r="B89" s="319">
        <v>-8639000000</v>
      </c>
      <c r="C89" s="319">
        <v>-4138000000</v>
      </c>
      <c r="D89" s="319">
        <v>-4138000000</v>
      </c>
      <c r="E89" s="319">
        <v>-4138000000</v>
      </c>
      <c r="F89" s="319">
        <v>-4138000000</v>
      </c>
      <c r="G89" s="319">
        <v>-4138000000</v>
      </c>
      <c r="H89" s="319">
        <v>-4138000000</v>
      </c>
      <c r="I89" s="319">
        <v>-4138000000</v>
      </c>
      <c r="J89" s="319">
        <v>-4138000000</v>
      </c>
      <c r="K89" s="319">
        <v>-4138000000</v>
      </c>
      <c r="L89" s="319">
        <v>-4138000000</v>
      </c>
      <c r="M89" s="319">
        <v>-4138000000</v>
      </c>
      <c r="N89" s="319">
        <v>-4138000000</v>
      </c>
      <c r="O89" s="319">
        <v>-4138000000</v>
      </c>
    </row>
    <row r="90" spans="1:15">
      <c r="A90" s="317" t="s">
        <v>598</v>
      </c>
      <c r="B90" s="319">
        <v>3876376000000</v>
      </c>
      <c r="C90" s="319">
        <f>C26</f>
        <v>4507724000000</v>
      </c>
      <c r="D90" s="319">
        <f t="shared" ref="D90:O90" si="48">D26</f>
        <v>4507724000000</v>
      </c>
      <c r="E90" s="319">
        <f>E26</f>
        <v>4518271439594.0049</v>
      </c>
      <c r="F90" s="319">
        <f t="shared" si="48"/>
        <v>8900833892168.4805</v>
      </c>
      <c r="G90" s="319">
        <f t="shared" si="48"/>
        <v>8934407530880.0703</v>
      </c>
      <c r="H90" s="319">
        <f t="shared" si="48"/>
        <v>8969831179774.2129</v>
      </c>
      <c r="I90" s="319">
        <f t="shared" si="48"/>
        <v>9006730130132.6855</v>
      </c>
      <c r="J90" s="319">
        <f t="shared" si="48"/>
        <v>9045058414146.8672</v>
      </c>
      <c r="K90" s="319">
        <f t="shared" si="48"/>
        <v>9084981769498.7402</v>
      </c>
      <c r="L90" s="319">
        <f t="shared" si="48"/>
        <v>9126548363217.8418</v>
      </c>
      <c r="M90" s="319">
        <f t="shared" si="48"/>
        <v>9169838365945.2031</v>
      </c>
      <c r="N90" s="319">
        <f t="shared" si="48"/>
        <v>9214921470399.9023</v>
      </c>
      <c r="O90" s="319">
        <f t="shared" si="48"/>
        <v>9261868639278.918</v>
      </c>
    </row>
    <row r="91" spans="1:15">
      <c r="A91" s="317" t="s">
        <v>599</v>
      </c>
      <c r="B91" s="319">
        <f>B90+B88+B89</f>
        <v>2102389000000</v>
      </c>
      <c r="C91" s="319">
        <f>C90+C88+C89</f>
        <v>2644220000000</v>
      </c>
      <c r="D91" s="319">
        <f>D90+D88+D89</f>
        <v>2588265000000</v>
      </c>
      <c r="E91" s="319">
        <f t="shared" ref="E91:N91" si="49">E90+E88+E89</f>
        <v>2543027721599.0801</v>
      </c>
      <c r="F91" s="319">
        <f t="shared" si="49"/>
        <v>6710566351869.3437</v>
      </c>
      <c r="G91" s="319">
        <f t="shared" si="49"/>
        <v>6528276827308.9316</v>
      </c>
      <c r="H91" s="319">
        <f t="shared" si="49"/>
        <v>6346951721708.7187</v>
      </c>
      <c r="I91" s="319">
        <f t="shared" si="49"/>
        <v>6166179443813.875</v>
      </c>
      <c r="J91" s="319">
        <f t="shared" si="49"/>
        <v>5985878292474.3848</v>
      </c>
      <c r="K91" s="319">
        <f t="shared" si="49"/>
        <v>5806174128588.7891</v>
      </c>
      <c r="L91" s="319">
        <f t="shared" si="49"/>
        <v>5627074038227.4453</v>
      </c>
      <c r="M91" s="319">
        <f t="shared" si="49"/>
        <v>5448615106806.1768</v>
      </c>
      <c r="N91" s="319">
        <f t="shared" si="49"/>
        <v>5270822199500.8789</v>
      </c>
      <c r="O91" s="319">
        <f>O90+O88+O89</f>
        <v>5093719677397.9219</v>
      </c>
    </row>
    <row r="93" spans="1:15">
      <c r="B93" s="340"/>
      <c r="C93" s="340"/>
      <c r="D93" s="340"/>
    </row>
    <row r="94" spans="1:15">
      <c r="B94" s="405"/>
    </row>
    <row r="95" spans="1:15">
      <c r="B95" s="343"/>
      <c r="C95" s="340"/>
    </row>
    <row r="279" spans="3:11" s="320" customFormat="1"/>
    <row r="280" spans="3:11" s="320" customFormat="1"/>
    <row r="281" spans="3:11" s="320" customFormat="1"/>
    <row r="282" spans="3:11" s="320" customFormat="1"/>
    <row r="283" spans="3:11" s="320" customFormat="1"/>
    <row r="284" spans="3:11" s="320" customFormat="1"/>
    <row r="285" spans="3:11" s="320" customFormat="1"/>
    <row r="286" spans="3:11">
      <c r="C286" s="321"/>
      <c r="D286" s="321"/>
      <c r="E286" s="321"/>
      <c r="F286" s="321"/>
      <c r="G286" s="321"/>
      <c r="H286" s="321"/>
      <c r="I286" s="321"/>
      <c r="J286" s="321"/>
      <c r="K286" s="321"/>
    </row>
    <row r="287" spans="3:11">
      <c r="C287" s="321"/>
      <c r="D287" s="321"/>
      <c r="E287" s="321"/>
      <c r="F287" s="321"/>
      <c r="G287" s="321"/>
      <c r="H287" s="321"/>
      <c r="I287" s="321"/>
      <c r="J287" s="321"/>
      <c r="K287" s="321"/>
    </row>
    <row r="288" spans="3:11">
      <c r="C288" s="321"/>
      <c r="D288" s="321"/>
      <c r="E288" s="321"/>
      <c r="F288" s="321"/>
      <c r="G288" s="321"/>
      <c r="H288" s="321"/>
      <c r="I288" s="321"/>
      <c r="J288" s="321"/>
      <c r="K288" s="321"/>
    </row>
    <row r="289" spans="3:11">
      <c r="C289" s="321"/>
      <c r="D289" s="321"/>
      <c r="E289" s="321"/>
      <c r="F289" s="321"/>
      <c r="G289" s="321"/>
      <c r="H289" s="321"/>
      <c r="I289" s="321"/>
      <c r="J289" s="321"/>
      <c r="K289" s="321"/>
    </row>
    <row r="290" spans="3:11">
      <c r="C290" s="321"/>
      <c r="D290" s="321"/>
      <c r="E290" s="321"/>
      <c r="F290" s="321"/>
      <c r="G290" s="321"/>
      <c r="H290" s="321"/>
      <c r="I290" s="321"/>
      <c r="J290" s="321"/>
      <c r="K290" s="321"/>
    </row>
    <row r="291" spans="3:11">
      <c r="C291" s="321"/>
      <c r="D291" s="321"/>
      <c r="E291" s="321"/>
      <c r="F291" s="321"/>
      <c r="G291" s="321"/>
      <c r="H291" s="321"/>
      <c r="I291" s="321"/>
      <c r="J291" s="321"/>
      <c r="K291" s="321"/>
    </row>
    <row r="292" spans="3:11">
      <c r="C292" s="321"/>
      <c r="D292" s="321"/>
      <c r="E292" s="321"/>
      <c r="F292" s="321"/>
      <c r="G292" s="321"/>
      <c r="H292" s="321"/>
      <c r="I292" s="321"/>
      <c r="J292" s="321"/>
      <c r="K292" s="321"/>
    </row>
    <row r="293" spans="3:11">
      <c r="C293" s="321"/>
    </row>
  </sheetData>
  <mergeCells count="2">
    <mergeCell ref="A14:B14"/>
    <mergeCell ref="A24:B24"/>
  </mergeCells>
  <pageMargins left="0.7" right="0.7" top="0.75" bottom="0.75" header="0.3" footer="0.3"/>
  <pageSetup orientation="portrait"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2"/>
  <dimension ref="B2:O19"/>
  <sheetViews>
    <sheetView showGridLines="0" workbookViewId="0">
      <selection activeCell="B25" sqref="B25"/>
    </sheetView>
  </sheetViews>
  <sheetFormatPr baseColWidth="10" defaultRowHeight="15"/>
  <cols>
    <col min="2" max="2" width="30.5703125" bestFit="1" customWidth="1"/>
    <col min="3" max="3" width="13.140625" bestFit="1" customWidth="1"/>
    <col min="4" max="4" width="18" bestFit="1" customWidth="1"/>
    <col min="5" max="5" width="15.140625" bestFit="1" customWidth="1"/>
    <col min="6" max="15" width="14.140625" bestFit="1" customWidth="1"/>
  </cols>
  <sheetData>
    <row r="2" spans="2:15">
      <c r="B2" s="667" t="s">
        <v>845</v>
      </c>
      <c r="C2" s="667"/>
    </row>
    <row r="4" spans="2:15">
      <c r="B4" s="30" t="s">
        <v>844</v>
      </c>
      <c r="C4" s="30" t="s">
        <v>836</v>
      </c>
      <c r="D4" s="30" t="s">
        <v>835</v>
      </c>
    </row>
    <row r="5" spans="2:15">
      <c r="B5" s="30" t="s">
        <v>782</v>
      </c>
      <c r="C5" s="66"/>
      <c r="D5" s="66"/>
      <c r="E5" s="30">
        <v>2014</v>
      </c>
      <c r="F5" s="30">
        <f t="shared" ref="F5:O5" si="0">E5+1</f>
        <v>2015</v>
      </c>
      <c r="G5" s="30">
        <f t="shared" si="0"/>
        <v>2016</v>
      </c>
      <c r="H5" s="30">
        <f t="shared" si="0"/>
        <v>2017</v>
      </c>
      <c r="I5" s="30">
        <f t="shared" si="0"/>
        <v>2018</v>
      </c>
      <c r="J5" s="30">
        <f t="shared" si="0"/>
        <v>2019</v>
      </c>
      <c r="K5" s="30">
        <f t="shared" si="0"/>
        <v>2020</v>
      </c>
      <c r="L5" s="30">
        <f t="shared" si="0"/>
        <v>2021</v>
      </c>
      <c r="M5" s="30">
        <f t="shared" si="0"/>
        <v>2022</v>
      </c>
      <c r="N5" s="30">
        <f t="shared" si="0"/>
        <v>2023</v>
      </c>
      <c r="O5" s="30">
        <f t="shared" si="0"/>
        <v>2024</v>
      </c>
    </row>
    <row r="6" spans="2:15">
      <c r="B6" s="219" t="s">
        <v>843</v>
      </c>
      <c r="C6" s="458">
        <v>13151</v>
      </c>
      <c r="D6" s="219">
        <v>2014</v>
      </c>
      <c r="E6" s="461">
        <f>C6*1000000</f>
        <v>13151000000</v>
      </c>
      <c r="F6" s="219"/>
      <c r="G6" s="219"/>
      <c r="H6" s="219"/>
      <c r="I6" s="219"/>
      <c r="J6" s="219"/>
      <c r="K6" s="219"/>
      <c r="L6" s="219"/>
      <c r="M6" s="219"/>
      <c r="N6" s="219"/>
      <c r="O6" s="219"/>
    </row>
    <row r="7" spans="2:15" ht="30">
      <c r="B7" s="220" t="s">
        <v>842</v>
      </c>
      <c r="C7" s="462"/>
      <c r="D7" s="463"/>
      <c r="E7" s="460">
        <f t="shared" ref="E7:O7" si="1">E6</f>
        <v>13151000000</v>
      </c>
      <c r="F7" s="460">
        <f t="shared" si="1"/>
        <v>0</v>
      </c>
      <c r="G7" s="460">
        <f t="shared" si="1"/>
        <v>0</v>
      </c>
      <c r="H7" s="460">
        <f t="shared" si="1"/>
        <v>0</v>
      </c>
      <c r="I7" s="460">
        <f t="shared" si="1"/>
        <v>0</v>
      </c>
      <c r="J7" s="460">
        <f t="shared" si="1"/>
        <v>0</v>
      </c>
      <c r="K7" s="460">
        <f t="shared" si="1"/>
        <v>0</v>
      </c>
      <c r="L7" s="460">
        <f t="shared" si="1"/>
        <v>0</v>
      </c>
      <c r="M7" s="460">
        <f t="shared" si="1"/>
        <v>0</v>
      </c>
      <c r="N7" s="460">
        <f t="shared" si="1"/>
        <v>0</v>
      </c>
      <c r="O7" s="460">
        <f t="shared" si="1"/>
        <v>0</v>
      </c>
    </row>
    <row r="8" spans="2:15">
      <c r="C8" s="294"/>
    </row>
    <row r="9" spans="2:15">
      <c r="B9" s="30" t="s">
        <v>841</v>
      </c>
      <c r="C9" s="457" t="s">
        <v>836</v>
      </c>
      <c r="D9" s="30" t="s">
        <v>835</v>
      </c>
      <c r="E9" s="30">
        <v>2014</v>
      </c>
      <c r="F9" s="30">
        <f t="shared" ref="F9:O9" si="2">E9+1</f>
        <v>2015</v>
      </c>
      <c r="G9" s="30">
        <f t="shared" si="2"/>
        <v>2016</v>
      </c>
      <c r="H9" s="30">
        <f t="shared" si="2"/>
        <v>2017</v>
      </c>
      <c r="I9" s="30">
        <f t="shared" si="2"/>
        <v>2018</v>
      </c>
      <c r="J9" s="30">
        <f t="shared" si="2"/>
        <v>2019</v>
      </c>
      <c r="K9" s="30">
        <f t="shared" si="2"/>
        <v>2020</v>
      </c>
      <c r="L9" s="30">
        <f t="shared" si="2"/>
        <v>2021</v>
      </c>
      <c r="M9" s="30">
        <f t="shared" si="2"/>
        <v>2022</v>
      </c>
      <c r="N9" s="30">
        <f t="shared" si="2"/>
        <v>2023</v>
      </c>
      <c r="O9" s="30">
        <f t="shared" si="2"/>
        <v>2024</v>
      </c>
    </row>
    <row r="10" spans="2:15">
      <c r="B10" s="219" t="s">
        <v>840</v>
      </c>
      <c r="C10" s="458">
        <v>15386</v>
      </c>
      <c r="D10" s="219">
        <v>2032</v>
      </c>
      <c r="E10" s="458">
        <f t="shared" ref="E10:O10" si="3">ROUND($C$10*1000000/($D$10-$E$9+1),0)</f>
        <v>809789474</v>
      </c>
      <c r="F10" s="458">
        <f t="shared" si="3"/>
        <v>809789474</v>
      </c>
      <c r="G10" s="458">
        <f t="shared" si="3"/>
        <v>809789474</v>
      </c>
      <c r="H10" s="458">
        <f t="shared" si="3"/>
        <v>809789474</v>
      </c>
      <c r="I10" s="458">
        <f t="shared" si="3"/>
        <v>809789474</v>
      </c>
      <c r="J10" s="458">
        <f t="shared" si="3"/>
        <v>809789474</v>
      </c>
      <c r="K10" s="458">
        <f t="shared" si="3"/>
        <v>809789474</v>
      </c>
      <c r="L10" s="458">
        <f t="shared" si="3"/>
        <v>809789474</v>
      </c>
      <c r="M10" s="458">
        <f t="shared" si="3"/>
        <v>809789474</v>
      </c>
      <c r="N10" s="458">
        <f t="shared" si="3"/>
        <v>809789474</v>
      </c>
      <c r="O10" s="458">
        <f t="shared" si="3"/>
        <v>809789474</v>
      </c>
    </row>
    <row r="11" spans="2:15">
      <c r="B11" s="219" t="s">
        <v>839</v>
      </c>
      <c r="C11" s="458">
        <v>13363</v>
      </c>
      <c r="D11" s="219">
        <v>2030</v>
      </c>
      <c r="E11" s="458">
        <v>814000000</v>
      </c>
      <c r="F11" s="458">
        <v>814000000</v>
      </c>
      <c r="G11" s="458">
        <v>814000000</v>
      </c>
      <c r="H11" s="458">
        <v>814000000</v>
      </c>
      <c r="I11" s="458">
        <v>814000000</v>
      </c>
      <c r="J11" s="458">
        <v>814000000</v>
      </c>
      <c r="K11" s="458">
        <v>814000000</v>
      </c>
      <c r="L11" s="458">
        <v>814000000</v>
      </c>
      <c r="M11" s="458">
        <v>814000000</v>
      </c>
      <c r="N11" s="458">
        <v>814000000</v>
      </c>
      <c r="O11" s="458">
        <v>814000000</v>
      </c>
    </row>
    <row r="12" spans="2:15">
      <c r="B12" s="219" t="s">
        <v>838</v>
      </c>
      <c r="C12" s="460">
        <f>1917+640+297</f>
        <v>2854</v>
      </c>
      <c r="D12" s="219">
        <v>2014</v>
      </c>
      <c r="E12" s="458">
        <v>2854000000</v>
      </c>
      <c r="F12" s="458"/>
      <c r="G12" s="458"/>
      <c r="H12" s="458"/>
      <c r="I12" s="458"/>
      <c r="J12" s="458"/>
      <c r="K12" s="458"/>
      <c r="L12" s="458"/>
      <c r="M12" s="458"/>
      <c r="N12" s="458"/>
      <c r="O12" s="458"/>
    </row>
    <row r="13" spans="2:15" ht="30">
      <c r="B13" s="220" t="s">
        <v>837</v>
      </c>
      <c r="C13" s="460"/>
      <c r="D13" s="219"/>
      <c r="E13" s="458">
        <f t="shared" ref="E13:O13" si="4">SUM(E10:E12)</f>
        <v>4477789474</v>
      </c>
      <c r="F13" s="458">
        <f t="shared" si="4"/>
        <v>1623789474</v>
      </c>
      <c r="G13" s="458">
        <f t="shared" si="4"/>
        <v>1623789474</v>
      </c>
      <c r="H13" s="458">
        <f t="shared" si="4"/>
        <v>1623789474</v>
      </c>
      <c r="I13" s="458">
        <f t="shared" si="4"/>
        <v>1623789474</v>
      </c>
      <c r="J13" s="458">
        <f t="shared" si="4"/>
        <v>1623789474</v>
      </c>
      <c r="K13" s="458">
        <f t="shared" si="4"/>
        <v>1623789474</v>
      </c>
      <c r="L13" s="458">
        <f t="shared" si="4"/>
        <v>1623789474</v>
      </c>
      <c r="M13" s="458">
        <f t="shared" si="4"/>
        <v>1623789474</v>
      </c>
      <c r="N13" s="458">
        <f t="shared" si="4"/>
        <v>1623789474</v>
      </c>
      <c r="O13" s="458">
        <f t="shared" si="4"/>
        <v>1623789474</v>
      </c>
    </row>
    <row r="14" spans="2:15">
      <c r="C14" s="294"/>
    </row>
    <row r="15" spans="2:15">
      <c r="B15" s="30" t="s">
        <v>768</v>
      </c>
      <c r="C15" s="457" t="s">
        <v>836</v>
      </c>
      <c r="D15" s="30" t="s">
        <v>835</v>
      </c>
      <c r="E15" s="30">
        <v>2014</v>
      </c>
      <c r="F15" s="30">
        <f t="shared" ref="F15:O15" si="5">E15+1</f>
        <v>2015</v>
      </c>
      <c r="G15" s="30">
        <f t="shared" si="5"/>
        <v>2016</v>
      </c>
      <c r="H15" s="30">
        <f t="shared" si="5"/>
        <v>2017</v>
      </c>
      <c r="I15" s="30">
        <f t="shared" si="5"/>
        <v>2018</v>
      </c>
      <c r="J15" s="30">
        <f t="shared" si="5"/>
        <v>2019</v>
      </c>
      <c r="K15" s="30">
        <f t="shared" si="5"/>
        <v>2020</v>
      </c>
      <c r="L15" s="30">
        <f t="shared" si="5"/>
        <v>2021</v>
      </c>
      <c r="M15" s="30">
        <f t="shared" si="5"/>
        <v>2022</v>
      </c>
      <c r="N15" s="30">
        <f t="shared" si="5"/>
        <v>2023</v>
      </c>
      <c r="O15" s="30">
        <f t="shared" si="5"/>
        <v>2024</v>
      </c>
    </row>
    <row r="16" spans="2:15" ht="30">
      <c r="B16" s="220" t="s">
        <v>834</v>
      </c>
      <c r="C16" s="458">
        <v>17358</v>
      </c>
      <c r="D16" s="219">
        <v>2023</v>
      </c>
      <c r="E16" s="459">
        <f t="shared" ref="E16:N16" si="6">ROUND($C$16*1000000/9,0)</f>
        <v>1928666667</v>
      </c>
      <c r="F16" s="459">
        <f t="shared" si="6"/>
        <v>1928666667</v>
      </c>
      <c r="G16" s="459">
        <f t="shared" si="6"/>
        <v>1928666667</v>
      </c>
      <c r="H16" s="459">
        <f t="shared" si="6"/>
        <v>1928666667</v>
      </c>
      <c r="I16" s="459">
        <f t="shared" si="6"/>
        <v>1928666667</v>
      </c>
      <c r="J16" s="459">
        <f t="shared" si="6"/>
        <v>1928666667</v>
      </c>
      <c r="K16" s="459">
        <f t="shared" si="6"/>
        <v>1928666667</v>
      </c>
      <c r="L16" s="459">
        <f t="shared" si="6"/>
        <v>1928666667</v>
      </c>
      <c r="M16" s="459">
        <f t="shared" si="6"/>
        <v>1928666667</v>
      </c>
      <c r="N16" s="459">
        <f t="shared" si="6"/>
        <v>1928666667</v>
      </c>
      <c r="O16" s="219"/>
    </row>
    <row r="17" spans="2:15">
      <c r="B17" s="219" t="s">
        <v>833</v>
      </c>
      <c r="C17" s="458">
        <v>4354</v>
      </c>
      <c r="D17" s="219">
        <v>2024</v>
      </c>
      <c r="E17" s="459">
        <f t="shared" ref="E17:O17" si="7">ROUND($C$17/11*1000000,0)</f>
        <v>395818182</v>
      </c>
      <c r="F17" s="459">
        <f t="shared" si="7"/>
        <v>395818182</v>
      </c>
      <c r="G17" s="459">
        <f t="shared" si="7"/>
        <v>395818182</v>
      </c>
      <c r="H17" s="459">
        <f t="shared" si="7"/>
        <v>395818182</v>
      </c>
      <c r="I17" s="459">
        <f t="shared" si="7"/>
        <v>395818182</v>
      </c>
      <c r="J17" s="459">
        <f t="shared" si="7"/>
        <v>395818182</v>
      </c>
      <c r="K17" s="459">
        <f t="shared" si="7"/>
        <v>395818182</v>
      </c>
      <c r="L17" s="459">
        <f t="shared" si="7"/>
        <v>395818182</v>
      </c>
      <c r="M17" s="459">
        <f t="shared" si="7"/>
        <v>395818182</v>
      </c>
      <c r="N17" s="459">
        <f t="shared" si="7"/>
        <v>395818182</v>
      </c>
      <c r="O17" s="459">
        <f t="shared" si="7"/>
        <v>395818182</v>
      </c>
    </row>
    <row r="18" spans="2:15" ht="30">
      <c r="B18" s="220" t="s">
        <v>832</v>
      </c>
      <c r="C18" s="458">
        <f>770+712+65</f>
        <v>1547</v>
      </c>
      <c r="D18" s="219">
        <v>2014</v>
      </c>
      <c r="E18" s="460">
        <f>C18*1000000</f>
        <v>1547000000</v>
      </c>
      <c r="F18" s="219"/>
      <c r="G18" s="219"/>
      <c r="H18" s="219"/>
      <c r="I18" s="219"/>
      <c r="J18" s="219"/>
      <c r="K18" s="219"/>
      <c r="L18" s="219"/>
      <c r="M18" s="219"/>
      <c r="N18" s="219"/>
      <c r="O18" s="219"/>
    </row>
    <row r="19" spans="2:15" ht="30">
      <c r="B19" s="220" t="s">
        <v>831</v>
      </c>
      <c r="C19" s="219"/>
      <c r="D19" s="219"/>
      <c r="E19" s="459">
        <f t="shared" ref="E19:O19" si="8">SUM(E16:E18)</f>
        <v>3871484849</v>
      </c>
      <c r="F19" s="459">
        <f t="shared" si="8"/>
        <v>2324484849</v>
      </c>
      <c r="G19" s="459">
        <f t="shared" si="8"/>
        <v>2324484849</v>
      </c>
      <c r="H19" s="459">
        <f t="shared" si="8"/>
        <v>2324484849</v>
      </c>
      <c r="I19" s="459">
        <f t="shared" si="8"/>
        <v>2324484849</v>
      </c>
      <c r="J19" s="459">
        <f t="shared" si="8"/>
        <v>2324484849</v>
      </c>
      <c r="K19" s="459">
        <f t="shared" si="8"/>
        <v>2324484849</v>
      </c>
      <c r="L19" s="459">
        <f t="shared" si="8"/>
        <v>2324484849</v>
      </c>
      <c r="M19" s="459">
        <f t="shared" si="8"/>
        <v>2324484849</v>
      </c>
      <c r="N19" s="459">
        <f t="shared" si="8"/>
        <v>2324484849</v>
      </c>
      <c r="O19" s="459">
        <f t="shared" si="8"/>
        <v>395818182</v>
      </c>
    </row>
  </sheetData>
  <mergeCells count="1">
    <mergeCell ref="B2:C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dimension ref="A1:O50"/>
  <sheetViews>
    <sheetView showGridLines="0" topLeftCell="A40" workbookViewId="0">
      <selection activeCell="A25" sqref="A25"/>
    </sheetView>
  </sheetViews>
  <sheetFormatPr baseColWidth="10" defaultRowHeight="15"/>
  <cols>
    <col min="1" max="1" width="43.42578125" bestFit="1" customWidth="1"/>
    <col min="3" max="3" width="19.28515625" customWidth="1"/>
    <col min="4" max="4" width="19.28515625" bestFit="1" customWidth="1"/>
    <col min="5" max="5" width="19.7109375" bestFit="1" customWidth="1"/>
    <col min="6" max="10" width="19.28515625" bestFit="1" customWidth="1"/>
    <col min="11" max="15" width="18.5703125" bestFit="1" customWidth="1"/>
  </cols>
  <sheetData>
    <row r="1" spans="1:15" ht="15.75">
      <c r="A1" s="302"/>
    </row>
    <row r="2" spans="1:15" ht="21">
      <c r="A2" s="300" t="str">
        <f>Nombre_Empresa</f>
        <v>ISAGEN</v>
      </c>
      <c r="C2" s="60"/>
      <c r="D2" s="361"/>
      <c r="E2" s="361"/>
      <c r="F2" s="62"/>
    </row>
    <row r="3" spans="1:15" ht="15.75">
      <c r="A3" s="302"/>
      <c r="E3" s="364" t="s">
        <v>429</v>
      </c>
    </row>
    <row r="4" spans="1:15" s="302" customFormat="1" ht="16.5" thickBot="1">
      <c r="A4" s="304" t="s">
        <v>646</v>
      </c>
      <c r="B4" s="353"/>
      <c r="C4" s="345">
        <f>'Datos Generales'!D21</f>
        <v>2013</v>
      </c>
      <c r="D4" s="322">
        <f>'Datos Generales'!E21</f>
        <v>41820</v>
      </c>
      <c r="E4" s="305">
        <f>YEAR('Datos Generales'!F21)</f>
        <v>2014</v>
      </c>
      <c r="F4" s="305">
        <f>'Datos Generales'!G21</f>
        <v>2015</v>
      </c>
      <c r="G4" s="305">
        <f>'Datos Generales'!H21</f>
        <v>2016</v>
      </c>
      <c r="H4" s="305">
        <f>'Datos Generales'!I21</f>
        <v>2017</v>
      </c>
      <c r="I4" s="305">
        <f>'Datos Generales'!J21</f>
        <v>2018</v>
      </c>
      <c r="J4" s="305">
        <f>'Datos Generales'!K21</f>
        <v>2019</v>
      </c>
      <c r="K4" s="305">
        <f>'Datos Generales'!L21</f>
        <v>2020</v>
      </c>
      <c r="L4" s="305">
        <f>'Datos Generales'!M21</f>
        <v>2021</v>
      </c>
      <c r="M4" s="305">
        <f>'Datos Generales'!N21</f>
        <v>2022</v>
      </c>
      <c r="N4" s="305">
        <f>'Datos Generales'!O21</f>
        <v>2023</v>
      </c>
      <c r="O4" s="305">
        <f>'Datos Generales'!P21</f>
        <v>2024</v>
      </c>
    </row>
    <row r="5" spans="1:15" s="302" customFormat="1" ht="17.25" thickTop="1" thickBot="1">
      <c r="A5" s="253" t="s">
        <v>600</v>
      </c>
      <c r="B5" s="326"/>
      <c r="C5" s="327"/>
      <c r="E5" s="334">
        <f>Meses_Proyectados_Año_Base</f>
        <v>6</v>
      </c>
      <c r="F5" s="334">
        <f t="shared" ref="F5:O5" si="0">Mes_año</f>
        <v>12</v>
      </c>
      <c r="G5" s="334">
        <f t="shared" si="0"/>
        <v>12</v>
      </c>
      <c r="H5" s="334">
        <f t="shared" si="0"/>
        <v>12</v>
      </c>
      <c r="I5" s="334">
        <f t="shared" si="0"/>
        <v>12</v>
      </c>
      <c r="J5" s="334">
        <f t="shared" si="0"/>
        <v>12</v>
      </c>
      <c r="K5" s="334">
        <f t="shared" si="0"/>
        <v>12</v>
      </c>
      <c r="L5" s="334">
        <f t="shared" si="0"/>
        <v>12</v>
      </c>
      <c r="M5" s="334">
        <f t="shared" si="0"/>
        <v>12</v>
      </c>
      <c r="N5" s="334">
        <f t="shared" si="0"/>
        <v>12</v>
      </c>
      <c r="O5" s="334">
        <f t="shared" si="0"/>
        <v>12</v>
      </c>
    </row>
    <row r="6" spans="1:15" s="302" customFormat="1" ht="16.5" thickTop="1">
      <c r="C6" s="354"/>
      <c r="E6" s="400"/>
      <c r="F6" s="400"/>
      <c r="G6" s="400"/>
      <c r="H6" s="400"/>
      <c r="I6" s="400"/>
      <c r="J6" s="400"/>
      <c r="K6" s="400"/>
      <c r="L6" s="400"/>
      <c r="M6" s="400"/>
      <c r="N6" s="400"/>
      <c r="O6" s="400"/>
    </row>
    <row r="7" spans="1:15" s="302" customFormat="1" ht="15.75">
      <c r="A7" s="302" t="s">
        <v>808</v>
      </c>
      <c r="C7" s="354">
        <f>1-C8</f>
        <v>0.4</v>
      </c>
      <c r="D7" s="354">
        <f t="shared" ref="D7:O7" si="1">1-D8</f>
        <v>0.4</v>
      </c>
      <c r="E7" s="354">
        <f t="shared" si="1"/>
        <v>0.4</v>
      </c>
      <c r="F7" s="354">
        <f t="shared" si="1"/>
        <v>0.4</v>
      </c>
      <c r="G7" s="354">
        <f t="shared" si="1"/>
        <v>0.4</v>
      </c>
      <c r="H7" s="354">
        <f t="shared" si="1"/>
        <v>0.4</v>
      </c>
      <c r="I7" s="354">
        <f t="shared" si="1"/>
        <v>0.4</v>
      </c>
      <c r="J7" s="354">
        <f t="shared" si="1"/>
        <v>0.4</v>
      </c>
      <c r="K7" s="354">
        <f t="shared" si="1"/>
        <v>0.4</v>
      </c>
      <c r="L7" s="354">
        <f t="shared" si="1"/>
        <v>0.4</v>
      </c>
      <c r="M7" s="354">
        <f t="shared" si="1"/>
        <v>0.4</v>
      </c>
      <c r="N7" s="354">
        <f t="shared" si="1"/>
        <v>0.4</v>
      </c>
      <c r="O7" s="354">
        <f t="shared" si="1"/>
        <v>0.4</v>
      </c>
    </row>
    <row r="8" spans="1:15" s="302" customFormat="1" ht="15.75">
      <c r="A8" s="302" t="s">
        <v>357</v>
      </c>
      <c r="C8" s="358">
        <f t="shared" ref="C8:O8" si="2">Estructura_Deuda_Sogamoso</f>
        <v>0.6</v>
      </c>
      <c r="D8" s="358">
        <f t="shared" si="2"/>
        <v>0.6</v>
      </c>
      <c r="E8" s="358">
        <f t="shared" si="2"/>
        <v>0.6</v>
      </c>
      <c r="F8" s="358">
        <f t="shared" si="2"/>
        <v>0.6</v>
      </c>
      <c r="G8" s="358">
        <f t="shared" si="2"/>
        <v>0.6</v>
      </c>
      <c r="H8" s="358">
        <f t="shared" si="2"/>
        <v>0.6</v>
      </c>
      <c r="I8" s="358">
        <f t="shared" si="2"/>
        <v>0.6</v>
      </c>
      <c r="J8" s="358">
        <f t="shared" si="2"/>
        <v>0.6</v>
      </c>
      <c r="K8" s="358">
        <f t="shared" si="2"/>
        <v>0.6</v>
      </c>
      <c r="L8" s="358">
        <f t="shared" si="2"/>
        <v>0.6</v>
      </c>
      <c r="M8" s="358">
        <f t="shared" si="2"/>
        <v>0.6</v>
      </c>
      <c r="N8" s="358">
        <f t="shared" si="2"/>
        <v>0.6</v>
      </c>
      <c r="O8" s="358">
        <f t="shared" si="2"/>
        <v>0.6</v>
      </c>
    </row>
    <row r="9" spans="1:15" s="314" customFormat="1" ht="15.75">
      <c r="A9" s="314" t="s">
        <v>627</v>
      </c>
      <c r="C9" s="359">
        <f>'Activos fijos'!C14</f>
        <v>3194321000000</v>
      </c>
      <c r="D9" s="359">
        <f>'Activos fijos'!D14</f>
        <v>474892999999.99988</v>
      </c>
      <c r="E9" s="359">
        <f>'Activos fijos'!E14</f>
        <v>681800956561.5188</v>
      </c>
      <c r="F9" s="359">
        <f>'Activos fijos'!F14</f>
        <v>0</v>
      </c>
      <c r="G9" s="359">
        <f>'Activos fijos'!G14</f>
        <v>0</v>
      </c>
      <c r="H9" s="359">
        <f>'Activos fijos'!H14</f>
        <v>0</v>
      </c>
      <c r="I9" s="359">
        <f>'Activos fijos'!I14</f>
        <v>0</v>
      </c>
      <c r="J9" s="359">
        <f>'Activos fijos'!J14</f>
        <v>0</v>
      </c>
      <c r="K9" s="359">
        <f>'Activos fijos'!K14</f>
        <v>0</v>
      </c>
      <c r="L9" s="359">
        <f>'Activos fijos'!L14</f>
        <v>0</v>
      </c>
      <c r="M9" s="359">
        <f>'Activos fijos'!M14</f>
        <v>0</v>
      </c>
      <c r="N9" s="359">
        <f>'Activos fijos'!N14</f>
        <v>0</v>
      </c>
      <c r="O9" s="359">
        <f>'Activos fijos'!O14</f>
        <v>0</v>
      </c>
    </row>
    <row r="10" spans="1:15" s="302" customFormat="1" ht="15.75">
      <c r="C10" s="309"/>
      <c r="D10" s="309"/>
      <c r="E10" s="309"/>
      <c r="F10" s="355"/>
      <c r="G10" s="309"/>
      <c r="H10" s="309"/>
      <c r="I10" s="309"/>
      <c r="J10" s="309"/>
      <c r="K10" s="309"/>
      <c r="L10" s="309"/>
      <c r="M10" s="309"/>
      <c r="N10" s="309"/>
      <c r="O10" s="309"/>
    </row>
    <row r="11" spans="1:15" s="302" customFormat="1" ht="16.5" thickBot="1">
      <c r="A11" s="304" t="s">
        <v>628</v>
      </c>
      <c r="B11" s="353"/>
      <c r="C11" s="305"/>
      <c r="D11" s="305"/>
      <c r="E11" s="305"/>
      <c r="F11" s="305"/>
      <c r="G11" s="305"/>
      <c r="H11" s="305"/>
      <c r="I11" s="305"/>
      <c r="J11" s="305"/>
      <c r="K11" s="305"/>
      <c r="L11" s="305"/>
      <c r="M11" s="305"/>
      <c r="N11" s="305"/>
      <c r="O11" s="305"/>
    </row>
    <row r="12" spans="1:15" s="314" customFormat="1" ht="16.5" thickTop="1">
      <c r="A12" s="360" t="s">
        <v>808</v>
      </c>
      <c r="B12" s="360"/>
      <c r="C12" s="357">
        <f>C9*C7</f>
        <v>1277728400000</v>
      </c>
      <c r="D12" s="357">
        <f t="shared" ref="D12:O12" si="3">D9*D7</f>
        <v>189957199999.99997</v>
      </c>
      <c r="E12" s="357">
        <f t="shared" si="3"/>
        <v>272720382624.60754</v>
      </c>
      <c r="F12" s="357">
        <f t="shared" si="3"/>
        <v>0</v>
      </c>
      <c r="G12" s="357">
        <f t="shared" si="3"/>
        <v>0</v>
      </c>
      <c r="H12" s="357">
        <f t="shared" si="3"/>
        <v>0</v>
      </c>
      <c r="I12" s="357">
        <f t="shared" si="3"/>
        <v>0</v>
      </c>
      <c r="J12" s="357">
        <f t="shared" si="3"/>
        <v>0</v>
      </c>
      <c r="K12" s="357">
        <f t="shared" si="3"/>
        <v>0</v>
      </c>
      <c r="L12" s="357">
        <f t="shared" si="3"/>
        <v>0</v>
      </c>
      <c r="M12" s="357">
        <f t="shared" si="3"/>
        <v>0</v>
      </c>
      <c r="N12" s="357">
        <f t="shared" si="3"/>
        <v>0</v>
      </c>
      <c r="O12" s="357">
        <f t="shared" si="3"/>
        <v>0</v>
      </c>
    </row>
    <row r="13" spans="1:15" s="314" customFormat="1" ht="15.75">
      <c r="A13" s="360" t="s">
        <v>357</v>
      </c>
      <c r="B13" s="360"/>
      <c r="C13" s="357">
        <f>C9*C8</f>
        <v>1916592600000</v>
      </c>
      <c r="D13" s="357">
        <f t="shared" ref="D13:O13" si="4">D9*D8</f>
        <v>284935799999.99994</v>
      </c>
      <c r="E13" s="357">
        <f t="shared" si="4"/>
        <v>409080573936.91125</v>
      </c>
      <c r="F13" s="357">
        <f t="shared" si="4"/>
        <v>0</v>
      </c>
      <c r="G13" s="357">
        <f t="shared" si="4"/>
        <v>0</v>
      </c>
      <c r="H13" s="357">
        <f t="shared" si="4"/>
        <v>0</v>
      </c>
      <c r="I13" s="357">
        <f t="shared" si="4"/>
        <v>0</v>
      </c>
      <c r="J13" s="357">
        <f t="shared" si="4"/>
        <v>0</v>
      </c>
      <c r="K13" s="357">
        <f t="shared" si="4"/>
        <v>0</v>
      </c>
      <c r="L13" s="357">
        <f t="shared" si="4"/>
        <v>0</v>
      </c>
      <c r="M13" s="357">
        <f t="shared" si="4"/>
        <v>0</v>
      </c>
      <c r="N13" s="357">
        <f t="shared" si="4"/>
        <v>0</v>
      </c>
      <c r="O13" s="357">
        <f t="shared" si="4"/>
        <v>0</v>
      </c>
    </row>
    <row r="14" spans="1:15" s="302" customFormat="1" ht="15.75">
      <c r="A14" s="302" t="s">
        <v>348</v>
      </c>
      <c r="C14" s="356">
        <f t="shared" ref="C14:O14" si="5">Periodo_Gracia_Deuda</f>
        <v>2</v>
      </c>
      <c r="D14" s="356">
        <f t="shared" si="5"/>
        <v>2</v>
      </c>
      <c r="E14" s="356">
        <f t="shared" si="5"/>
        <v>2</v>
      </c>
      <c r="F14" s="356">
        <f t="shared" si="5"/>
        <v>2</v>
      </c>
      <c r="G14" s="356">
        <f t="shared" si="5"/>
        <v>2</v>
      </c>
      <c r="H14" s="356">
        <f t="shared" si="5"/>
        <v>2</v>
      </c>
      <c r="I14" s="356">
        <f t="shared" si="5"/>
        <v>2</v>
      </c>
      <c r="J14" s="356">
        <f t="shared" si="5"/>
        <v>2</v>
      </c>
      <c r="K14" s="356">
        <f t="shared" si="5"/>
        <v>2</v>
      </c>
      <c r="L14" s="356">
        <f t="shared" si="5"/>
        <v>2</v>
      </c>
      <c r="M14" s="356">
        <f t="shared" si="5"/>
        <v>2</v>
      </c>
      <c r="N14" s="356">
        <f t="shared" si="5"/>
        <v>2</v>
      </c>
      <c r="O14" s="356">
        <f t="shared" si="5"/>
        <v>2</v>
      </c>
    </row>
    <row r="15" spans="1:15" s="302" customFormat="1" ht="15.75">
      <c r="A15" s="302" t="s">
        <v>629</v>
      </c>
      <c r="C15" s="356">
        <f t="shared" ref="C15:O15" si="6">Plazo_Creditos</f>
        <v>10</v>
      </c>
      <c r="D15" s="356">
        <f t="shared" si="6"/>
        <v>10</v>
      </c>
      <c r="E15" s="356">
        <f t="shared" si="6"/>
        <v>10</v>
      </c>
      <c r="F15" s="356">
        <f t="shared" si="6"/>
        <v>10</v>
      </c>
      <c r="G15" s="356">
        <f t="shared" si="6"/>
        <v>10</v>
      </c>
      <c r="H15" s="356">
        <f t="shared" si="6"/>
        <v>10</v>
      </c>
      <c r="I15" s="356">
        <f t="shared" si="6"/>
        <v>10</v>
      </c>
      <c r="J15" s="356">
        <f t="shared" si="6"/>
        <v>10</v>
      </c>
      <c r="K15" s="356">
        <f t="shared" si="6"/>
        <v>10</v>
      </c>
      <c r="L15" s="356">
        <f t="shared" si="6"/>
        <v>10</v>
      </c>
      <c r="M15" s="356">
        <f t="shared" si="6"/>
        <v>10</v>
      </c>
      <c r="N15" s="356">
        <f t="shared" si="6"/>
        <v>10</v>
      </c>
      <c r="O15" s="356">
        <f t="shared" si="6"/>
        <v>10</v>
      </c>
    </row>
    <row r="16" spans="1:15" s="302" customFormat="1" ht="15.75">
      <c r="A16" s="302" t="s">
        <v>630</v>
      </c>
      <c r="C16" s="356">
        <f>C14+C15</f>
        <v>12</v>
      </c>
      <c r="D16" s="356">
        <f t="shared" ref="D16:O16" si="7">D14+D15</f>
        <v>12</v>
      </c>
      <c r="E16" s="356">
        <f t="shared" si="7"/>
        <v>12</v>
      </c>
      <c r="F16" s="356">
        <f t="shared" si="7"/>
        <v>12</v>
      </c>
      <c r="G16" s="356">
        <f t="shared" si="7"/>
        <v>12</v>
      </c>
      <c r="H16" s="356">
        <f t="shared" si="7"/>
        <v>12</v>
      </c>
      <c r="I16" s="356">
        <f t="shared" si="7"/>
        <v>12</v>
      </c>
      <c r="J16" s="356">
        <f t="shared" si="7"/>
        <v>12</v>
      </c>
      <c r="K16" s="356">
        <f t="shared" si="7"/>
        <v>12</v>
      </c>
      <c r="L16" s="356">
        <f t="shared" si="7"/>
        <v>12</v>
      </c>
      <c r="M16" s="356">
        <f t="shared" si="7"/>
        <v>12</v>
      </c>
      <c r="N16" s="356">
        <f t="shared" si="7"/>
        <v>12</v>
      </c>
      <c r="O16" s="356">
        <f t="shared" si="7"/>
        <v>12</v>
      </c>
    </row>
    <row r="17" spans="1:15" s="302" customFormat="1" ht="15.75">
      <c r="A17" s="302" t="s">
        <v>631</v>
      </c>
      <c r="C17" s="354">
        <f t="shared" ref="C17:O17" si="8">Tasa_interes_creditos</f>
        <v>9.3386887112029374E-2</v>
      </c>
      <c r="D17" s="354">
        <f t="shared" si="8"/>
        <v>9.3386887112029374E-2</v>
      </c>
      <c r="E17" s="354">
        <f t="shared" si="8"/>
        <v>9.3386887112029374E-2</v>
      </c>
      <c r="F17" s="354">
        <f t="shared" si="8"/>
        <v>9.3386887112029374E-2</v>
      </c>
      <c r="G17" s="354">
        <f t="shared" si="8"/>
        <v>9.3386887112029374E-2</v>
      </c>
      <c r="H17" s="354">
        <f t="shared" si="8"/>
        <v>9.3386887112029374E-2</v>
      </c>
      <c r="I17" s="354">
        <f t="shared" si="8"/>
        <v>9.3386887112029374E-2</v>
      </c>
      <c r="J17" s="354">
        <f t="shared" si="8"/>
        <v>9.3386887112029374E-2</v>
      </c>
      <c r="K17" s="354">
        <f t="shared" si="8"/>
        <v>9.3386887112029374E-2</v>
      </c>
      <c r="L17" s="354">
        <f t="shared" si="8"/>
        <v>9.3386887112029374E-2</v>
      </c>
      <c r="M17" s="354">
        <f t="shared" si="8"/>
        <v>9.3386887112029374E-2</v>
      </c>
      <c r="N17" s="354">
        <f t="shared" si="8"/>
        <v>9.3386887112029374E-2</v>
      </c>
      <c r="O17" s="354">
        <f t="shared" si="8"/>
        <v>9.3386887112029374E-2</v>
      </c>
    </row>
    <row r="18" spans="1:15" s="302" customFormat="1" ht="15.75">
      <c r="C18" s="354"/>
      <c r="D18" s="354"/>
      <c r="E18" s="354"/>
      <c r="F18" s="354"/>
      <c r="G18" s="354"/>
      <c r="H18" s="354"/>
      <c r="I18" s="354"/>
      <c r="J18" s="354"/>
      <c r="K18" s="354"/>
      <c r="L18" s="354"/>
      <c r="M18" s="354"/>
      <c r="N18" s="354"/>
      <c r="O18" s="354"/>
    </row>
    <row r="19" spans="1:15" s="302" customFormat="1" ht="15.75">
      <c r="E19" s="364" t="s">
        <v>429</v>
      </c>
    </row>
    <row r="20" spans="1:15" s="302" customFormat="1" ht="16.5" thickBot="1">
      <c r="A20" s="304" t="s">
        <v>647</v>
      </c>
      <c r="B20" s="353"/>
      <c r="C20" s="345">
        <f>C4</f>
        <v>2013</v>
      </c>
      <c r="D20" s="322">
        <f>D4</f>
        <v>41820</v>
      </c>
      <c r="E20" s="305">
        <f>E4</f>
        <v>2014</v>
      </c>
      <c r="F20" s="305">
        <f>F4</f>
        <v>2015</v>
      </c>
      <c r="G20" s="305">
        <f t="shared" ref="G20:O20" si="9">G4</f>
        <v>2016</v>
      </c>
      <c r="H20" s="305">
        <f t="shared" si="9"/>
        <v>2017</v>
      </c>
      <c r="I20" s="305">
        <f t="shared" si="9"/>
        <v>2018</v>
      </c>
      <c r="J20" s="305">
        <f t="shared" si="9"/>
        <v>2019</v>
      </c>
      <c r="K20" s="305">
        <f t="shared" si="9"/>
        <v>2020</v>
      </c>
      <c r="L20" s="305">
        <f t="shared" si="9"/>
        <v>2021</v>
      </c>
      <c r="M20" s="305">
        <f t="shared" si="9"/>
        <v>2022</v>
      </c>
      <c r="N20" s="305">
        <f t="shared" si="9"/>
        <v>2023</v>
      </c>
      <c r="O20" s="305">
        <f t="shared" si="9"/>
        <v>2024</v>
      </c>
    </row>
    <row r="21" spans="1:15" s="314" customFormat="1" ht="16.5" thickTop="1">
      <c r="A21" s="360" t="s">
        <v>632</v>
      </c>
      <c r="B21" s="360"/>
      <c r="C21" s="357">
        <f>C13</f>
        <v>1916592600000</v>
      </c>
      <c r="D21" s="357">
        <f t="shared" ref="D21:O21" si="10">D13</f>
        <v>284935799999.99994</v>
      </c>
      <c r="E21" s="357">
        <f t="shared" si="10"/>
        <v>409080573936.91125</v>
      </c>
      <c r="F21" s="357">
        <f t="shared" si="10"/>
        <v>0</v>
      </c>
      <c r="G21" s="357">
        <f t="shared" si="10"/>
        <v>0</v>
      </c>
      <c r="H21" s="357">
        <f t="shared" si="10"/>
        <v>0</v>
      </c>
      <c r="I21" s="357">
        <f t="shared" si="10"/>
        <v>0</v>
      </c>
      <c r="J21" s="357">
        <f t="shared" si="10"/>
        <v>0</v>
      </c>
      <c r="K21" s="357">
        <f t="shared" si="10"/>
        <v>0</v>
      </c>
      <c r="L21" s="357">
        <f t="shared" si="10"/>
        <v>0</v>
      </c>
      <c r="M21" s="357">
        <f t="shared" si="10"/>
        <v>0</v>
      </c>
      <c r="N21" s="357">
        <f t="shared" si="10"/>
        <v>0</v>
      </c>
      <c r="O21" s="357">
        <f t="shared" si="10"/>
        <v>0</v>
      </c>
    </row>
    <row r="22" spans="1:15" s="314" customFormat="1" ht="15.75">
      <c r="A22" s="360" t="s">
        <v>633</v>
      </c>
      <c r="B22" s="360"/>
      <c r="C22" s="357">
        <f>-D25</f>
        <v>0</v>
      </c>
      <c r="D22" s="357">
        <f t="shared" ref="D22:O22" si="11">-E25</f>
        <v>0</v>
      </c>
      <c r="E22" s="357">
        <f t="shared" si="11"/>
        <v>261060897393.6911</v>
      </c>
      <c r="F22" s="357">
        <f t="shared" si="11"/>
        <v>261060897393.6911</v>
      </c>
      <c r="G22" s="357">
        <f t="shared" si="11"/>
        <v>261060897393.6911</v>
      </c>
      <c r="H22" s="357">
        <f t="shared" si="11"/>
        <v>261060897393.6911</v>
      </c>
      <c r="I22" s="357">
        <f t="shared" si="11"/>
        <v>261060897393.6911</v>
      </c>
      <c r="J22" s="357">
        <f t="shared" si="11"/>
        <v>261060897393.6911</v>
      </c>
      <c r="K22" s="357">
        <f t="shared" si="11"/>
        <v>261060897393.6911</v>
      </c>
      <c r="L22" s="357">
        <f t="shared" si="11"/>
        <v>261060897393.6911</v>
      </c>
      <c r="M22" s="357">
        <f t="shared" si="11"/>
        <v>261060897393.6911</v>
      </c>
      <c r="N22" s="357">
        <f t="shared" si="11"/>
        <v>261060897393.69104</v>
      </c>
      <c r="O22" s="357">
        <f t="shared" si="11"/>
        <v>0</v>
      </c>
    </row>
    <row r="23" spans="1:15" s="314" customFormat="1" ht="15.75">
      <c r="A23" s="360" t="s">
        <v>634</v>
      </c>
      <c r="B23" s="360"/>
      <c r="C23" s="357">
        <f>C24-C22</f>
        <v>1916592600000</v>
      </c>
      <c r="D23" s="357">
        <f t="shared" ref="D23:O23" si="12">D24-D22</f>
        <v>2201528400000</v>
      </c>
      <c r="E23" s="357">
        <f t="shared" si="12"/>
        <v>2349548076543.2202</v>
      </c>
      <c r="F23" s="357">
        <f t="shared" si="12"/>
        <v>2088487179149.5291</v>
      </c>
      <c r="G23" s="357">
        <f t="shared" si="12"/>
        <v>1827426281755.8379</v>
      </c>
      <c r="H23" s="357">
        <f t="shared" si="12"/>
        <v>1566365384362.1467</v>
      </c>
      <c r="I23" s="357">
        <f t="shared" si="12"/>
        <v>1305304486968.4556</v>
      </c>
      <c r="J23" s="357">
        <f t="shared" si="12"/>
        <v>1044243589574.7644</v>
      </c>
      <c r="K23" s="357">
        <f t="shared" si="12"/>
        <v>783182692181.07324</v>
      </c>
      <c r="L23" s="357">
        <f t="shared" si="12"/>
        <v>522121794787.38214</v>
      </c>
      <c r="M23" s="357">
        <f t="shared" si="12"/>
        <v>261060897393.69104</v>
      </c>
      <c r="N23" s="357">
        <f t="shared" si="12"/>
        <v>0</v>
      </c>
      <c r="O23" s="357">
        <f t="shared" si="12"/>
        <v>0</v>
      </c>
    </row>
    <row r="24" spans="1:15" s="314" customFormat="1" ht="15.75">
      <c r="A24" s="360" t="s">
        <v>635</v>
      </c>
      <c r="B24" s="360"/>
      <c r="C24" s="357">
        <f>B24+C21+C25</f>
        <v>1916592600000</v>
      </c>
      <c r="D24" s="357">
        <f t="shared" ref="D24:O24" si="13">C24+D21+D25</f>
        <v>2201528400000</v>
      </c>
      <c r="E24" s="357">
        <f t="shared" si="13"/>
        <v>2610608973936.9111</v>
      </c>
      <c r="F24" s="357">
        <f t="shared" si="13"/>
        <v>2349548076543.2202</v>
      </c>
      <c r="G24" s="357">
        <f t="shared" si="13"/>
        <v>2088487179149.5291</v>
      </c>
      <c r="H24" s="357">
        <f t="shared" si="13"/>
        <v>1827426281755.8379</v>
      </c>
      <c r="I24" s="357">
        <f t="shared" si="13"/>
        <v>1566365384362.1467</v>
      </c>
      <c r="J24" s="357">
        <f t="shared" si="13"/>
        <v>1305304486968.4556</v>
      </c>
      <c r="K24" s="357">
        <f t="shared" si="13"/>
        <v>1044243589574.7644</v>
      </c>
      <c r="L24" s="357">
        <f t="shared" si="13"/>
        <v>783182692181.07324</v>
      </c>
      <c r="M24" s="357">
        <f t="shared" si="13"/>
        <v>522121794787.38214</v>
      </c>
      <c r="N24" s="357">
        <f t="shared" si="13"/>
        <v>261060897393.69104</v>
      </c>
      <c r="O24" s="357">
        <f t="shared" si="13"/>
        <v>0</v>
      </c>
    </row>
    <row r="25" spans="1:15" s="314" customFormat="1" ht="15.75">
      <c r="A25" s="360" t="s">
        <v>636</v>
      </c>
      <c r="B25" s="360"/>
      <c r="C25" s="357">
        <f>IF(C20&gt;=Año_2013+Periodo_Gracia_Deuda+Plazo_Creditos,0,IF(C20&gt;=Año_2013+Periodo_Gracia_Deuda,-SUM($C$21:C21)/C15,0))</f>
        <v>0</v>
      </c>
      <c r="D25" s="357">
        <f>IF(D20&gt;=Año_2013+Periodo_Gracia_Deuda+Plazo_Creditos,0,IF(D20&gt;=Año_2013+Periodo_Gracia_Deuda,-SUM($C$21:D21)/D15,0))</f>
        <v>0</v>
      </c>
      <c r="E25" s="357">
        <f>IF(E20&gt;=Año_2013+Periodo_Gracia_Deuda+Plazo_Creditos,0,IF(E20&gt;=Año_2013+Periodo_Gracia_Deuda,MAX(-D24,-SUM($C$21:E21)/E15),0))</f>
        <v>0</v>
      </c>
      <c r="F25" s="357">
        <f>IF(F20&gt;=Año_2013+Periodo_Gracia_Deuda+Plazo_Creditos,0,IF(F20&gt;=Año_2013+Periodo_Gracia_Deuda,MAX(-E24,-SUM($C$21:F21)/F15),0))</f>
        <v>-261060897393.6911</v>
      </c>
      <c r="G25" s="357">
        <f>IF(G20&gt;=Año_2013+Periodo_Gracia_Deuda+Plazo_Creditos,0,IF(G20&gt;=Año_2013+Periodo_Gracia_Deuda,MAX(-F24,-SUM($C$21:G21)/G15),0))</f>
        <v>-261060897393.6911</v>
      </c>
      <c r="H25" s="357">
        <f>IF(H20&gt;=Año_2013+Periodo_Gracia_Deuda+Plazo_Creditos,0,IF(H20&gt;=Año_2013+Periodo_Gracia_Deuda,MAX(-G24,-SUM($C$21:H21)/H15),0))</f>
        <v>-261060897393.6911</v>
      </c>
      <c r="I25" s="357">
        <f>IF(I20&gt;=Año_2013+Periodo_Gracia_Deuda+Plazo_Creditos,0,IF(I20&gt;=Año_2013+Periodo_Gracia_Deuda,MAX(-H24,-SUM($C$21:I21)/I15),0))</f>
        <v>-261060897393.6911</v>
      </c>
      <c r="J25" s="357">
        <f>IF(J20&gt;=Año_2013+Periodo_Gracia_Deuda+Plazo_Creditos,0,IF(J20&gt;=Año_2013+Periodo_Gracia_Deuda,MAX(-I24,-SUM($C$21:J21)/J15),0))</f>
        <v>-261060897393.6911</v>
      </c>
      <c r="K25" s="357">
        <f>IF(K20&gt;=Año_2013+Periodo_Gracia_Deuda+Plazo_Creditos,0,IF(K20&gt;=Año_2013+Periodo_Gracia_Deuda,MAX(-J24,-SUM($C$21:K21)/K15),0))</f>
        <v>-261060897393.6911</v>
      </c>
      <c r="L25" s="357">
        <f>IF(L20&gt;=Año_2013+Periodo_Gracia_Deuda+Plazo_Creditos,0,IF(L20&gt;=Año_2013+Periodo_Gracia_Deuda,MAX(-K24,-SUM($C$21:L21)/L15),0))</f>
        <v>-261060897393.6911</v>
      </c>
      <c r="M25" s="357">
        <f>IF(M20&gt;=Año_2013+Periodo_Gracia_Deuda+Plazo_Creditos,0,IF(M20&gt;=Año_2013+Periodo_Gracia_Deuda,MAX(-L24,-SUM($C$21:M21)/M15),0))</f>
        <v>-261060897393.6911</v>
      </c>
      <c r="N25" s="357">
        <f>IF(N20&gt;=Año_2013+Periodo_Gracia_Deuda+Plazo_Creditos,0,IF(N20&gt;=Año_2013+Periodo_Gracia_Deuda,MAX(-M24,-SUM($C$21:N21)/N15),0))</f>
        <v>-261060897393.6911</v>
      </c>
      <c r="O25" s="357">
        <f>IF(O20&gt;=Año_2013+Periodo_Gracia_Deuda+Plazo_Creditos,0,IF(O20&gt;=Año_2013+Periodo_Gracia_Deuda,MAX(-N24,-SUM($C$21:O21)/O15),0))</f>
        <v>-261060897393.69104</v>
      </c>
    </row>
    <row r="26" spans="1:15" s="314" customFormat="1" ht="15.75">
      <c r="A26" s="360" t="s">
        <v>637</v>
      </c>
      <c r="B26" s="360"/>
      <c r="C26" s="357">
        <f>-SUM('Proyecto Sogamoso'!D13:G13)*M</f>
        <v>-372510999319.79993</v>
      </c>
      <c r="D26" s="357">
        <f>-'Proyecto Sogamoso'!H13*M</f>
        <v>-97823425500.23999</v>
      </c>
      <c r="E26" s="357">
        <f>-'Proyecto Sogamoso'!I13*M</f>
        <v>-116000644130.76633</v>
      </c>
      <c r="F26" s="357">
        <f t="shared" ref="F26:O26" si="14">(E24*(((1+Tasa_interes_creditos)^0.5)-1)+F24*(((1+Tasa_interes_creditos)^0.5)-1))*-1</f>
        <v>-226438200833.06409</v>
      </c>
      <c r="G26" s="357">
        <f t="shared" si="14"/>
        <v>-202602600745.37317</v>
      </c>
      <c r="H26" s="357">
        <f t="shared" si="14"/>
        <v>-178767000657.68219</v>
      </c>
      <c r="I26" s="357">
        <f t="shared" si="14"/>
        <v>-154931400569.99121</v>
      </c>
      <c r="J26" s="357">
        <f t="shared" si="14"/>
        <v>-131095800482.30026</v>
      </c>
      <c r="K26" s="357">
        <f t="shared" si="14"/>
        <v>-107260200394.60931</v>
      </c>
      <c r="L26" s="357">
        <f t="shared" si="14"/>
        <v>-83424600306.918335</v>
      </c>
      <c r="M26" s="357">
        <f t="shared" si="14"/>
        <v>-59589000219.227386</v>
      </c>
      <c r="N26" s="357">
        <f t="shared" si="14"/>
        <v>-35753400131.536423</v>
      </c>
      <c r="O26" s="357">
        <f t="shared" si="14"/>
        <v>-11917800043.845474</v>
      </c>
    </row>
    <row r="27" spans="1:15" s="314" customFormat="1" ht="15.75">
      <c r="A27" s="362" t="s">
        <v>638</v>
      </c>
      <c r="B27" s="362"/>
      <c r="C27" s="363">
        <f>C25+C26</f>
        <v>-372510999319.79993</v>
      </c>
      <c r="D27" s="363">
        <f t="shared" ref="D27:O27" si="15">D25+D26</f>
        <v>-97823425500.23999</v>
      </c>
      <c r="E27" s="363">
        <f t="shared" si="15"/>
        <v>-116000644130.76633</v>
      </c>
      <c r="F27" s="363">
        <f t="shared" si="15"/>
        <v>-487499098226.75519</v>
      </c>
      <c r="G27" s="363">
        <f t="shared" si="15"/>
        <v>-463663498139.06427</v>
      </c>
      <c r="H27" s="363">
        <f t="shared" si="15"/>
        <v>-439827898051.37329</v>
      </c>
      <c r="I27" s="363">
        <f t="shared" si="15"/>
        <v>-415992297963.68231</v>
      </c>
      <c r="J27" s="363">
        <f t="shared" si="15"/>
        <v>-392156697875.99133</v>
      </c>
      <c r="K27" s="363">
        <f t="shared" si="15"/>
        <v>-368321097788.30042</v>
      </c>
      <c r="L27" s="363">
        <f t="shared" si="15"/>
        <v>-344485497700.60944</v>
      </c>
      <c r="M27" s="363">
        <f t="shared" si="15"/>
        <v>-320649897612.91846</v>
      </c>
      <c r="N27" s="363">
        <f t="shared" si="15"/>
        <v>-296814297525.22754</v>
      </c>
      <c r="O27" s="363">
        <f t="shared" si="15"/>
        <v>-272978697437.5365</v>
      </c>
    </row>
    <row r="28" spans="1:15" s="314" customFormat="1" ht="15.75">
      <c r="A28" s="312"/>
      <c r="B28" s="312"/>
      <c r="C28" s="313"/>
      <c r="D28" s="313"/>
      <c r="E28" s="394"/>
      <c r="F28" s="313"/>
      <c r="G28" s="313"/>
      <c r="H28" s="313"/>
      <c r="I28" s="313"/>
      <c r="J28" s="313"/>
      <c r="K28" s="313"/>
      <c r="L28" s="313"/>
      <c r="M28" s="313"/>
      <c r="N28" s="313"/>
      <c r="O28" s="313"/>
    </row>
    <row r="29" spans="1:15" s="314" customFormat="1" ht="15.75">
      <c r="A29" s="365" t="s">
        <v>648</v>
      </c>
      <c r="B29" s="312"/>
      <c r="C29" s="313"/>
      <c r="D29" s="313"/>
      <c r="E29" s="313"/>
      <c r="F29" s="313"/>
      <c r="G29" s="313"/>
      <c r="H29" s="313"/>
      <c r="I29" s="313"/>
      <c r="J29" s="313"/>
      <c r="K29" s="313"/>
      <c r="L29" s="313"/>
      <c r="M29" s="313"/>
      <c r="N29" s="313"/>
      <c r="O29" s="313"/>
    </row>
    <row r="30" spans="1:15" s="314" customFormat="1" ht="15.75">
      <c r="A30" s="312"/>
      <c r="B30" s="312"/>
      <c r="C30" s="313"/>
      <c r="D30" s="313"/>
      <c r="E30" s="313"/>
      <c r="F30" s="313"/>
      <c r="G30" s="313"/>
      <c r="H30" s="313"/>
      <c r="I30" s="313"/>
      <c r="J30" s="313"/>
      <c r="K30" s="313"/>
      <c r="L30" s="313"/>
      <c r="M30" s="313"/>
      <c r="N30" s="313"/>
      <c r="O30" s="313"/>
    </row>
    <row r="31" spans="1:15" s="314" customFormat="1" ht="15.75">
      <c r="D31" s="359"/>
      <c r="E31" s="395" t="s">
        <v>429</v>
      </c>
    </row>
    <row r="32" spans="1:15" s="314" customFormat="1" ht="16.5" thickBot="1">
      <c r="A32" s="304" t="s">
        <v>708</v>
      </c>
      <c r="B32" s="396"/>
      <c r="C32" s="397">
        <f t="shared" ref="C32:H32" si="16">C4</f>
        <v>2013</v>
      </c>
      <c r="D32" s="398">
        <f t="shared" si="16"/>
        <v>41820</v>
      </c>
      <c r="E32" s="399">
        <f t="shared" si="16"/>
        <v>2014</v>
      </c>
      <c r="F32" s="399">
        <f t="shared" si="16"/>
        <v>2015</v>
      </c>
      <c r="G32" s="399">
        <f t="shared" si="16"/>
        <v>2016</v>
      </c>
      <c r="H32" s="399">
        <f t="shared" si="16"/>
        <v>2017</v>
      </c>
      <c r="I32" s="399">
        <f t="shared" ref="I32:O32" si="17">I4</f>
        <v>2018</v>
      </c>
      <c r="J32" s="399">
        <f t="shared" si="17"/>
        <v>2019</v>
      </c>
      <c r="K32" s="399">
        <f t="shared" si="17"/>
        <v>2020</v>
      </c>
      <c r="L32" s="399">
        <f t="shared" si="17"/>
        <v>2021</v>
      </c>
      <c r="M32" s="399">
        <f t="shared" si="17"/>
        <v>2022</v>
      </c>
      <c r="N32" s="399">
        <f t="shared" si="17"/>
        <v>2023</v>
      </c>
      <c r="O32" s="399">
        <f t="shared" si="17"/>
        <v>2024</v>
      </c>
    </row>
    <row r="33" spans="1:15" s="314" customFormat="1" ht="16.5" thickTop="1">
      <c r="A33" s="360" t="s">
        <v>632</v>
      </c>
      <c r="B33" s="360"/>
      <c r="C33" s="357">
        <v>774829400000</v>
      </c>
      <c r="D33" s="357">
        <v>398637700000</v>
      </c>
      <c r="E33" s="357">
        <v>0</v>
      </c>
      <c r="F33" s="357">
        <v>0</v>
      </c>
      <c r="G33" s="357">
        <v>0</v>
      </c>
      <c r="H33" s="357">
        <v>0</v>
      </c>
      <c r="I33" s="357">
        <v>0</v>
      </c>
      <c r="J33" s="357">
        <v>0</v>
      </c>
      <c r="K33" s="357">
        <v>0</v>
      </c>
      <c r="L33" s="357">
        <v>0</v>
      </c>
      <c r="M33" s="357">
        <v>0</v>
      </c>
      <c r="N33" s="357">
        <v>0</v>
      </c>
      <c r="O33" s="357">
        <v>0</v>
      </c>
    </row>
    <row r="34" spans="1:15" s="314" customFormat="1" ht="15.75">
      <c r="A34" s="360" t="s">
        <v>633</v>
      </c>
      <c r="B34" s="360"/>
      <c r="C34" s="357">
        <f>-D37</f>
        <v>26444500000</v>
      </c>
      <c r="D34" s="357">
        <f t="shared" ref="D34:O34" si="18">-E37</f>
        <v>58673355000</v>
      </c>
      <c r="E34" s="357">
        <f t="shared" si="18"/>
        <v>117346710000</v>
      </c>
      <c r="F34" s="357">
        <f t="shared" si="18"/>
        <v>117346710000</v>
      </c>
      <c r="G34" s="357">
        <f t="shared" si="18"/>
        <v>117346710000</v>
      </c>
      <c r="H34" s="357">
        <f t="shared" si="18"/>
        <v>117346710000</v>
      </c>
      <c r="I34" s="357">
        <f t="shared" si="18"/>
        <v>117346710000</v>
      </c>
      <c r="J34" s="357">
        <f t="shared" si="18"/>
        <v>117346710000</v>
      </c>
      <c r="K34" s="357">
        <f t="shared" si="18"/>
        <v>117346710000</v>
      </c>
      <c r="L34" s="357">
        <f t="shared" si="18"/>
        <v>117346710000</v>
      </c>
      <c r="M34" s="357">
        <f t="shared" si="18"/>
        <v>96686565000</v>
      </c>
      <c r="N34" s="357">
        <f t="shared" si="18"/>
        <v>0</v>
      </c>
      <c r="O34" s="357">
        <f t="shared" si="18"/>
        <v>0</v>
      </c>
    </row>
    <row r="35" spans="1:15" s="314" customFormat="1" ht="15.75">
      <c r="A35" s="360" t="s">
        <v>634</v>
      </c>
      <c r="B35" s="360"/>
      <c r="C35" s="357">
        <f>C36-C34</f>
        <v>695495900000</v>
      </c>
      <c r="D35" s="357">
        <f t="shared" ref="D35:O35" si="19">D36-D34</f>
        <v>1035460245000</v>
      </c>
      <c r="E35" s="357">
        <f t="shared" si="19"/>
        <v>918113535000</v>
      </c>
      <c r="F35" s="357">
        <f t="shared" si="19"/>
        <v>800766825000</v>
      </c>
      <c r="G35" s="357">
        <f t="shared" si="19"/>
        <v>683420115000</v>
      </c>
      <c r="H35" s="357">
        <f t="shared" si="19"/>
        <v>566073405000</v>
      </c>
      <c r="I35" s="357">
        <f t="shared" si="19"/>
        <v>448726695000</v>
      </c>
      <c r="J35" s="357">
        <f t="shared" si="19"/>
        <v>331379985000</v>
      </c>
      <c r="K35" s="357">
        <f t="shared" si="19"/>
        <v>214033275000</v>
      </c>
      <c r="L35" s="357">
        <f t="shared" si="19"/>
        <v>96686565000</v>
      </c>
      <c r="M35" s="357">
        <f t="shared" si="19"/>
        <v>0</v>
      </c>
      <c r="N35" s="357">
        <f t="shared" si="19"/>
        <v>0</v>
      </c>
      <c r="O35" s="357">
        <f t="shared" si="19"/>
        <v>0</v>
      </c>
    </row>
    <row r="36" spans="1:15" s="314" customFormat="1" ht="15.75">
      <c r="A36" s="360" t="s">
        <v>635</v>
      </c>
      <c r="B36" s="360"/>
      <c r="C36" s="357">
        <f>B36+C33+C37</f>
        <v>721940400000</v>
      </c>
      <c r="D36" s="357">
        <f t="shared" ref="D36:O36" si="20">C36+D33+D37</f>
        <v>1094133600000</v>
      </c>
      <c r="E36" s="357">
        <f t="shared" si="20"/>
        <v>1035460245000</v>
      </c>
      <c r="F36" s="357">
        <f t="shared" si="20"/>
        <v>918113535000</v>
      </c>
      <c r="G36" s="357">
        <f t="shared" si="20"/>
        <v>800766825000</v>
      </c>
      <c r="H36" s="357">
        <f t="shared" si="20"/>
        <v>683420115000</v>
      </c>
      <c r="I36" s="357">
        <f t="shared" si="20"/>
        <v>566073405000</v>
      </c>
      <c r="J36" s="357">
        <f t="shared" si="20"/>
        <v>448726695000</v>
      </c>
      <c r="K36" s="357">
        <f t="shared" si="20"/>
        <v>331379985000</v>
      </c>
      <c r="L36" s="357">
        <f t="shared" si="20"/>
        <v>214033275000</v>
      </c>
      <c r="M36" s="357">
        <f t="shared" si="20"/>
        <v>96686565000</v>
      </c>
      <c r="N36" s="357">
        <f t="shared" si="20"/>
        <v>0</v>
      </c>
      <c r="O36" s="357">
        <f t="shared" si="20"/>
        <v>0</v>
      </c>
    </row>
    <row r="37" spans="1:15" s="314" customFormat="1" ht="15.75">
      <c r="A37" s="360" t="s">
        <v>636</v>
      </c>
      <c r="B37" s="360"/>
      <c r="C37" s="357">
        <v>-52889000000</v>
      </c>
      <c r="D37" s="357">
        <v>-26444500000</v>
      </c>
      <c r="E37" s="357">
        <f>MAX(-D36,(-SUM($C$33:E33)/E15)*E5/Mes_año)</f>
        <v>-58673355000</v>
      </c>
      <c r="F37" s="357">
        <f>MAX(-E36,(-SUM($C$33:F33)/F15)*F5/Mes_año)</f>
        <v>-117346710000</v>
      </c>
      <c r="G37" s="357">
        <f>MAX(-F36,(-SUM($C$33:G33)/G15)*G5/Mes_año)</f>
        <v>-117346710000</v>
      </c>
      <c r="H37" s="357">
        <f>MAX(-G36,(-SUM($C$33:H33)/H15)*H5/Mes_año)</f>
        <v>-117346710000</v>
      </c>
      <c r="I37" s="357">
        <f>MAX(-H36,(-SUM($C$33:I33)/I15)*I5/Mes_año)</f>
        <v>-117346710000</v>
      </c>
      <c r="J37" s="357">
        <f>MAX(-I36,(-SUM($C$33:J33)/J15)*J5/Mes_año)</f>
        <v>-117346710000</v>
      </c>
      <c r="K37" s="357">
        <f>MAX(-J36,(-SUM($C$33:K33)/K15)*K5/Mes_año)</f>
        <v>-117346710000</v>
      </c>
      <c r="L37" s="357">
        <f>MAX(-K36,(-SUM($C$33:L33)/L15)*L5/Mes_año)</f>
        <v>-117346710000</v>
      </c>
      <c r="M37" s="357">
        <f>MAX(-L36,(-SUM($C$33:M33)/M15)*M5/Mes_año)</f>
        <v>-117346710000</v>
      </c>
      <c r="N37" s="357">
        <f>MAX(-M36,(-SUM($C$33:N33)/N15)*N5/Mes_año)</f>
        <v>-96686565000</v>
      </c>
      <c r="O37" s="357">
        <f>MAX(-N36,(-SUM($C$33:O33)/O15)*O5/Mes_año)</f>
        <v>0</v>
      </c>
    </row>
    <row r="38" spans="1:15" s="314" customFormat="1" ht="15.75">
      <c r="A38" s="360" t="s">
        <v>637</v>
      </c>
      <c r="B38" s="360"/>
      <c r="C38" s="357">
        <v>-34281000000</v>
      </c>
      <c r="D38" s="357">
        <v>-17412000000</v>
      </c>
      <c r="E38" s="357">
        <f t="shared" ref="E38:O38" si="21">((D36*(((1+Tasa_interes_creditos)^0.5)-1)+E36*(((1+Tasa_interes_creditos)^0.5)-1))*-1)*E5/Mes_año</f>
        <v>-48609488959.657982</v>
      </c>
      <c r="F38" s="357">
        <f t="shared" si="21"/>
        <v>-89183412427.440857</v>
      </c>
      <c r="G38" s="357">
        <f t="shared" si="21"/>
        <v>-78469325104.940765</v>
      </c>
      <c r="H38" s="357">
        <f t="shared" si="21"/>
        <v>-67755237782.440674</v>
      </c>
      <c r="I38" s="357">
        <f t="shared" si="21"/>
        <v>-57041150459.940575</v>
      </c>
      <c r="J38" s="357">
        <f t="shared" si="21"/>
        <v>-46327063137.440468</v>
      </c>
      <c r="K38" s="357">
        <f t="shared" si="21"/>
        <v>-35612975814.940369</v>
      </c>
      <c r="L38" s="357">
        <f t="shared" si="21"/>
        <v>-24898888492.440266</v>
      </c>
      <c r="M38" s="357">
        <f t="shared" si="21"/>
        <v>-14184801169.94017</v>
      </c>
      <c r="N38" s="357">
        <f t="shared" si="21"/>
        <v>-4413878754.3450594</v>
      </c>
      <c r="O38" s="357">
        <f t="shared" si="21"/>
        <v>0</v>
      </c>
    </row>
    <row r="39" spans="1:15" s="314" customFormat="1" ht="15.75">
      <c r="A39" s="362" t="s">
        <v>638</v>
      </c>
      <c r="B39" s="362"/>
      <c r="C39" s="363">
        <f>C37+C38</f>
        <v>-87170000000</v>
      </c>
      <c r="D39" s="363">
        <f t="shared" ref="D39:O39" si="22">D37+D38</f>
        <v>-43856500000</v>
      </c>
      <c r="E39" s="363">
        <f t="shared" si="22"/>
        <v>-107282843959.65799</v>
      </c>
      <c r="F39" s="363">
        <f t="shared" si="22"/>
        <v>-206530122427.44086</v>
      </c>
      <c r="G39" s="363">
        <f t="shared" si="22"/>
        <v>-195816035104.94077</v>
      </c>
      <c r="H39" s="363">
        <f t="shared" si="22"/>
        <v>-185101947782.44067</v>
      </c>
      <c r="I39" s="363">
        <f t="shared" si="22"/>
        <v>-174387860459.94058</v>
      </c>
      <c r="J39" s="363">
        <f t="shared" si="22"/>
        <v>-163673773137.44046</v>
      </c>
      <c r="K39" s="363">
        <f t="shared" si="22"/>
        <v>-152959685814.94037</v>
      </c>
      <c r="L39" s="363">
        <f t="shared" si="22"/>
        <v>-142245598492.44028</v>
      </c>
      <c r="M39" s="363">
        <f t="shared" si="22"/>
        <v>-131531511169.94017</v>
      </c>
      <c r="N39" s="363">
        <f t="shared" si="22"/>
        <v>-101100443754.34506</v>
      </c>
      <c r="O39" s="363">
        <f t="shared" si="22"/>
        <v>0</v>
      </c>
    </row>
    <row r="40" spans="1:15" s="314" customFormat="1" ht="15.75">
      <c r="A40" s="312"/>
      <c r="B40" s="312"/>
      <c r="C40" s="394"/>
      <c r="D40" s="313"/>
      <c r="E40" s="313"/>
      <c r="F40" s="313"/>
      <c r="G40" s="313"/>
      <c r="H40" s="313"/>
      <c r="I40" s="313"/>
      <c r="J40" s="313"/>
      <c r="K40" s="313"/>
      <c r="L40" s="313"/>
      <c r="M40" s="313"/>
      <c r="N40" s="313"/>
      <c r="O40" s="313"/>
    </row>
    <row r="41" spans="1:15" s="314" customFormat="1" ht="15.75">
      <c r="A41" s="312"/>
      <c r="B41" s="312"/>
      <c r="C41" s="313"/>
      <c r="D41" s="313"/>
      <c r="E41" s="313"/>
      <c r="F41" s="313"/>
      <c r="G41" s="313"/>
      <c r="H41" s="313"/>
      <c r="I41" s="313"/>
      <c r="J41" s="313"/>
      <c r="K41" s="313"/>
      <c r="L41" s="313"/>
      <c r="M41" s="313"/>
      <c r="N41" s="313"/>
      <c r="O41" s="313"/>
    </row>
    <row r="42" spans="1:15" s="314" customFormat="1" ht="15.75">
      <c r="C42" s="453"/>
      <c r="D42" s="453"/>
      <c r="E42" s="357"/>
      <c r="F42" s="357"/>
      <c r="G42" s="453"/>
      <c r="H42" s="453"/>
      <c r="I42" s="453"/>
      <c r="J42" s="453"/>
      <c r="K42" s="453"/>
      <c r="L42" s="453"/>
      <c r="M42" s="453"/>
      <c r="N42" s="453"/>
      <c r="O42" s="453"/>
    </row>
    <row r="43" spans="1:15" s="314" customFormat="1" ht="16.5" thickBot="1">
      <c r="A43" s="454" t="s">
        <v>639</v>
      </c>
      <c r="B43" s="396"/>
      <c r="C43" s="397">
        <f>C20</f>
        <v>2013</v>
      </c>
      <c r="D43" s="398">
        <f>D20</f>
        <v>41820</v>
      </c>
      <c r="E43" s="399">
        <f t="shared" ref="E43:O43" si="23">E20</f>
        <v>2014</v>
      </c>
      <c r="F43" s="399">
        <f t="shared" si="23"/>
        <v>2015</v>
      </c>
      <c r="G43" s="399">
        <f t="shared" si="23"/>
        <v>2016</v>
      </c>
      <c r="H43" s="399">
        <f t="shared" si="23"/>
        <v>2017</v>
      </c>
      <c r="I43" s="399">
        <f t="shared" si="23"/>
        <v>2018</v>
      </c>
      <c r="J43" s="399">
        <f t="shared" si="23"/>
        <v>2019</v>
      </c>
      <c r="K43" s="399">
        <f t="shared" si="23"/>
        <v>2020</v>
      </c>
      <c r="L43" s="399">
        <f t="shared" si="23"/>
        <v>2021</v>
      </c>
      <c r="M43" s="399">
        <f t="shared" si="23"/>
        <v>2022</v>
      </c>
      <c r="N43" s="399">
        <f t="shared" si="23"/>
        <v>2023</v>
      </c>
      <c r="O43" s="399">
        <f t="shared" si="23"/>
        <v>2024</v>
      </c>
    </row>
    <row r="44" spans="1:15" s="314" customFormat="1" ht="16.5" thickTop="1">
      <c r="A44" s="314" t="s">
        <v>635</v>
      </c>
      <c r="C44" s="359">
        <f>'Flujo de efectivo'!C12</f>
        <v>0</v>
      </c>
      <c r="D44" s="359">
        <f>'Flujo de efectivo'!D12</f>
        <v>0</v>
      </c>
      <c r="E44" s="359">
        <f>'Flujo de efectivo'!E12</f>
        <v>0</v>
      </c>
      <c r="F44" s="359">
        <f>'Flujo de efectivo'!F12</f>
        <v>0</v>
      </c>
      <c r="G44" s="359">
        <f>'Flujo de efectivo'!G12</f>
        <v>0</v>
      </c>
      <c r="H44" s="359">
        <f>'Flujo de efectivo'!H12</f>
        <v>0</v>
      </c>
      <c r="I44" s="359">
        <f>'Flujo de efectivo'!I12</f>
        <v>0</v>
      </c>
      <c r="J44" s="359">
        <f>'Flujo de efectivo'!J12</f>
        <v>1031907482292.0579</v>
      </c>
      <c r="K44" s="359">
        <f>'Flujo de efectivo'!K12</f>
        <v>784210732945.28162</v>
      </c>
      <c r="L44" s="359">
        <f>'Flujo de efectivo'!L12</f>
        <v>0</v>
      </c>
      <c r="M44" s="359">
        <f>'Flujo de efectivo'!M12</f>
        <v>1013450252632.5413</v>
      </c>
      <c r="N44" s="359">
        <f>'Flujo de efectivo'!N12</f>
        <v>946709256002.36133</v>
      </c>
      <c r="O44" s="359">
        <f>'Flujo de efectivo'!O12</f>
        <v>0</v>
      </c>
    </row>
    <row r="45" spans="1:15" s="314" customFormat="1" ht="15.75">
      <c r="A45" s="314" t="s">
        <v>636</v>
      </c>
      <c r="C45" s="359">
        <f>-B44</f>
        <v>0</v>
      </c>
      <c r="D45" s="359">
        <f t="shared" ref="D45:O45" si="24">-C44</f>
        <v>0</v>
      </c>
      <c r="E45" s="359">
        <f t="shared" si="24"/>
        <v>0</v>
      </c>
      <c r="F45" s="359">
        <f t="shared" si="24"/>
        <v>0</v>
      </c>
      <c r="G45" s="359">
        <f t="shared" si="24"/>
        <v>0</v>
      </c>
      <c r="H45" s="359">
        <f t="shared" si="24"/>
        <v>0</v>
      </c>
      <c r="I45" s="359">
        <f t="shared" si="24"/>
        <v>0</v>
      </c>
      <c r="J45" s="359">
        <f t="shared" si="24"/>
        <v>0</v>
      </c>
      <c r="K45" s="359">
        <f t="shared" si="24"/>
        <v>-1031907482292.0579</v>
      </c>
      <c r="L45" s="359">
        <f t="shared" si="24"/>
        <v>-784210732945.28162</v>
      </c>
      <c r="M45" s="359">
        <f t="shared" si="24"/>
        <v>0</v>
      </c>
      <c r="N45" s="359">
        <f t="shared" si="24"/>
        <v>-1013450252632.5413</v>
      </c>
      <c r="O45" s="359">
        <f t="shared" si="24"/>
        <v>-946709256002.36133</v>
      </c>
    </row>
    <row r="46" spans="1:15" s="314" customFormat="1" ht="15.75">
      <c r="A46" s="314" t="s">
        <v>637</v>
      </c>
      <c r="C46" s="359">
        <f t="shared" ref="C46:O46" si="25">-AVERAGE(B44:C44)*C48</f>
        <v>0</v>
      </c>
      <c r="D46" s="359">
        <f t="shared" si="25"/>
        <v>0</v>
      </c>
      <c r="E46" s="359">
        <f t="shared" si="25"/>
        <v>0</v>
      </c>
      <c r="F46" s="359">
        <f t="shared" si="25"/>
        <v>0</v>
      </c>
      <c r="G46" s="359">
        <f t="shared" si="25"/>
        <v>0</v>
      </c>
      <c r="H46" s="359">
        <f t="shared" si="25"/>
        <v>0</v>
      </c>
      <c r="I46" s="359">
        <f t="shared" si="25"/>
        <v>0</v>
      </c>
      <c r="J46" s="359">
        <f t="shared" si="25"/>
        <v>-39136492032.480568</v>
      </c>
      <c r="K46" s="359">
        <f t="shared" si="25"/>
        <v>-68878748609.133911</v>
      </c>
      <c r="L46" s="359">
        <f t="shared" si="25"/>
        <v>-29742256576.653351</v>
      </c>
      <c r="M46" s="359">
        <f t="shared" si="25"/>
        <v>-38436476542.810059</v>
      </c>
      <c r="N46" s="359">
        <f t="shared" si="25"/>
        <v>-74341710190.61261</v>
      </c>
      <c r="O46" s="359">
        <f t="shared" si="25"/>
        <v>-35905233647.802559</v>
      </c>
    </row>
    <row r="47" spans="1:15" s="314" customFormat="1" ht="15.75">
      <c r="A47" s="314" t="s">
        <v>638</v>
      </c>
      <c r="C47" s="359">
        <f>C45+C46</f>
        <v>0</v>
      </c>
      <c r="D47" s="359">
        <f t="shared" ref="D47:O47" si="26">D45+D46</f>
        <v>0</v>
      </c>
      <c r="E47" s="359">
        <f t="shared" si="26"/>
        <v>0</v>
      </c>
      <c r="F47" s="359">
        <f t="shared" si="26"/>
        <v>0</v>
      </c>
      <c r="G47" s="359">
        <f t="shared" si="26"/>
        <v>0</v>
      </c>
      <c r="H47" s="359">
        <f t="shared" si="26"/>
        <v>0</v>
      </c>
      <c r="I47" s="359">
        <f t="shared" si="26"/>
        <v>0</v>
      </c>
      <c r="J47" s="359">
        <f t="shared" si="26"/>
        <v>-39136492032.480568</v>
      </c>
      <c r="K47" s="359">
        <f t="shared" si="26"/>
        <v>-1100786230901.1919</v>
      </c>
      <c r="L47" s="359">
        <f t="shared" si="26"/>
        <v>-813952989521.93494</v>
      </c>
      <c r="M47" s="359">
        <f t="shared" si="26"/>
        <v>-38436476542.810059</v>
      </c>
      <c r="N47" s="359">
        <f t="shared" si="26"/>
        <v>-1087791962823.1538</v>
      </c>
      <c r="O47" s="359">
        <f t="shared" si="26"/>
        <v>-982614489650.16394</v>
      </c>
    </row>
    <row r="48" spans="1:15" s="314" customFormat="1" ht="15.75">
      <c r="A48" s="464" t="s">
        <v>640</v>
      </c>
      <c r="B48" s="464"/>
      <c r="C48" s="465">
        <f>'Datos Generales'!D46</f>
        <v>7.2840293885115148E-2</v>
      </c>
      <c r="D48" s="465">
        <f>'Datos Generales'!E46</f>
        <v>7.2009295276972418E-2</v>
      </c>
      <c r="E48" s="465">
        <f>'Datos Generales'!F46</f>
        <v>7.3463546841233907E-2</v>
      </c>
      <c r="F48" s="465">
        <f>'Datos Generales'!G46</f>
        <v>8.2085563692951613E-2</v>
      </c>
      <c r="G48" s="465">
        <f>'Datos Generales'!H46</f>
        <v>8.6137098190492312E-2</v>
      </c>
      <c r="H48" s="465">
        <f>'Datos Generales'!I46</f>
        <v>8.3643829178915219E-2</v>
      </c>
      <c r="I48" s="465">
        <f>'Datos Generales'!J46</f>
        <v>8.1046731863856136E-2</v>
      </c>
      <c r="J48" s="465">
        <f>'Datos Generales'!K46</f>
        <v>7.5852714907253427E-2</v>
      </c>
      <c r="K48" s="465">
        <f>'Datos Generales'!L46</f>
        <v>7.5852714907253427E-2</v>
      </c>
      <c r="L48" s="465">
        <f>'Datos Generales'!M46</f>
        <v>7.5852714907253427E-2</v>
      </c>
      <c r="M48" s="465">
        <f>'Datos Generales'!N46</f>
        <v>7.5852714907253427E-2</v>
      </c>
      <c r="N48" s="465">
        <f>'Datos Generales'!O46</f>
        <v>7.5852714907253427E-2</v>
      </c>
      <c r="O48" s="465">
        <f>'Datos Generales'!P46</f>
        <v>7.5852714907253427E-2</v>
      </c>
    </row>
    <row r="49" spans="1:1" s="314" customFormat="1" ht="15.75"/>
    <row r="50" spans="1:1" s="137" customFormat="1" ht="15.75">
      <c r="A50" s="314"/>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
  <dimension ref="A1:P159"/>
  <sheetViews>
    <sheetView showGridLines="0" topLeftCell="A35" workbookViewId="0">
      <selection activeCell="F26" sqref="F26"/>
    </sheetView>
  </sheetViews>
  <sheetFormatPr baseColWidth="10" defaultRowHeight="15.75"/>
  <cols>
    <col min="1" max="1" width="51.85546875" style="302" bestFit="1" customWidth="1"/>
    <col min="2" max="2" width="19.7109375" style="302" bestFit="1" customWidth="1"/>
    <col min="3" max="3" width="23.5703125" style="302" bestFit="1" customWidth="1"/>
    <col min="4" max="8" width="20" style="302" bestFit="1" customWidth="1"/>
    <col min="9" max="15" width="20.7109375" style="302" bestFit="1" customWidth="1"/>
    <col min="16" max="16384" width="11.42578125" style="302"/>
  </cols>
  <sheetData>
    <row r="1" spans="1:16">
      <c r="C1" s="340"/>
    </row>
    <row r="2" spans="1:16" ht="21">
      <c r="A2" s="300" t="str">
        <f>Nombre_Empresa</f>
        <v>ISAGEN</v>
      </c>
      <c r="C2" s="340"/>
      <c r="D2" s="340"/>
      <c r="F2" s="340"/>
    </row>
    <row r="3" spans="1:16">
      <c r="C3" s="303"/>
      <c r="D3" s="303"/>
      <c r="E3" s="303"/>
      <c r="F3" s="303"/>
      <c r="G3" s="303"/>
      <c r="H3" s="303"/>
      <c r="I3" s="303"/>
      <c r="J3" s="303"/>
      <c r="K3" s="303"/>
      <c r="L3" s="303"/>
      <c r="M3" s="303"/>
      <c r="N3" s="303"/>
      <c r="O3" s="303"/>
    </row>
    <row r="4" spans="1:16" ht="16.5" thickBot="1">
      <c r="A4" s="304" t="s">
        <v>649</v>
      </c>
      <c r="B4" s="353"/>
      <c r="C4" s="345">
        <f>'Datos Generales'!D21</f>
        <v>2013</v>
      </c>
      <c r="D4" s="322">
        <f>'Datos Generales'!E21</f>
        <v>41820</v>
      </c>
      <c r="E4" s="305">
        <f>YEAR('Datos Generales'!F21)</f>
        <v>2014</v>
      </c>
      <c r="F4" s="305">
        <f>'Datos Generales'!G21</f>
        <v>2015</v>
      </c>
      <c r="G4" s="305">
        <f>'Datos Generales'!H21</f>
        <v>2016</v>
      </c>
      <c r="H4" s="305">
        <f>'Datos Generales'!I21</f>
        <v>2017</v>
      </c>
      <c r="I4" s="305">
        <f>'Datos Generales'!J21</f>
        <v>2018</v>
      </c>
      <c r="J4" s="305">
        <f>'Datos Generales'!K21</f>
        <v>2019</v>
      </c>
      <c r="K4" s="305">
        <f>'Datos Generales'!L21</f>
        <v>2020</v>
      </c>
      <c r="L4" s="305">
        <f>'Datos Generales'!M21</f>
        <v>2021</v>
      </c>
      <c r="M4" s="305">
        <f>'Datos Generales'!N21</f>
        <v>2022</v>
      </c>
      <c r="N4" s="305">
        <f>'Datos Generales'!O21</f>
        <v>2023</v>
      </c>
      <c r="O4" s="305">
        <f>'Datos Generales'!P21</f>
        <v>2024</v>
      </c>
    </row>
    <row r="5" spans="1:16" ht="17.25" thickTop="1" thickBot="1">
      <c r="A5" s="304" t="s">
        <v>600</v>
      </c>
      <c r="B5" s="323"/>
      <c r="C5" s="328">
        <f>Mes_año</f>
        <v>12</v>
      </c>
      <c r="D5" s="328">
        <f>Meses_Proyectados_Año_Base</f>
        <v>6</v>
      </c>
      <c r="E5" s="305">
        <f>Meses_Proyectados_Año_Base</f>
        <v>6</v>
      </c>
      <c r="F5" s="305">
        <f t="shared" ref="F5:O5" si="0">Mes_año</f>
        <v>12</v>
      </c>
      <c r="G5" s="305">
        <f t="shared" si="0"/>
        <v>12</v>
      </c>
      <c r="H5" s="305">
        <f t="shared" si="0"/>
        <v>12</v>
      </c>
      <c r="I5" s="305">
        <f t="shared" si="0"/>
        <v>12</v>
      </c>
      <c r="J5" s="305">
        <f t="shared" si="0"/>
        <v>12</v>
      </c>
      <c r="K5" s="305">
        <f t="shared" si="0"/>
        <v>12</v>
      </c>
      <c r="L5" s="305">
        <f t="shared" si="0"/>
        <v>12</v>
      </c>
      <c r="M5" s="305">
        <f t="shared" si="0"/>
        <v>12</v>
      </c>
      <c r="N5" s="305">
        <f t="shared" si="0"/>
        <v>12</v>
      </c>
      <c r="O5" s="305">
        <f t="shared" si="0"/>
        <v>12</v>
      </c>
    </row>
    <row r="6" spans="1:16" ht="16.5" thickTop="1"/>
    <row r="7" spans="1:16" ht="16.5" thickBot="1">
      <c r="A7" s="366" t="s">
        <v>650</v>
      </c>
      <c r="B7" s="366"/>
      <c r="C7" s="367">
        <v>2002814000000</v>
      </c>
      <c r="D7" s="367">
        <v>1138609000000</v>
      </c>
      <c r="E7" s="367">
        <f>'P&amp;G'!E7</f>
        <v>1185854965002.488</v>
      </c>
      <c r="F7" s="367">
        <f>'P&amp;G'!F7</f>
        <v>3131134669100.2407</v>
      </c>
      <c r="G7" s="367">
        <f>'P&amp;G'!G7</f>
        <v>3005144243528.46</v>
      </c>
      <c r="H7" s="367">
        <f>'P&amp;G'!H7</f>
        <v>3309738963865.5879</v>
      </c>
      <c r="I7" s="367">
        <f>'P&amp;G'!I7</f>
        <v>3482925517593.0908</v>
      </c>
      <c r="J7" s="367">
        <f>'P&amp;G'!J7</f>
        <v>1816336692658.2222</v>
      </c>
      <c r="K7" s="367">
        <f>'P&amp;G'!K7</f>
        <v>1872237014684.7351</v>
      </c>
      <c r="L7" s="367">
        <f>'P&amp;G'!L7</f>
        <v>2954408989737.668</v>
      </c>
      <c r="M7" s="367">
        <f>'P&amp;G'!M7</f>
        <v>1840005307845.595</v>
      </c>
      <c r="N7" s="367">
        <f>'P&amp;G'!N7</f>
        <v>2101963368050.6211</v>
      </c>
      <c r="O7" s="367">
        <f>'P&amp;G'!O7</f>
        <v>3643003529659.8726</v>
      </c>
    </row>
    <row r="8" spans="1:16" ht="16.5" thickTop="1">
      <c r="A8" s="368" t="s">
        <v>651</v>
      </c>
      <c r="B8" s="368"/>
      <c r="C8" s="369"/>
      <c r="D8" s="369"/>
      <c r="E8" s="369"/>
      <c r="F8" s="369"/>
      <c r="G8" s="369"/>
      <c r="H8" s="369"/>
      <c r="I8" s="369"/>
      <c r="J8" s="369"/>
      <c r="K8" s="369"/>
      <c r="L8" s="369"/>
      <c r="M8" s="369"/>
      <c r="N8" s="369"/>
      <c r="O8" s="369"/>
    </row>
    <row r="9" spans="1:16">
      <c r="A9" s="370" t="s">
        <v>652</v>
      </c>
      <c r="C9" s="340">
        <f>(-457025-252064-228920-38020-11822-7994-5216)*M</f>
        <v>-1001061000000</v>
      </c>
      <c r="D9" s="340">
        <f>(-365928-100818-3916-20204-6172-132848)*M</f>
        <v>-629886000000</v>
      </c>
      <c r="E9" s="340">
        <f>'P&amp;G'!E8</f>
        <v>-419873231839.73352</v>
      </c>
      <c r="F9" s="340">
        <f>'P&amp;G'!F8</f>
        <v>-996422416279.38074</v>
      </c>
      <c r="G9" s="340">
        <f>'P&amp;G'!G8</f>
        <v>-856597813002.24475</v>
      </c>
      <c r="H9" s="340">
        <f>'P&amp;G'!H8</f>
        <v>-912423407059.14343</v>
      </c>
      <c r="I9" s="340">
        <f>'P&amp;G'!I8</f>
        <v>-1018937415775.1667</v>
      </c>
      <c r="J9" s="340">
        <f>'P&amp;G'!J8</f>
        <v>-899748041132.64014</v>
      </c>
      <c r="K9" s="340">
        <f>'P&amp;G'!K8</f>
        <v>-908255745950.39075</v>
      </c>
      <c r="L9" s="340">
        <f>'P&amp;G'!L8</f>
        <v>-953986559302.24243</v>
      </c>
      <c r="M9" s="340">
        <f>'P&amp;G'!M8</f>
        <v>-951442987869.75122</v>
      </c>
      <c r="N9" s="340">
        <f>'P&amp;G'!N8</f>
        <v>-1014504487596.5115</v>
      </c>
      <c r="O9" s="340">
        <f>'P&amp;G'!O8</f>
        <v>-1073276830718.3838</v>
      </c>
    </row>
    <row r="10" spans="1:16">
      <c r="A10" s="371" t="s">
        <v>709</v>
      </c>
      <c r="C10" s="340">
        <f>(-66350-31541-18243-15795-13842-12799-9696-9532-6789-4474-3653-3314-405-3976)*M</f>
        <v>-200409000000</v>
      </c>
      <c r="D10" s="340">
        <f>-93681*M</f>
        <v>-93681000000</v>
      </c>
      <c r="E10" s="340">
        <f>'P&amp;G'!E9</f>
        <v>-119164093682.6954</v>
      </c>
      <c r="F10" s="340">
        <f>'P&amp;G'!F9</f>
        <v>-316419920557.94641</v>
      </c>
      <c r="G10" s="340">
        <f>'P&amp;G'!G9</f>
        <v>-317089602251.57959</v>
      </c>
      <c r="H10" s="340">
        <f>'P&amp;G'!H9</f>
        <v>-330582611117.65479</v>
      </c>
      <c r="I10" s="340">
        <f>'P&amp;G'!I9</f>
        <v>-351874982662.2561</v>
      </c>
      <c r="J10" s="340">
        <f>'P&amp;G'!J9</f>
        <v>-360815015781.36084</v>
      </c>
      <c r="K10" s="340">
        <f>'P&amp;G'!K9</f>
        <v>-371090886609.26514</v>
      </c>
      <c r="L10" s="340">
        <f>'P&amp;G'!L9</f>
        <v>-385783498268.22083</v>
      </c>
      <c r="M10" s="340">
        <f>'P&amp;G'!M9</f>
        <v>-406717734280.77631</v>
      </c>
      <c r="N10" s="340">
        <f>'P&amp;G'!N9</f>
        <v>-420789943340.01373</v>
      </c>
      <c r="O10" s="340">
        <f>'P&amp;G'!O9</f>
        <v>-430258754223.3689</v>
      </c>
    </row>
    <row r="11" spans="1:16">
      <c r="A11" s="370" t="s">
        <v>656</v>
      </c>
      <c r="C11" s="402">
        <f>C154</f>
        <v>-181922000000.00009</v>
      </c>
      <c r="D11" s="340">
        <f>D154</f>
        <v>-90961000000.000046</v>
      </c>
      <c r="E11" s="340">
        <f>E154</f>
        <v>-91224685989.850174</v>
      </c>
      <c r="F11" s="340">
        <f t="shared" ref="F11:O11" si="1">F154</f>
        <v>-389358144608.42407</v>
      </c>
      <c r="G11" s="340">
        <f t="shared" si="1"/>
        <v>-391036826544.00354</v>
      </c>
      <c r="H11" s="340">
        <f t="shared" si="1"/>
        <v>-392808008988.71069</v>
      </c>
      <c r="I11" s="340">
        <f t="shared" si="1"/>
        <v>-394652956506.63428</v>
      </c>
      <c r="J11" s="340">
        <f t="shared" si="1"/>
        <v>-396569370707.34332</v>
      </c>
      <c r="K11" s="340">
        <f t="shared" si="1"/>
        <v>-398565538474.93701</v>
      </c>
      <c r="L11" s="340">
        <f t="shared" si="1"/>
        <v>-400643868160.89203</v>
      </c>
      <c r="M11" s="340">
        <f t="shared" si="1"/>
        <v>-402808368297.26007</v>
      </c>
      <c r="N11" s="340">
        <f t="shared" si="1"/>
        <v>-395104323519.995</v>
      </c>
      <c r="O11" s="340">
        <f t="shared" si="1"/>
        <v>-397451681963.94574</v>
      </c>
    </row>
    <row r="12" spans="1:16" ht="16.5" thickBot="1">
      <c r="A12" s="366" t="s">
        <v>653</v>
      </c>
      <c r="B12" s="366"/>
      <c r="C12" s="367">
        <f>SUM(C7:C11)</f>
        <v>619421999999.99988</v>
      </c>
      <c r="D12" s="367">
        <f t="shared" ref="D12:O12" si="2">SUM(D7:D11)</f>
        <v>324080999999.99994</v>
      </c>
      <c r="E12" s="367">
        <f t="shared" si="2"/>
        <v>555592953490.20886</v>
      </c>
      <c r="F12" s="367">
        <f t="shared" si="2"/>
        <v>1428934187654.4895</v>
      </c>
      <c r="G12" s="367">
        <f t="shared" si="2"/>
        <v>1440420001730.6323</v>
      </c>
      <c r="H12" s="367">
        <f t="shared" si="2"/>
        <v>1673924936700.0789</v>
      </c>
      <c r="I12" s="367">
        <f t="shared" si="2"/>
        <v>1717460162649.0334</v>
      </c>
      <c r="J12" s="367">
        <f t="shared" si="2"/>
        <v>159204265036.87787</v>
      </c>
      <c r="K12" s="367">
        <f t="shared" si="2"/>
        <v>194324843650.14221</v>
      </c>
      <c r="L12" s="367">
        <f t="shared" si="2"/>
        <v>1213995064006.3125</v>
      </c>
      <c r="M12" s="367">
        <f t="shared" si="2"/>
        <v>79036217397.807373</v>
      </c>
      <c r="N12" s="367">
        <f t="shared" si="2"/>
        <v>271564613594.10095</v>
      </c>
      <c r="O12" s="367">
        <f t="shared" si="2"/>
        <v>1742016262754.1741</v>
      </c>
    </row>
    <row r="13" spans="1:16" ht="17.25" thickTop="1" thickBot="1">
      <c r="A13" s="366" t="s">
        <v>654</v>
      </c>
      <c r="B13" s="366"/>
      <c r="C13" s="367">
        <f t="shared" ref="C13:O13" si="3">SUM(C14:C22)</f>
        <v>-372946000000</v>
      </c>
      <c r="D13" s="367">
        <f t="shared" si="3"/>
        <v>-189296399999.99994</v>
      </c>
      <c r="E13" s="367">
        <f t="shared" ca="1" si="3"/>
        <v>-331902852722.00195</v>
      </c>
      <c r="F13" s="367">
        <f t="shared" ca="1" si="3"/>
        <v>-447894850431.03247</v>
      </c>
      <c r="G13" s="367">
        <f t="shared" ca="1" si="3"/>
        <v>-397390035657.2923</v>
      </c>
      <c r="H13" s="367">
        <f t="shared" ca="1" si="3"/>
        <v>-382853042308.76813</v>
      </c>
      <c r="I13" s="367">
        <f t="shared" ca="1" si="3"/>
        <v>-353060343866.89929</v>
      </c>
      <c r="J13" s="367">
        <f t="shared" ca="1" si="3"/>
        <v>-368469395863.85913</v>
      </c>
      <c r="K13" s="367">
        <f t="shared" ca="1" si="3"/>
        <v>-390336794468.4436</v>
      </c>
      <c r="L13" s="367">
        <f t="shared" ca="1" si="3"/>
        <v>-322053245333.65283</v>
      </c>
      <c r="M13" s="367">
        <f t="shared" ca="1" si="3"/>
        <v>-299965033857.16461</v>
      </c>
      <c r="N13" s="367">
        <f t="shared" ca="1" si="3"/>
        <v>-311188001422.31213</v>
      </c>
      <c r="O13" s="367">
        <f t="shared" ca="1" si="3"/>
        <v>-250057301619.52081</v>
      </c>
    </row>
    <row r="14" spans="1:16" ht="16.5" thickTop="1">
      <c r="A14" s="370" t="s">
        <v>655</v>
      </c>
      <c r="C14" s="340">
        <f>(-116426+7539+8178)*M</f>
        <v>-100709000000</v>
      </c>
      <c r="D14" s="340">
        <f>-51870*M</f>
        <v>-51870000000</v>
      </c>
      <c r="E14" s="340">
        <f>'P&amp;G'!E12</f>
        <v>-60281372905.037354</v>
      </c>
      <c r="F14" s="340">
        <f>'P&amp;G'!F12</f>
        <v>-131461104296.15611</v>
      </c>
      <c r="G14" s="340">
        <f>'P&amp;G'!G12</f>
        <v>-137063443582.86346</v>
      </c>
      <c r="H14" s="340">
        <f>'P&amp;G'!H12</f>
        <v>-142706147071.90283</v>
      </c>
      <c r="I14" s="340">
        <f>'P&amp;G'!I12</f>
        <v>-148374627625.24023</v>
      </c>
      <c r="J14" s="340">
        <f>'P&amp;G'!J12</f>
        <v>-154068404573.16565</v>
      </c>
      <c r="K14" s="340">
        <f>'P&amp;G'!K12</f>
        <v>-159988866380.45117</v>
      </c>
      <c r="L14" s="340">
        <f>'P&amp;G'!L12</f>
        <v>-166145357297.38483</v>
      </c>
      <c r="M14" s="340">
        <f>'P&amp;G'!M12</f>
        <v>-172547618755.69244</v>
      </c>
      <c r="N14" s="340">
        <f>'P&amp;G'!N12</f>
        <v>-179205806686.40848</v>
      </c>
      <c r="O14" s="340">
        <f>'P&amp;G'!O12</f>
        <v>-186130509608.16833</v>
      </c>
    </row>
    <row r="15" spans="1:16">
      <c r="A15" s="370" t="s">
        <v>379</v>
      </c>
      <c r="C15" s="340">
        <v>0</v>
      </c>
      <c r="D15" s="340">
        <v>0</v>
      </c>
      <c r="E15" s="340">
        <v>0</v>
      </c>
      <c r="F15" s="340">
        <v>0</v>
      </c>
      <c r="G15" s="340">
        <v>0</v>
      </c>
      <c r="H15" s="340">
        <v>0</v>
      </c>
      <c r="I15" s="340">
        <v>0</v>
      </c>
      <c r="J15" s="340">
        <v>0</v>
      </c>
      <c r="K15" s="340">
        <v>0</v>
      </c>
      <c r="L15" s="340">
        <v>0</v>
      </c>
      <c r="M15" s="340">
        <v>0</v>
      </c>
      <c r="N15" s="340">
        <v>0</v>
      </c>
      <c r="O15" s="340">
        <v>0</v>
      </c>
    </row>
    <row r="16" spans="1:16">
      <c r="A16" s="370" t="s">
        <v>846</v>
      </c>
      <c r="C16" s="340"/>
      <c r="D16" s="340"/>
      <c r="E16" s="351">
        <f>'P&amp;G'!E14</f>
        <v>-21500274323</v>
      </c>
      <c r="F16" s="351">
        <f>'P&amp;G'!F14</f>
        <v>-3948274323</v>
      </c>
      <c r="G16" s="351">
        <f>'P&amp;G'!G14</f>
        <v>-3948274323</v>
      </c>
      <c r="H16" s="351">
        <f>'P&amp;G'!H14</f>
        <v>-3948274323</v>
      </c>
      <c r="I16" s="351">
        <f>'P&amp;G'!I14</f>
        <v>-3948274323</v>
      </c>
      <c r="J16" s="351">
        <f>'P&amp;G'!J14</f>
        <v>-3948274323</v>
      </c>
      <c r="K16" s="351">
        <f>'P&amp;G'!K14</f>
        <v>-3948274323</v>
      </c>
      <c r="L16" s="351">
        <f>'P&amp;G'!L14</f>
        <v>-3948274323</v>
      </c>
      <c r="M16" s="351">
        <f>'P&amp;G'!M14</f>
        <v>-3948274323</v>
      </c>
      <c r="N16" s="351">
        <f>'P&amp;G'!N14</f>
        <v>-3948274323</v>
      </c>
      <c r="O16" s="351">
        <f>'P&amp;G'!O14</f>
        <v>-2019607656</v>
      </c>
      <c r="P16" s="351"/>
    </row>
    <row r="17" spans="1:15">
      <c r="A17" s="370" t="s">
        <v>657</v>
      </c>
      <c r="C17" s="340">
        <f>-8178*M</f>
        <v>-8178000000</v>
      </c>
      <c r="D17" s="340">
        <f>-7877*M</f>
        <v>-7877000000</v>
      </c>
      <c r="E17" s="351">
        <f>'P&amp;G'!E15</f>
        <v>-6790037125.806406</v>
      </c>
      <c r="F17" s="351">
        <f ca="1">'P&amp;G'!F15</f>
        <v>-10080392073.764914</v>
      </c>
      <c r="G17" s="351">
        <f ca="1">'P&amp;G'!G15</f>
        <v>-13378941832.642994</v>
      </c>
      <c r="H17" s="351">
        <f ca="1">'P&amp;G'!H15</f>
        <v>-12911368330.022572</v>
      </c>
      <c r="I17" s="351">
        <f ca="1">'P&amp;G'!I15</f>
        <v>-14520960565.602266</v>
      </c>
      <c r="J17" s="351">
        <f ca="1">'P&amp;G'!J15</f>
        <v>-10673931184.785488</v>
      </c>
      <c r="K17" s="351">
        <f ca="1">'P&amp;G'!K15</f>
        <v>-5341444681.4936628</v>
      </c>
      <c r="L17" s="351">
        <f ca="1">'P&amp;G'!L15</f>
        <v>-2847780443.0515537</v>
      </c>
      <c r="M17" s="351">
        <f ca="1">'P&amp;G'!M15</f>
        <v>0</v>
      </c>
      <c r="N17" s="351">
        <f ca="1">'P&amp;G'!N15</f>
        <v>0</v>
      </c>
      <c r="O17" s="351">
        <f ca="1">'P&amp;G'!O15</f>
        <v>0</v>
      </c>
    </row>
    <row r="18" spans="1:15">
      <c r="A18" s="370" t="s">
        <v>722</v>
      </c>
      <c r="C18" s="340"/>
      <c r="D18" s="340"/>
      <c r="E18" s="351">
        <f>'P&amp;G'!E16</f>
        <v>0</v>
      </c>
      <c r="F18" s="351">
        <f ca="1">'P&amp;G'!F16</f>
        <v>0</v>
      </c>
      <c r="G18" s="351">
        <f ca="1">'P&amp;G'!G16</f>
        <v>0</v>
      </c>
      <c r="H18" s="351">
        <f ca="1">'P&amp;G'!H16</f>
        <v>0</v>
      </c>
      <c r="I18" s="351">
        <f ca="1">'P&amp;G'!I16</f>
        <v>0</v>
      </c>
      <c r="J18" s="351">
        <f ca="1">'P&amp;G'!J16</f>
        <v>0</v>
      </c>
      <c r="K18" s="351">
        <f ca="1">'P&amp;G'!K16</f>
        <v>0</v>
      </c>
      <c r="L18" s="351">
        <f ca="1">'P&amp;G'!L16</f>
        <v>0</v>
      </c>
      <c r="M18" s="351">
        <f ca="1">'P&amp;G'!M16</f>
        <v>0</v>
      </c>
      <c r="N18" s="351">
        <f ca="1">'P&amp;G'!N16</f>
        <v>0</v>
      </c>
      <c r="O18" s="351">
        <f ca="1">'P&amp;G'!O16</f>
        <v>0</v>
      </c>
    </row>
    <row r="19" spans="1:15">
      <c r="A19" s="370" t="s">
        <v>658</v>
      </c>
      <c r="C19" s="340">
        <f>Financiacion!C38-26454*M</f>
        <v>-60735000000</v>
      </c>
      <c r="D19" s="340">
        <f>Financiacion!D38-783*M</f>
        <v>-18195000000</v>
      </c>
      <c r="E19" s="340">
        <f>'P&amp;G'!E18</f>
        <v>-48609488959.657982</v>
      </c>
      <c r="F19" s="340">
        <f>'P&amp;G'!F18</f>
        <v>-315621613260.50494</v>
      </c>
      <c r="G19" s="340">
        <f>'P&amp;G'!G18</f>
        <v>-281071925850.31396</v>
      </c>
      <c r="H19" s="340">
        <f>'P&amp;G'!H18</f>
        <v>-246522238440.12286</v>
      </c>
      <c r="I19" s="340">
        <f>'P&amp;G'!I18</f>
        <v>-211972551029.93179</v>
      </c>
      <c r="J19" s="340">
        <f>'P&amp;G'!J18</f>
        <v>-216559355652.22128</v>
      </c>
      <c r="K19" s="340">
        <f>'P&amp;G'!K18</f>
        <v>-211751924818.68359</v>
      </c>
      <c r="L19" s="340">
        <f>'P&amp;G'!L18</f>
        <v>-138065745376.01196</v>
      </c>
      <c r="M19" s="340">
        <f>'P&amp;G'!M18</f>
        <v>-112210277931.97762</v>
      </c>
      <c r="N19" s="340">
        <f>'P&amp;G'!N18</f>
        <v>-114508989076.49409</v>
      </c>
      <c r="O19" s="340">
        <f>'P&amp;G'!O18</f>
        <v>-47823033691.648033</v>
      </c>
    </row>
    <row r="20" spans="1:15">
      <c r="A20" s="370" t="s">
        <v>735</v>
      </c>
      <c r="C20" s="340">
        <f>(17908+28551-981-3369+66+1699)*M</f>
        <v>43874000000</v>
      </c>
      <c r="D20" s="340">
        <f>(7355+153+585+11684)*M</f>
        <v>19777000000</v>
      </c>
      <c r="E20" s="351">
        <f>'P&amp;G'!E20</f>
        <v>6014220875.2537498</v>
      </c>
      <c r="F20" s="351">
        <f>'P&amp;G'!F20</f>
        <v>17640586289.398102</v>
      </c>
      <c r="G20" s="351">
        <f ca="1">'P&amp;G'!G20</f>
        <v>41455170628.683563</v>
      </c>
      <c r="H20" s="351">
        <f ca="1">'P&amp;G'!H20</f>
        <v>27406396359.511684</v>
      </c>
      <c r="I20" s="351">
        <f ca="1">'P&amp;G'!I20</f>
        <v>29565274501.615566</v>
      </c>
      <c r="J20" s="351">
        <f ca="1">'P&amp;G'!J20</f>
        <v>22942089481.174812</v>
      </c>
      <c r="K20" s="351">
        <f ca="1">'P&amp;G'!K20</f>
        <v>-1.272336959838868E-5</v>
      </c>
      <c r="L20" s="351">
        <f ca="1">'P&amp;G'!L20</f>
        <v>1.0744178771972663E-5</v>
      </c>
      <c r="M20" s="351">
        <f ca="1">'P&amp;G'!M20</f>
        <v>1728137971.7137475</v>
      </c>
      <c r="N20" s="351">
        <f ca="1">'P&amp;G'!N20</f>
        <v>3.6756401062011742E-6</v>
      </c>
      <c r="O20" s="351">
        <f ca="1">'P&amp;G'!O20</f>
        <v>-1.7529975891113292E-5</v>
      </c>
    </row>
    <row r="21" spans="1:15">
      <c r="A21" s="370" t="s">
        <v>659</v>
      </c>
      <c r="C21" s="340">
        <f>-C31</f>
        <v>-258720000000</v>
      </c>
      <c r="D21" s="340">
        <f t="shared" ref="D21:O21" si="4">-D31</f>
        <v>-135069899999.99995</v>
      </c>
      <c r="E21" s="340">
        <f t="shared" ca="1" si="4"/>
        <v>-204130918846.65717</v>
      </c>
      <c r="F21" s="340">
        <f t="shared" ca="1" si="4"/>
        <v>-9464248803.8870583</v>
      </c>
      <c r="G21" s="340">
        <f t="shared" ca="1" si="4"/>
        <v>-10072091613.476921</v>
      </c>
      <c r="H21" s="340">
        <f t="shared" ca="1" si="4"/>
        <v>-10627094668.2428</v>
      </c>
      <c r="I21" s="340">
        <f t="shared" ca="1" si="4"/>
        <v>-11069685107.541664</v>
      </c>
      <c r="J21" s="340">
        <f t="shared" ca="1" si="4"/>
        <v>-11498485204.254255</v>
      </c>
      <c r="K21" s="340">
        <f t="shared" ca="1" si="4"/>
        <v>-11977006605.56204</v>
      </c>
      <c r="L21" s="340">
        <f t="shared" ca="1" si="4"/>
        <v>-12469978115.730219</v>
      </c>
      <c r="M21" s="340">
        <f t="shared" ca="1" si="4"/>
        <v>-12987000818.208323</v>
      </c>
      <c r="N21" s="340">
        <f t="shared" ca="1" si="4"/>
        <v>-13524931336.409521</v>
      </c>
      <c r="O21" s="340">
        <f t="shared" ca="1" si="4"/>
        <v>-14084150663.704412</v>
      </c>
    </row>
    <row r="22" spans="1:15">
      <c r="A22" s="371" t="s">
        <v>711</v>
      </c>
      <c r="C22" s="351">
        <f>(8324+33496+2661+95-14378-524-173-1398-35-19131+2585)*M</f>
        <v>11522000000</v>
      </c>
      <c r="D22" s="351">
        <f>-D17*(1-'Datos Generales'!E58)-D18</f>
        <v>3938500000</v>
      </c>
      <c r="E22" s="351">
        <f>-E17*(1-'Datos Generales'!F58)-E18</f>
        <v>3395018562.903203</v>
      </c>
      <c r="F22" s="351">
        <f ca="1">-F17*(1-'Datos Generales'!G58)-F18</f>
        <v>5040196036.8824568</v>
      </c>
      <c r="G22" s="351">
        <f ca="1">-G17*(1-'Datos Generales'!H58)-G18</f>
        <v>6689470916.321497</v>
      </c>
      <c r="H22" s="351">
        <f ca="1">-H17*(1-'Datos Generales'!I58)-H18</f>
        <v>6455684165.0112858</v>
      </c>
      <c r="I22" s="351">
        <f ca="1">-I17*(1-'Datos Generales'!J58)-I18</f>
        <v>7260480282.8011332</v>
      </c>
      <c r="J22" s="351">
        <f ca="1">-J17*(1-'Datos Generales'!K58)-J18</f>
        <v>5336965592.3927441</v>
      </c>
      <c r="K22" s="351">
        <f ca="1">-K17*(1-'Datos Generales'!L58)-K18</f>
        <v>2670722340.7468314</v>
      </c>
      <c r="L22" s="351">
        <f ca="1">-L17*(1-'Datos Generales'!M58)-L18</f>
        <v>1423890221.5257769</v>
      </c>
      <c r="M22" s="351">
        <f ca="1">-M17*(1-'Datos Generales'!N58)-M18</f>
        <v>0</v>
      </c>
      <c r="N22" s="351">
        <f ca="1">-N17*(1-'Datos Generales'!O58)-N18</f>
        <v>0</v>
      </c>
      <c r="O22" s="351">
        <f ca="1">-O17*(1-'Datos Generales'!P58)-O18</f>
        <v>0</v>
      </c>
    </row>
    <row r="23" spans="1:15" ht="16.5" thickBot="1">
      <c r="A23" s="366" t="s">
        <v>660</v>
      </c>
      <c r="B23" s="366"/>
      <c r="C23" s="367">
        <f>C12+C13</f>
        <v>246475999999.99988</v>
      </c>
      <c r="D23" s="367">
        <f>D12+D13</f>
        <v>134784600000</v>
      </c>
      <c r="E23" s="367">
        <f t="shared" ref="E23:O23" ca="1" si="5">E12+E13</f>
        <v>223690100768.20691</v>
      </c>
      <c r="F23" s="367">
        <f t="shared" ca="1" si="5"/>
        <v>981039337223.45703</v>
      </c>
      <c r="G23" s="367">
        <f t="shared" ca="1" si="5"/>
        <v>1043029966073.3401</v>
      </c>
      <c r="H23" s="367">
        <f t="shared" ca="1" si="5"/>
        <v>1291071894391.3108</v>
      </c>
      <c r="I23" s="367">
        <f t="shared" ca="1" si="5"/>
        <v>1364399818782.1343</v>
      </c>
      <c r="J23" s="367">
        <f t="shared" ca="1" si="5"/>
        <v>-209265130826.98126</v>
      </c>
      <c r="K23" s="367">
        <f t="shared" ca="1" si="5"/>
        <v>-196011950818.30139</v>
      </c>
      <c r="L23" s="367">
        <f t="shared" ca="1" si="5"/>
        <v>891941818672.65967</v>
      </c>
      <c r="M23" s="367">
        <f t="shared" ca="1" si="5"/>
        <v>-220928816459.35724</v>
      </c>
      <c r="N23" s="367">
        <f t="shared" ca="1" si="5"/>
        <v>-39623387828.211182</v>
      </c>
      <c r="O23" s="367">
        <f t="shared" ca="1" si="5"/>
        <v>1491958961134.6533</v>
      </c>
    </row>
    <row r="24" spans="1:15" ht="16.5" thickTop="1">
      <c r="A24" s="371" t="s">
        <v>661</v>
      </c>
      <c r="C24" s="340">
        <f>C44</f>
        <v>0</v>
      </c>
      <c r="D24" s="340">
        <f>D44</f>
        <v>0</v>
      </c>
      <c r="E24" s="340">
        <f ca="1">E44</f>
        <v>0</v>
      </c>
      <c r="F24" s="340">
        <f t="shared" ref="F24:O24" ca="1" si="6">F44</f>
        <v>0</v>
      </c>
      <c r="G24" s="340">
        <f t="shared" ca="1" si="6"/>
        <v>0</v>
      </c>
      <c r="H24" s="340">
        <f t="shared" ca="1" si="6"/>
        <v>0</v>
      </c>
      <c r="I24" s="340">
        <f t="shared" ca="1" si="6"/>
        <v>0</v>
      </c>
      <c r="J24" s="340">
        <f t="shared" ca="1" si="6"/>
        <v>0</v>
      </c>
      <c r="K24" s="340">
        <f t="shared" ca="1" si="6"/>
        <v>0</v>
      </c>
      <c r="L24" s="340">
        <f t="shared" ca="1" si="6"/>
        <v>-425093928512.92871</v>
      </c>
      <c r="M24" s="340">
        <f t="shared" ca="1" si="6"/>
        <v>0</v>
      </c>
      <c r="N24" s="340">
        <f t="shared" ca="1" si="6"/>
        <v>0</v>
      </c>
      <c r="O24" s="340">
        <f t="shared" ca="1" si="6"/>
        <v>-276136268222.31256</v>
      </c>
    </row>
    <row r="25" spans="1:15" s="375" customFormat="1" ht="16.5" thickBot="1">
      <c r="A25" s="372" t="s">
        <v>662</v>
      </c>
      <c r="B25" s="373"/>
      <c r="C25" s="441">
        <f t="shared" ref="C25:O25" si="7">C23+C24</f>
        <v>246475999999.99988</v>
      </c>
      <c r="D25" s="374">
        <f t="shared" si="7"/>
        <v>134784600000</v>
      </c>
      <c r="E25" s="374">
        <f t="shared" ca="1" si="7"/>
        <v>223690100768.20691</v>
      </c>
      <c r="F25" s="374">
        <f t="shared" ca="1" si="7"/>
        <v>981039337223.45703</v>
      </c>
      <c r="G25" s="374">
        <f t="shared" ca="1" si="7"/>
        <v>1043029966073.3401</v>
      </c>
      <c r="H25" s="374">
        <f t="shared" ca="1" si="7"/>
        <v>1291071894391.3108</v>
      </c>
      <c r="I25" s="374">
        <f t="shared" ca="1" si="7"/>
        <v>1364399818782.1343</v>
      </c>
      <c r="J25" s="374">
        <f t="shared" ca="1" si="7"/>
        <v>-209265130826.98126</v>
      </c>
      <c r="K25" s="374">
        <f t="shared" ca="1" si="7"/>
        <v>-196011950818.30139</v>
      </c>
      <c r="L25" s="374">
        <f t="shared" ca="1" si="7"/>
        <v>466847890159.73096</v>
      </c>
      <c r="M25" s="374">
        <f t="shared" ca="1" si="7"/>
        <v>-220928816459.35724</v>
      </c>
      <c r="N25" s="374">
        <f t="shared" ca="1" si="7"/>
        <v>-39623387828.211182</v>
      </c>
      <c r="O25" s="374">
        <f t="shared" ca="1" si="7"/>
        <v>1215822692912.3408</v>
      </c>
    </row>
    <row r="26" spans="1:15" ht="16.5" thickTop="1">
      <c r="A26" s="370" t="s">
        <v>663</v>
      </c>
      <c r="C26" s="351">
        <f>IF(C25&lt;0,0,-C25*'Datos Generales'!D54)</f>
        <v>-61618999999.999969</v>
      </c>
      <c r="D26" s="340">
        <f>IF(D25&lt;0,0,-D25*'Datos Generales'!E54)</f>
        <v>-33696150000</v>
      </c>
      <c r="E26" s="340">
        <f ca="1">IF(E25&lt;0,0,-E25*'Datos Generales'!F54)</f>
        <v>-55922525192.051727</v>
      </c>
      <c r="F26" s="340">
        <f ca="1">IF(F25&lt;0,0,-F25*'Datos Generales'!G54)</f>
        <v>-245259834305.86426</v>
      </c>
      <c r="G26" s="340">
        <f ca="1">IF(G25&lt;0,0,-G25*'Datos Generales'!H54)</f>
        <v>-260757491518.33502</v>
      </c>
      <c r="H26" s="340">
        <f ca="1">IF(H25&lt;0,0,-H25*'Datos Generales'!I54)</f>
        <v>-322767973597.8277</v>
      </c>
      <c r="I26" s="340">
        <f ca="1">IF(I25&lt;0,0,-I25*'Datos Generales'!J54)</f>
        <v>-341099954695.53357</v>
      </c>
      <c r="J26" s="340">
        <f ca="1">IF(J25&lt;0,0,-J25*'Datos Generales'!K54)</f>
        <v>0</v>
      </c>
      <c r="K26" s="340">
        <f ca="1">IF(K25&lt;0,0,-K25*'Datos Generales'!L54)</f>
        <v>0</v>
      </c>
      <c r="L26" s="340">
        <f ca="1">IF(L25&lt;0,0,-L25*'Datos Generales'!M54)</f>
        <v>-116711972539.93274</v>
      </c>
      <c r="M26" s="340">
        <f ca="1">IF(M25&lt;0,0,-M25*'Datos Generales'!N54)</f>
        <v>0</v>
      </c>
      <c r="N26" s="340">
        <f ca="1">IF(N25&lt;0,0,-N25*'Datos Generales'!O54)</f>
        <v>0</v>
      </c>
      <c r="O26" s="340">
        <f ca="1">IF(O25&lt;0,0,-O25*'Datos Generales'!P54)</f>
        <v>-303955673228.08521</v>
      </c>
    </row>
    <row r="27" spans="1:15" ht="24.95" customHeight="1">
      <c r="A27" s="370" t="s">
        <v>664</v>
      </c>
      <c r="C27" s="351">
        <f>(C37/('Datos Generales'!D54+'Datos Generales'!D55)*'Datos Generales'!D54)-2414496470.58824</f>
        <v>-18573320000.000023</v>
      </c>
      <c r="D27" s="340">
        <f>D37-((287905000/('Datos Generales'!E54+'Datos Generales'!E55))*'Datos Generales'!E54)</f>
        <v>-8963194852.9411888</v>
      </c>
      <c r="E27" s="340">
        <f>E37</f>
        <v>-8859991998.7312775</v>
      </c>
      <c r="F27" s="340">
        <f t="shared" ref="F27:O27" si="8">F37</f>
        <v>-43583580576.053017</v>
      </c>
      <c r="G27" s="340">
        <f t="shared" si="8"/>
        <v>-43793415818.00045</v>
      </c>
      <c r="H27" s="340">
        <f t="shared" si="8"/>
        <v>-44014813623.588844</v>
      </c>
      <c r="I27" s="340">
        <f t="shared" si="8"/>
        <v>-44245432063.329292</v>
      </c>
      <c r="J27" s="340">
        <f t="shared" si="8"/>
        <v>-44484983838.417923</v>
      </c>
      <c r="K27" s="340">
        <f t="shared" si="8"/>
        <v>-44734504809.367134</v>
      </c>
      <c r="L27" s="340">
        <f t="shared" si="8"/>
        <v>-44994296020.111511</v>
      </c>
      <c r="M27" s="340">
        <f t="shared" si="8"/>
        <v>-45264858537.157516</v>
      </c>
      <c r="N27" s="340">
        <f t="shared" si="8"/>
        <v>-43057077939.999382</v>
      </c>
      <c r="O27" s="340">
        <f t="shared" si="8"/>
        <v>-43350497745.493225</v>
      </c>
    </row>
    <row r="28" spans="1:15" s="375" customFormat="1" ht="16.5" thickBot="1">
      <c r="A28" s="372" t="s">
        <v>665</v>
      </c>
      <c r="B28" s="373"/>
      <c r="C28" s="441">
        <f t="shared" ref="C28:O28" si="9">C26+C27</f>
        <v>-80192320000</v>
      </c>
      <c r="D28" s="374">
        <f t="shared" si="9"/>
        <v>-42659344852.941193</v>
      </c>
      <c r="E28" s="374">
        <f t="shared" ca="1" si="9"/>
        <v>-64782517190.783005</v>
      </c>
      <c r="F28" s="374">
        <f t="shared" ca="1" si="9"/>
        <v>-288843414881.9173</v>
      </c>
      <c r="G28" s="374">
        <f t="shared" ca="1" si="9"/>
        <v>-304550907336.33545</v>
      </c>
      <c r="H28" s="374">
        <f t="shared" ca="1" si="9"/>
        <v>-366782787221.41656</v>
      </c>
      <c r="I28" s="374">
        <f t="shared" ca="1" si="9"/>
        <v>-385345386758.86285</v>
      </c>
      <c r="J28" s="374">
        <f t="shared" ca="1" si="9"/>
        <v>-44484983838.417923</v>
      </c>
      <c r="K28" s="374">
        <f t="shared" ca="1" si="9"/>
        <v>-44734504809.367134</v>
      </c>
      <c r="L28" s="374">
        <f t="shared" ca="1" si="9"/>
        <v>-161706268560.04425</v>
      </c>
      <c r="M28" s="374">
        <f t="shared" ca="1" si="9"/>
        <v>-45264858537.157516</v>
      </c>
      <c r="N28" s="374">
        <f t="shared" ca="1" si="9"/>
        <v>-43057077939.999382</v>
      </c>
      <c r="O28" s="374">
        <f t="shared" ca="1" si="9"/>
        <v>-347306170973.57843</v>
      </c>
    </row>
    <row r="29" spans="1:15" ht="16.5" thickTop="1">
      <c r="A29" s="376"/>
      <c r="C29" s="340"/>
    </row>
    <row r="30" spans="1:15" ht="16.5" thickBot="1">
      <c r="A30" s="366" t="s">
        <v>659</v>
      </c>
      <c r="B30" s="366"/>
      <c r="C30" s="367">
        <f>SUMIF('Activos fijos'!$B$8:$B$17,"VERDADERO",'Activos fijos'!C8:C17)-(SUM('Proyecto Sogamoso'!D14:F14)-SUM('Proyecto Sogamoso'!D8:F8))*M-107622947962.94</f>
        <v>862400000000.99902</v>
      </c>
      <c r="D30" s="367">
        <f>SUMIF('Activos fijos'!$B$8:B$17,"VERDADERO",'Activos fijos'!D8:D17)</f>
        <v>450232999999.99988</v>
      </c>
      <c r="E30" s="367">
        <f ca="1">SUMIF('Activos fijos'!$B$8:C$17,"VERDADERO",'Activos fijos'!E8:E17)</f>
        <v>680436396155.52393</v>
      </c>
      <c r="F30" s="367">
        <f ca="1">SUMIF('Activos fijos'!$B$8:D$17,"VERDADERO",'Activos fijos'!F8:F17)</f>
        <v>31547496012.95686</v>
      </c>
      <c r="G30" s="367">
        <f ca="1">SUMIF('Activos fijos'!$B$8:E$17,"VERDADERO",'Activos fijos'!G8:G17)</f>
        <v>33573638711.589741</v>
      </c>
      <c r="H30" s="367">
        <f ca="1">SUMIF('Activos fijos'!$B$8:F$17,"VERDADERO",'Activos fijos'!H8:H17)</f>
        <v>35423648894.14267</v>
      </c>
      <c r="I30" s="367">
        <f ca="1">SUMIF('Activos fijos'!$B$8:G$17,"VERDADERO",'Activos fijos'!I8:I17)</f>
        <v>36898950358.472214</v>
      </c>
      <c r="J30" s="367">
        <f ca="1">SUMIF('Activos fijos'!$B$8:H$17,"VERDADERO",'Activos fijos'!J8:J17)</f>
        <v>38328284014.180855</v>
      </c>
      <c r="K30" s="367">
        <f ca="1">SUMIF('Activos fijos'!$B$8:I$17,"VERDADERO",'Activos fijos'!K8:K17)</f>
        <v>39923355351.873466</v>
      </c>
      <c r="L30" s="367">
        <f ca="1">SUMIF('Activos fijos'!$B$8:J$17,"VERDADERO",'Activos fijos'!L8:L17)</f>
        <v>41566593719.100731</v>
      </c>
      <c r="M30" s="367">
        <f ca="1">SUMIF('Activos fijos'!$B$8:K$17,"VERDADERO",'Activos fijos'!M8:M17)</f>
        <v>43290002727.361076</v>
      </c>
      <c r="N30" s="367">
        <f ca="1">SUMIF('Activos fijos'!$B$8:L$17,"VERDADERO",'Activos fijos'!N8:N17)</f>
        <v>45083104454.698402</v>
      </c>
      <c r="O30" s="367">
        <f ca="1">SUMIF('Activos fijos'!$B$8:M$17,"VERDADERO",'Activos fijos'!O8:O17)</f>
        <v>46947168879.014709</v>
      </c>
    </row>
    <row r="31" spans="1:15" ht="17.25" thickTop="1" thickBot="1">
      <c r="A31" s="366" t="s">
        <v>666</v>
      </c>
      <c r="B31" s="366"/>
      <c r="C31" s="367">
        <f>ROUND(C30*APR,0)</f>
        <v>258720000000</v>
      </c>
      <c r="D31" s="367">
        <f t="shared" ref="D31:O31" si="10">D30*APR</f>
        <v>135069899999.99995</v>
      </c>
      <c r="E31" s="367">
        <f t="shared" ca="1" si="10"/>
        <v>204130918846.65717</v>
      </c>
      <c r="F31" s="367">
        <f t="shared" ca="1" si="10"/>
        <v>9464248803.8870583</v>
      </c>
      <c r="G31" s="367">
        <f t="shared" ca="1" si="10"/>
        <v>10072091613.476921</v>
      </c>
      <c r="H31" s="367">
        <f t="shared" ca="1" si="10"/>
        <v>10627094668.2428</v>
      </c>
      <c r="I31" s="367">
        <f t="shared" ca="1" si="10"/>
        <v>11069685107.541664</v>
      </c>
      <c r="J31" s="367">
        <f t="shared" ca="1" si="10"/>
        <v>11498485204.254255</v>
      </c>
      <c r="K31" s="367">
        <f t="shared" ca="1" si="10"/>
        <v>11977006605.56204</v>
      </c>
      <c r="L31" s="367">
        <f t="shared" ca="1" si="10"/>
        <v>12469978115.730219</v>
      </c>
      <c r="M31" s="367">
        <f t="shared" ca="1" si="10"/>
        <v>12987000818.208323</v>
      </c>
      <c r="N31" s="367">
        <f t="shared" ca="1" si="10"/>
        <v>13524931336.409521</v>
      </c>
      <c r="O31" s="367">
        <f t="shared" ca="1" si="10"/>
        <v>14084150663.704412</v>
      </c>
    </row>
    <row r="32" spans="1:15" ht="16.5" thickTop="1">
      <c r="A32" s="377"/>
      <c r="C32" s="340"/>
      <c r="D32" s="340"/>
    </row>
    <row r="33" spans="1:15">
      <c r="A33" s="378" t="s">
        <v>667</v>
      </c>
      <c r="C33" s="340">
        <f>C154</f>
        <v>-181922000000.00009</v>
      </c>
      <c r="D33" s="340">
        <f>D154</f>
        <v>-90961000000.000046</v>
      </c>
      <c r="E33" s="340">
        <f>E154</f>
        <v>-91224685989.850174</v>
      </c>
      <c r="F33" s="340">
        <f t="shared" ref="F33:O33" si="11">F154</f>
        <v>-389358144608.42407</v>
      </c>
      <c r="G33" s="340">
        <f t="shared" si="11"/>
        <v>-391036826544.00354</v>
      </c>
      <c r="H33" s="340">
        <f t="shared" si="11"/>
        <v>-392808008988.71069</v>
      </c>
      <c r="I33" s="340">
        <f t="shared" si="11"/>
        <v>-394652956506.63428</v>
      </c>
      <c r="J33" s="340">
        <f t="shared" si="11"/>
        <v>-396569370707.34332</v>
      </c>
      <c r="K33" s="340">
        <f t="shared" si="11"/>
        <v>-398565538474.93701</v>
      </c>
      <c r="L33" s="340">
        <f t="shared" si="11"/>
        <v>-400643868160.89203</v>
      </c>
      <c r="M33" s="340">
        <f t="shared" si="11"/>
        <v>-402808368297.26007</v>
      </c>
      <c r="N33" s="340">
        <f t="shared" si="11"/>
        <v>-395104323519.995</v>
      </c>
      <c r="O33" s="340">
        <f t="shared" si="11"/>
        <v>-397451681963.94574</v>
      </c>
    </row>
    <row r="34" spans="1:15">
      <c r="A34" s="378" t="s">
        <v>668</v>
      </c>
      <c r="C34" s="340">
        <f>'Activos fijos'!C84</f>
        <v>-94018000000</v>
      </c>
      <c r="D34" s="340">
        <f>'Activos fijos'!D84</f>
        <v>-55955000000</v>
      </c>
      <c r="E34" s="340">
        <f>'Activos fijos'!E84</f>
        <v>-55784717994.925064</v>
      </c>
      <c r="F34" s="340">
        <f>'Activos fijos'!F84</f>
        <v>-215023822304.21201</v>
      </c>
      <c r="G34" s="340">
        <f>'Activos fijos'!G84</f>
        <v>-215863163272.00174</v>
      </c>
      <c r="H34" s="340">
        <f>'Activos fijos'!H84</f>
        <v>-216748754494.35532</v>
      </c>
      <c r="I34" s="340">
        <f>'Activos fijos'!I84</f>
        <v>-217671228253.31711</v>
      </c>
      <c r="J34" s="340">
        <f>'Activos fijos'!J84</f>
        <v>-218629435353.67163</v>
      </c>
      <c r="K34" s="340">
        <f>'Activos fijos'!K84</f>
        <v>-219627519237.46848</v>
      </c>
      <c r="L34" s="340">
        <f>'Activos fijos'!L84</f>
        <v>-220666684080.44598</v>
      </c>
      <c r="M34" s="340">
        <f>'Activos fijos'!M84</f>
        <v>-221748934148.63</v>
      </c>
      <c r="N34" s="340">
        <f>'Activos fijos'!N84</f>
        <v>-222876011759.99747</v>
      </c>
      <c r="O34" s="340">
        <f>'Activos fijos'!O84</f>
        <v>-224049690981.97284</v>
      </c>
    </row>
    <row r="35" spans="1:15">
      <c r="A35" s="378"/>
      <c r="D35" s="340"/>
    </row>
    <row r="36" spans="1:15">
      <c r="A36" s="378" t="s">
        <v>669</v>
      </c>
      <c r="C36" s="340">
        <f>C34-C33</f>
        <v>87904000000.000092</v>
      </c>
      <c r="D36" s="340">
        <f>D34-D33</f>
        <v>35006000000.000046</v>
      </c>
      <c r="E36" s="340">
        <f>E34-E33</f>
        <v>35439967994.92511</v>
      </c>
      <c r="F36" s="340">
        <f t="shared" ref="F36:O36" si="12">F34-F33</f>
        <v>174334322304.21207</v>
      </c>
      <c r="G36" s="340">
        <f t="shared" si="12"/>
        <v>175173663272.0018</v>
      </c>
      <c r="H36" s="340">
        <f t="shared" si="12"/>
        <v>176059254494.35538</v>
      </c>
      <c r="I36" s="340">
        <f t="shared" si="12"/>
        <v>176981728253.31717</v>
      </c>
      <c r="J36" s="340">
        <f t="shared" si="12"/>
        <v>177939935353.67169</v>
      </c>
      <c r="K36" s="340">
        <f t="shared" si="12"/>
        <v>178938019237.46854</v>
      </c>
      <c r="L36" s="340">
        <f t="shared" si="12"/>
        <v>179977184080.44604</v>
      </c>
      <c r="M36" s="340">
        <f t="shared" si="12"/>
        <v>181059434148.63007</v>
      </c>
      <c r="N36" s="340">
        <f t="shared" si="12"/>
        <v>172228311759.99753</v>
      </c>
      <c r="O36" s="340">
        <f t="shared" si="12"/>
        <v>173401990981.9729</v>
      </c>
    </row>
    <row r="37" spans="1:15">
      <c r="A37" s="378" t="s">
        <v>670</v>
      </c>
      <c r="C37" s="340">
        <f>-C36*'Datos Generales'!D54</f>
        <v>-21976000000.000023</v>
      </c>
      <c r="D37" s="340">
        <f>-D36*'Datos Generales'!E54</f>
        <v>-8751500000.0000114</v>
      </c>
      <c r="E37" s="340">
        <f>-E36*'Datos Generales'!F54</f>
        <v>-8859991998.7312775</v>
      </c>
      <c r="F37" s="340">
        <f>-F36*'Datos Generales'!G54</f>
        <v>-43583580576.053017</v>
      </c>
      <c r="G37" s="340">
        <f>-G36*'Datos Generales'!H54</f>
        <v>-43793415818.00045</v>
      </c>
      <c r="H37" s="340">
        <f>-H36*'Datos Generales'!I54</f>
        <v>-44014813623.588844</v>
      </c>
      <c r="I37" s="340">
        <f>-I36*'Datos Generales'!J54</f>
        <v>-44245432063.329292</v>
      </c>
      <c r="J37" s="340">
        <f>-J36*'Datos Generales'!K54</f>
        <v>-44484983838.417923</v>
      </c>
      <c r="K37" s="340">
        <f>-K36*'Datos Generales'!L54</f>
        <v>-44734504809.367134</v>
      </c>
      <c r="L37" s="340">
        <f>-L36*'Datos Generales'!M54</f>
        <v>-44994296020.111511</v>
      </c>
      <c r="M37" s="340">
        <f>-M36*'Datos Generales'!N54</f>
        <v>-45264858537.157516</v>
      </c>
      <c r="N37" s="340">
        <f>-N36*'Datos Generales'!O54</f>
        <v>-43057077939.999382</v>
      </c>
      <c r="O37" s="340">
        <f>-O36*'Datos Generales'!P54</f>
        <v>-43350497745.493225</v>
      </c>
    </row>
    <row r="38" spans="1:15">
      <c r="A38" s="378" t="s">
        <v>671</v>
      </c>
      <c r="B38" s="403">
        <v>-336970640000</v>
      </c>
      <c r="C38" s="340">
        <f t="shared" ref="C38:O38" si="13">B38+C37</f>
        <v>-358946640000</v>
      </c>
      <c r="D38" s="340">
        <f t="shared" si="13"/>
        <v>-367698140000</v>
      </c>
      <c r="E38" s="340">
        <f t="shared" si="13"/>
        <v>-376558131998.73126</v>
      </c>
      <c r="F38" s="340">
        <f t="shared" si="13"/>
        <v>-420141712574.7843</v>
      </c>
      <c r="G38" s="340">
        <f t="shared" si="13"/>
        <v>-463935128392.78473</v>
      </c>
      <c r="H38" s="340">
        <f t="shared" si="13"/>
        <v>-507949942016.3736</v>
      </c>
      <c r="I38" s="340">
        <f t="shared" si="13"/>
        <v>-552195374079.70288</v>
      </c>
      <c r="J38" s="340">
        <f t="shared" si="13"/>
        <v>-596680357918.12085</v>
      </c>
      <c r="K38" s="340">
        <f t="shared" si="13"/>
        <v>-641414862727.48804</v>
      </c>
      <c r="L38" s="340">
        <f t="shared" si="13"/>
        <v>-686409158747.59961</v>
      </c>
      <c r="M38" s="340">
        <f t="shared" si="13"/>
        <v>-731674017284.75708</v>
      </c>
      <c r="N38" s="340">
        <f t="shared" si="13"/>
        <v>-774731095224.75647</v>
      </c>
      <c r="O38" s="340">
        <f t="shared" si="13"/>
        <v>-818081592970.24976</v>
      </c>
    </row>
    <row r="39" spans="1:15">
      <c r="A39" s="377"/>
      <c r="B39" s="340"/>
      <c r="C39" s="340"/>
      <c r="D39" s="340"/>
    </row>
    <row r="40" spans="1:15" ht="16.5" thickBot="1">
      <c r="A40" s="372" t="s">
        <v>672</v>
      </c>
      <c r="C40" s="340"/>
      <c r="D40" s="340"/>
      <c r="E40" s="340"/>
      <c r="F40" s="340"/>
      <c r="G40" s="340"/>
      <c r="H40" s="340"/>
      <c r="I40" s="340"/>
      <c r="J40" s="340"/>
      <c r="K40" s="340"/>
      <c r="L40" s="340"/>
      <c r="M40" s="340"/>
      <c r="N40" s="340"/>
      <c r="O40" s="340"/>
    </row>
    <row r="41" spans="1:15" ht="17.25" thickTop="1" thickBot="1">
      <c r="A41" s="366" t="s">
        <v>660</v>
      </c>
      <c r="B41" s="366"/>
      <c r="C41" s="367">
        <f>C23</f>
        <v>246475999999.99988</v>
      </c>
      <c r="D41" s="367">
        <f>D23</f>
        <v>134784600000</v>
      </c>
      <c r="E41" s="367">
        <f ca="1">E23</f>
        <v>223690100768.20691</v>
      </c>
      <c r="F41" s="367">
        <f t="shared" ref="F41:O41" ca="1" si="14">F23</f>
        <v>981039337223.45703</v>
      </c>
      <c r="G41" s="367">
        <f t="shared" ca="1" si="14"/>
        <v>1043029966073.3401</v>
      </c>
      <c r="H41" s="367">
        <f t="shared" ca="1" si="14"/>
        <v>1291071894391.3108</v>
      </c>
      <c r="I41" s="367">
        <f t="shared" ca="1" si="14"/>
        <v>1364399818782.1343</v>
      </c>
      <c r="J41" s="367">
        <f t="shared" ca="1" si="14"/>
        <v>-209265130826.98126</v>
      </c>
      <c r="K41" s="367">
        <f t="shared" ca="1" si="14"/>
        <v>-196011950818.30139</v>
      </c>
      <c r="L41" s="367">
        <f t="shared" ca="1" si="14"/>
        <v>891941818672.65967</v>
      </c>
      <c r="M41" s="367">
        <f t="shared" ca="1" si="14"/>
        <v>-220928816459.35724</v>
      </c>
      <c r="N41" s="367">
        <f t="shared" ca="1" si="14"/>
        <v>-39623387828.211182</v>
      </c>
      <c r="O41" s="367">
        <f t="shared" ca="1" si="14"/>
        <v>1491958961134.6533</v>
      </c>
    </row>
    <row r="42" spans="1:15" ht="16.5" thickTop="1">
      <c r="A42" s="302" t="s">
        <v>713</v>
      </c>
      <c r="C42" s="340">
        <f>IF(C23&gt;0,0,C23)</f>
        <v>0</v>
      </c>
      <c r="D42" s="340">
        <f>IF(D23&gt;0,0,D23)</f>
        <v>0</v>
      </c>
      <c r="E42" s="340">
        <f ca="1">IF(E23&gt;0,0,E23)</f>
        <v>0</v>
      </c>
      <c r="F42" s="340">
        <f t="shared" ref="F42:O42" ca="1" si="15">IF(F23&gt;0,0,F23)</f>
        <v>0</v>
      </c>
      <c r="G42" s="340">
        <f t="shared" ca="1" si="15"/>
        <v>0</v>
      </c>
      <c r="H42" s="340">
        <f t="shared" ca="1" si="15"/>
        <v>0</v>
      </c>
      <c r="I42" s="340">
        <f t="shared" ca="1" si="15"/>
        <v>0</v>
      </c>
      <c r="J42" s="340">
        <f t="shared" ca="1" si="15"/>
        <v>-209265130826.98126</v>
      </c>
      <c r="K42" s="340">
        <f t="shared" ca="1" si="15"/>
        <v>-196011950818.30139</v>
      </c>
      <c r="L42" s="340">
        <f t="shared" ca="1" si="15"/>
        <v>0</v>
      </c>
      <c r="M42" s="340">
        <f t="shared" ca="1" si="15"/>
        <v>-220928816459.35724</v>
      </c>
      <c r="N42" s="340">
        <f t="shared" ca="1" si="15"/>
        <v>-39623387828.211182</v>
      </c>
      <c r="O42" s="340">
        <f t="shared" ca="1" si="15"/>
        <v>0</v>
      </c>
    </row>
    <row r="43" spans="1:15">
      <c r="A43" s="302" t="s">
        <v>673</v>
      </c>
      <c r="C43" s="340">
        <f>(B43-B44)*(1+Macroeconomicos!C6)+C42</f>
        <v>0</v>
      </c>
      <c r="D43" s="340">
        <f>(C43-C44)*(1+Macroeconomicos!D6)+D42</f>
        <v>0</v>
      </c>
      <c r="E43" s="340">
        <f ca="1">(D43-D44)*(1+Macroeconomicos!E6)+E42</f>
        <v>0</v>
      </c>
      <c r="F43" s="340">
        <f ca="1">(E43-E44)*(1+Macroeconomicos!F6)+F42</f>
        <v>0</v>
      </c>
      <c r="G43" s="340">
        <f ca="1">(F43-F44)*(1+Macroeconomicos!G6)+G42</f>
        <v>0</v>
      </c>
      <c r="H43" s="340">
        <f ca="1">(G43-G44)*(1+Macroeconomicos!H6)+H42</f>
        <v>0</v>
      </c>
      <c r="I43" s="340">
        <f ca="1">(H43-H44)*(1+Macroeconomicos!I6)+I42</f>
        <v>0</v>
      </c>
      <c r="J43" s="340">
        <f ca="1">(I43-I44)*(1+Macroeconomicos!J6)+J42</f>
        <v>-209265130826.98126</v>
      </c>
      <c r="K43" s="340">
        <f ca="1">(J43-J44)*(1+Macroeconomicos!K6)+K42</f>
        <v>-411952639318.66333</v>
      </c>
      <c r="L43" s="340">
        <f ca="1">(K43-K44)*(1+Macroeconomicos!L6)+L42</f>
        <v>-425093928512.92871</v>
      </c>
      <c r="M43" s="340">
        <f ca="1">(L43-L44)*(1+Macroeconomicos!M6)+M42</f>
        <v>-220928816459.35724</v>
      </c>
      <c r="N43" s="340">
        <f ca="1">(M43-M44)*(1+Macroeconomicos!N6)+N42</f>
        <v>-267599833532.62192</v>
      </c>
      <c r="O43" s="340">
        <f ca="1">(N43-N44)*(1+Macroeconomicos!O6)+O42</f>
        <v>-276136268222.31256</v>
      </c>
    </row>
    <row r="44" spans="1:15" ht="16.5" customHeight="1">
      <c r="A44" s="302" t="s">
        <v>674</v>
      </c>
      <c r="C44" s="340">
        <f>IF(C41&gt;0,IF(C41&gt;-C43,C43,-C41),0)</f>
        <v>0</v>
      </c>
      <c r="D44" s="340">
        <f>IF(D41&gt;0,IF(D41&gt;-D43,D43,-D41),0)</f>
        <v>0</v>
      </c>
      <c r="E44" s="340">
        <f ca="1">IF(E41&gt;0,IF(E41&gt;-E43,E43,-E41),0)</f>
        <v>0</v>
      </c>
      <c r="F44" s="340">
        <f t="shared" ref="F44:O44" ca="1" si="16">IF(F41&gt;0,IF(F41&gt;-F43,F43,-F41),0)</f>
        <v>0</v>
      </c>
      <c r="G44" s="340">
        <f t="shared" ca="1" si="16"/>
        <v>0</v>
      </c>
      <c r="H44" s="340">
        <f t="shared" ca="1" si="16"/>
        <v>0</v>
      </c>
      <c r="I44" s="340">
        <f t="shared" ca="1" si="16"/>
        <v>0</v>
      </c>
      <c r="J44" s="340">
        <f t="shared" ca="1" si="16"/>
        <v>0</v>
      </c>
      <c r="K44" s="340">
        <f t="shared" ca="1" si="16"/>
        <v>0</v>
      </c>
      <c r="L44" s="340">
        <f t="shared" ca="1" si="16"/>
        <v>-425093928512.92871</v>
      </c>
      <c r="M44" s="340">
        <f t="shared" ca="1" si="16"/>
        <v>0</v>
      </c>
      <c r="N44" s="340">
        <f t="shared" ca="1" si="16"/>
        <v>0</v>
      </c>
      <c r="O44" s="340">
        <f t="shared" ca="1" si="16"/>
        <v>-276136268222.31256</v>
      </c>
    </row>
    <row r="45" spans="1:15" ht="16.5" thickBot="1">
      <c r="A45" s="366" t="s">
        <v>933</v>
      </c>
      <c r="B45" s="366"/>
      <c r="C45" s="367">
        <f>IF(C41&lt;0,0,C41+C44)</f>
        <v>246475999999.99988</v>
      </c>
      <c r="D45" s="367">
        <f>IF(D41&lt;0,0,D41+D44)</f>
        <v>134784600000</v>
      </c>
      <c r="E45" s="367">
        <f ca="1">IF(E41&lt;0,0,E41+E44)</f>
        <v>223690100768.20691</v>
      </c>
      <c r="F45" s="367">
        <f t="shared" ref="F45:O45" ca="1" si="17">IF(F41&lt;0,0,F41+F44)</f>
        <v>981039337223.45703</v>
      </c>
      <c r="G45" s="367">
        <f t="shared" ca="1" si="17"/>
        <v>1043029966073.3401</v>
      </c>
      <c r="H45" s="367">
        <f t="shared" ca="1" si="17"/>
        <v>1291071894391.3108</v>
      </c>
      <c r="I45" s="367">
        <f t="shared" ca="1" si="17"/>
        <v>1364399818782.1343</v>
      </c>
      <c r="J45" s="367">
        <f t="shared" ca="1" si="17"/>
        <v>0</v>
      </c>
      <c r="K45" s="367">
        <f t="shared" ca="1" si="17"/>
        <v>0</v>
      </c>
      <c r="L45" s="367">
        <f t="shared" ca="1" si="17"/>
        <v>466847890159.73096</v>
      </c>
      <c r="M45" s="367">
        <f t="shared" ca="1" si="17"/>
        <v>0</v>
      </c>
      <c r="N45" s="367">
        <f t="shared" ca="1" si="17"/>
        <v>0</v>
      </c>
      <c r="O45" s="367">
        <f t="shared" ca="1" si="17"/>
        <v>1215822692912.3408</v>
      </c>
    </row>
    <row r="46" spans="1:15" ht="16.5" thickTop="1">
      <c r="A46" s="368"/>
      <c r="B46" s="368"/>
      <c r="C46" s="369"/>
      <c r="D46" s="369"/>
      <c r="E46" s="369"/>
      <c r="F46" s="369"/>
      <c r="G46" s="369"/>
      <c r="H46" s="369"/>
      <c r="I46" s="369"/>
      <c r="J46" s="369"/>
      <c r="K46" s="369"/>
      <c r="L46" s="369"/>
      <c r="M46" s="369"/>
      <c r="N46" s="369"/>
      <c r="O46" s="369"/>
    </row>
    <row r="47" spans="1:15">
      <c r="A47" s="368"/>
      <c r="B47" s="368"/>
      <c r="C47" s="369"/>
      <c r="D47" s="369"/>
      <c r="E47" s="369"/>
      <c r="F47" s="369"/>
      <c r="G47" s="369"/>
      <c r="H47" s="369"/>
      <c r="I47" s="369"/>
      <c r="J47" s="369"/>
      <c r="K47" s="369"/>
      <c r="L47" s="369"/>
      <c r="M47" s="369"/>
      <c r="N47" s="369"/>
      <c r="O47" s="369"/>
    </row>
    <row r="49" spans="1:15">
      <c r="A49" s="379" t="s">
        <v>676</v>
      </c>
      <c r="B49" s="314"/>
    </row>
    <row r="50" spans="1:15" ht="24.95" customHeight="1">
      <c r="A50" s="380"/>
    </row>
    <row r="51" spans="1:15" s="307" customFormat="1">
      <c r="A51" s="378" t="s">
        <v>677</v>
      </c>
      <c r="C51" s="381">
        <f>C7+C9+C10+C11+C14+C15+C16+C21</f>
        <v>259992999999.99988</v>
      </c>
      <c r="D51" s="381">
        <f t="shared" ref="D51:O51" si="18">D7+D9+D10+D11+D14+D15+D16+D21</f>
        <v>137141099999.99998</v>
      </c>
      <c r="E51" s="381">
        <f t="shared" ca="1" si="18"/>
        <v>269680387415.51434</v>
      </c>
      <c r="F51" s="381">
        <f t="shared" ca="1" si="18"/>
        <v>1284060560231.4465</v>
      </c>
      <c r="G51" s="381">
        <f t="shared" ca="1" si="18"/>
        <v>1289336192211.292</v>
      </c>
      <c r="H51" s="381">
        <f t="shared" ca="1" si="18"/>
        <v>1516643420636.9331</v>
      </c>
      <c r="I51" s="381">
        <f t="shared" ca="1" si="18"/>
        <v>1554067575593.2515</v>
      </c>
      <c r="J51" s="381">
        <f t="shared" ca="1" si="18"/>
        <v>-10310899063.542036</v>
      </c>
      <c r="K51" s="381">
        <f t="shared" ca="1" si="18"/>
        <v>18410696341.128998</v>
      </c>
      <c r="L51" s="381">
        <f ca="1">L7+L9+L10+L11+L14+L15+L16+L21</f>
        <v>1031431454270.1975</v>
      </c>
      <c r="M51" s="381">
        <f t="shared" ca="1" si="18"/>
        <v>-110446676499.0934</v>
      </c>
      <c r="N51" s="381">
        <f t="shared" ca="1" si="18"/>
        <v>74885601248.282959</v>
      </c>
      <c r="O51" s="381">
        <f t="shared" ca="1" si="18"/>
        <v>1539781994826.3015</v>
      </c>
    </row>
    <row r="52" spans="1:15" s="307" customFormat="1">
      <c r="A52" s="378" t="s">
        <v>678</v>
      </c>
      <c r="C52" s="381">
        <f>IF(C51&gt;0,MAX(C44,SUM($B$21:C21)-SUM($B$52:B52),-C51),0)</f>
        <v>0</v>
      </c>
      <c r="D52" s="381">
        <f>IF(D51&gt;0,MAX(D44,SUM($B$21:D21)-SUM($B$52:C52),-D51),0)</f>
        <v>0</v>
      </c>
      <c r="E52" s="381">
        <f ca="1">IF(E51&gt;0,MAX(E44,SUM($B$21:E21)-SUM($B$52:D52),-E51),0)</f>
        <v>0</v>
      </c>
      <c r="F52" s="381">
        <f ca="1">IF(F51&gt;0,MAX(F44,SUM($B$21:F21)-SUM($B$52:E52),-F51),0)</f>
        <v>0</v>
      </c>
      <c r="G52" s="381">
        <f ca="1">IF(G51&gt;0,MAX(G44,SUM($B$21:G21)-SUM($B$52:F52),-G51),0)</f>
        <v>0</v>
      </c>
      <c r="H52" s="381">
        <f ca="1">IF(H51&gt;0,MAX(H44,SUM($B$21:H21)-SUM($B$52:G52),-H51),0)</f>
        <v>0</v>
      </c>
      <c r="I52" s="381">
        <f ca="1">IF(I51&gt;0,MAX(I44,SUM($B$21:I21)-SUM($B$52:H52),-I51),0)</f>
        <v>0</v>
      </c>
      <c r="J52" s="381">
        <f ca="1">IF(J51&gt;0,MAX(J44,SUM($B$21:J21)-SUM($B$52:I52),-J51),0)</f>
        <v>0</v>
      </c>
      <c r="K52" s="381">
        <f ca="1">IF(K51&gt;0,MAX(K44,SUM($B$21:K21)-SUM($B$52:J52),-K51),0)</f>
        <v>0</v>
      </c>
      <c r="L52" s="381">
        <f ca="1">IF(L51&gt;0,MAX(L44,SUM($B$21:L21)-SUM($B$52:K52),-L51),0)</f>
        <v>-425093928512.92871</v>
      </c>
      <c r="M52" s="381">
        <f ca="1">IF(M51&gt;0,MAX(M44,SUM($B$21:M21)-SUM($B$52:L52),-M51),0)</f>
        <v>0</v>
      </c>
      <c r="N52" s="381">
        <f ca="1">IF(N51&gt;0,MAX(N44,SUM($B$21:N21)-SUM($B$52:M52),-N51),0)</f>
        <v>0</v>
      </c>
      <c r="O52" s="381">
        <f ca="1">IF(O51&gt;0,MAX(O44,SUM($B$21:O21)-SUM($B$52:N52),-O51),0)</f>
        <v>-276136268222.31256</v>
      </c>
    </row>
    <row r="53" spans="1:15" ht="16.5" thickBot="1">
      <c r="A53" s="366" t="s">
        <v>679</v>
      </c>
      <c r="B53" s="366"/>
      <c r="C53" s="367">
        <f>SUM(C51:C52)</f>
        <v>259992999999.99988</v>
      </c>
      <c r="D53" s="367">
        <f>SUM(D51:D52)</f>
        <v>137141099999.99998</v>
      </c>
      <c r="E53" s="367">
        <f ca="1">SUM(E51:E52)</f>
        <v>269680387415.51434</v>
      </c>
      <c r="F53" s="367">
        <f t="shared" ref="F53:O53" ca="1" si="19">SUM(F51:F52)</f>
        <v>1284060560231.4465</v>
      </c>
      <c r="G53" s="367">
        <f t="shared" ca="1" si="19"/>
        <v>1289336192211.292</v>
      </c>
      <c r="H53" s="367">
        <f t="shared" ca="1" si="19"/>
        <v>1516643420636.9331</v>
      </c>
      <c r="I53" s="367">
        <f t="shared" ca="1" si="19"/>
        <v>1554067575593.2515</v>
      </c>
      <c r="J53" s="367">
        <f t="shared" ca="1" si="19"/>
        <v>-10310899063.542036</v>
      </c>
      <c r="K53" s="367">
        <f t="shared" ca="1" si="19"/>
        <v>18410696341.128998</v>
      </c>
      <c r="L53" s="367">
        <f t="shared" ca="1" si="19"/>
        <v>606337525757.2688</v>
      </c>
      <c r="M53" s="367">
        <f t="shared" ca="1" si="19"/>
        <v>-110446676499.0934</v>
      </c>
      <c r="N53" s="367">
        <f t="shared" ca="1" si="19"/>
        <v>74885601248.282959</v>
      </c>
      <c r="O53" s="367">
        <f t="shared" ca="1" si="19"/>
        <v>1263645726603.989</v>
      </c>
    </row>
    <row r="54" spans="1:15" ht="17.25" thickTop="1" thickBot="1">
      <c r="A54" s="366" t="s">
        <v>680</v>
      </c>
      <c r="B54" s="366"/>
      <c r="C54" s="367">
        <f>IF(C53&lt;0,0,-C53*'Datos Generales'!D54)</f>
        <v>-64998249999.999969</v>
      </c>
      <c r="D54" s="367">
        <f>IF(D53&lt;0,0,-D53*'Datos Generales'!E54)</f>
        <v>-34285274999.999996</v>
      </c>
      <c r="E54" s="367">
        <f ca="1">IF(E53&lt;0,0,-E53*'Datos Generales'!F54)</f>
        <v>-67420096853.878586</v>
      </c>
      <c r="F54" s="367">
        <f ca="1">IF(F53&lt;0,0,-F53*'Datos Generales'!G54)</f>
        <v>-321015140057.86163</v>
      </c>
      <c r="G54" s="367">
        <f ca="1">IF(G53&lt;0,0,-G53*'Datos Generales'!H54)</f>
        <v>-322334048052.823</v>
      </c>
      <c r="H54" s="367">
        <f ca="1">IF(H53&lt;0,0,-H53*'Datos Generales'!I54)</f>
        <v>-379160855159.23328</v>
      </c>
      <c r="I54" s="367">
        <f ca="1">IF(I53&lt;0,0,-I53*'Datos Generales'!J54)</f>
        <v>-388516893898.31287</v>
      </c>
      <c r="J54" s="367">
        <f ca="1">IF(J53&lt;0,0,-J53*'Datos Generales'!K54)</f>
        <v>0</v>
      </c>
      <c r="K54" s="367">
        <f ca="1">IF(K53&lt;0,0,-K53*'Datos Generales'!L54)</f>
        <v>-4602674085.2822495</v>
      </c>
      <c r="L54" s="367">
        <f ca="1">IF(L53&lt;0,0,-L53*'Datos Generales'!M54)</f>
        <v>-151584381439.3172</v>
      </c>
      <c r="M54" s="367">
        <f ca="1">IF(M53&lt;0,0,-M53*'Datos Generales'!N54)</f>
        <v>0</v>
      </c>
      <c r="N54" s="367">
        <f ca="1">IF(N53&lt;0,0,-N53*'Datos Generales'!O54)</f>
        <v>-18721400312.07074</v>
      </c>
      <c r="O54" s="367">
        <f ca="1">IF(O53&lt;0,0,-O53*'Datos Generales'!P54)</f>
        <v>-315911431650.99725</v>
      </c>
    </row>
    <row r="55" spans="1:15" ht="16.5" thickTop="1">
      <c r="A55" s="380"/>
    </row>
    <row r="56" spans="1:15">
      <c r="A56" s="380" t="s">
        <v>681</v>
      </c>
      <c r="C56" s="340">
        <f>C20</f>
        <v>43874000000</v>
      </c>
      <c r="D56" s="340">
        <f>D20</f>
        <v>19777000000</v>
      </c>
      <c r="E56" s="340">
        <f>E20</f>
        <v>6014220875.2537498</v>
      </c>
      <c r="F56" s="340">
        <f t="shared" ref="F56:O56" si="20">F20</f>
        <v>17640586289.398102</v>
      </c>
      <c r="G56" s="340">
        <f t="shared" ca="1" si="20"/>
        <v>41455170628.683563</v>
      </c>
      <c r="H56" s="340">
        <f t="shared" ca="1" si="20"/>
        <v>27406396359.511684</v>
      </c>
      <c r="I56" s="340">
        <f t="shared" ca="1" si="20"/>
        <v>29565274501.615566</v>
      </c>
      <c r="J56" s="340">
        <f t="shared" ca="1" si="20"/>
        <v>22942089481.174812</v>
      </c>
      <c r="K56" s="340">
        <f t="shared" ca="1" si="20"/>
        <v>-1.272336959838868E-5</v>
      </c>
      <c r="L56" s="340">
        <f t="shared" ca="1" si="20"/>
        <v>1.0744178771972663E-5</v>
      </c>
      <c r="M56" s="340">
        <f t="shared" ca="1" si="20"/>
        <v>1728137971.7137475</v>
      </c>
      <c r="N56" s="340">
        <f t="shared" ca="1" si="20"/>
        <v>3.6756401062011742E-6</v>
      </c>
      <c r="O56" s="340">
        <f t="shared" ca="1" si="20"/>
        <v>-1.7529975891113292E-5</v>
      </c>
    </row>
    <row r="57" spans="1:15">
      <c r="A57" s="380" t="s">
        <v>657</v>
      </c>
      <c r="C57" s="340">
        <f>C17</f>
        <v>-8178000000</v>
      </c>
      <c r="D57" s="340">
        <f>D17</f>
        <v>-7877000000</v>
      </c>
      <c r="E57" s="340">
        <f>E17</f>
        <v>-6790037125.806406</v>
      </c>
      <c r="F57" s="340">
        <f t="shared" ref="F57:O57" ca="1" si="21">F17</f>
        <v>-10080392073.764914</v>
      </c>
      <c r="G57" s="340">
        <f t="shared" ca="1" si="21"/>
        <v>-13378941832.642994</v>
      </c>
      <c r="H57" s="340">
        <f t="shared" ca="1" si="21"/>
        <v>-12911368330.022572</v>
      </c>
      <c r="I57" s="340">
        <f t="shared" ca="1" si="21"/>
        <v>-14520960565.602266</v>
      </c>
      <c r="J57" s="340">
        <f t="shared" ca="1" si="21"/>
        <v>-10673931184.785488</v>
      </c>
      <c r="K57" s="340">
        <f t="shared" ca="1" si="21"/>
        <v>-5341444681.4936628</v>
      </c>
      <c r="L57" s="340">
        <f t="shared" ca="1" si="21"/>
        <v>-2847780443.0515537</v>
      </c>
      <c r="M57" s="340">
        <f t="shared" ca="1" si="21"/>
        <v>0</v>
      </c>
      <c r="N57" s="340">
        <f t="shared" ca="1" si="21"/>
        <v>0</v>
      </c>
      <c r="O57" s="340">
        <f t="shared" ca="1" si="21"/>
        <v>0</v>
      </c>
    </row>
    <row r="58" spans="1:15">
      <c r="A58" s="380" t="s">
        <v>682</v>
      </c>
      <c r="C58" s="340">
        <f>C19+C22</f>
        <v>-49213000000</v>
      </c>
      <c r="D58" s="340">
        <f>D19+D22</f>
        <v>-14256500000</v>
      </c>
      <c r="E58" s="340">
        <f>E19+E22</f>
        <v>-45214470396.754776</v>
      </c>
      <c r="F58" s="340">
        <f t="shared" ref="F58:O58" ca="1" si="22">F19+F22</f>
        <v>-310581417223.6225</v>
      </c>
      <c r="G58" s="340">
        <f t="shared" ca="1" si="22"/>
        <v>-274382454933.99246</v>
      </c>
      <c r="H58" s="340">
        <f t="shared" ca="1" si="22"/>
        <v>-240066554275.11157</v>
      </c>
      <c r="I58" s="340">
        <f t="shared" ca="1" si="22"/>
        <v>-204712070747.13065</v>
      </c>
      <c r="J58" s="340">
        <f t="shared" ca="1" si="22"/>
        <v>-211222390059.82855</v>
      </c>
      <c r="K58" s="340">
        <f t="shared" ca="1" si="22"/>
        <v>-209081202477.93677</v>
      </c>
      <c r="L58" s="340">
        <f t="shared" ca="1" si="22"/>
        <v>-136641855154.48619</v>
      </c>
      <c r="M58" s="340">
        <f t="shared" ca="1" si="22"/>
        <v>-112210277931.97762</v>
      </c>
      <c r="N58" s="340">
        <f t="shared" ca="1" si="22"/>
        <v>-114508989076.49409</v>
      </c>
      <c r="O58" s="340">
        <f t="shared" ca="1" si="22"/>
        <v>-47823033691.648033</v>
      </c>
    </row>
    <row r="59" spans="1:15">
      <c r="A59" s="380" t="s">
        <v>683</v>
      </c>
      <c r="C59" s="340">
        <f>C24-C52</f>
        <v>0</v>
      </c>
      <c r="D59" s="340">
        <f>D24-D52</f>
        <v>0</v>
      </c>
      <c r="E59" s="340">
        <f ca="1">E24-E52</f>
        <v>0</v>
      </c>
      <c r="F59" s="340">
        <f t="shared" ref="F59:O59" ca="1" si="23">F24-F52</f>
        <v>0</v>
      </c>
      <c r="G59" s="340">
        <f t="shared" ca="1" si="23"/>
        <v>0</v>
      </c>
      <c r="H59" s="340">
        <f t="shared" ca="1" si="23"/>
        <v>0</v>
      </c>
      <c r="I59" s="340">
        <f t="shared" ca="1" si="23"/>
        <v>0</v>
      </c>
      <c r="J59" s="340">
        <f t="shared" ca="1" si="23"/>
        <v>0</v>
      </c>
      <c r="K59" s="340">
        <f t="shared" ca="1" si="23"/>
        <v>0</v>
      </c>
      <c r="L59" s="340">
        <f t="shared" ca="1" si="23"/>
        <v>0</v>
      </c>
      <c r="M59" s="340">
        <f t="shared" ca="1" si="23"/>
        <v>0</v>
      </c>
      <c r="N59" s="340">
        <f t="shared" ca="1" si="23"/>
        <v>0</v>
      </c>
      <c r="O59" s="340">
        <f t="shared" ca="1" si="23"/>
        <v>0</v>
      </c>
    </row>
    <row r="60" spans="1:15" s="307" customFormat="1">
      <c r="A60" s="378" t="s">
        <v>684</v>
      </c>
      <c r="C60" s="381">
        <f>SUM(C56:C59)</f>
        <v>-13517000000</v>
      </c>
      <c r="D60" s="381">
        <f>SUM(D56:D59)</f>
        <v>-2356500000</v>
      </c>
      <c r="E60" s="381">
        <f ca="1">SUM(E56:E59)</f>
        <v>-45990286647.307434</v>
      </c>
      <c r="F60" s="381">
        <f t="shared" ref="F60:O60" ca="1" si="24">SUM(F56:F59)</f>
        <v>-303021223007.98932</v>
      </c>
      <c r="G60" s="381">
        <f t="shared" ca="1" si="24"/>
        <v>-246306226137.9519</v>
      </c>
      <c r="H60" s="381">
        <f t="shared" ca="1" si="24"/>
        <v>-225571526245.62247</v>
      </c>
      <c r="I60" s="381">
        <f t="shared" ca="1" si="24"/>
        <v>-189667756811.11734</v>
      </c>
      <c r="J60" s="381">
        <f t="shared" ca="1" si="24"/>
        <v>-198954231763.43924</v>
      </c>
      <c r="K60" s="381">
        <f t="shared" ca="1" si="24"/>
        <v>-214422647159.43045</v>
      </c>
      <c r="L60" s="381">
        <f t="shared" ca="1" si="24"/>
        <v>-139489635597.53772</v>
      </c>
      <c r="M60" s="381">
        <f t="shared" ca="1" si="24"/>
        <v>-110482139960.26387</v>
      </c>
      <c r="N60" s="381">
        <f t="shared" ca="1" si="24"/>
        <v>-114508989076.49409</v>
      </c>
      <c r="O60" s="381">
        <f t="shared" ca="1" si="24"/>
        <v>-47823033691.648048</v>
      </c>
    </row>
    <row r="61" spans="1:15" ht="16.5" thickBot="1">
      <c r="A61" s="366" t="s">
        <v>685</v>
      </c>
      <c r="B61" s="366"/>
      <c r="C61" s="367">
        <f>IF(AND(C26=0,C54=0),0,IF(AND(C26=0,C53&gt;C60),-C54,-C60*'Datos Generales'!D54))</f>
        <v>3379250000</v>
      </c>
      <c r="D61" s="367">
        <f>IF(AND(D26=0,D54=0),0,IF(AND(D26=0,D53&gt;D60),-D54,-D60*'Datos Generales'!E54))</f>
        <v>589125000</v>
      </c>
      <c r="E61" s="367">
        <f ca="1">IF(AND(E26=0,E54=0),0,IF(AND(E26=0,E53&gt;E60),-E54,-E60*'Datos Generales'!F54))</f>
        <v>11497571661.826859</v>
      </c>
      <c r="F61" s="367">
        <f ca="1">IF(AND(F26=0,F54=0),0,IF(AND(F26=0,F53&gt;F60),-F54,-F60*'Datos Generales'!G54))</f>
        <v>75755305751.99733</v>
      </c>
      <c r="G61" s="367">
        <f ca="1">IF(AND(G26=0,G54=0),0,IF(AND(G26=0,G53&gt;G60),-G54,-G60*'Datos Generales'!H54))</f>
        <v>61576556534.487976</v>
      </c>
      <c r="H61" s="367">
        <f ca="1">IF(AND(H26=0,H54=0),0,IF(AND(H26=0,H53&gt;H60),-H54,-H60*'Datos Generales'!I54))</f>
        <v>56392881561.405617</v>
      </c>
      <c r="I61" s="367">
        <f ca="1">IF(AND(I26=0,I54=0),0,IF(AND(I26=0,I53&gt;I60),-I54,-I60*'Datos Generales'!J54))</f>
        <v>47416939202.779335</v>
      </c>
      <c r="J61" s="367">
        <f ca="1">IF(AND(J26=0,J54=0),0,IF(AND(J26=0,J53&gt;J60),-J54,-J60*'Datos Generales'!K54))</f>
        <v>0</v>
      </c>
      <c r="K61" s="367">
        <f ca="1">IF(AND(K26=0,K54=0),0,IF(AND(K26=0,K53&gt;K60),-K54,-K60*'Datos Generales'!L54))</f>
        <v>4602674085.2822495</v>
      </c>
      <c r="L61" s="367">
        <f ca="1">IF(AND(L26=0,L54=0),0,IF(AND(L26=0,L53&gt;L60),-L54,-L60*'Datos Generales'!M54))</f>
        <v>34872408899.38443</v>
      </c>
      <c r="M61" s="367">
        <f ca="1">IF(AND(M26=0,M54=0),0,IF(AND(M26=0,M53&gt;M60),-M54,-M60*'Datos Generales'!N54))</f>
        <v>0</v>
      </c>
      <c r="N61" s="367">
        <f ca="1">IF(AND(N26=0,N54=0),0,IF(AND(N26=0,N53&gt;N60),-N54,-N60*'Datos Generales'!O54))</f>
        <v>18721400312.07074</v>
      </c>
      <c r="O61" s="367">
        <f ca="1">IF(AND(O26=0,O54=0),0,IF(AND(O26=0,O53&gt;O60),-O54,-O60*'Datos Generales'!P54))</f>
        <v>11955758422.912012</v>
      </c>
    </row>
    <row r="62" spans="1:15" ht="16.5" thickTop="1">
      <c r="A62" s="380"/>
      <c r="C62" s="340"/>
      <c r="D62" s="340"/>
      <c r="E62" s="340"/>
      <c r="F62" s="340"/>
      <c r="G62" s="340"/>
      <c r="H62" s="340"/>
      <c r="I62" s="340"/>
      <c r="J62" s="340"/>
      <c r="K62" s="340"/>
      <c r="L62" s="340"/>
      <c r="M62" s="340"/>
      <c r="N62" s="340"/>
      <c r="O62" s="340"/>
    </row>
    <row r="63" spans="1:15">
      <c r="A63" s="380"/>
      <c r="C63" s="340"/>
      <c r="D63" s="340"/>
      <c r="E63" s="340"/>
      <c r="F63" s="340"/>
      <c r="G63" s="340"/>
      <c r="H63" s="340"/>
      <c r="I63" s="340"/>
      <c r="J63" s="340"/>
      <c r="K63" s="340"/>
      <c r="L63" s="340"/>
      <c r="M63" s="340"/>
      <c r="N63" s="340"/>
      <c r="O63" s="340"/>
    </row>
    <row r="64" spans="1:15">
      <c r="A64" s="378" t="s">
        <v>686</v>
      </c>
      <c r="C64" s="340">
        <f>C53+C60</f>
        <v>246475999999.99988</v>
      </c>
      <c r="D64" s="340">
        <f>D53+D60</f>
        <v>134784599999.99998</v>
      </c>
      <c r="E64" s="340">
        <f ca="1">E53+E60</f>
        <v>223690100768.20691</v>
      </c>
      <c r="F64" s="340">
        <f t="shared" ref="F64:O64" ca="1" si="25">F53+F60</f>
        <v>981039337223.45728</v>
      </c>
      <c r="G64" s="340">
        <f t="shared" ca="1" si="25"/>
        <v>1043029966073.3401</v>
      </c>
      <c r="H64" s="340">
        <f t="shared" ca="1" si="25"/>
        <v>1291071894391.3105</v>
      </c>
      <c r="I64" s="340">
        <f t="shared" ca="1" si="25"/>
        <v>1364399818782.134</v>
      </c>
      <c r="J64" s="340">
        <f t="shared" ca="1" si="25"/>
        <v>-209265130826.98126</v>
      </c>
      <c r="K64" s="340">
        <f t="shared" ca="1" si="25"/>
        <v>-196011950818.30145</v>
      </c>
      <c r="L64" s="340">
        <f t="shared" ca="1" si="25"/>
        <v>466847890159.73108</v>
      </c>
      <c r="M64" s="340">
        <f t="shared" ca="1" si="25"/>
        <v>-220928816459.35727</v>
      </c>
      <c r="N64" s="340">
        <f t="shared" ca="1" si="25"/>
        <v>-39623387828.211136</v>
      </c>
      <c r="O64" s="340">
        <f t="shared" ca="1" si="25"/>
        <v>1215822692912.3411</v>
      </c>
    </row>
    <row r="65" spans="1:15">
      <c r="A65" s="382" t="s">
        <v>687</v>
      </c>
      <c r="B65" s="382"/>
      <c r="C65" s="383">
        <f>C25-C64</f>
        <v>0</v>
      </c>
      <c r="D65" s="383">
        <f>D25-D64</f>
        <v>0</v>
      </c>
      <c r="E65" s="383">
        <f ca="1">E25-E64</f>
        <v>0</v>
      </c>
      <c r="F65" s="383">
        <f t="shared" ref="F65:O65" ca="1" si="26">F25-F64</f>
        <v>0</v>
      </c>
      <c r="G65" s="383">
        <f t="shared" ca="1" si="26"/>
        <v>0</v>
      </c>
      <c r="H65" s="383">
        <f t="shared" ca="1" si="26"/>
        <v>0</v>
      </c>
      <c r="I65" s="383">
        <f t="shared" ca="1" si="26"/>
        <v>0</v>
      </c>
      <c r="J65" s="383">
        <f t="shared" ca="1" si="26"/>
        <v>0</v>
      </c>
      <c r="K65" s="383">
        <f t="shared" ca="1" si="26"/>
        <v>0</v>
      </c>
      <c r="L65" s="383">
        <f t="shared" ca="1" si="26"/>
        <v>0</v>
      </c>
      <c r="M65" s="383">
        <f t="shared" ca="1" si="26"/>
        <v>0</v>
      </c>
      <c r="N65" s="383">
        <f t="shared" ca="1" si="26"/>
        <v>0</v>
      </c>
      <c r="O65" s="383">
        <f t="shared" ca="1" si="26"/>
        <v>0</v>
      </c>
    </row>
    <row r="66" spans="1:15">
      <c r="A66" s="378"/>
      <c r="D66" s="384"/>
      <c r="I66" s="384"/>
      <c r="J66" s="384"/>
      <c r="K66" s="384"/>
    </row>
    <row r="67" spans="1:15" ht="16.5" thickBot="1">
      <c r="A67" s="385" t="s">
        <v>688</v>
      </c>
      <c r="I67" s="384"/>
      <c r="J67" s="384"/>
      <c r="K67" s="384"/>
    </row>
    <row r="68" spans="1:15" s="307" customFormat="1" ht="16.5" thickTop="1">
      <c r="A68" s="386" t="s">
        <v>689</v>
      </c>
      <c r="B68" s="422">
        <v>0</v>
      </c>
      <c r="C68" s="387">
        <f>C26</f>
        <v>-61618999999.999969</v>
      </c>
      <c r="D68" s="387">
        <f>D26</f>
        <v>-33696150000</v>
      </c>
      <c r="E68" s="387">
        <f ca="1">E26</f>
        <v>-55922525192.051727</v>
      </c>
      <c r="F68" s="387">
        <f t="shared" ref="F68:O68" ca="1" si="27">F26</f>
        <v>-245259834305.86426</v>
      </c>
      <c r="G68" s="387">
        <f t="shared" ca="1" si="27"/>
        <v>-260757491518.33502</v>
      </c>
      <c r="H68" s="387">
        <f t="shared" ca="1" si="27"/>
        <v>-322767973597.8277</v>
      </c>
      <c r="I68" s="387">
        <f t="shared" ca="1" si="27"/>
        <v>-341099954695.53357</v>
      </c>
      <c r="J68" s="387">
        <f t="shared" ca="1" si="27"/>
        <v>0</v>
      </c>
      <c r="K68" s="387">
        <f t="shared" ca="1" si="27"/>
        <v>0</v>
      </c>
      <c r="L68" s="387">
        <f ca="1">L26</f>
        <v>-116711972539.93274</v>
      </c>
      <c r="M68" s="387">
        <f t="shared" ca="1" si="27"/>
        <v>0</v>
      </c>
      <c r="N68" s="387">
        <f t="shared" ca="1" si="27"/>
        <v>0</v>
      </c>
      <c r="O68" s="387">
        <f t="shared" ca="1" si="27"/>
        <v>-303955673228.08521</v>
      </c>
    </row>
    <row r="69" spans="1:15">
      <c r="A69" s="370" t="s">
        <v>690</v>
      </c>
      <c r="B69" s="384"/>
      <c r="C69" s="384">
        <f>B68*'Datos Generales'!D56</f>
        <v>0</v>
      </c>
      <c r="D69" s="384">
        <f>C68*'Datos Generales'!E56</f>
        <v>-46214249999.999977</v>
      </c>
      <c r="E69" s="384">
        <f>D68*'Datos Generales'!F56</f>
        <v>-25272112500</v>
      </c>
      <c r="F69" s="384">
        <f ca="1">E68*'Datos Generales'!G56</f>
        <v>-41941893894.038795</v>
      </c>
      <c r="G69" s="384">
        <f ca="1">F68*'Datos Generales'!H56</f>
        <v>-183944875729.39819</v>
      </c>
      <c r="H69" s="384">
        <f ca="1">G68*'Datos Generales'!I56</f>
        <v>-195568118638.75128</v>
      </c>
      <c r="I69" s="384">
        <f ca="1">H68*'Datos Generales'!J56</f>
        <v>-242075980198.37079</v>
      </c>
      <c r="J69" s="384">
        <f ca="1">I68*'Datos Generales'!K56</f>
        <v>-255824966021.65018</v>
      </c>
      <c r="K69" s="384">
        <f ca="1">J68*'Datos Generales'!L56</f>
        <v>0</v>
      </c>
      <c r="L69" s="384">
        <f ca="1">K68*'Datos Generales'!M56</f>
        <v>0</v>
      </c>
      <c r="M69" s="384">
        <f ca="1">L68*'Datos Generales'!N56</f>
        <v>-87533979404.949554</v>
      </c>
      <c r="N69" s="384">
        <f ca="1">M68*'Datos Generales'!O56</f>
        <v>0</v>
      </c>
      <c r="O69" s="384">
        <f ca="1">N68*'Datos Generales'!P56</f>
        <v>0</v>
      </c>
    </row>
    <row r="70" spans="1:15">
      <c r="A70" s="370" t="s">
        <v>691</v>
      </c>
      <c r="B70" s="384">
        <f>B68</f>
        <v>0</v>
      </c>
      <c r="C70" s="384">
        <f>C68</f>
        <v>-61618999999.999969</v>
      </c>
      <c r="D70" s="384">
        <f>D68</f>
        <v>-33696150000</v>
      </c>
      <c r="E70" s="384">
        <f ca="1">E68</f>
        <v>-55922525192.051727</v>
      </c>
      <c r="F70" s="384">
        <f t="shared" ref="F70:O70" ca="1" si="28">F68</f>
        <v>-245259834305.86426</v>
      </c>
      <c r="G70" s="384">
        <f t="shared" ca="1" si="28"/>
        <v>-260757491518.33502</v>
      </c>
      <c r="H70" s="384">
        <f t="shared" ca="1" si="28"/>
        <v>-322767973597.8277</v>
      </c>
      <c r="I70" s="384">
        <f t="shared" ca="1" si="28"/>
        <v>-341099954695.53357</v>
      </c>
      <c r="J70" s="384">
        <f t="shared" ca="1" si="28"/>
        <v>0</v>
      </c>
      <c r="K70" s="384">
        <f t="shared" ca="1" si="28"/>
        <v>0</v>
      </c>
      <c r="L70" s="384">
        <f t="shared" ca="1" si="28"/>
        <v>-116711972539.93274</v>
      </c>
      <c r="M70" s="384">
        <f t="shared" ca="1" si="28"/>
        <v>0</v>
      </c>
      <c r="N70" s="384">
        <f t="shared" ca="1" si="28"/>
        <v>0</v>
      </c>
      <c r="O70" s="384">
        <f t="shared" ca="1" si="28"/>
        <v>-303955673228.08521</v>
      </c>
    </row>
    <row r="71" spans="1:15" ht="16.5" thickBot="1">
      <c r="A71" s="366" t="s">
        <v>692</v>
      </c>
      <c r="B71" s="367">
        <v>0</v>
      </c>
      <c r="C71" s="367">
        <f t="shared" ref="C71:O71" si="29">B70+C69-B69</f>
        <v>0</v>
      </c>
      <c r="D71" s="367">
        <f t="shared" si="29"/>
        <v>-107833249999.99994</v>
      </c>
      <c r="E71" s="367">
        <f t="shared" si="29"/>
        <v>-12754012500.000023</v>
      </c>
      <c r="F71" s="367">
        <f t="shared" ca="1" si="29"/>
        <v>-72592306586.090515</v>
      </c>
      <c r="G71" s="367">
        <f t="shared" ca="1" si="29"/>
        <v>-387262816141.22363</v>
      </c>
      <c r="H71" s="367">
        <f t="shared" ca="1" si="29"/>
        <v>-272380734427.68811</v>
      </c>
      <c r="I71" s="367">
        <f t="shared" ca="1" si="29"/>
        <v>-369275835157.4472</v>
      </c>
      <c r="J71" s="367">
        <f t="shared" ca="1" si="29"/>
        <v>-354848940518.81293</v>
      </c>
      <c r="K71" s="367">
        <f t="shared" ca="1" si="29"/>
        <v>255824966021.65018</v>
      </c>
      <c r="L71" s="367">
        <f t="shared" ca="1" si="29"/>
        <v>0</v>
      </c>
      <c r="M71" s="367">
        <f t="shared" ca="1" si="29"/>
        <v>-204245951944.88229</v>
      </c>
      <c r="N71" s="367">
        <f t="shared" ca="1" si="29"/>
        <v>87533979404.949554</v>
      </c>
      <c r="O71" s="367">
        <f t="shared" ca="1" si="29"/>
        <v>0</v>
      </c>
    </row>
    <row r="72" spans="1:15" s="307" customFormat="1" ht="16.5" thickTop="1">
      <c r="C72" s="387"/>
      <c r="D72" s="387"/>
      <c r="E72" s="387"/>
      <c r="F72" s="387"/>
      <c r="G72" s="387"/>
      <c r="H72" s="387"/>
      <c r="I72" s="387"/>
      <c r="J72" s="387"/>
      <c r="K72" s="387"/>
      <c r="L72" s="387"/>
      <c r="M72" s="387"/>
      <c r="N72" s="387"/>
      <c r="O72" s="387"/>
    </row>
    <row r="73" spans="1:15">
      <c r="A73" s="306" t="s">
        <v>693</v>
      </c>
    </row>
    <row r="74" spans="1:15">
      <c r="A74" s="302" t="s">
        <v>694</v>
      </c>
      <c r="C74" s="340">
        <f>C54</f>
        <v>-64998249999.999969</v>
      </c>
      <c r="D74" s="340">
        <f>D54</f>
        <v>-34285274999.999996</v>
      </c>
      <c r="E74" s="340">
        <f ca="1">E54</f>
        <v>-67420096853.878586</v>
      </c>
      <c r="F74" s="340">
        <f t="shared" ref="F74:O74" ca="1" si="30">F54</f>
        <v>-321015140057.86163</v>
      </c>
      <c r="G74" s="340">
        <f t="shared" ca="1" si="30"/>
        <v>-322334048052.823</v>
      </c>
      <c r="H74" s="340">
        <f t="shared" ca="1" si="30"/>
        <v>-379160855159.23328</v>
      </c>
      <c r="I74" s="340">
        <f t="shared" ca="1" si="30"/>
        <v>-388516893898.31287</v>
      </c>
      <c r="J74" s="340">
        <f ca="1">J54</f>
        <v>0</v>
      </c>
      <c r="K74" s="340">
        <f t="shared" ca="1" si="30"/>
        <v>-4602674085.2822495</v>
      </c>
      <c r="L74" s="340">
        <f ca="1">L54</f>
        <v>-151584381439.3172</v>
      </c>
      <c r="M74" s="340">
        <f t="shared" ca="1" si="30"/>
        <v>0</v>
      </c>
      <c r="N74" s="340">
        <f t="shared" ca="1" si="30"/>
        <v>-18721400312.07074</v>
      </c>
      <c r="O74" s="340">
        <f t="shared" ca="1" si="30"/>
        <v>-315911431650.99725</v>
      </c>
    </row>
    <row r="75" spans="1:15">
      <c r="A75" s="302" t="s">
        <v>695</v>
      </c>
      <c r="C75" s="340">
        <f>B74*'Datos Generales'!D56</f>
        <v>0</v>
      </c>
      <c r="D75" s="340">
        <f>C74*'Datos Generales'!E56</f>
        <v>-48748687499.999977</v>
      </c>
      <c r="E75" s="340">
        <f>D74*'Datos Generales'!F56</f>
        <v>-25713956249.999996</v>
      </c>
      <c r="F75" s="340">
        <f ca="1">E74*'Datos Generales'!G56</f>
        <v>-50565072640.408936</v>
      </c>
      <c r="G75" s="340">
        <f ca="1">F74*'Datos Generales'!H56</f>
        <v>-240761355043.39624</v>
      </c>
      <c r="H75" s="340">
        <f ca="1">G74*'Datos Generales'!I56</f>
        <v>-241750536039.61725</v>
      </c>
      <c r="I75" s="340">
        <f ca="1">H74*'Datos Generales'!J56</f>
        <v>-284370641369.42493</v>
      </c>
      <c r="J75" s="340">
        <f ca="1">I74*'Datos Generales'!K56</f>
        <v>-291387670423.73462</v>
      </c>
      <c r="K75" s="340">
        <f ca="1">J74*'Datos Generales'!L56</f>
        <v>0</v>
      </c>
      <c r="L75" s="340">
        <f ca="1">K74*'Datos Generales'!M56</f>
        <v>-3452005563.9616871</v>
      </c>
      <c r="M75" s="340">
        <f ca="1">L74*'Datos Generales'!N56</f>
        <v>-113688286079.4879</v>
      </c>
      <c r="N75" s="340">
        <f ca="1">M74*'Datos Generales'!O56</f>
        <v>0</v>
      </c>
      <c r="O75" s="340">
        <f ca="1">N74*'Datos Generales'!P56</f>
        <v>-14041050234.053055</v>
      </c>
    </row>
    <row r="76" spans="1:15">
      <c r="A76" s="302" t="s">
        <v>696</v>
      </c>
      <c r="C76" s="340">
        <f>C74</f>
        <v>-64998249999.999969</v>
      </c>
      <c r="D76" s="340">
        <f>D74</f>
        <v>-34285274999.999996</v>
      </c>
      <c r="E76" s="340">
        <f ca="1">E74</f>
        <v>-67420096853.878586</v>
      </c>
      <c r="F76" s="340">
        <f t="shared" ref="F76:O76" ca="1" si="31">F74</f>
        <v>-321015140057.86163</v>
      </c>
      <c r="G76" s="340">
        <f t="shared" ca="1" si="31"/>
        <v>-322334048052.823</v>
      </c>
      <c r="H76" s="340">
        <f t="shared" ca="1" si="31"/>
        <v>-379160855159.23328</v>
      </c>
      <c r="I76" s="340">
        <f t="shared" ca="1" si="31"/>
        <v>-388516893898.31287</v>
      </c>
      <c r="J76" s="340">
        <f t="shared" ca="1" si="31"/>
        <v>0</v>
      </c>
      <c r="K76" s="340">
        <f t="shared" ca="1" si="31"/>
        <v>-4602674085.2822495</v>
      </c>
      <c r="L76" s="340">
        <f t="shared" ca="1" si="31"/>
        <v>-151584381439.3172</v>
      </c>
      <c r="M76" s="340">
        <f t="shared" ca="1" si="31"/>
        <v>0</v>
      </c>
      <c r="N76" s="340">
        <f t="shared" ca="1" si="31"/>
        <v>-18721400312.07074</v>
      </c>
      <c r="O76" s="340">
        <f t="shared" ca="1" si="31"/>
        <v>-315911431650.99725</v>
      </c>
    </row>
    <row r="77" spans="1:15">
      <c r="A77" s="302" t="s">
        <v>697</v>
      </c>
      <c r="C77" s="340">
        <f t="shared" ref="C77:O77" si="32">B76+C75-B75</f>
        <v>0</v>
      </c>
      <c r="D77" s="340">
        <f t="shared" si="32"/>
        <v>-113746937499.99994</v>
      </c>
      <c r="E77" s="340">
        <f t="shared" si="32"/>
        <v>-11250543750.000015</v>
      </c>
      <c r="F77" s="340">
        <f t="shared" ca="1" si="32"/>
        <v>-92271213244.287521</v>
      </c>
      <c r="G77" s="340">
        <f t="shared" ca="1" si="32"/>
        <v>-511211422460.84888</v>
      </c>
      <c r="H77" s="340">
        <f t="shared" ca="1" si="32"/>
        <v>-323323229049.04395</v>
      </c>
      <c r="I77" s="340">
        <f t="shared" ca="1" si="32"/>
        <v>-421780960489.04095</v>
      </c>
      <c r="J77" s="340">
        <f t="shared" ca="1" si="32"/>
        <v>-395533922952.62256</v>
      </c>
      <c r="K77" s="340">
        <f t="shared" ca="1" si="32"/>
        <v>291387670423.73462</v>
      </c>
      <c r="L77" s="340">
        <f t="shared" ca="1" si="32"/>
        <v>-8054679649.2439365</v>
      </c>
      <c r="M77" s="340">
        <f t="shared" ca="1" si="32"/>
        <v>-261820661954.84341</v>
      </c>
      <c r="N77" s="340">
        <f t="shared" ca="1" si="32"/>
        <v>113688286079.4879</v>
      </c>
      <c r="O77" s="340">
        <f t="shared" ca="1" si="32"/>
        <v>-32762450546.123795</v>
      </c>
    </row>
    <row r="79" spans="1:15">
      <c r="A79" s="306" t="s">
        <v>698</v>
      </c>
      <c r="D79" s="340"/>
    </row>
    <row r="80" spans="1:15" ht="24.95" customHeight="1">
      <c r="A80" s="302" t="s">
        <v>699</v>
      </c>
      <c r="C80" s="340">
        <f>C61</f>
        <v>3379250000</v>
      </c>
      <c r="D80" s="340">
        <f>D61</f>
        <v>589125000</v>
      </c>
      <c r="E80" s="340">
        <f ca="1">E61</f>
        <v>11497571661.826859</v>
      </c>
      <c r="F80" s="340">
        <f t="shared" ref="F80:O80" ca="1" si="33">F61</f>
        <v>75755305751.99733</v>
      </c>
      <c r="G80" s="340">
        <f t="shared" ca="1" si="33"/>
        <v>61576556534.487976</v>
      </c>
      <c r="H80" s="340">
        <f t="shared" ca="1" si="33"/>
        <v>56392881561.405617</v>
      </c>
      <c r="I80" s="340">
        <f t="shared" ca="1" si="33"/>
        <v>47416939202.779335</v>
      </c>
      <c r="J80" s="340">
        <f t="shared" ca="1" si="33"/>
        <v>0</v>
      </c>
      <c r="K80" s="340">
        <f t="shared" ca="1" si="33"/>
        <v>4602674085.2822495</v>
      </c>
      <c r="L80" s="340">
        <f t="shared" ca="1" si="33"/>
        <v>34872408899.38443</v>
      </c>
      <c r="M80" s="340">
        <f t="shared" ca="1" si="33"/>
        <v>0</v>
      </c>
      <c r="N80" s="340">
        <f t="shared" ca="1" si="33"/>
        <v>18721400312.07074</v>
      </c>
      <c r="O80" s="340">
        <f t="shared" ca="1" si="33"/>
        <v>11955758422.912012</v>
      </c>
    </row>
    <row r="81" spans="1:15">
      <c r="A81" s="302" t="s">
        <v>700</v>
      </c>
      <c r="C81" s="340">
        <f>B80*'Datos Generales'!D56</f>
        <v>0</v>
      </c>
      <c r="D81" s="340">
        <f>C80*'Datos Generales'!E56</f>
        <v>2534437500</v>
      </c>
      <c r="E81" s="340">
        <f>D80*'Datos Generales'!F56</f>
        <v>441843750</v>
      </c>
      <c r="F81" s="340">
        <f ca="1">E80*'Datos Generales'!G56</f>
        <v>8623178746.3701439</v>
      </c>
      <c r="G81" s="340">
        <f ca="1">F80*'Datos Generales'!H56</f>
        <v>56816479313.998001</v>
      </c>
      <c r="H81" s="340">
        <f ca="1">G80*'Datos Generales'!I56</f>
        <v>46182417400.865982</v>
      </c>
      <c r="I81" s="340">
        <f ca="1">H80*'Datos Generales'!J56</f>
        <v>42294661171.054214</v>
      </c>
      <c r="J81" s="340">
        <f ca="1">I80*'Datos Generales'!K56</f>
        <v>35562704402.084503</v>
      </c>
      <c r="K81" s="340">
        <f ca="1">J80*'Datos Generales'!L56</f>
        <v>0</v>
      </c>
      <c r="L81" s="340">
        <f ca="1">K80*'Datos Generales'!M56</f>
        <v>3452005563.9616871</v>
      </c>
      <c r="M81" s="340">
        <f ca="1">L80*'Datos Generales'!N56</f>
        <v>26154306674.538322</v>
      </c>
      <c r="N81" s="340">
        <f ca="1">M80*'Datos Generales'!O56</f>
        <v>0</v>
      </c>
      <c r="O81" s="340">
        <f ca="1">N80*'Datos Generales'!P56</f>
        <v>14041050234.053055</v>
      </c>
    </row>
    <row r="82" spans="1:15">
      <c r="A82" s="302" t="s">
        <v>701</v>
      </c>
      <c r="C82" s="340">
        <f>C80</f>
        <v>3379250000</v>
      </c>
      <c r="D82" s="340">
        <f>D80</f>
        <v>589125000</v>
      </c>
      <c r="E82" s="340">
        <f ca="1">E80</f>
        <v>11497571661.826859</v>
      </c>
      <c r="F82" s="340">
        <f t="shared" ref="F82:O82" ca="1" si="34">F80</f>
        <v>75755305751.99733</v>
      </c>
      <c r="G82" s="340">
        <f t="shared" ca="1" si="34"/>
        <v>61576556534.487976</v>
      </c>
      <c r="H82" s="340">
        <f t="shared" ca="1" si="34"/>
        <v>56392881561.405617</v>
      </c>
      <c r="I82" s="340">
        <f t="shared" ca="1" si="34"/>
        <v>47416939202.779335</v>
      </c>
      <c r="J82" s="340">
        <f t="shared" ca="1" si="34"/>
        <v>0</v>
      </c>
      <c r="K82" s="340">
        <f t="shared" ca="1" si="34"/>
        <v>4602674085.2822495</v>
      </c>
      <c r="L82" s="340">
        <f t="shared" ca="1" si="34"/>
        <v>34872408899.38443</v>
      </c>
      <c r="M82" s="340">
        <f t="shared" ca="1" si="34"/>
        <v>0</v>
      </c>
      <c r="N82" s="340">
        <f t="shared" ca="1" si="34"/>
        <v>18721400312.07074</v>
      </c>
      <c r="O82" s="340">
        <f t="shared" ca="1" si="34"/>
        <v>11955758422.912012</v>
      </c>
    </row>
    <row r="83" spans="1:15">
      <c r="A83" s="302" t="s">
        <v>702</v>
      </c>
      <c r="C83" s="340">
        <f t="shared" ref="C83:O83" si="35">B82+C81-B81</f>
        <v>0</v>
      </c>
      <c r="D83" s="340">
        <f t="shared" si="35"/>
        <v>5913687500</v>
      </c>
      <c r="E83" s="340">
        <f t="shared" si="35"/>
        <v>-1503468750</v>
      </c>
      <c r="F83" s="340">
        <f t="shared" ca="1" si="35"/>
        <v>19678906658.197002</v>
      </c>
      <c r="G83" s="340">
        <f t="shared" ca="1" si="35"/>
        <v>123948606319.62518</v>
      </c>
      <c r="H83" s="340">
        <f t="shared" ca="1" si="35"/>
        <v>50942494621.355957</v>
      </c>
      <c r="I83" s="340">
        <f t="shared" ca="1" si="35"/>
        <v>52505125331.593857</v>
      </c>
      <c r="J83" s="340">
        <f t="shared" ca="1" si="35"/>
        <v>40684982433.809616</v>
      </c>
      <c r="K83" s="340">
        <f t="shared" ca="1" si="35"/>
        <v>-35562704402.084503</v>
      </c>
      <c r="L83" s="340">
        <f t="shared" ca="1" si="35"/>
        <v>8054679649.2439365</v>
      </c>
      <c r="M83" s="340">
        <f t="shared" ca="1" si="35"/>
        <v>57574710009.961067</v>
      </c>
      <c r="N83" s="340">
        <f t="shared" ca="1" si="35"/>
        <v>-26154306674.538322</v>
      </c>
      <c r="O83" s="340">
        <f t="shared" ca="1" si="35"/>
        <v>32762450546.123795</v>
      </c>
    </row>
    <row r="84" spans="1:15">
      <c r="I84" s="384"/>
      <c r="J84" s="384"/>
      <c r="K84" s="384"/>
    </row>
    <row r="85" spans="1:15">
      <c r="A85" s="382" t="s">
        <v>703</v>
      </c>
      <c r="B85" s="382"/>
      <c r="C85" s="388">
        <f t="shared" ref="C85:E88" si="36">C68-(C74+C80)</f>
        <v>0</v>
      </c>
      <c r="D85" s="388">
        <f t="shared" si="36"/>
        <v>0</v>
      </c>
      <c r="E85" s="388">
        <f t="shared" ca="1" si="36"/>
        <v>0</v>
      </c>
      <c r="F85" s="388">
        <f t="shared" ref="F85:O85" ca="1" si="37">F68-(F74+F80)</f>
        <v>0</v>
      </c>
      <c r="G85" s="388">
        <f t="shared" ca="1" si="37"/>
        <v>0</v>
      </c>
      <c r="H85" s="388">
        <f t="shared" ca="1" si="37"/>
        <v>0</v>
      </c>
      <c r="I85" s="388">
        <f t="shared" ca="1" si="37"/>
        <v>0</v>
      </c>
      <c r="J85" s="388">
        <f t="shared" ca="1" si="37"/>
        <v>0</v>
      </c>
      <c r="K85" s="388">
        <f t="shared" ca="1" si="37"/>
        <v>0</v>
      </c>
      <c r="L85" s="388">
        <f t="shared" ca="1" si="37"/>
        <v>0</v>
      </c>
      <c r="M85" s="388">
        <f t="shared" ca="1" si="37"/>
        <v>0</v>
      </c>
      <c r="N85" s="388">
        <f t="shared" ca="1" si="37"/>
        <v>0</v>
      </c>
      <c r="O85" s="388">
        <f t="shared" ca="1" si="37"/>
        <v>0</v>
      </c>
    </row>
    <row r="86" spans="1:15">
      <c r="A86" s="382" t="s">
        <v>704</v>
      </c>
      <c r="B86" s="382"/>
      <c r="C86" s="388">
        <f t="shared" si="36"/>
        <v>0</v>
      </c>
      <c r="D86" s="388">
        <f t="shared" si="36"/>
        <v>0</v>
      </c>
      <c r="E86" s="388">
        <f t="shared" si="36"/>
        <v>0</v>
      </c>
      <c r="F86" s="388">
        <f t="shared" ref="F86:O86" ca="1" si="38">F69-(F75+F81)</f>
        <v>0</v>
      </c>
      <c r="G86" s="388">
        <f t="shared" ca="1" si="38"/>
        <v>0</v>
      </c>
      <c r="H86" s="388">
        <f t="shared" ca="1" si="38"/>
        <v>0</v>
      </c>
      <c r="I86" s="388">
        <f t="shared" ca="1" si="38"/>
        <v>0</v>
      </c>
      <c r="J86" s="388">
        <f t="shared" ca="1" si="38"/>
        <v>0</v>
      </c>
      <c r="K86" s="388">
        <f t="shared" ca="1" si="38"/>
        <v>0</v>
      </c>
      <c r="L86" s="388">
        <f t="shared" ca="1" si="38"/>
        <v>0</v>
      </c>
      <c r="M86" s="388">
        <f t="shared" ca="1" si="38"/>
        <v>0</v>
      </c>
      <c r="N86" s="388">
        <f t="shared" ca="1" si="38"/>
        <v>0</v>
      </c>
      <c r="O86" s="388">
        <f t="shared" ca="1" si="38"/>
        <v>0</v>
      </c>
    </row>
    <row r="87" spans="1:15">
      <c r="A87" s="382" t="s">
        <v>705</v>
      </c>
      <c r="B87" s="382"/>
      <c r="C87" s="388">
        <f t="shared" si="36"/>
        <v>0</v>
      </c>
      <c r="D87" s="388">
        <f t="shared" si="36"/>
        <v>0</v>
      </c>
      <c r="E87" s="388">
        <f t="shared" ca="1" si="36"/>
        <v>0</v>
      </c>
      <c r="F87" s="388">
        <f t="shared" ref="F87:O87" ca="1" si="39">F70-(F76+F82)</f>
        <v>0</v>
      </c>
      <c r="G87" s="388">
        <f t="shared" ca="1" si="39"/>
        <v>0</v>
      </c>
      <c r="H87" s="388">
        <f t="shared" ca="1" si="39"/>
        <v>0</v>
      </c>
      <c r="I87" s="388">
        <f t="shared" ca="1" si="39"/>
        <v>0</v>
      </c>
      <c r="J87" s="388">
        <f t="shared" ca="1" si="39"/>
        <v>0</v>
      </c>
      <c r="K87" s="388">
        <f t="shared" ca="1" si="39"/>
        <v>0</v>
      </c>
      <c r="L87" s="388">
        <f t="shared" ca="1" si="39"/>
        <v>0</v>
      </c>
      <c r="M87" s="388">
        <f t="shared" ca="1" si="39"/>
        <v>0</v>
      </c>
      <c r="N87" s="388">
        <f t="shared" ca="1" si="39"/>
        <v>0</v>
      </c>
      <c r="O87" s="388">
        <f t="shared" ca="1" si="39"/>
        <v>0</v>
      </c>
    </row>
    <row r="88" spans="1:15">
      <c r="A88" s="382" t="s">
        <v>706</v>
      </c>
      <c r="B88" s="382"/>
      <c r="C88" s="388">
        <f t="shared" si="36"/>
        <v>0</v>
      </c>
      <c r="D88" s="388">
        <f t="shared" si="36"/>
        <v>0</v>
      </c>
      <c r="E88" s="388">
        <f t="shared" si="36"/>
        <v>0</v>
      </c>
      <c r="F88" s="388">
        <f t="shared" ref="F88:O88" ca="1" si="40">F71-(F77+F83)</f>
        <v>0</v>
      </c>
      <c r="G88" s="388">
        <f t="shared" ca="1" si="40"/>
        <v>0</v>
      </c>
      <c r="H88" s="388">
        <f t="shared" ca="1" si="40"/>
        <v>0</v>
      </c>
      <c r="I88" s="388">
        <f t="shared" ca="1" si="40"/>
        <v>0</v>
      </c>
      <c r="J88" s="388">
        <f t="shared" ca="1" si="40"/>
        <v>0</v>
      </c>
      <c r="K88" s="388">
        <f t="shared" ca="1" si="40"/>
        <v>0</v>
      </c>
      <c r="L88" s="388">
        <f t="shared" ca="1" si="40"/>
        <v>0</v>
      </c>
      <c r="M88" s="388">
        <f t="shared" ca="1" si="40"/>
        <v>0</v>
      </c>
      <c r="N88" s="388">
        <f t="shared" ca="1" si="40"/>
        <v>0</v>
      </c>
      <c r="O88" s="388">
        <f t="shared" ca="1" si="40"/>
        <v>0</v>
      </c>
    </row>
    <row r="89" spans="1:15">
      <c r="I89" s="384"/>
      <c r="J89" s="384"/>
      <c r="K89" s="384"/>
    </row>
    <row r="91" spans="1:15" ht="16.5" thickBot="1">
      <c r="A91" s="304" t="s">
        <v>656</v>
      </c>
      <c r="B91" s="353"/>
      <c r="C91" s="345">
        <f>C4</f>
        <v>2013</v>
      </c>
      <c r="D91" s="322">
        <f>D4</f>
        <v>41820</v>
      </c>
      <c r="E91" s="305">
        <f t="shared" ref="E91:O91" si="41">E4</f>
        <v>2014</v>
      </c>
      <c r="F91" s="305">
        <f t="shared" si="41"/>
        <v>2015</v>
      </c>
      <c r="G91" s="305">
        <f t="shared" si="41"/>
        <v>2016</v>
      </c>
      <c r="H91" s="305">
        <f t="shared" si="41"/>
        <v>2017</v>
      </c>
      <c r="I91" s="305">
        <f t="shared" si="41"/>
        <v>2018</v>
      </c>
      <c r="J91" s="305">
        <f t="shared" si="41"/>
        <v>2019</v>
      </c>
      <c r="K91" s="305">
        <f t="shared" si="41"/>
        <v>2020</v>
      </c>
      <c r="L91" s="305">
        <f t="shared" si="41"/>
        <v>2021</v>
      </c>
      <c r="M91" s="305">
        <f t="shared" si="41"/>
        <v>2022</v>
      </c>
      <c r="N91" s="305">
        <f t="shared" si="41"/>
        <v>2023</v>
      </c>
      <c r="O91" s="305">
        <f t="shared" si="41"/>
        <v>2024</v>
      </c>
    </row>
    <row r="92" spans="1:15" ht="16.5" thickTop="1">
      <c r="C92" s="306"/>
      <c r="D92" s="306"/>
      <c r="E92" s="306"/>
      <c r="F92" s="306"/>
      <c r="G92" s="306"/>
      <c r="H92" s="306"/>
      <c r="I92" s="306"/>
      <c r="J92" s="306"/>
      <c r="K92" s="306"/>
      <c r="L92" s="306"/>
      <c r="M92" s="306"/>
      <c r="N92" s="306"/>
      <c r="O92" s="306"/>
    </row>
    <row r="93" spans="1:15">
      <c r="A93" s="307" t="s">
        <v>707</v>
      </c>
    </row>
    <row r="94" spans="1:15">
      <c r="A94" s="308" t="s">
        <v>352</v>
      </c>
      <c r="C94" s="309">
        <f>'Activos fijos'!C21</f>
        <v>178090000000</v>
      </c>
      <c r="D94" s="309">
        <f>'Activos fijos'!D21</f>
        <v>0</v>
      </c>
      <c r="E94" s="309">
        <f>'Activos fijos'!E21</f>
        <v>0</v>
      </c>
      <c r="F94" s="309">
        <f>'Activos fijos'!F21</f>
        <v>0</v>
      </c>
      <c r="G94" s="309">
        <f>'Activos fijos'!G21</f>
        <v>0</v>
      </c>
      <c r="H94" s="309">
        <f>'Activos fijos'!H21</f>
        <v>0</v>
      </c>
      <c r="I94" s="309">
        <f>'Activos fijos'!I21</f>
        <v>0</v>
      </c>
      <c r="J94" s="309">
        <f>'Activos fijos'!J21</f>
        <v>0</v>
      </c>
      <c r="K94" s="309">
        <f>'Activos fijos'!K21</f>
        <v>0</v>
      </c>
      <c r="L94" s="309">
        <f>'Activos fijos'!L21</f>
        <v>0</v>
      </c>
      <c r="M94" s="309">
        <f>'Activos fijos'!M21</f>
        <v>0</v>
      </c>
      <c r="N94" s="309">
        <f>'Activos fijos'!N21</f>
        <v>0</v>
      </c>
      <c r="O94" s="309">
        <f>'Activos fijos'!O21</f>
        <v>0</v>
      </c>
    </row>
    <row r="95" spans="1:15">
      <c r="A95" s="308" t="s">
        <v>437</v>
      </c>
      <c r="B95" s="389"/>
      <c r="C95" s="309">
        <v>3261186000000.002</v>
      </c>
      <c r="D95" s="309">
        <f>'Activos fijos'!D22</f>
        <v>0</v>
      </c>
      <c r="E95" s="309">
        <f>'Activos fijos'!E22</f>
        <v>10547439594.005108</v>
      </c>
      <c r="F95" s="309">
        <f>'Activos fijos'!F22</f>
        <v>4138175452574.4751</v>
      </c>
      <c r="G95" s="309">
        <f>'Activos fijos'!G22</f>
        <v>33573638711.589741</v>
      </c>
      <c r="H95" s="309">
        <f>'Activos fijos'!H22</f>
        <v>35423648894.14267</v>
      </c>
      <c r="I95" s="309">
        <f>'Activos fijos'!I22</f>
        <v>36898950358.472214</v>
      </c>
      <c r="J95" s="309">
        <f>'Activos fijos'!J22</f>
        <v>38328284014.180855</v>
      </c>
      <c r="K95" s="309">
        <f>'Activos fijos'!K22</f>
        <v>39923355351.873466</v>
      </c>
      <c r="L95" s="309">
        <f>'Activos fijos'!L22</f>
        <v>41566593719.100731</v>
      </c>
      <c r="M95" s="309">
        <f>'Activos fijos'!M22</f>
        <v>43290002727.361076</v>
      </c>
      <c r="N95" s="309">
        <f>'Activos fijos'!N22</f>
        <v>45083104454.698402</v>
      </c>
      <c r="O95" s="309">
        <f>'Activos fijos'!O22</f>
        <v>46947168879.014709</v>
      </c>
    </row>
    <row r="96" spans="1:15">
      <c r="A96" s="308" t="s">
        <v>609</v>
      </c>
      <c r="B96" s="389"/>
      <c r="C96" s="309">
        <f>'Activos fijos'!C23</f>
        <v>99582000000</v>
      </c>
      <c r="D96" s="309">
        <f>'Activos fijos'!D23</f>
        <v>0</v>
      </c>
      <c r="E96" s="309">
        <f>'Activos fijos'!E23</f>
        <v>0</v>
      </c>
      <c r="F96" s="309">
        <f>'Activos fijos'!F23</f>
        <v>0</v>
      </c>
      <c r="G96" s="309">
        <f>'Activos fijos'!G23</f>
        <v>0</v>
      </c>
      <c r="H96" s="309">
        <f>'Activos fijos'!H23</f>
        <v>0</v>
      </c>
      <c r="I96" s="309">
        <f>'Activos fijos'!I23</f>
        <v>0</v>
      </c>
      <c r="J96" s="309">
        <f>'Activos fijos'!J23</f>
        <v>0</v>
      </c>
      <c r="K96" s="309">
        <f>'Activos fijos'!K23</f>
        <v>0</v>
      </c>
      <c r="L96" s="309">
        <f>'Activos fijos'!L23</f>
        <v>0</v>
      </c>
      <c r="M96" s="309">
        <f>'Activos fijos'!M23</f>
        <v>0</v>
      </c>
      <c r="N96" s="309">
        <f>'Activos fijos'!N23</f>
        <v>0</v>
      </c>
      <c r="O96" s="309">
        <f>'Activos fijos'!O23</f>
        <v>0</v>
      </c>
    </row>
    <row r="97" spans="1:15" s="329" customFormat="1">
      <c r="A97" s="665" t="s">
        <v>622</v>
      </c>
      <c r="B97" s="666"/>
      <c r="C97" s="332">
        <f>SUM(C94:C96)</f>
        <v>3538858000000.002</v>
      </c>
      <c r="D97" s="332">
        <f t="shared" ref="D97:O97" si="42">SUM(D94:D96)</f>
        <v>0</v>
      </c>
      <c r="E97" s="332">
        <f t="shared" si="42"/>
        <v>10547439594.005108</v>
      </c>
      <c r="F97" s="332">
        <f t="shared" si="42"/>
        <v>4138175452574.4751</v>
      </c>
      <c r="G97" s="332">
        <f t="shared" si="42"/>
        <v>33573638711.589741</v>
      </c>
      <c r="H97" s="332">
        <f t="shared" si="42"/>
        <v>35423648894.14267</v>
      </c>
      <c r="I97" s="332">
        <f t="shared" si="42"/>
        <v>36898950358.472214</v>
      </c>
      <c r="J97" s="332">
        <f t="shared" si="42"/>
        <v>38328284014.180855</v>
      </c>
      <c r="K97" s="332">
        <f t="shared" si="42"/>
        <v>39923355351.873466</v>
      </c>
      <c r="L97" s="332">
        <f t="shared" si="42"/>
        <v>41566593719.100731</v>
      </c>
      <c r="M97" s="332">
        <f t="shared" si="42"/>
        <v>43290002727.361076</v>
      </c>
      <c r="N97" s="332">
        <f t="shared" si="42"/>
        <v>45083104454.698402</v>
      </c>
      <c r="O97" s="332">
        <f t="shared" si="42"/>
        <v>46947168879.014709</v>
      </c>
    </row>
    <row r="98" spans="1:15" s="314" customFormat="1">
      <c r="A98" s="312"/>
      <c r="B98" s="312"/>
      <c r="C98" s="313"/>
      <c r="D98" s="313"/>
      <c r="E98" s="313"/>
      <c r="F98" s="313"/>
      <c r="G98" s="313"/>
      <c r="H98" s="313"/>
      <c r="I98" s="313"/>
      <c r="J98" s="313"/>
      <c r="K98" s="313"/>
      <c r="L98" s="313"/>
      <c r="M98" s="313"/>
      <c r="N98" s="313"/>
      <c r="O98" s="313"/>
    </row>
    <row r="99" spans="1:15">
      <c r="C99" s="390"/>
      <c r="D99" s="390"/>
      <c r="E99" s="390"/>
      <c r="F99" s="390"/>
      <c r="G99" s="390"/>
      <c r="H99" s="390"/>
      <c r="I99" s="390"/>
      <c r="J99" s="390"/>
      <c r="K99" s="390"/>
      <c r="L99" s="390"/>
      <c r="M99" s="390"/>
      <c r="N99" s="390"/>
      <c r="O99" s="390"/>
    </row>
    <row r="100" spans="1:15" ht="16.5" thickBot="1">
      <c r="A100" s="304" t="s">
        <v>712</v>
      </c>
      <c r="B100" s="331" t="s">
        <v>130</v>
      </c>
      <c r="C100" s="345">
        <f>C91</f>
        <v>2013</v>
      </c>
      <c r="D100" s="322">
        <f t="shared" ref="D100:O100" si="43">D91</f>
        <v>41820</v>
      </c>
      <c r="E100" s="305">
        <f t="shared" si="43"/>
        <v>2014</v>
      </c>
      <c r="F100" s="305">
        <f t="shared" si="43"/>
        <v>2015</v>
      </c>
      <c r="G100" s="305">
        <f t="shared" si="43"/>
        <v>2016</v>
      </c>
      <c r="H100" s="305">
        <f t="shared" si="43"/>
        <v>2017</v>
      </c>
      <c r="I100" s="305">
        <f t="shared" si="43"/>
        <v>2018</v>
      </c>
      <c r="J100" s="305">
        <f t="shared" si="43"/>
        <v>2019</v>
      </c>
      <c r="K100" s="305">
        <f t="shared" si="43"/>
        <v>2020</v>
      </c>
      <c r="L100" s="305">
        <f t="shared" si="43"/>
        <v>2021</v>
      </c>
      <c r="M100" s="305">
        <f t="shared" si="43"/>
        <v>2022</v>
      </c>
      <c r="N100" s="305">
        <f t="shared" si="43"/>
        <v>2023</v>
      </c>
      <c r="O100" s="305">
        <f t="shared" si="43"/>
        <v>2024</v>
      </c>
    </row>
    <row r="101" spans="1:15" ht="16.5" thickTop="1">
      <c r="C101" s="390"/>
      <c r="D101" s="390"/>
      <c r="E101" s="390"/>
      <c r="F101" s="390"/>
      <c r="G101" s="390"/>
      <c r="H101" s="390"/>
      <c r="I101" s="390"/>
      <c r="J101" s="390"/>
      <c r="K101" s="390"/>
      <c r="L101" s="390"/>
      <c r="M101" s="390"/>
      <c r="N101" s="390"/>
      <c r="O101" s="390"/>
    </row>
    <row r="102" spans="1:15">
      <c r="A102" s="391" t="s">
        <v>585</v>
      </c>
      <c r="C102" s="340"/>
      <c r="D102" s="340"/>
      <c r="E102" s="340"/>
      <c r="F102" s="340"/>
      <c r="G102" s="340"/>
      <c r="H102" s="340"/>
      <c r="I102" s="340"/>
      <c r="J102" s="340"/>
      <c r="K102" s="340"/>
      <c r="L102" s="340"/>
      <c r="M102" s="340"/>
      <c r="N102" s="340"/>
      <c r="O102" s="340"/>
    </row>
    <row r="103" spans="1:15">
      <c r="A103" s="308" t="s">
        <v>352</v>
      </c>
      <c r="B103" s="348">
        <f>$C$100</f>
        <v>2013</v>
      </c>
      <c r="C103" s="315">
        <v>-8904500000</v>
      </c>
      <c r="D103" s="316">
        <v>-4452250000</v>
      </c>
      <c r="E103" s="340">
        <f t="shared" ref="E103:O103" si="44">(-$C$94/Deprec._Fiscal_Inmuebles)*E5/Mes_año</f>
        <v>-4452250000</v>
      </c>
      <c r="F103" s="340">
        <f t="shared" si="44"/>
        <v>-8904500000</v>
      </c>
      <c r="G103" s="340">
        <f t="shared" si="44"/>
        <v>-8904500000</v>
      </c>
      <c r="H103" s="340">
        <f t="shared" si="44"/>
        <v>-8904500000</v>
      </c>
      <c r="I103" s="340">
        <f t="shared" si="44"/>
        <v>-8904500000</v>
      </c>
      <c r="J103" s="340">
        <f t="shared" si="44"/>
        <v>-8904500000</v>
      </c>
      <c r="K103" s="340">
        <f t="shared" si="44"/>
        <v>-8904500000</v>
      </c>
      <c r="L103" s="340">
        <f t="shared" si="44"/>
        <v>-8904500000</v>
      </c>
      <c r="M103" s="340">
        <f t="shared" si="44"/>
        <v>-8904500000</v>
      </c>
      <c r="N103" s="340">
        <f t="shared" si="44"/>
        <v>-8904500000</v>
      </c>
      <c r="O103" s="340">
        <f t="shared" si="44"/>
        <v>-8904500000</v>
      </c>
    </row>
    <row r="104" spans="1:15">
      <c r="A104" s="308" t="s">
        <v>437</v>
      </c>
      <c r="B104" s="348">
        <f>$C$100</f>
        <v>2013</v>
      </c>
      <c r="C104" s="316">
        <v>-163059300000.00009</v>
      </c>
      <c r="D104" s="316">
        <v>-81529650000.000046</v>
      </c>
      <c r="E104" s="340">
        <f t="shared" ref="E104:O104" si="45">(-$C$95/Deprec_Fiscal_Plantas_Generacion)*E5/Mes_año</f>
        <v>-81529650000.000046</v>
      </c>
      <c r="F104" s="340">
        <f t="shared" si="45"/>
        <v>-163059300000.00009</v>
      </c>
      <c r="G104" s="340">
        <f t="shared" si="45"/>
        <v>-163059300000.00009</v>
      </c>
      <c r="H104" s="340">
        <f t="shared" si="45"/>
        <v>-163059300000.00009</v>
      </c>
      <c r="I104" s="340">
        <f t="shared" si="45"/>
        <v>-163059300000.00009</v>
      </c>
      <c r="J104" s="340">
        <f t="shared" si="45"/>
        <v>-163059300000.00009</v>
      </c>
      <c r="K104" s="340">
        <f t="shared" si="45"/>
        <v>-163059300000.00009</v>
      </c>
      <c r="L104" s="340">
        <f t="shared" si="45"/>
        <v>-163059300000.00009</v>
      </c>
      <c r="M104" s="340">
        <f t="shared" si="45"/>
        <v>-163059300000.00009</v>
      </c>
      <c r="N104" s="340">
        <f t="shared" si="45"/>
        <v>-163059300000.00009</v>
      </c>
      <c r="O104" s="340">
        <f t="shared" si="45"/>
        <v>-163059300000.00009</v>
      </c>
    </row>
    <row r="105" spans="1:15">
      <c r="A105" s="308" t="s">
        <v>609</v>
      </c>
      <c r="B105" s="348">
        <f>$C$100</f>
        <v>2013</v>
      </c>
      <c r="C105" s="316">
        <v>-9958200000</v>
      </c>
      <c r="D105" s="316">
        <v>-4979100000</v>
      </c>
      <c r="E105" s="340">
        <f>IF($C$96+SUM($C$105:D105)&gt;=-((-$C$96/Deprec_Fiscal_Equipos)*E5/Mes_año),(-$C$96/Deprec_Fiscal_Equipos)*E5/Mes_año,-$C$96-SUM($C$105:D105))</f>
        <v>-4979100000</v>
      </c>
      <c r="F105" s="340">
        <f>IF($C$96+SUM($C$105:E105)&gt;=-((-$C$96/Deprec_Fiscal_Equipos)*F5/Mes_año),(-$C$96/Deprec_Fiscal_Equipos)*F5/Mes_año,-$C$96-SUM($C$105:E105))</f>
        <v>-9958200000</v>
      </c>
      <c r="G105" s="340">
        <f>IF($C$96+SUM($C$105:F105)&gt;=-((-$C$96/Deprec_Fiscal_Equipos)*G5/Mes_año),(-$C$96/Deprec_Fiscal_Equipos)*G5/Mes_año,-$C$96-SUM($C$105:F105))</f>
        <v>-9958200000</v>
      </c>
      <c r="H105" s="340">
        <f>IF($C$96+SUM($C$105:G105)&gt;=-((-$C$96/Deprec_Fiscal_Equipos)*H5/Mes_año),(-$C$96/Deprec_Fiscal_Equipos)*H5/Mes_año,-$C$96-SUM($C$105:G105))</f>
        <v>-9958200000</v>
      </c>
      <c r="I105" s="340">
        <f>IF($C$96+SUM($C$105:H105)&gt;=-((-$C$96/Deprec_Fiscal_Equipos)*I5/Mes_año),(-$C$96/Deprec_Fiscal_Equipos)*I5/Mes_año,-$C$96-SUM($C$105:H105))</f>
        <v>-9958200000</v>
      </c>
      <c r="J105" s="340">
        <f>IF($C$96+SUM($C$105:I105)&gt;=-((-$C$96/Deprec_Fiscal_Equipos)*J5/Mes_año),(-$C$96/Deprec_Fiscal_Equipos)*J5/Mes_año,-$C$96-SUM($C$105:I105))</f>
        <v>-9958200000</v>
      </c>
      <c r="K105" s="340">
        <f>IF($C$96+SUM($C$105:J105)&gt;=-((-$C$96/Deprec_Fiscal_Equipos)*K5/Mes_año),(-$C$96/Deprec_Fiscal_Equipos)*K5/Mes_año,-$C$96-SUM($C$105:J105))</f>
        <v>-9958200000</v>
      </c>
      <c r="L105" s="340">
        <f>IF($C$96+SUM($C$105:K105)&gt;=-((-$C$96/Deprec_Fiscal_Equipos)*L5/Mes_año),(-$C$96/Deprec_Fiscal_Equipos)*L5/Mes_año,-$C$96-SUM($C$105:K105))</f>
        <v>-9958200000</v>
      </c>
      <c r="M105" s="340">
        <f>IF($C$96+SUM($C$105:L105)&gt;=-((-$C$96/Deprec_Fiscal_Equipos)*M5/Mes_año),(-$C$96/Deprec_Fiscal_Equipos)*M5/Mes_año,-$C$96-SUM($C$105:L105))</f>
        <v>-9958200000</v>
      </c>
      <c r="N105" s="340">
        <f>IF($C$96+SUM($C$105:M105)&gt;=-((-$C$96/Deprec_Fiscal_Equipos)*N5/Mes_año),(-$C$96/Deprec_Fiscal_Equipos)*N5/Mes_año,-$C$96-SUM($C$105:M105))</f>
        <v>0</v>
      </c>
      <c r="O105" s="340">
        <f>IF($C$96+SUM($C$105:N105)&gt;=-((-$C$96/Deprec_Fiscal_Equipos)*O5/Mes_año),(-$C$96/Deprec_Fiscal_Equipos)*O5/Mes_año,-$C$96-SUM($C$105:N105))</f>
        <v>0</v>
      </c>
    </row>
    <row r="106" spans="1:15">
      <c r="A106" s="346" t="s">
        <v>625</v>
      </c>
      <c r="C106" s="316"/>
      <c r="D106" s="316"/>
    </row>
    <row r="107" spans="1:15">
      <c r="A107" s="308" t="s">
        <v>352</v>
      </c>
      <c r="B107" s="401">
        <f>$D$100</f>
        <v>41820</v>
      </c>
      <c r="C107" s="404">
        <v>0</v>
      </c>
      <c r="D107" s="404">
        <v>0</v>
      </c>
      <c r="E107" s="340">
        <f t="shared" ref="E107:O107" si="46">IF(E100&lt;$B$107,0,(-$D$94/Deprec._Fiscal_Inmuebles)*E5/Mes_año)</f>
        <v>0</v>
      </c>
      <c r="F107" s="340">
        <f t="shared" si="46"/>
        <v>0</v>
      </c>
      <c r="G107" s="340">
        <f t="shared" si="46"/>
        <v>0</v>
      </c>
      <c r="H107" s="340">
        <f t="shared" si="46"/>
        <v>0</v>
      </c>
      <c r="I107" s="340">
        <f t="shared" si="46"/>
        <v>0</v>
      </c>
      <c r="J107" s="340">
        <f t="shared" si="46"/>
        <v>0</v>
      </c>
      <c r="K107" s="340">
        <f t="shared" si="46"/>
        <v>0</v>
      </c>
      <c r="L107" s="340">
        <f t="shared" si="46"/>
        <v>0</v>
      </c>
      <c r="M107" s="340">
        <f t="shared" si="46"/>
        <v>0</v>
      </c>
      <c r="N107" s="340">
        <f t="shared" si="46"/>
        <v>0</v>
      </c>
      <c r="O107" s="340">
        <f t="shared" si="46"/>
        <v>0</v>
      </c>
    </row>
    <row r="108" spans="1:15">
      <c r="A108" s="308" t="s">
        <v>437</v>
      </c>
      <c r="B108" s="401">
        <f>$D$100</f>
        <v>41820</v>
      </c>
      <c r="C108" s="404">
        <v>0</v>
      </c>
      <c r="D108" s="404">
        <v>0</v>
      </c>
      <c r="E108" s="340">
        <f t="shared" ref="E108:O108" si="47">IF(E100&lt;$B$108,0,(-$D$95/Deprec_Fiscal_Plantas_Generacion)*E5/Mes_año)</f>
        <v>0</v>
      </c>
      <c r="F108" s="340">
        <f t="shared" si="47"/>
        <v>0</v>
      </c>
      <c r="G108" s="340">
        <f t="shared" si="47"/>
        <v>0</v>
      </c>
      <c r="H108" s="340">
        <f t="shared" si="47"/>
        <v>0</v>
      </c>
      <c r="I108" s="340">
        <f t="shared" si="47"/>
        <v>0</v>
      </c>
      <c r="J108" s="340">
        <f t="shared" si="47"/>
        <v>0</v>
      </c>
      <c r="K108" s="340">
        <f t="shared" si="47"/>
        <v>0</v>
      </c>
      <c r="L108" s="340">
        <f t="shared" si="47"/>
        <v>0</v>
      </c>
      <c r="M108" s="340">
        <f t="shared" si="47"/>
        <v>0</v>
      </c>
      <c r="N108" s="340">
        <f t="shared" si="47"/>
        <v>0</v>
      </c>
      <c r="O108" s="340">
        <f t="shared" si="47"/>
        <v>0</v>
      </c>
    </row>
    <row r="109" spans="1:15">
      <c r="A109" s="308" t="s">
        <v>609</v>
      </c>
      <c r="B109" s="401">
        <f>$D$100</f>
        <v>41820</v>
      </c>
      <c r="C109" s="404">
        <v>0</v>
      </c>
      <c r="D109" s="404">
        <v>0</v>
      </c>
      <c r="E109" s="340">
        <f t="shared" ref="E109:O109" si="48">IF(E100&lt;$B$109,0,(-$D$96/Deprec_Fiscal_Equipos)*E5/Mes_año)</f>
        <v>0</v>
      </c>
      <c r="F109" s="340">
        <f t="shared" si="48"/>
        <v>0</v>
      </c>
      <c r="G109" s="340">
        <f t="shared" si="48"/>
        <v>0</v>
      </c>
      <c r="H109" s="340">
        <f t="shared" si="48"/>
        <v>0</v>
      </c>
      <c r="I109" s="340">
        <f t="shared" si="48"/>
        <v>0</v>
      </c>
      <c r="J109" s="340">
        <f t="shared" si="48"/>
        <v>0</v>
      </c>
      <c r="K109" s="340">
        <f t="shared" si="48"/>
        <v>0</v>
      </c>
      <c r="L109" s="340">
        <f t="shared" si="48"/>
        <v>0</v>
      </c>
      <c r="M109" s="340">
        <f t="shared" si="48"/>
        <v>0</v>
      </c>
      <c r="N109" s="340">
        <f t="shared" si="48"/>
        <v>0</v>
      </c>
      <c r="O109" s="340">
        <f t="shared" si="48"/>
        <v>0</v>
      </c>
    </row>
    <row r="110" spans="1:15" s="314" customFormat="1">
      <c r="A110" s="346" t="s">
        <v>626</v>
      </c>
      <c r="C110" s="404"/>
      <c r="D110" s="404"/>
      <c r="E110" s="392"/>
      <c r="F110" s="392"/>
      <c r="G110" s="392"/>
      <c r="H110" s="392"/>
      <c r="I110" s="392"/>
      <c r="J110" s="392"/>
      <c r="K110" s="392"/>
      <c r="L110" s="392"/>
      <c r="M110" s="392"/>
      <c r="N110" s="392"/>
      <c r="O110" s="392"/>
    </row>
    <row r="111" spans="1:15" s="314" customFormat="1">
      <c r="A111" s="308" t="s">
        <v>352</v>
      </c>
      <c r="B111" s="314">
        <f>$E$100</f>
        <v>2014</v>
      </c>
      <c r="C111" s="404">
        <v>0</v>
      </c>
      <c r="D111" s="404">
        <v>0</v>
      </c>
      <c r="E111" s="351">
        <f t="shared" ref="E111:O111" si="49">IF(E100&lt;$B$111,0,(-$E$94/Deprec._Fiscal_Inmuebles)*E5/Mes_año)</f>
        <v>0</v>
      </c>
      <c r="F111" s="351">
        <f t="shared" si="49"/>
        <v>0</v>
      </c>
      <c r="G111" s="351">
        <f t="shared" si="49"/>
        <v>0</v>
      </c>
      <c r="H111" s="351">
        <f t="shared" si="49"/>
        <v>0</v>
      </c>
      <c r="I111" s="351">
        <f t="shared" si="49"/>
        <v>0</v>
      </c>
      <c r="J111" s="351">
        <f t="shared" si="49"/>
        <v>0</v>
      </c>
      <c r="K111" s="351">
        <f t="shared" si="49"/>
        <v>0</v>
      </c>
      <c r="L111" s="351">
        <f t="shared" si="49"/>
        <v>0</v>
      </c>
      <c r="M111" s="351">
        <f t="shared" si="49"/>
        <v>0</v>
      </c>
      <c r="N111" s="351">
        <f t="shared" si="49"/>
        <v>0</v>
      </c>
      <c r="O111" s="351">
        <f t="shared" si="49"/>
        <v>0</v>
      </c>
    </row>
    <row r="112" spans="1:15" s="314" customFormat="1">
      <c r="A112" s="308" t="s">
        <v>437</v>
      </c>
      <c r="B112" s="314">
        <f>$E$100</f>
        <v>2014</v>
      </c>
      <c r="C112" s="404">
        <v>0</v>
      </c>
      <c r="D112" s="404">
        <v>0</v>
      </c>
      <c r="E112" s="351">
        <f t="shared" ref="E112:O112" si="50">IF(E100&lt;$B$112,0,(-$E$95/Deprec_Fiscal_Plantas_Generacion)*E5/Mes_año)</f>
        <v>-263685989.8501277</v>
      </c>
      <c r="F112" s="351">
        <f t="shared" si="50"/>
        <v>-527371979.70025539</v>
      </c>
      <c r="G112" s="351">
        <f t="shared" si="50"/>
        <v>-527371979.70025539</v>
      </c>
      <c r="H112" s="351">
        <f t="shared" si="50"/>
        <v>-527371979.70025539</v>
      </c>
      <c r="I112" s="351">
        <f t="shared" si="50"/>
        <v>-527371979.70025539</v>
      </c>
      <c r="J112" s="351">
        <f t="shared" si="50"/>
        <v>-527371979.70025539</v>
      </c>
      <c r="K112" s="351">
        <f t="shared" si="50"/>
        <v>-527371979.70025539</v>
      </c>
      <c r="L112" s="351">
        <f t="shared" si="50"/>
        <v>-527371979.70025539</v>
      </c>
      <c r="M112" s="351">
        <f t="shared" si="50"/>
        <v>-527371979.70025539</v>
      </c>
      <c r="N112" s="351">
        <f t="shared" si="50"/>
        <v>-527371979.70025539</v>
      </c>
      <c r="O112" s="351">
        <f t="shared" si="50"/>
        <v>-527371979.70025539</v>
      </c>
    </row>
    <row r="113" spans="1:15" s="314" customFormat="1">
      <c r="A113" s="308" t="s">
        <v>609</v>
      </c>
      <c r="B113" s="314">
        <f>$E$100</f>
        <v>2014</v>
      </c>
      <c r="C113" s="404">
        <v>0</v>
      </c>
      <c r="D113" s="404">
        <v>0</v>
      </c>
      <c r="E113" s="351">
        <f t="shared" ref="E113:O113" si="51">IF(E100&lt;$B$113,0,(-$E$96/Deprec_Fiscal_Equipos)*E5/Mes_año)</f>
        <v>0</v>
      </c>
      <c r="F113" s="351">
        <f t="shared" si="51"/>
        <v>0</v>
      </c>
      <c r="G113" s="351">
        <f t="shared" si="51"/>
        <v>0</v>
      </c>
      <c r="H113" s="351">
        <f t="shared" si="51"/>
        <v>0</v>
      </c>
      <c r="I113" s="351">
        <f t="shared" si="51"/>
        <v>0</v>
      </c>
      <c r="J113" s="351">
        <f t="shared" si="51"/>
        <v>0</v>
      </c>
      <c r="K113" s="351">
        <f t="shared" si="51"/>
        <v>0</v>
      </c>
      <c r="L113" s="351">
        <f t="shared" si="51"/>
        <v>0</v>
      </c>
      <c r="M113" s="351">
        <f t="shared" si="51"/>
        <v>0</v>
      </c>
      <c r="N113" s="351">
        <f t="shared" si="51"/>
        <v>0</v>
      </c>
      <c r="O113" s="351">
        <f t="shared" si="51"/>
        <v>0</v>
      </c>
    </row>
    <row r="114" spans="1:15" s="314" customFormat="1">
      <c r="A114" s="346" t="s">
        <v>586</v>
      </c>
      <c r="C114" s="404"/>
      <c r="D114" s="404"/>
      <c r="E114" s="392"/>
      <c r="F114" s="392"/>
      <c r="G114" s="392"/>
      <c r="H114" s="392"/>
      <c r="I114" s="392"/>
      <c r="J114" s="392"/>
      <c r="K114" s="392"/>
      <c r="L114" s="392"/>
      <c r="M114" s="392"/>
      <c r="N114" s="392"/>
      <c r="O114" s="392"/>
    </row>
    <row r="115" spans="1:15" s="314" customFormat="1">
      <c r="A115" s="308" t="s">
        <v>352</v>
      </c>
      <c r="B115" s="314">
        <f>$F$100</f>
        <v>2015</v>
      </c>
      <c r="C115" s="404">
        <v>0</v>
      </c>
      <c r="D115" s="404">
        <v>0</v>
      </c>
      <c r="E115" s="351">
        <f t="shared" ref="E115:O115" si="52">IF(E100&lt;$B$115,0,(-$F$94/Deprec._Fiscal_Inmuebles)*E5/Mes_año)</f>
        <v>0</v>
      </c>
      <c r="F115" s="351">
        <f t="shared" si="52"/>
        <v>0</v>
      </c>
      <c r="G115" s="351">
        <f t="shared" si="52"/>
        <v>0</v>
      </c>
      <c r="H115" s="351">
        <f t="shared" si="52"/>
        <v>0</v>
      </c>
      <c r="I115" s="351">
        <f t="shared" si="52"/>
        <v>0</v>
      </c>
      <c r="J115" s="351">
        <f t="shared" si="52"/>
        <v>0</v>
      </c>
      <c r="K115" s="351">
        <f t="shared" si="52"/>
        <v>0</v>
      </c>
      <c r="L115" s="351">
        <f t="shared" si="52"/>
        <v>0</v>
      </c>
      <c r="M115" s="351">
        <f t="shared" si="52"/>
        <v>0</v>
      </c>
      <c r="N115" s="351">
        <f t="shared" si="52"/>
        <v>0</v>
      </c>
      <c r="O115" s="351">
        <f t="shared" si="52"/>
        <v>0</v>
      </c>
    </row>
    <row r="116" spans="1:15" s="314" customFormat="1">
      <c r="A116" s="308" t="s">
        <v>437</v>
      </c>
      <c r="B116" s="314">
        <f>$F$100</f>
        <v>2015</v>
      </c>
      <c r="C116" s="404">
        <v>0</v>
      </c>
      <c r="D116" s="404">
        <v>0</v>
      </c>
      <c r="E116" s="351">
        <f t="shared" ref="E116:O116" si="53">IF(E100&lt;$B$116,0,(-$F$95/Deprec_Fiscal_Plantas_Generacion)*E5/Mes_año)</f>
        <v>0</v>
      </c>
      <c r="F116" s="351">
        <f t="shared" si="53"/>
        <v>-206908772628.72375</v>
      </c>
      <c r="G116" s="351">
        <f t="shared" si="53"/>
        <v>-206908772628.72375</v>
      </c>
      <c r="H116" s="351">
        <f t="shared" si="53"/>
        <v>-206908772628.72375</v>
      </c>
      <c r="I116" s="351">
        <f t="shared" si="53"/>
        <v>-206908772628.72375</v>
      </c>
      <c r="J116" s="351">
        <f t="shared" si="53"/>
        <v>-206908772628.72375</v>
      </c>
      <c r="K116" s="351">
        <f t="shared" si="53"/>
        <v>-206908772628.72375</v>
      </c>
      <c r="L116" s="351">
        <f t="shared" si="53"/>
        <v>-206908772628.72375</v>
      </c>
      <c r="M116" s="351">
        <f t="shared" si="53"/>
        <v>-206908772628.72375</v>
      </c>
      <c r="N116" s="351">
        <f t="shared" si="53"/>
        <v>-206908772628.72375</v>
      </c>
      <c r="O116" s="351">
        <f t="shared" si="53"/>
        <v>-206908772628.72375</v>
      </c>
    </row>
    <row r="117" spans="1:15" s="314" customFormat="1">
      <c r="A117" s="308" t="s">
        <v>609</v>
      </c>
      <c r="B117" s="314">
        <f>$F$100</f>
        <v>2015</v>
      </c>
      <c r="C117" s="404">
        <v>0</v>
      </c>
      <c r="D117" s="404">
        <v>0</v>
      </c>
      <c r="E117" s="351">
        <f t="shared" ref="E117:O117" si="54">IF(E100&lt;$B$117,0,(-$F$96/Deprec_Fiscal_Equipos)*E5/Mes_año)</f>
        <v>0</v>
      </c>
      <c r="F117" s="351">
        <f t="shared" si="54"/>
        <v>0</v>
      </c>
      <c r="G117" s="351">
        <f t="shared" si="54"/>
        <v>0</v>
      </c>
      <c r="H117" s="351">
        <f t="shared" si="54"/>
        <v>0</v>
      </c>
      <c r="I117" s="351">
        <f t="shared" si="54"/>
        <v>0</v>
      </c>
      <c r="J117" s="351">
        <f t="shared" si="54"/>
        <v>0</v>
      </c>
      <c r="K117" s="351">
        <f t="shared" si="54"/>
        <v>0</v>
      </c>
      <c r="L117" s="351">
        <f t="shared" si="54"/>
        <v>0</v>
      </c>
      <c r="M117" s="351">
        <f t="shared" si="54"/>
        <v>0</v>
      </c>
      <c r="N117" s="351">
        <f t="shared" si="54"/>
        <v>0</v>
      </c>
      <c r="O117" s="351">
        <f t="shared" si="54"/>
        <v>0</v>
      </c>
    </row>
    <row r="118" spans="1:15" s="314" customFormat="1">
      <c r="A118" s="346" t="s">
        <v>587</v>
      </c>
      <c r="C118" s="404"/>
      <c r="D118" s="404"/>
      <c r="E118" s="392"/>
      <c r="F118" s="392"/>
      <c r="G118" s="392"/>
      <c r="H118" s="392"/>
      <c r="I118" s="392"/>
      <c r="J118" s="392"/>
      <c r="K118" s="392"/>
      <c r="L118" s="392"/>
      <c r="M118" s="392"/>
      <c r="N118" s="392"/>
      <c r="O118" s="392"/>
    </row>
    <row r="119" spans="1:15">
      <c r="A119" s="308" t="s">
        <v>352</v>
      </c>
      <c r="B119" s="302">
        <f>$G$100</f>
        <v>2016</v>
      </c>
      <c r="C119" s="404">
        <v>0</v>
      </c>
      <c r="D119" s="404">
        <v>0</v>
      </c>
      <c r="E119" s="340">
        <f t="shared" ref="E119:O119" si="55">IF(E100&lt;$B$119,0,(-$G$94/Deprec._Fiscal_Inmuebles)*E5/Mes_año)</f>
        <v>0</v>
      </c>
      <c r="F119" s="340">
        <f t="shared" si="55"/>
        <v>0</v>
      </c>
      <c r="G119" s="340">
        <f t="shared" si="55"/>
        <v>0</v>
      </c>
      <c r="H119" s="340">
        <f t="shared" si="55"/>
        <v>0</v>
      </c>
      <c r="I119" s="340">
        <f t="shared" si="55"/>
        <v>0</v>
      </c>
      <c r="J119" s="340">
        <f t="shared" si="55"/>
        <v>0</v>
      </c>
      <c r="K119" s="340">
        <f t="shared" si="55"/>
        <v>0</v>
      </c>
      <c r="L119" s="340">
        <f t="shared" si="55"/>
        <v>0</v>
      </c>
      <c r="M119" s="340">
        <f t="shared" si="55"/>
        <v>0</v>
      </c>
      <c r="N119" s="340">
        <f t="shared" si="55"/>
        <v>0</v>
      </c>
      <c r="O119" s="340">
        <f t="shared" si="55"/>
        <v>0</v>
      </c>
    </row>
    <row r="120" spans="1:15">
      <c r="A120" s="308" t="s">
        <v>437</v>
      </c>
      <c r="B120" s="302">
        <f>$G$100</f>
        <v>2016</v>
      </c>
      <c r="C120" s="404">
        <v>0</v>
      </c>
      <c r="D120" s="404">
        <v>0</v>
      </c>
      <c r="E120" s="340">
        <f t="shared" ref="E120:O120" si="56">IF(E100&lt;$B$120,0,(-$G$95/Deprec_Fiscal_Plantas_Generacion)*E5/Mes_año)</f>
        <v>0</v>
      </c>
      <c r="F120" s="340">
        <f t="shared" si="56"/>
        <v>0</v>
      </c>
      <c r="G120" s="340">
        <f t="shared" si="56"/>
        <v>-1678681935.5794871</v>
      </c>
      <c r="H120" s="340">
        <f t="shared" si="56"/>
        <v>-1678681935.5794871</v>
      </c>
      <c r="I120" s="340">
        <f t="shared" si="56"/>
        <v>-1678681935.5794871</v>
      </c>
      <c r="J120" s="340">
        <f t="shared" si="56"/>
        <v>-1678681935.5794871</v>
      </c>
      <c r="K120" s="340">
        <f t="shared" si="56"/>
        <v>-1678681935.5794871</v>
      </c>
      <c r="L120" s="340">
        <f t="shared" si="56"/>
        <v>-1678681935.5794871</v>
      </c>
      <c r="M120" s="340">
        <f t="shared" si="56"/>
        <v>-1678681935.5794871</v>
      </c>
      <c r="N120" s="340">
        <f t="shared" si="56"/>
        <v>-1678681935.5794871</v>
      </c>
      <c r="O120" s="340">
        <f t="shared" si="56"/>
        <v>-1678681935.5794871</v>
      </c>
    </row>
    <row r="121" spans="1:15">
      <c r="A121" s="308" t="s">
        <v>609</v>
      </c>
      <c r="B121" s="302">
        <f>$G$100</f>
        <v>2016</v>
      </c>
      <c r="C121" s="404">
        <v>0</v>
      </c>
      <c r="D121" s="404">
        <v>0</v>
      </c>
      <c r="E121" s="340">
        <f t="shared" ref="E121:O121" si="57">IF(E100&lt;$B$121,0,(-$G$96/Deprec_Fiscal_Equipos)*E5/Mes_año)</f>
        <v>0</v>
      </c>
      <c r="F121" s="340">
        <f t="shared" si="57"/>
        <v>0</v>
      </c>
      <c r="G121" s="340">
        <f t="shared" si="57"/>
        <v>0</v>
      </c>
      <c r="H121" s="340">
        <f t="shared" si="57"/>
        <v>0</v>
      </c>
      <c r="I121" s="340">
        <f t="shared" si="57"/>
        <v>0</v>
      </c>
      <c r="J121" s="340">
        <f t="shared" si="57"/>
        <v>0</v>
      </c>
      <c r="K121" s="340">
        <f t="shared" si="57"/>
        <v>0</v>
      </c>
      <c r="L121" s="340">
        <f t="shared" si="57"/>
        <v>0</v>
      </c>
      <c r="M121" s="340">
        <f t="shared" si="57"/>
        <v>0</v>
      </c>
      <c r="N121" s="340">
        <f t="shared" si="57"/>
        <v>0</v>
      </c>
      <c r="O121" s="340">
        <f t="shared" si="57"/>
        <v>0</v>
      </c>
    </row>
    <row r="122" spans="1:15">
      <c r="A122" s="391" t="s">
        <v>588</v>
      </c>
      <c r="C122" s="404"/>
      <c r="D122" s="404"/>
      <c r="E122" s="393"/>
      <c r="F122" s="393"/>
      <c r="G122" s="393"/>
      <c r="H122" s="393"/>
      <c r="I122" s="393"/>
      <c r="J122" s="393"/>
      <c r="K122" s="393"/>
      <c r="L122" s="393"/>
      <c r="M122" s="393"/>
      <c r="N122" s="393"/>
      <c r="O122" s="393"/>
    </row>
    <row r="123" spans="1:15">
      <c r="A123" s="308" t="s">
        <v>352</v>
      </c>
      <c r="B123" s="302">
        <f>$H$100</f>
        <v>2017</v>
      </c>
      <c r="C123" s="404">
        <v>0</v>
      </c>
      <c r="D123" s="404">
        <v>0</v>
      </c>
      <c r="E123" s="340">
        <f t="shared" ref="E123:O123" si="58">IF(E100&lt;$B$123,0,(-$H$94/Deprec._Fiscal_Inmuebles)*E5/Mes_año)</f>
        <v>0</v>
      </c>
      <c r="F123" s="340">
        <f t="shared" si="58"/>
        <v>0</v>
      </c>
      <c r="G123" s="340">
        <f t="shared" si="58"/>
        <v>0</v>
      </c>
      <c r="H123" s="340">
        <f t="shared" si="58"/>
        <v>0</v>
      </c>
      <c r="I123" s="340">
        <f t="shared" si="58"/>
        <v>0</v>
      </c>
      <c r="J123" s="340">
        <f t="shared" si="58"/>
        <v>0</v>
      </c>
      <c r="K123" s="340">
        <f t="shared" si="58"/>
        <v>0</v>
      </c>
      <c r="L123" s="340">
        <f t="shared" si="58"/>
        <v>0</v>
      </c>
      <c r="M123" s="340">
        <f t="shared" si="58"/>
        <v>0</v>
      </c>
      <c r="N123" s="340">
        <f t="shared" si="58"/>
        <v>0</v>
      </c>
      <c r="O123" s="340">
        <f t="shared" si="58"/>
        <v>0</v>
      </c>
    </row>
    <row r="124" spans="1:15">
      <c r="A124" s="308" t="s">
        <v>437</v>
      </c>
      <c r="B124" s="302">
        <f>$H$100</f>
        <v>2017</v>
      </c>
      <c r="C124" s="404">
        <v>0</v>
      </c>
      <c r="D124" s="404">
        <v>0</v>
      </c>
      <c r="E124" s="340">
        <f t="shared" ref="E124:O124" si="59">IF(E100&lt;$B$124,0,(-$H$95/Deprec_Fiscal_Plantas_Generacion)*E5/Mes_año)</f>
        <v>0</v>
      </c>
      <c r="F124" s="340">
        <f t="shared" si="59"/>
        <v>0</v>
      </c>
      <c r="G124" s="340">
        <f t="shared" si="59"/>
        <v>0</v>
      </c>
      <c r="H124" s="340">
        <f t="shared" si="59"/>
        <v>-1771182444.7071335</v>
      </c>
      <c r="I124" s="340">
        <f t="shared" si="59"/>
        <v>-1771182444.7071335</v>
      </c>
      <c r="J124" s="340">
        <f t="shared" si="59"/>
        <v>-1771182444.7071335</v>
      </c>
      <c r="K124" s="340">
        <f t="shared" si="59"/>
        <v>-1771182444.7071335</v>
      </c>
      <c r="L124" s="340">
        <f t="shared" si="59"/>
        <v>-1771182444.7071335</v>
      </c>
      <c r="M124" s="340">
        <f t="shared" si="59"/>
        <v>-1771182444.7071335</v>
      </c>
      <c r="N124" s="340">
        <f t="shared" si="59"/>
        <v>-1771182444.7071335</v>
      </c>
      <c r="O124" s="340">
        <f t="shared" si="59"/>
        <v>-1771182444.7071335</v>
      </c>
    </row>
    <row r="125" spans="1:15">
      <c r="A125" s="308" t="s">
        <v>609</v>
      </c>
      <c r="B125" s="302">
        <f>$H$100</f>
        <v>2017</v>
      </c>
      <c r="C125" s="404">
        <v>0</v>
      </c>
      <c r="D125" s="404">
        <v>0</v>
      </c>
      <c r="E125" s="340">
        <f t="shared" ref="E125:O125" si="60">IF(E100&lt;$B$125,0,(-$H$96/Deprec_Fiscal_Equipos)*E5/Mes_año)</f>
        <v>0</v>
      </c>
      <c r="F125" s="340">
        <f t="shared" si="60"/>
        <v>0</v>
      </c>
      <c r="G125" s="340">
        <f t="shared" si="60"/>
        <v>0</v>
      </c>
      <c r="H125" s="340">
        <f t="shared" si="60"/>
        <v>0</v>
      </c>
      <c r="I125" s="340">
        <f t="shared" si="60"/>
        <v>0</v>
      </c>
      <c r="J125" s="340">
        <f t="shared" si="60"/>
        <v>0</v>
      </c>
      <c r="K125" s="340">
        <f t="shared" si="60"/>
        <v>0</v>
      </c>
      <c r="L125" s="340">
        <f t="shared" si="60"/>
        <v>0</v>
      </c>
      <c r="M125" s="340">
        <f t="shared" si="60"/>
        <v>0</v>
      </c>
      <c r="N125" s="340">
        <f t="shared" si="60"/>
        <v>0</v>
      </c>
      <c r="O125" s="340">
        <f t="shared" si="60"/>
        <v>0</v>
      </c>
    </row>
    <row r="126" spans="1:15">
      <c r="A126" s="391" t="s">
        <v>589</v>
      </c>
      <c r="C126" s="404"/>
      <c r="D126" s="404"/>
      <c r="E126" s="393"/>
      <c r="F126" s="393"/>
      <c r="G126" s="393"/>
      <c r="H126" s="393"/>
      <c r="I126" s="393"/>
      <c r="J126" s="393"/>
      <c r="K126" s="393"/>
      <c r="L126" s="393"/>
      <c r="M126" s="393"/>
      <c r="N126" s="393"/>
      <c r="O126" s="393"/>
    </row>
    <row r="127" spans="1:15">
      <c r="A127" s="308" t="s">
        <v>352</v>
      </c>
      <c r="B127" s="302">
        <f>$I$100</f>
        <v>2018</v>
      </c>
      <c r="C127" s="404">
        <v>0</v>
      </c>
      <c r="D127" s="404">
        <v>0</v>
      </c>
      <c r="E127" s="340">
        <f t="shared" ref="E127:O127" si="61">IF(E100&lt;$B$127,0,(-$I$94/Deprec._Fiscal_Inmuebles)*E5/Mes_año)</f>
        <v>0</v>
      </c>
      <c r="F127" s="340">
        <f t="shared" si="61"/>
        <v>0</v>
      </c>
      <c r="G127" s="340">
        <f t="shared" si="61"/>
        <v>0</v>
      </c>
      <c r="H127" s="340">
        <f t="shared" si="61"/>
        <v>0</v>
      </c>
      <c r="I127" s="340">
        <f t="shared" si="61"/>
        <v>0</v>
      </c>
      <c r="J127" s="340">
        <f t="shared" si="61"/>
        <v>0</v>
      </c>
      <c r="K127" s="340">
        <f t="shared" si="61"/>
        <v>0</v>
      </c>
      <c r="L127" s="340">
        <f t="shared" si="61"/>
        <v>0</v>
      </c>
      <c r="M127" s="340">
        <f t="shared" si="61"/>
        <v>0</v>
      </c>
      <c r="N127" s="340">
        <f t="shared" si="61"/>
        <v>0</v>
      </c>
      <c r="O127" s="340">
        <f t="shared" si="61"/>
        <v>0</v>
      </c>
    </row>
    <row r="128" spans="1:15">
      <c r="A128" s="308" t="s">
        <v>437</v>
      </c>
      <c r="B128" s="302">
        <f>$I$100</f>
        <v>2018</v>
      </c>
      <c r="C128" s="404">
        <v>0</v>
      </c>
      <c r="D128" s="404">
        <v>0</v>
      </c>
      <c r="E128" s="340">
        <f t="shared" ref="E128:O128" si="62">IF(E100&lt;$B$128,0,(-$I$95/Deprec_Fiscal_Plantas_Generacion)*E5/Mes_año)</f>
        <v>0</v>
      </c>
      <c r="F128" s="340">
        <f t="shared" si="62"/>
        <v>0</v>
      </c>
      <c r="G128" s="340">
        <f t="shared" si="62"/>
        <v>0</v>
      </c>
      <c r="H128" s="340">
        <f t="shared" si="62"/>
        <v>0</v>
      </c>
      <c r="I128" s="340">
        <f t="shared" si="62"/>
        <v>-1844947517.9236107</v>
      </c>
      <c r="J128" s="340">
        <f t="shared" si="62"/>
        <v>-1844947517.9236107</v>
      </c>
      <c r="K128" s="340">
        <f t="shared" si="62"/>
        <v>-1844947517.9236107</v>
      </c>
      <c r="L128" s="340">
        <f t="shared" si="62"/>
        <v>-1844947517.9236107</v>
      </c>
      <c r="M128" s="340">
        <f t="shared" si="62"/>
        <v>-1844947517.9236107</v>
      </c>
      <c r="N128" s="340">
        <f t="shared" si="62"/>
        <v>-1844947517.9236107</v>
      </c>
      <c r="O128" s="340">
        <f t="shared" si="62"/>
        <v>-1844947517.9236107</v>
      </c>
    </row>
    <row r="129" spans="1:15">
      <c r="A129" s="308" t="s">
        <v>609</v>
      </c>
      <c r="B129" s="302">
        <f>$I$100</f>
        <v>2018</v>
      </c>
      <c r="C129" s="404">
        <v>0</v>
      </c>
      <c r="D129" s="404">
        <v>0</v>
      </c>
      <c r="E129" s="340">
        <f t="shared" ref="E129:O129" si="63">IF(E100&lt;$B$129,0,(-$I$96/Deprec_Fiscal_Equipos)*E5/Mes_año)</f>
        <v>0</v>
      </c>
      <c r="F129" s="340">
        <f t="shared" si="63"/>
        <v>0</v>
      </c>
      <c r="G129" s="340">
        <f t="shared" si="63"/>
        <v>0</v>
      </c>
      <c r="H129" s="340">
        <f t="shared" si="63"/>
        <v>0</v>
      </c>
      <c r="I129" s="340">
        <f t="shared" si="63"/>
        <v>0</v>
      </c>
      <c r="J129" s="340">
        <f t="shared" si="63"/>
        <v>0</v>
      </c>
      <c r="K129" s="340">
        <f t="shared" si="63"/>
        <v>0</v>
      </c>
      <c r="L129" s="340">
        <f t="shared" si="63"/>
        <v>0</v>
      </c>
      <c r="M129" s="340">
        <f t="shared" si="63"/>
        <v>0</v>
      </c>
      <c r="N129" s="340">
        <f t="shared" si="63"/>
        <v>0</v>
      </c>
      <c r="O129" s="340">
        <f t="shared" si="63"/>
        <v>0</v>
      </c>
    </row>
    <row r="130" spans="1:15">
      <c r="A130" s="391" t="s">
        <v>590</v>
      </c>
      <c r="C130" s="404"/>
      <c r="D130" s="404"/>
      <c r="E130" s="393"/>
      <c r="F130" s="393"/>
      <c r="G130" s="393"/>
      <c r="H130" s="393"/>
      <c r="I130" s="393"/>
      <c r="J130" s="393"/>
      <c r="K130" s="393"/>
      <c r="L130" s="393"/>
      <c r="M130" s="393"/>
      <c r="N130" s="393"/>
      <c r="O130" s="393"/>
    </row>
    <row r="131" spans="1:15">
      <c r="A131" s="308" t="s">
        <v>352</v>
      </c>
      <c r="B131" s="302">
        <f>$J$100</f>
        <v>2019</v>
      </c>
      <c r="C131" s="404">
        <v>0</v>
      </c>
      <c r="D131" s="404">
        <v>0</v>
      </c>
      <c r="E131" s="340">
        <f t="shared" ref="E131:O131" si="64">IF(E100&lt;$B$131,0,(-$J$94/Deprec._Fiscal_Inmuebles)*E5/Mes_año)</f>
        <v>0</v>
      </c>
      <c r="F131" s="340">
        <f t="shared" si="64"/>
        <v>0</v>
      </c>
      <c r="G131" s="340">
        <f t="shared" si="64"/>
        <v>0</v>
      </c>
      <c r="H131" s="340">
        <f t="shared" si="64"/>
        <v>0</v>
      </c>
      <c r="I131" s="340">
        <f t="shared" si="64"/>
        <v>0</v>
      </c>
      <c r="J131" s="340">
        <f t="shared" si="64"/>
        <v>0</v>
      </c>
      <c r="K131" s="340">
        <f t="shared" si="64"/>
        <v>0</v>
      </c>
      <c r="L131" s="340">
        <f t="shared" si="64"/>
        <v>0</v>
      </c>
      <c r="M131" s="340">
        <f t="shared" si="64"/>
        <v>0</v>
      </c>
      <c r="N131" s="340">
        <f t="shared" si="64"/>
        <v>0</v>
      </c>
      <c r="O131" s="340">
        <f t="shared" si="64"/>
        <v>0</v>
      </c>
    </row>
    <row r="132" spans="1:15">
      <c r="A132" s="308" t="s">
        <v>437</v>
      </c>
      <c r="B132" s="302">
        <f>$J$100</f>
        <v>2019</v>
      </c>
      <c r="C132" s="404">
        <v>0</v>
      </c>
      <c r="D132" s="404">
        <v>0</v>
      </c>
      <c r="E132" s="340">
        <f t="shared" ref="E132:O132" si="65">IF(E100&lt;$B$132,0,(-$J$95/Deprec_Fiscal_Plantas_Generacion)*E5/Mes_año)</f>
        <v>0</v>
      </c>
      <c r="F132" s="340">
        <f t="shared" si="65"/>
        <v>0</v>
      </c>
      <c r="G132" s="340">
        <f t="shared" si="65"/>
        <v>0</v>
      </c>
      <c r="H132" s="340">
        <f t="shared" si="65"/>
        <v>0</v>
      </c>
      <c r="I132" s="340">
        <f t="shared" si="65"/>
        <v>0</v>
      </c>
      <c r="J132" s="340">
        <f t="shared" si="65"/>
        <v>-1916414200.7090428</v>
      </c>
      <c r="K132" s="340">
        <f t="shared" si="65"/>
        <v>-1916414200.7090428</v>
      </c>
      <c r="L132" s="340">
        <f t="shared" si="65"/>
        <v>-1916414200.7090428</v>
      </c>
      <c r="M132" s="340">
        <f t="shared" si="65"/>
        <v>-1916414200.7090428</v>
      </c>
      <c r="N132" s="340">
        <f t="shared" si="65"/>
        <v>-1916414200.7090428</v>
      </c>
      <c r="O132" s="340">
        <f t="shared" si="65"/>
        <v>-1916414200.7090428</v>
      </c>
    </row>
    <row r="133" spans="1:15">
      <c r="A133" s="308" t="s">
        <v>609</v>
      </c>
      <c r="B133" s="302">
        <f>$J$100</f>
        <v>2019</v>
      </c>
      <c r="C133" s="404">
        <v>0</v>
      </c>
      <c r="D133" s="404">
        <v>0</v>
      </c>
      <c r="E133" s="340">
        <f t="shared" ref="E133:O133" si="66">IF(E100&lt;$B$133,0,(-$J$96/Deprec_Fiscal_Equipos)*E5/Mes_año)</f>
        <v>0</v>
      </c>
      <c r="F133" s="340">
        <f t="shared" si="66"/>
        <v>0</v>
      </c>
      <c r="G133" s="340">
        <f t="shared" si="66"/>
        <v>0</v>
      </c>
      <c r="H133" s="340">
        <f t="shared" si="66"/>
        <v>0</v>
      </c>
      <c r="I133" s="340">
        <f t="shared" si="66"/>
        <v>0</v>
      </c>
      <c r="J133" s="340">
        <f t="shared" si="66"/>
        <v>0</v>
      </c>
      <c r="K133" s="340">
        <f t="shared" si="66"/>
        <v>0</v>
      </c>
      <c r="L133" s="340">
        <f t="shared" si="66"/>
        <v>0</v>
      </c>
      <c r="M133" s="340">
        <f t="shared" si="66"/>
        <v>0</v>
      </c>
      <c r="N133" s="340">
        <f t="shared" si="66"/>
        <v>0</v>
      </c>
      <c r="O133" s="340">
        <f t="shared" si="66"/>
        <v>0</v>
      </c>
    </row>
    <row r="134" spans="1:15">
      <c r="A134" s="391" t="s">
        <v>591</v>
      </c>
      <c r="C134" s="404"/>
      <c r="D134" s="404"/>
      <c r="E134" s="340"/>
      <c r="F134" s="340"/>
      <c r="G134" s="340"/>
      <c r="H134" s="340"/>
      <c r="I134" s="340"/>
      <c r="J134" s="340"/>
      <c r="K134" s="340"/>
      <c r="L134" s="340"/>
      <c r="M134" s="340"/>
      <c r="N134" s="340"/>
      <c r="O134" s="340"/>
    </row>
    <row r="135" spans="1:15">
      <c r="A135" s="308" t="s">
        <v>352</v>
      </c>
      <c r="B135" s="302">
        <f>$K$100</f>
        <v>2020</v>
      </c>
      <c r="C135" s="404">
        <v>0</v>
      </c>
      <c r="D135" s="404">
        <v>0</v>
      </c>
      <c r="E135" s="340">
        <f t="shared" ref="E135:O135" si="67">IF(E100&lt;$B$135,0,(-$K$94/Deprec._Fiscal_Inmuebles)*E5/Mes_año)</f>
        <v>0</v>
      </c>
      <c r="F135" s="340">
        <f t="shared" si="67"/>
        <v>0</v>
      </c>
      <c r="G135" s="340">
        <f t="shared" si="67"/>
        <v>0</v>
      </c>
      <c r="H135" s="340">
        <f t="shared" si="67"/>
        <v>0</v>
      </c>
      <c r="I135" s="340">
        <f t="shared" si="67"/>
        <v>0</v>
      </c>
      <c r="J135" s="340">
        <f t="shared" si="67"/>
        <v>0</v>
      </c>
      <c r="K135" s="340">
        <f t="shared" si="67"/>
        <v>0</v>
      </c>
      <c r="L135" s="340">
        <f t="shared" si="67"/>
        <v>0</v>
      </c>
      <c r="M135" s="340">
        <f t="shared" si="67"/>
        <v>0</v>
      </c>
      <c r="N135" s="340">
        <f t="shared" si="67"/>
        <v>0</v>
      </c>
      <c r="O135" s="340">
        <f t="shared" si="67"/>
        <v>0</v>
      </c>
    </row>
    <row r="136" spans="1:15">
      <c r="A136" s="308" t="s">
        <v>437</v>
      </c>
      <c r="B136" s="302">
        <f>$K$100</f>
        <v>2020</v>
      </c>
      <c r="C136" s="404">
        <v>0</v>
      </c>
      <c r="D136" s="404">
        <v>0</v>
      </c>
      <c r="E136" s="340">
        <f t="shared" ref="E136:O136" si="68">IF(E100&lt;$B$136,0,(-$K$95/Deprec_Fiscal_Plantas_Generacion)*E5/Mes_año)</f>
        <v>0</v>
      </c>
      <c r="F136" s="340">
        <f t="shared" si="68"/>
        <v>0</v>
      </c>
      <c r="G136" s="340">
        <f t="shared" si="68"/>
        <v>0</v>
      </c>
      <c r="H136" s="340">
        <f t="shared" si="68"/>
        <v>0</v>
      </c>
      <c r="I136" s="340">
        <f t="shared" si="68"/>
        <v>0</v>
      </c>
      <c r="J136" s="340">
        <f t="shared" si="68"/>
        <v>0</v>
      </c>
      <c r="K136" s="340">
        <f t="shared" si="68"/>
        <v>-1996167767.593673</v>
      </c>
      <c r="L136" s="340">
        <f t="shared" si="68"/>
        <v>-1996167767.593673</v>
      </c>
      <c r="M136" s="340">
        <f t="shared" si="68"/>
        <v>-1996167767.593673</v>
      </c>
      <c r="N136" s="340">
        <f t="shared" si="68"/>
        <v>-1996167767.593673</v>
      </c>
      <c r="O136" s="340">
        <f t="shared" si="68"/>
        <v>-1996167767.593673</v>
      </c>
    </row>
    <row r="137" spans="1:15">
      <c r="A137" s="308" t="s">
        <v>609</v>
      </c>
      <c r="B137" s="302">
        <f>$K$100</f>
        <v>2020</v>
      </c>
      <c r="C137" s="404">
        <v>0</v>
      </c>
      <c r="D137" s="404">
        <v>0</v>
      </c>
      <c r="E137" s="340">
        <f t="shared" ref="E137:O137" si="69">IF(E100&lt;$B$137,0,(-$K$96/Deprec_Fiscal_Equipos)*E5/Mes_año)</f>
        <v>0</v>
      </c>
      <c r="F137" s="340">
        <f t="shared" si="69"/>
        <v>0</v>
      </c>
      <c r="G137" s="340">
        <f t="shared" si="69"/>
        <v>0</v>
      </c>
      <c r="H137" s="340">
        <f t="shared" si="69"/>
        <v>0</v>
      </c>
      <c r="I137" s="340">
        <f t="shared" si="69"/>
        <v>0</v>
      </c>
      <c r="J137" s="340">
        <f t="shared" si="69"/>
        <v>0</v>
      </c>
      <c r="K137" s="340">
        <f t="shared" si="69"/>
        <v>0</v>
      </c>
      <c r="L137" s="340">
        <f t="shared" si="69"/>
        <v>0</v>
      </c>
      <c r="M137" s="340">
        <f t="shared" si="69"/>
        <v>0</v>
      </c>
      <c r="N137" s="340">
        <f t="shared" si="69"/>
        <v>0</v>
      </c>
      <c r="O137" s="340">
        <f t="shared" si="69"/>
        <v>0</v>
      </c>
    </row>
    <row r="138" spans="1:15">
      <c r="A138" s="391" t="s">
        <v>592</v>
      </c>
      <c r="C138" s="404"/>
      <c r="D138" s="404"/>
      <c r="E138" s="340"/>
      <c r="F138" s="340"/>
      <c r="G138" s="340"/>
      <c r="H138" s="340"/>
      <c r="I138" s="340"/>
      <c r="J138" s="340"/>
      <c r="K138" s="340"/>
      <c r="L138" s="340"/>
      <c r="M138" s="340"/>
      <c r="N138" s="340"/>
      <c r="O138" s="340"/>
    </row>
    <row r="139" spans="1:15">
      <c r="A139" s="308" t="s">
        <v>352</v>
      </c>
      <c r="B139" s="302">
        <f>$L$100</f>
        <v>2021</v>
      </c>
      <c r="C139" s="404">
        <v>0</v>
      </c>
      <c r="D139" s="404">
        <v>0</v>
      </c>
      <c r="E139" s="340">
        <f t="shared" ref="E139:O139" si="70">IF(E100&lt;$B$139,0,(-$L$94/Deprec._Fiscal_Inmuebles)*E5/Mes_año)</f>
        <v>0</v>
      </c>
      <c r="F139" s="340">
        <f t="shared" si="70"/>
        <v>0</v>
      </c>
      <c r="G139" s="340">
        <f t="shared" si="70"/>
        <v>0</v>
      </c>
      <c r="H139" s="340">
        <f t="shared" si="70"/>
        <v>0</v>
      </c>
      <c r="I139" s="340">
        <f t="shared" si="70"/>
        <v>0</v>
      </c>
      <c r="J139" s="340">
        <f t="shared" si="70"/>
        <v>0</v>
      </c>
      <c r="K139" s="340">
        <f t="shared" si="70"/>
        <v>0</v>
      </c>
      <c r="L139" s="340">
        <f t="shared" si="70"/>
        <v>0</v>
      </c>
      <c r="M139" s="340">
        <f t="shared" si="70"/>
        <v>0</v>
      </c>
      <c r="N139" s="340">
        <f t="shared" si="70"/>
        <v>0</v>
      </c>
      <c r="O139" s="340">
        <f t="shared" si="70"/>
        <v>0</v>
      </c>
    </row>
    <row r="140" spans="1:15">
      <c r="A140" s="308" t="s">
        <v>437</v>
      </c>
      <c r="B140" s="302">
        <f>$L$100</f>
        <v>2021</v>
      </c>
      <c r="C140" s="404">
        <v>0</v>
      </c>
      <c r="D140" s="404">
        <v>0</v>
      </c>
      <c r="E140" s="340">
        <f t="shared" ref="E140:O140" si="71">IF(E100&lt;$B$140,0,(-$L$95/Deprec_Fiscal_Plantas_Generacion)*E5/Mes_año)</f>
        <v>0</v>
      </c>
      <c r="F140" s="340">
        <f t="shared" si="71"/>
        <v>0</v>
      </c>
      <c r="G140" s="340">
        <f t="shared" si="71"/>
        <v>0</v>
      </c>
      <c r="H140" s="340">
        <f t="shared" si="71"/>
        <v>0</v>
      </c>
      <c r="I140" s="340">
        <f t="shared" si="71"/>
        <v>0</v>
      </c>
      <c r="J140" s="340">
        <f t="shared" si="71"/>
        <v>0</v>
      </c>
      <c r="K140" s="340">
        <f t="shared" si="71"/>
        <v>0</v>
      </c>
      <c r="L140" s="340">
        <f t="shared" si="71"/>
        <v>-2078329685.9550369</v>
      </c>
      <c r="M140" s="340">
        <f t="shared" si="71"/>
        <v>-2078329685.9550369</v>
      </c>
      <c r="N140" s="340">
        <f t="shared" si="71"/>
        <v>-2078329685.9550369</v>
      </c>
      <c r="O140" s="340">
        <f t="shared" si="71"/>
        <v>-2078329685.9550369</v>
      </c>
    </row>
    <row r="141" spans="1:15">
      <c r="A141" s="308" t="s">
        <v>609</v>
      </c>
      <c r="B141" s="302">
        <f>$L$100</f>
        <v>2021</v>
      </c>
      <c r="C141" s="404">
        <v>0</v>
      </c>
      <c r="D141" s="404">
        <v>0</v>
      </c>
      <c r="E141" s="340">
        <f t="shared" ref="E141:O141" si="72">IF(E100&lt;$B$141,0,(-$L$96/Deprec_Fiscal_Equipos)*E5/Mes_año)</f>
        <v>0</v>
      </c>
      <c r="F141" s="340">
        <f t="shared" si="72"/>
        <v>0</v>
      </c>
      <c r="G141" s="340">
        <f t="shared" si="72"/>
        <v>0</v>
      </c>
      <c r="H141" s="340">
        <f t="shared" si="72"/>
        <v>0</v>
      </c>
      <c r="I141" s="340">
        <f t="shared" si="72"/>
        <v>0</v>
      </c>
      <c r="J141" s="340">
        <f t="shared" si="72"/>
        <v>0</v>
      </c>
      <c r="K141" s="340">
        <f t="shared" si="72"/>
        <v>0</v>
      </c>
      <c r="L141" s="340">
        <f t="shared" si="72"/>
        <v>0</v>
      </c>
      <c r="M141" s="340">
        <f t="shared" si="72"/>
        <v>0</v>
      </c>
      <c r="N141" s="340">
        <f t="shared" si="72"/>
        <v>0</v>
      </c>
      <c r="O141" s="340">
        <f t="shared" si="72"/>
        <v>0</v>
      </c>
    </row>
    <row r="142" spans="1:15">
      <c r="A142" s="391" t="s">
        <v>593</v>
      </c>
      <c r="C142" s="404"/>
      <c r="D142" s="404"/>
      <c r="E142" s="340"/>
      <c r="F142" s="340"/>
      <c r="G142" s="340"/>
      <c r="H142" s="340"/>
      <c r="I142" s="340"/>
      <c r="J142" s="340"/>
      <c r="K142" s="340"/>
      <c r="L142" s="340"/>
      <c r="M142" s="340"/>
      <c r="N142" s="340"/>
      <c r="O142" s="340"/>
    </row>
    <row r="143" spans="1:15">
      <c r="A143" s="308" t="s">
        <v>352</v>
      </c>
      <c r="B143" s="302">
        <f>$M$100</f>
        <v>2022</v>
      </c>
      <c r="C143" s="404">
        <v>0</v>
      </c>
      <c r="D143" s="404">
        <v>0</v>
      </c>
      <c r="E143" s="340">
        <f t="shared" ref="E143:O143" si="73">IF(E100&lt;$B$143,0,(-$M$94/Deprec._Fiscal_Inmuebles)*E5/Mes_año)</f>
        <v>0</v>
      </c>
      <c r="F143" s="340">
        <f t="shared" si="73"/>
        <v>0</v>
      </c>
      <c r="G143" s="340">
        <f t="shared" si="73"/>
        <v>0</v>
      </c>
      <c r="H143" s="340">
        <f t="shared" si="73"/>
        <v>0</v>
      </c>
      <c r="I143" s="340">
        <f t="shared" si="73"/>
        <v>0</v>
      </c>
      <c r="J143" s="340">
        <f t="shared" si="73"/>
        <v>0</v>
      </c>
      <c r="K143" s="340">
        <f t="shared" si="73"/>
        <v>0</v>
      </c>
      <c r="L143" s="340">
        <f t="shared" si="73"/>
        <v>0</v>
      </c>
      <c r="M143" s="340">
        <f t="shared" si="73"/>
        <v>0</v>
      </c>
      <c r="N143" s="340">
        <f t="shared" si="73"/>
        <v>0</v>
      </c>
      <c r="O143" s="340">
        <f t="shared" si="73"/>
        <v>0</v>
      </c>
    </row>
    <row r="144" spans="1:15">
      <c r="A144" s="308" t="s">
        <v>437</v>
      </c>
      <c r="B144" s="302">
        <f>$M$100</f>
        <v>2022</v>
      </c>
      <c r="C144" s="404">
        <v>0</v>
      </c>
      <c r="D144" s="404">
        <v>0</v>
      </c>
      <c r="E144" s="340">
        <f t="shared" ref="E144:O144" si="74">IF(E100&lt;$B$144,0,(-$M$95/Deprec_Fiscal_Plantas_Generacion)*E5/Mes_año)</f>
        <v>0</v>
      </c>
      <c r="F144" s="340">
        <f t="shared" si="74"/>
        <v>0</v>
      </c>
      <c r="G144" s="340">
        <f t="shared" si="74"/>
        <v>0</v>
      </c>
      <c r="H144" s="340">
        <f t="shared" si="74"/>
        <v>0</v>
      </c>
      <c r="I144" s="340">
        <f t="shared" si="74"/>
        <v>0</v>
      </c>
      <c r="J144" s="340">
        <f t="shared" si="74"/>
        <v>0</v>
      </c>
      <c r="K144" s="340">
        <f t="shared" si="74"/>
        <v>0</v>
      </c>
      <c r="L144" s="340">
        <f t="shared" si="74"/>
        <v>0</v>
      </c>
      <c r="M144" s="340">
        <f t="shared" si="74"/>
        <v>-2164500136.3680539</v>
      </c>
      <c r="N144" s="340">
        <f t="shared" si="74"/>
        <v>-2164500136.3680539</v>
      </c>
      <c r="O144" s="340">
        <f t="shared" si="74"/>
        <v>-2164500136.3680539</v>
      </c>
    </row>
    <row r="145" spans="1:15">
      <c r="A145" s="308" t="s">
        <v>609</v>
      </c>
      <c r="B145" s="302">
        <f>$M$100</f>
        <v>2022</v>
      </c>
      <c r="C145" s="404">
        <v>0</v>
      </c>
      <c r="D145" s="404">
        <v>0</v>
      </c>
      <c r="E145" s="340">
        <f t="shared" ref="E145:O145" si="75">IF(E100&lt;$B$145,0,(-$M$96/Deprec_Fiscal_Equipos)*E5/Mes_año)</f>
        <v>0</v>
      </c>
      <c r="F145" s="340">
        <f t="shared" si="75"/>
        <v>0</v>
      </c>
      <c r="G145" s="340">
        <f t="shared" si="75"/>
        <v>0</v>
      </c>
      <c r="H145" s="340">
        <f t="shared" si="75"/>
        <v>0</v>
      </c>
      <c r="I145" s="340">
        <f t="shared" si="75"/>
        <v>0</v>
      </c>
      <c r="J145" s="340">
        <f t="shared" si="75"/>
        <v>0</v>
      </c>
      <c r="K145" s="340">
        <f t="shared" si="75"/>
        <v>0</v>
      </c>
      <c r="L145" s="340">
        <f t="shared" si="75"/>
        <v>0</v>
      </c>
      <c r="M145" s="340">
        <f t="shared" si="75"/>
        <v>0</v>
      </c>
      <c r="N145" s="340">
        <f t="shared" si="75"/>
        <v>0</v>
      </c>
      <c r="O145" s="340">
        <f t="shared" si="75"/>
        <v>0</v>
      </c>
    </row>
    <row r="146" spans="1:15">
      <c r="A146" s="391" t="s">
        <v>594</v>
      </c>
      <c r="C146" s="404"/>
      <c r="D146" s="404"/>
      <c r="E146" s="340"/>
      <c r="F146" s="340"/>
      <c r="G146" s="340"/>
      <c r="H146" s="340"/>
      <c r="I146" s="340"/>
      <c r="J146" s="340"/>
      <c r="K146" s="340"/>
      <c r="L146" s="340"/>
      <c r="M146" s="340"/>
      <c r="N146" s="340"/>
      <c r="O146" s="340"/>
    </row>
    <row r="147" spans="1:15">
      <c r="A147" s="308" t="s">
        <v>352</v>
      </c>
      <c r="B147" s="302">
        <f>$N$100</f>
        <v>2023</v>
      </c>
      <c r="C147" s="404">
        <v>0</v>
      </c>
      <c r="D147" s="404">
        <v>0</v>
      </c>
      <c r="E147" s="340">
        <f t="shared" ref="E147:O147" si="76">IF(E100&lt;$B$147,0,(-$N$94/Deprec._Fiscal_Inmuebles)*E5/Mes_año)</f>
        <v>0</v>
      </c>
      <c r="F147" s="340">
        <f t="shared" si="76"/>
        <v>0</v>
      </c>
      <c r="G147" s="340">
        <f t="shared" si="76"/>
        <v>0</v>
      </c>
      <c r="H147" s="340">
        <f t="shared" si="76"/>
        <v>0</v>
      </c>
      <c r="I147" s="340">
        <f t="shared" si="76"/>
        <v>0</v>
      </c>
      <c r="J147" s="340">
        <f t="shared" si="76"/>
        <v>0</v>
      </c>
      <c r="K147" s="340">
        <f t="shared" si="76"/>
        <v>0</v>
      </c>
      <c r="L147" s="340">
        <f t="shared" si="76"/>
        <v>0</v>
      </c>
      <c r="M147" s="340">
        <f t="shared" si="76"/>
        <v>0</v>
      </c>
      <c r="N147" s="340">
        <f t="shared" si="76"/>
        <v>0</v>
      </c>
      <c r="O147" s="340">
        <f t="shared" si="76"/>
        <v>0</v>
      </c>
    </row>
    <row r="148" spans="1:15">
      <c r="A148" s="308" t="s">
        <v>437</v>
      </c>
      <c r="B148" s="302">
        <f>$N$100</f>
        <v>2023</v>
      </c>
      <c r="C148" s="404">
        <v>0</v>
      </c>
      <c r="D148" s="404">
        <v>0</v>
      </c>
      <c r="E148" s="340">
        <f t="shared" ref="E148:O148" si="77">IF(E100&lt;$B$148,0,(-$N$95/Deprec_Fiscal_Plantas_Generacion)*E5/Mes_año)</f>
        <v>0</v>
      </c>
      <c r="F148" s="340">
        <f t="shared" si="77"/>
        <v>0</v>
      </c>
      <c r="G148" s="340">
        <f t="shared" si="77"/>
        <v>0</v>
      </c>
      <c r="H148" s="340">
        <f t="shared" si="77"/>
        <v>0</v>
      </c>
      <c r="I148" s="340">
        <f t="shared" si="77"/>
        <v>0</v>
      </c>
      <c r="J148" s="340">
        <f t="shared" si="77"/>
        <v>0</v>
      </c>
      <c r="K148" s="340">
        <f t="shared" si="77"/>
        <v>0</v>
      </c>
      <c r="L148" s="340">
        <f t="shared" si="77"/>
        <v>0</v>
      </c>
      <c r="M148" s="340">
        <f t="shared" si="77"/>
        <v>0</v>
      </c>
      <c r="N148" s="340">
        <f t="shared" si="77"/>
        <v>-2254155222.73492</v>
      </c>
      <c r="O148" s="340">
        <f t="shared" si="77"/>
        <v>-2254155222.73492</v>
      </c>
    </row>
    <row r="149" spans="1:15">
      <c r="A149" s="308" t="s">
        <v>609</v>
      </c>
      <c r="B149" s="302">
        <f>$N$100</f>
        <v>2023</v>
      </c>
      <c r="C149" s="404">
        <v>0</v>
      </c>
      <c r="D149" s="404">
        <v>0</v>
      </c>
      <c r="E149" s="340">
        <f t="shared" ref="E149:O149" si="78">IF(E100&lt;$B$149,0,(-$N$96/Deprec_Fiscal_Equipos)*E5/Mes_año)</f>
        <v>0</v>
      </c>
      <c r="F149" s="340">
        <f t="shared" si="78"/>
        <v>0</v>
      </c>
      <c r="G149" s="340">
        <f t="shared" si="78"/>
        <v>0</v>
      </c>
      <c r="H149" s="340">
        <f t="shared" si="78"/>
        <v>0</v>
      </c>
      <c r="I149" s="340">
        <f t="shared" si="78"/>
        <v>0</v>
      </c>
      <c r="J149" s="340">
        <f t="shared" si="78"/>
        <v>0</v>
      </c>
      <c r="K149" s="340">
        <f t="shared" si="78"/>
        <v>0</v>
      </c>
      <c r="L149" s="340">
        <f t="shared" si="78"/>
        <v>0</v>
      </c>
      <c r="M149" s="340">
        <f t="shared" si="78"/>
        <v>0</v>
      </c>
      <c r="N149" s="340">
        <f t="shared" si="78"/>
        <v>0</v>
      </c>
      <c r="O149" s="340">
        <f t="shared" si="78"/>
        <v>0</v>
      </c>
    </row>
    <row r="150" spans="1:15">
      <c r="A150" s="391" t="s">
        <v>595</v>
      </c>
      <c r="C150" s="404"/>
      <c r="D150" s="404"/>
      <c r="E150" s="340"/>
      <c r="F150" s="340"/>
      <c r="G150" s="340"/>
      <c r="H150" s="340"/>
      <c r="I150" s="340"/>
      <c r="J150" s="340"/>
      <c r="K150" s="340"/>
      <c r="L150" s="340"/>
      <c r="M150" s="340"/>
      <c r="N150" s="340"/>
      <c r="O150" s="340"/>
    </row>
    <row r="151" spans="1:15">
      <c r="A151" s="308" t="s">
        <v>352</v>
      </c>
      <c r="B151" s="302">
        <f>$O$100</f>
        <v>2024</v>
      </c>
      <c r="C151" s="404">
        <v>0</v>
      </c>
      <c r="D151" s="404">
        <v>0</v>
      </c>
      <c r="E151" s="340">
        <f t="shared" ref="E151:O151" si="79">IF(E100&lt;$B$151,0,(-$O$94/Deprec._Fiscal_Inmuebles)*E5/Mes_año)</f>
        <v>0</v>
      </c>
      <c r="F151" s="340">
        <f t="shared" si="79"/>
        <v>0</v>
      </c>
      <c r="G151" s="340">
        <f t="shared" si="79"/>
        <v>0</v>
      </c>
      <c r="H151" s="340">
        <f t="shared" si="79"/>
        <v>0</v>
      </c>
      <c r="I151" s="340">
        <f t="shared" si="79"/>
        <v>0</v>
      </c>
      <c r="J151" s="340">
        <f t="shared" si="79"/>
        <v>0</v>
      </c>
      <c r="K151" s="340">
        <f t="shared" si="79"/>
        <v>0</v>
      </c>
      <c r="L151" s="340">
        <f t="shared" si="79"/>
        <v>0</v>
      </c>
      <c r="M151" s="340">
        <f t="shared" si="79"/>
        <v>0</v>
      </c>
      <c r="N151" s="340">
        <f t="shared" si="79"/>
        <v>0</v>
      </c>
      <c r="O151" s="340">
        <f t="shared" si="79"/>
        <v>0</v>
      </c>
    </row>
    <row r="152" spans="1:15">
      <c r="A152" s="308" t="s">
        <v>437</v>
      </c>
      <c r="B152" s="302">
        <f>$O$100</f>
        <v>2024</v>
      </c>
      <c r="C152" s="404">
        <v>0</v>
      </c>
      <c r="D152" s="404">
        <v>0</v>
      </c>
      <c r="E152" s="340">
        <f t="shared" ref="E152:O152" si="80">IF(E100&lt;$B$152,0,(-$O$95/Deprec_Fiscal_Plantas_Generacion)*E5/Mes_año)</f>
        <v>0</v>
      </c>
      <c r="F152" s="340">
        <f t="shared" si="80"/>
        <v>0</v>
      </c>
      <c r="G152" s="340">
        <f t="shared" si="80"/>
        <v>0</v>
      </c>
      <c r="H152" s="340">
        <f t="shared" si="80"/>
        <v>0</v>
      </c>
      <c r="I152" s="340">
        <f t="shared" si="80"/>
        <v>0</v>
      </c>
      <c r="J152" s="340">
        <f t="shared" si="80"/>
        <v>0</v>
      </c>
      <c r="K152" s="340">
        <f t="shared" si="80"/>
        <v>0</v>
      </c>
      <c r="L152" s="340">
        <f t="shared" si="80"/>
        <v>0</v>
      </c>
      <c r="M152" s="340">
        <f t="shared" si="80"/>
        <v>0</v>
      </c>
      <c r="N152" s="340">
        <f t="shared" si="80"/>
        <v>0</v>
      </c>
      <c r="O152" s="340">
        <f t="shared" si="80"/>
        <v>-2347358443.9507356</v>
      </c>
    </row>
    <row r="153" spans="1:15">
      <c r="A153" s="308" t="s">
        <v>609</v>
      </c>
      <c r="B153" s="302">
        <f>$O$100</f>
        <v>2024</v>
      </c>
      <c r="C153" s="404">
        <v>0</v>
      </c>
      <c r="D153" s="404">
        <v>0</v>
      </c>
      <c r="E153" s="340">
        <f t="shared" ref="E153:O153" si="81">IF(E100&lt;$B$153,0,(-$O$96/Deprec_Fiscal_Equipos)*E5/Mes_año)</f>
        <v>0</v>
      </c>
      <c r="F153" s="340">
        <f t="shared" si="81"/>
        <v>0</v>
      </c>
      <c r="G153" s="340">
        <f t="shared" si="81"/>
        <v>0</v>
      </c>
      <c r="H153" s="340">
        <f t="shared" si="81"/>
        <v>0</v>
      </c>
      <c r="I153" s="340">
        <f t="shared" si="81"/>
        <v>0</v>
      </c>
      <c r="J153" s="340">
        <f t="shared" si="81"/>
        <v>0</v>
      </c>
      <c r="K153" s="340">
        <f t="shared" si="81"/>
        <v>0</v>
      </c>
      <c r="L153" s="340">
        <f t="shared" si="81"/>
        <v>0</v>
      </c>
      <c r="M153" s="340">
        <f t="shared" si="81"/>
        <v>0</v>
      </c>
      <c r="N153" s="340">
        <f t="shared" si="81"/>
        <v>0</v>
      </c>
      <c r="O153" s="340">
        <f t="shared" si="81"/>
        <v>0</v>
      </c>
    </row>
    <row r="154" spans="1:15">
      <c r="A154" s="317" t="s">
        <v>596</v>
      </c>
      <c r="B154" s="319">
        <v>-159247000000.00009</v>
      </c>
      <c r="C154" s="318">
        <f>SUM(C103:C153)</f>
        <v>-181922000000.00009</v>
      </c>
      <c r="D154" s="318">
        <f t="shared" ref="D154:O154" si="82">SUM(D103:D153)</f>
        <v>-90961000000.000046</v>
      </c>
      <c r="E154" s="318">
        <f t="shared" si="82"/>
        <v>-91224685989.850174</v>
      </c>
      <c r="F154" s="318">
        <f t="shared" si="82"/>
        <v>-389358144608.42407</v>
      </c>
      <c r="G154" s="318">
        <f t="shared" si="82"/>
        <v>-391036826544.00354</v>
      </c>
      <c r="H154" s="318">
        <f t="shared" si="82"/>
        <v>-392808008988.71069</v>
      </c>
      <c r="I154" s="318">
        <f t="shared" si="82"/>
        <v>-394652956506.63428</v>
      </c>
      <c r="J154" s="318">
        <f t="shared" si="82"/>
        <v>-396569370707.34332</v>
      </c>
      <c r="K154" s="318">
        <f t="shared" si="82"/>
        <v>-398565538474.93701</v>
      </c>
      <c r="L154" s="318">
        <f t="shared" si="82"/>
        <v>-400643868160.89203</v>
      </c>
      <c r="M154" s="318">
        <f t="shared" si="82"/>
        <v>-402808368297.26007</v>
      </c>
      <c r="N154" s="318">
        <f t="shared" si="82"/>
        <v>-395104323519.995</v>
      </c>
      <c r="O154" s="318">
        <f t="shared" si="82"/>
        <v>-397451681963.94574</v>
      </c>
    </row>
    <row r="155" spans="1:15">
      <c r="A155" s="317" t="s">
        <v>597</v>
      </c>
      <c r="B155" s="319">
        <v>-2776823100000</v>
      </c>
      <c r="C155" s="319">
        <f>C154+B155</f>
        <v>-2958745100000</v>
      </c>
      <c r="D155" s="319">
        <f t="shared" ref="D155:O155" si="83">D154+C155</f>
        <v>-3049706100000</v>
      </c>
      <c r="E155" s="319">
        <f t="shared" si="83"/>
        <v>-3140930785989.8501</v>
      </c>
      <c r="F155" s="319">
        <f t="shared" si="83"/>
        <v>-3530288930598.2744</v>
      </c>
      <c r="G155" s="319">
        <f t="shared" si="83"/>
        <v>-3921325757142.2778</v>
      </c>
      <c r="H155" s="319">
        <f t="shared" si="83"/>
        <v>-4314133766130.9883</v>
      </c>
      <c r="I155" s="319">
        <f t="shared" si="83"/>
        <v>-4708786722637.623</v>
      </c>
      <c r="J155" s="319">
        <f t="shared" si="83"/>
        <v>-5105356093344.9668</v>
      </c>
      <c r="K155" s="319">
        <f t="shared" si="83"/>
        <v>-5503921631819.9043</v>
      </c>
      <c r="L155" s="319">
        <f t="shared" si="83"/>
        <v>-5904565499980.7959</v>
      </c>
      <c r="M155" s="319">
        <f t="shared" si="83"/>
        <v>-6307373868278.0557</v>
      </c>
      <c r="N155" s="319">
        <f t="shared" si="83"/>
        <v>-6702478191798.0508</v>
      </c>
      <c r="O155" s="319">
        <f t="shared" si="83"/>
        <v>-7099929873761.9961</v>
      </c>
    </row>
    <row r="156" spans="1:15">
      <c r="A156" s="317" t="s">
        <v>598</v>
      </c>
      <c r="B156" s="319">
        <v>3085359000000</v>
      </c>
      <c r="C156" s="319">
        <f>C97</f>
        <v>3538858000000.002</v>
      </c>
      <c r="D156" s="319">
        <f t="shared" ref="D156:O156" si="84">D97+C156</f>
        <v>3538858000000.002</v>
      </c>
      <c r="E156" s="319">
        <f t="shared" si="84"/>
        <v>3549405439594.0068</v>
      </c>
      <c r="F156" s="319">
        <f t="shared" si="84"/>
        <v>7687580892168.4824</v>
      </c>
      <c r="G156" s="319">
        <f t="shared" si="84"/>
        <v>7721154530880.0723</v>
      </c>
      <c r="H156" s="319">
        <f t="shared" si="84"/>
        <v>7756578179774.2148</v>
      </c>
      <c r="I156" s="319">
        <f t="shared" si="84"/>
        <v>7793477130132.6875</v>
      </c>
      <c r="J156" s="319">
        <f t="shared" si="84"/>
        <v>7831805414146.8682</v>
      </c>
      <c r="K156" s="319">
        <f t="shared" si="84"/>
        <v>7871728769498.7412</v>
      </c>
      <c r="L156" s="319">
        <f t="shared" si="84"/>
        <v>7913295363217.8418</v>
      </c>
      <c r="M156" s="319">
        <f t="shared" si="84"/>
        <v>7956585365945.2031</v>
      </c>
      <c r="N156" s="319">
        <f t="shared" si="84"/>
        <v>8001668470399.9014</v>
      </c>
      <c r="O156" s="319">
        <f t="shared" si="84"/>
        <v>8048615639278.916</v>
      </c>
    </row>
    <row r="157" spans="1:15">
      <c r="A157" s="317" t="s">
        <v>599</v>
      </c>
      <c r="B157" s="319">
        <f>B156+B155</f>
        <v>308535900000</v>
      </c>
      <c r="C157" s="319">
        <f>C156+C155</f>
        <v>580112900000.00195</v>
      </c>
      <c r="D157" s="319">
        <f t="shared" ref="D157:O157" si="85">D156+D155</f>
        <v>489151900000.00195</v>
      </c>
      <c r="E157" s="319">
        <f t="shared" si="85"/>
        <v>408474653604.15674</v>
      </c>
      <c r="F157" s="319">
        <f t="shared" si="85"/>
        <v>4157291961570.208</v>
      </c>
      <c r="G157" s="319">
        <f t="shared" si="85"/>
        <v>3799828773737.7944</v>
      </c>
      <c r="H157" s="319">
        <f t="shared" si="85"/>
        <v>3442444413643.2266</v>
      </c>
      <c r="I157" s="319">
        <f t="shared" si="85"/>
        <v>3084690407495.0645</v>
      </c>
      <c r="J157" s="319">
        <f t="shared" si="85"/>
        <v>2726449320801.9014</v>
      </c>
      <c r="K157" s="319">
        <f t="shared" si="85"/>
        <v>2367807137678.8369</v>
      </c>
      <c r="L157" s="319">
        <f t="shared" si="85"/>
        <v>2008729863237.0459</v>
      </c>
      <c r="M157" s="319">
        <f t="shared" si="85"/>
        <v>1649211497667.1475</v>
      </c>
      <c r="N157" s="319">
        <f t="shared" si="85"/>
        <v>1299190278601.8506</v>
      </c>
      <c r="O157" s="319">
        <f t="shared" si="85"/>
        <v>948685765516.91992</v>
      </c>
    </row>
    <row r="159" spans="1:15">
      <c r="C159" s="340"/>
    </row>
  </sheetData>
  <mergeCells count="1">
    <mergeCell ref="A97:B97"/>
  </mergeCells>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6"/>
  <dimension ref="A1:P161"/>
  <sheetViews>
    <sheetView showGridLines="0" topLeftCell="A36" workbookViewId="0">
      <selection activeCell="C25" sqref="C25"/>
    </sheetView>
  </sheetViews>
  <sheetFormatPr baseColWidth="10" defaultRowHeight="15.75"/>
  <cols>
    <col min="1" max="1" width="51.85546875" style="302" bestFit="1" customWidth="1"/>
    <col min="2" max="2" width="19.7109375" style="302" bestFit="1" customWidth="1"/>
    <col min="3" max="3" width="23.5703125" style="302" bestFit="1" customWidth="1"/>
    <col min="4" max="8" width="20" style="302" bestFit="1" customWidth="1"/>
    <col min="9" max="15" width="20.7109375" style="302" bestFit="1" customWidth="1"/>
    <col min="16" max="16384" width="11.42578125" style="302"/>
  </cols>
  <sheetData>
    <row r="1" spans="1:16">
      <c r="C1" s="340"/>
    </row>
    <row r="2" spans="1:16" ht="21">
      <c r="A2" s="300" t="str">
        <f>Nombre_Empresa</f>
        <v>ISAGEN</v>
      </c>
    </row>
    <row r="3" spans="1:16">
      <c r="C3" s="303"/>
      <c r="D3" s="303"/>
      <c r="E3" s="303"/>
      <c r="F3" s="303"/>
      <c r="G3" s="303"/>
      <c r="H3" s="303"/>
      <c r="I3" s="303"/>
      <c r="J3" s="303"/>
      <c r="K3" s="303"/>
      <c r="L3" s="303"/>
      <c r="M3" s="303"/>
      <c r="N3" s="303"/>
      <c r="O3" s="303"/>
    </row>
    <row r="4" spans="1:16" ht="16.5" thickBot="1">
      <c r="A4" s="304" t="s">
        <v>649</v>
      </c>
      <c r="B4" s="353"/>
      <c r="C4" s="345">
        <f>'Datos Generales'!D21</f>
        <v>2013</v>
      </c>
      <c r="D4" s="322">
        <f>'Datos Generales'!E21</f>
        <v>41820</v>
      </c>
      <c r="E4" s="305">
        <f>YEAR('Datos Generales'!F21)</f>
        <v>2014</v>
      </c>
      <c r="F4" s="305">
        <f>'Datos Generales'!G21</f>
        <v>2015</v>
      </c>
      <c r="G4" s="305">
        <f>'Datos Generales'!H21</f>
        <v>2016</v>
      </c>
      <c r="H4" s="305">
        <f>'Datos Generales'!I21</f>
        <v>2017</v>
      </c>
      <c r="I4" s="305">
        <f>'Datos Generales'!J21</f>
        <v>2018</v>
      </c>
      <c r="J4" s="305">
        <f>'Datos Generales'!K21</f>
        <v>2019</v>
      </c>
      <c r="K4" s="305">
        <f>'Datos Generales'!L21</f>
        <v>2020</v>
      </c>
      <c r="L4" s="305">
        <f>'Datos Generales'!M21</f>
        <v>2021</v>
      </c>
      <c r="M4" s="305">
        <f>'Datos Generales'!N21</f>
        <v>2022</v>
      </c>
      <c r="N4" s="305">
        <f>'Datos Generales'!O21</f>
        <v>2023</v>
      </c>
      <c r="O4" s="305">
        <f>'Datos Generales'!P21</f>
        <v>2024</v>
      </c>
    </row>
    <row r="5" spans="1:16" ht="17.25" thickTop="1" thickBot="1">
      <c r="A5" s="304" t="s">
        <v>600</v>
      </c>
      <c r="B5" s="323"/>
      <c r="C5" s="328">
        <f>Mes_año</f>
        <v>12</v>
      </c>
      <c r="D5" s="328">
        <f>Meses_Proyectados_Año_Base</f>
        <v>6</v>
      </c>
      <c r="E5" s="305">
        <f>Meses_Proyectados_Año_Base</f>
        <v>6</v>
      </c>
      <c r="F5" s="305">
        <f t="shared" ref="F5:O5" si="0">Mes_año</f>
        <v>12</v>
      </c>
      <c r="G5" s="305">
        <f t="shared" si="0"/>
        <v>12</v>
      </c>
      <c r="H5" s="305">
        <f t="shared" si="0"/>
        <v>12</v>
      </c>
      <c r="I5" s="305">
        <f t="shared" si="0"/>
        <v>12</v>
      </c>
      <c r="J5" s="305">
        <f t="shared" si="0"/>
        <v>12</v>
      </c>
      <c r="K5" s="305">
        <f t="shared" si="0"/>
        <v>12</v>
      </c>
      <c r="L5" s="305">
        <f t="shared" si="0"/>
        <v>12</v>
      </c>
      <c r="M5" s="305">
        <f t="shared" si="0"/>
        <v>12</v>
      </c>
      <c r="N5" s="305">
        <f t="shared" si="0"/>
        <v>12</v>
      </c>
      <c r="O5" s="305">
        <f t="shared" si="0"/>
        <v>12</v>
      </c>
    </row>
    <row r="6" spans="1:16" ht="16.5" thickTop="1"/>
    <row r="7" spans="1:16" ht="16.5" thickBot="1">
      <c r="A7" s="366" t="s">
        <v>650</v>
      </c>
      <c r="B7" s="366"/>
      <c r="C7" s="367">
        <v>2002814000000</v>
      </c>
      <c r="D7" s="367">
        <v>1138609000000</v>
      </c>
      <c r="E7" s="367">
        <f>'P&amp;G'!E7</f>
        <v>1185854965002.488</v>
      </c>
      <c r="F7" s="367">
        <f>'P&amp;G'!F7</f>
        <v>3131134669100.2407</v>
      </c>
      <c r="G7" s="367">
        <f>'P&amp;G'!G7</f>
        <v>3005144243528.46</v>
      </c>
      <c r="H7" s="367">
        <f>'P&amp;G'!H7</f>
        <v>3309738963865.5879</v>
      </c>
      <c r="I7" s="367">
        <f>'P&amp;G'!I7</f>
        <v>3482925517593.0908</v>
      </c>
      <c r="J7" s="367">
        <f>'P&amp;G'!J7</f>
        <v>1816336692658.2222</v>
      </c>
      <c r="K7" s="367">
        <f>'P&amp;G'!K7</f>
        <v>1872237014684.7351</v>
      </c>
      <c r="L7" s="367">
        <f>'P&amp;G'!L7</f>
        <v>2954408989737.668</v>
      </c>
      <c r="M7" s="367">
        <f>'P&amp;G'!M7</f>
        <v>1840005307845.595</v>
      </c>
      <c r="N7" s="367">
        <f>'P&amp;G'!N7</f>
        <v>2101963368050.6211</v>
      </c>
      <c r="O7" s="367">
        <f>'P&amp;G'!O7</f>
        <v>3643003529659.8726</v>
      </c>
    </row>
    <row r="8" spans="1:16" ht="16.5" thickTop="1">
      <c r="A8" s="368" t="s">
        <v>651</v>
      </c>
      <c r="B8" s="368"/>
      <c r="C8" s="369"/>
      <c r="D8" s="369"/>
      <c r="E8" s="369"/>
      <c r="F8" s="369"/>
      <c r="G8" s="369"/>
      <c r="H8" s="369"/>
      <c r="I8" s="369"/>
      <c r="J8" s="369"/>
      <c r="K8" s="369"/>
      <c r="L8" s="369"/>
      <c r="M8" s="369"/>
      <c r="N8" s="369"/>
      <c r="O8" s="369"/>
    </row>
    <row r="9" spans="1:16">
      <c r="A9" s="370" t="s">
        <v>652</v>
      </c>
      <c r="C9" s="340">
        <f>(-457025-252064-228920-38020-11822-7994-5216)*M</f>
        <v>-1001061000000</v>
      </c>
      <c r="D9" s="340">
        <f>(-365928-100818-3916-20204-6172-132848)*M</f>
        <v>-629886000000</v>
      </c>
      <c r="E9" s="340">
        <f>'P&amp;G'!E8</f>
        <v>-419873231839.73352</v>
      </c>
      <c r="F9" s="340">
        <f>'P&amp;G'!F8</f>
        <v>-996422416279.38074</v>
      </c>
      <c r="G9" s="340">
        <f>'P&amp;G'!G8</f>
        <v>-856597813002.24475</v>
      </c>
      <c r="H9" s="340">
        <f>'P&amp;G'!H8</f>
        <v>-912423407059.14343</v>
      </c>
      <c r="I9" s="340">
        <f>'P&amp;G'!I8</f>
        <v>-1018937415775.1667</v>
      </c>
      <c r="J9" s="340">
        <f>'P&amp;G'!J8</f>
        <v>-899748041132.64014</v>
      </c>
      <c r="K9" s="340">
        <f>'P&amp;G'!K8</f>
        <v>-908255745950.39075</v>
      </c>
      <c r="L9" s="340">
        <f>'P&amp;G'!L8</f>
        <v>-953986559302.24243</v>
      </c>
      <c r="M9" s="340">
        <f>'P&amp;G'!M8</f>
        <v>-951442987869.75122</v>
      </c>
      <c r="N9" s="340">
        <f>'P&amp;G'!N8</f>
        <v>-1014504487596.5115</v>
      </c>
      <c r="O9" s="340">
        <f>'P&amp;G'!O8</f>
        <v>-1073276830718.3838</v>
      </c>
    </row>
    <row r="10" spans="1:16">
      <c r="A10" s="371" t="s">
        <v>709</v>
      </c>
      <c r="C10" s="340">
        <f>(-66350-31541-18243-15795-13842-12799-9696-9532-6789-4474-3653-3314-405-3976)*M</f>
        <v>-200409000000</v>
      </c>
      <c r="D10" s="340">
        <f>-93681*M</f>
        <v>-93681000000</v>
      </c>
      <c r="E10" s="340">
        <f>'P&amp;G'!E9</f>
        <v>-119164093682.6954</v>
      </c>
      <c r="F10" s="340">
        <f>'P&amp;G'!F9</f>
        <v>-316419920557.94641</v>
      </c>
      <c r="G10" s="340">
        <f>'P&amp;G'!G9</f>
        <v>-317089602251.57959</v>
      </c>
      <c r="H10" s="340">
        <f>'P&amp;G'!H9</f>
        <v>-330582611117.65479</v>
      </c>
      <c r="I10" s="340">
        <f>'P&amp;G'!I9</f>
        <v>-351874982662.2561</v>
      </c>
      <c r="J10" s="340">
        <f>'P&amp;G'!J9</f>
        <v>-360815015781.36084</v>
      </c>
      <c r="K10" s="340">
        <f>'P&amp;G'!K9</f>
        <v>-371090886609.26514</v>
      </c>
      <c r="L10" s="340">
        <f>'P&amp;G'!L9</f>
        <v>-385783498268.22083</v>
      </c>
      <c r="M10" s="340">
        <f>'P&amp;G'!M9</f>
        <v>-406717734280.77631</v>
      </c>
      <c r="N10" s="340">
        <f>'P&amp;G'!N9</f>
        <v>-420789943340.01373</v>
      </c>
      <c r="O10" s="340">
        <f>'P&amp;G'!O9</f>
        <v>-430258754223.3689</v>
      </c>
    </row>
    <row r="11" spans="1:16">
      <c r="A11" s="370" t="s">
        <v>656</v>
      </c>
      <c r="C11" s="402">
        <f>C156</f>
        <v>-181922000000.00009</v>
      </c>
      <c r="D11" s="340">
        <f>D156</f>
        <v>-90961000000.000046</v>
      </c>
      <c r="E11" s="340">
        <f t="shared" ref="E11:O11" si="1">E156</f>
        <v>-91224685989.850174</v>
      </c>
      <c r="F11" s="340">
        <f t="shared" si="1"/>
        <v>-389358144608.42407</v>
      </c>
      <c r="G11" s="340">
        <f t="shared" si="1"/>
        <v>-391036826544.00354</v>
      </c>
      <c r="H11" s="340">
        <f t="shared" si="1"/>
        <v>-392808008988.71069</v>
      </c>
      <c r="I11" s="340">
        <f t="shared" si="1"/>
        <v>-394652956506.63428</v>
      </c>
      <c r="J11" s="340">
        <f t="shared" si="1"/>
        <v>-396569370707.34332</v>
      </c>
      <c r="K11" s="340">
        <f t="shared" si="1"/>
        <v>-398565538474.93701</v>
      </c>
      <c r="L11" s="340">
        <f t="shared" si="1"/>
        <v>-400643868160.89203</v>
      </c>
      <c r="M11" s="340">
        <f t="shared" si="1"/>
        <v>-402808368297.26007</v>
      </c>
      <c r="N11" s="340">
        <f t="shared" si="1"/>
        <v>-395104323519.995</v>
      </c>
      <c r="O11" s="340">
        <f t="shared" si="1"/>
        <v>-397451681963.94574</v>
      </c>
    </row>
    <row r="12" spans="1:16" ht="16.5" thickBot="1">
      <c r="A12" s="366" t="s">
        <v>653</v>
      </c>
      <c r="B12" s="366"/>
      <c r="C12" s="367">
        <f>SUM(C7:C11)</f>
        <v>619421999999.99988</v>
      </c>
      <c r="D12" s="367">
        <f t="shared" ref="D12:O12" si="2">SUM(D7:D11)</f>
        <v>324080999999.99994</v>
      </c>
      <c r="E12" s="367">
        <f t="shared" si="2"/>
        <v>555592953490.20886</v>
      </c>
      <c r="F12" s="367">
        <f t="shared" si="2"/>
        <v>1428934187654.4895</v>
      </c>
      <c r="G12" s="367">
        <f t="shared" si="2"/>
        <v>1440420001730.6323</v>
      </c>
      <c r="H12" s="367">
        <f t="shared" si="2"/>
        <v>1673924936700.0789</v>
      </c>
      <c r="I12" s="367">
        <f t="shared" si="2"/>
        <v>1717460162649.0334</v>
      </c>
      <c r="J12" s="367">
        <f t="shared" si="2"/>
        <v>159204265036.87787</v>
      </c>
      <c r="K12" s="367">
        <f t="shared" si="2"/>
        <v>194324843650.14221</v>
      </c>
      <c r="L12" s="367">
        <f t="shared" si="2"/>
        <v>1213995064006.3125</v>
      </c>
      <c r="M12" s="367">
        <f t="shared" si="2"/>
        <v>79036217397.807373</v>
      </c>
      <c r="N12" s="367">
        <f t="shared" si="2"/>
        <v>271564613594.10095</v>
      </c>
      <c r="O12" s="367">
        <f t="shared" si="2"/>
        <v>1742016262754.1741</v>
      </c>
    </row>
    <row r="13" spans="1:16" ht="17.25" thickTop="1" thickBot="1">
      <c r="A13" s="366" t="s">
        <v>654</v>
      </c>
      <c r="B13" s="366"/>
      <c r="C13" s="367">
        <f>SUM(C14:C22)</f>
        <v>-114022000000</v>
      </c>
      <c r="D13" s="367">
        <f t="shared" ref="D13:O13" si="3">SUM(D14:D22)</f>
        <v>-54226500000</v>
      </c>
      <c r="E13" s="367">
        <f t="shared" si="3"/>
        <v>-127771933875.34479</v>
      </c>
      <c r="F13" s="367">
        <f t="shared" ca="1" si="3"/>
        <v>-438430601627.14539</v>
      </c>
      <c r="G13" s="367">
        <f t="shared" ca="1" si="3"/>
        <v>-387317944043.81537</v>
      </c>
      <c r="H13" s="367">
        <f t="shared" ca="1" si="3"/>
        <v>-372225947640.52533</v>
      </c>
      <c r="I13" s="367">
        <f t="shared" ca="1" si="3"/>
        <v>-341990658759.3576</v>
      </c>
      <c r="J13" s="367">
        <f t="shared" ca="1" si="3"/>
        <v>-356970910659.60486</v>
      </c>
      <c r="K13" s="367">
        <f t="shared" ca="1" si="3"/>
        <v>-378359787862.88159</v>
      </c>
      <c r="L13" s="367">
        <f t="shared" ca="1" si="3"/>
        <v>-309583267217.92261</v>
      </c>
      <c r="M13" s="367">
        <f t="shared" ca="1" si="3"/>
        <v>-286978033038.9563</v>
      </c>
      <c r="N13" s="367">
        <f t="shared" ca="1" si="3"/>
        <v>-297663070085.90259</v>
      </c>
      <c r="O13" s="367">
        <f t="shared" ca="1" si="3"/>
        <v>-235973150955.81641</v>
      </c>
    </row>
    <row r="14" spans="1:16" ht="16.5" thickTop="1">
      <c r="A14" s="370" t="s">
        <v>655</v>
      </c>
      <c r="C14" s="340">
        <f>(-116426+7539+8178)*M</f>
        <v>-100709000000</v>
      </c>
      <c r="D14" s="340">
        <f>-51870*M</f>
        <v>-51870000000</v>
      </c>
      <c r="E14" s="340">
        <f>'P&amp;G'!E12</f>
        <v>-60281372905.037354</v>
      </c>
      <c r="F14" s="340">
        <f>'P&amp;G'!F12</f>
        <v>-131461104296.15611</v>
      </c>
      <c r="G14" s="340">
        <f>'P&amp;G'!G12</f>
        <v>-137063443582.86346</v>
      </c>
      <c r="H14" s="340">
        <f>'P&amp;G'!H12</f>
        <v>-142706147071.90283</v>
      </c>
      <c r="I14" s="340">
        <f>'P&amp;G'!I12</f>
        <v>-148374627625.24023</v>
      </c>
      <c r="J14" s="340">
        <f>'P&amp;G'!J12</f>
        <v>-154068404573.16565</v>
      </c>
      <c r="K14" s="340">
        <f>'P&amp;G'!K12</f>
        <v>-159988866380.45117</v>
      </c>
      <c r="L14" s="340">
        <f>'P&amp;G'!L12</f>
        <v>-166145357297.38483</v>
      </c>
      <c r="M14" s="340">
        <f>'P&amp;G'!M12</f>
        <v>-172547618755.69244</v>
      </c>
      <c r="N14" s="340">
        <f>'P&amp;G'!N12</f>
        <v>-179205806686.40848</v>
      </c>
      <c r="O14" s="340">
        <f>'P&amp;G'!O12</f>
        <v>-186130509608.16833</v>
      </c>
    </row>
    <row r="15" spans="1:16">
      <c r="A15" s="370" t="s">
        <v>379</v>
      </c>
      <c r="C15" s="340">
        <v>0</v>
      </c>
      <c r="D15" s="340">
        <v>0</v>
      </c>
      <c r="E15" s="340">
        <v>0</v>
      </c>
      <c r="F15" s="340">
        <v>0</v>
      </c>
      <c r="G15" s="340">
        <v>0</v>
      </c>
      <c r="H15" s="340">
        <v>0</v>
      </c>
      <c r="I15" s="340">
        <v>0</v>
      </c>
      <c r="J15" s="340">
        <v>0</v>
      </c>
      <c r="K15" s="340">
        <v>0</v>
      </c>
      <c r="L15" s="340">
        <v>0</v>
      </c>
      <c r="M15" s="340">
        <v>0</v>
      </c>
      <c r="N15" s="340">
        <v>0</v>
      </c>
      <c r="O15" s="340">
        <v>0</v>
      </c>
    </row>
    <row r="16" spans="1:16">
      <c r="A16" s="370" t="s">
        <v>846</v>
      </c>
      <c r="C16" s="340"/>
      <c r="D16" s="340"/>
      <c r="E16" s="351">
        <f>'P&amp;G'!E14</f>
        <v>-21500274323</v>
      </c>
      <c r="F16" s="351">
        <f>'P&amp;G'!F14</f>
        <v>-3948274323</v>
      </c>
      <c r="G16" s="351">
        <f>'P&amp;G'!G14</f>
        <v>-3948274323</v>
      </c>
      <c r="H16" s="351">
        <f>'P&amp;G'!H14</f>
        <v>-3948274323</v>
      </c>
      <c r="I16" s="351">
        <f>'P&amp;G'!I14</f>
        <v>-3948274323</v>
      </c>
      <c r="J16" s="351">
        <f>'P&amp;G'!J14</f>
        <v>-3948274323</v>
      </c>
      <c r="K16" s="351">
        <f>'P&amp;G'!K14</f>
        <v>-3948274323</v>
      </c>
      <c r="L16" s="351">
        <f>'P&amp;G'!L14</f>
        <v>-3948274323</v>
      </c>
      <c r="M16" s="351">
        <f>'P&amp;G'!M14</f>
        <v>-3948274323</v>
      </c>
      <c r="N16" s="351">
        <f>'P&amp;G'!N14</f>
        <v>-3948274323</v>
      </c>
      <c r="O16" s="351">
        <f>'P&amp;G'!O14</f>
        <v>-2019607656</v>
      </c>
      <c r="P16" s="351"/>
    </row>
    <row r="17" spans="1:15">
      <c r="A17" s="370" t="s">
        <v>657</v>
      </c>
      <c r="C17" s="340">
        <f>-8178*M</f>
        <v>-8178000000</v>
      </c>
      <c r="D17" s="340">
        <f>-7877*M</f>
        <v>-7877000000</v>
      </c>
      <c r="E17" s="351">
        <f>'P&amp;G'!E15</f>
        <v>-6790037125.806406</v>
      </c>
      <c r="F17" s="351">
        <f ca="1">'P&amp;G'!F15</f>
        <v>-10080392073.764914</v>
      </c>
      <c r="G17" s="351">
        <f ca="1">'P&amp;G'!G15</f>
        <v>-13378941832.642994</v>
      </c>
      <c r="H17" s="351">
        <f ca="1">'P&amp;G'!H15</f>
        <v>-12911368330.022572</v>
      </c>
      <c r="I17" s="351">
        <f ca="1">'P&amp;G'!I15</f>
        <v>-14520960565.602266</v>
      </c>
      <c r="J17" s="351">
        <f ca="1">'P&amp;G'!J15</f>
        <v>-10673931184.785488</v>
      </c>
      <c r="K17" s="351">
        <f ca="1">'P&amp;G'!K15</f>
        <v>-5341444681.4936628</v>
      </c>
      <c r="L17" s="351">
        <f ca="1">'P&amp;G'!L15</f>
        <v>-2847780443.0515537</v>
      </c>
      <c r="M17" s="351">
        <f ca="1">'P&amp;G'!M15</f>
        <v>0</v>
      </c>
      <c r="N17" s="351">
        <f ca="1">'P&amp;G'!N15</f>
        <v>0</v>
      </c>
      <c r="O17" s="351">
        <f ca="1">'P&amp;G'!O15</f>
        <v>0</v>
      </c>
    </row>
    <row r="18" spans="1:15">
      <c r="A18" s="370" t="s">
        <v>722</v>
      </c>
      <c r="C18" s="340"/>
      <c r="D18" s="340"/>
      <c r="E18" s="351">
        <f>'P&amp;G'!E16</f>
        <v>0</v>
      </c>
      <c r="F18" s="351">
        <f ca="1">'P&amp;G'!F16</f>
        <v>0</v>
      </c>
      <c r="G18" s="351">
        <f ca="1">'P&amp;G'!G16</f>
        <v>0</v>
      </c>
      <c r="H18" s="351">
        <f ca="1">'P&amp;G'!H16</f>
        <v>0</v>
      </c>
      <c r="I18" s="351">
        <f ca="1">'P&amp;G'!I16</f>
        <v>0</v>
      </c>
      <c r="J18" s="351">
        <f ca="1">'P&amp;G'!J16</f>
        <v>0</v>
      </c>
      <c r="K18" s="351">
        <f ca="1">'P&amp;G'!K16</f>
        <v>0</v>
      </c>
      <c r="L18" s="351">
        <f ca="1">'P&amp;G'!L16</f>
        <v>0</v>
      </c>
      <c r="M18" s="351">
        <f ca="1">'P&amp;G'!M16</f>
        <v>0</v>
      </c>
      <c r="N18" s="351">
        <f ca="1">'P&amp;G'!N16</f>
        <v>0</v>
      </c>
      <c r="O18" s="351">
        <f ca="1">'P&amp;G'!O16</f>
        <v>0</v>
      </c>
    </row>
    <row r="19" spans="1:15">
      <c r="A19" s="370" t="s">
        <v>658</v>
      </c>
      <c r="C19" s="340">
        <f>Financiacion!C38-26454*M</f>
        <v>-60735000000</v>
      </c>
      <c r="D19" s="340">
        <f>Financiacion!D38-783*M</f>
        <v>-18195000000</v>
      </c>
      <c r="E19" s="340">
        <f>'P&amp;G'!E18</f>
        <v>-48609488959.657982</v>
      </c>
      <c r="F19" s="340">
        <f>'P&amp;G'!F18</f>
        <v>-315621613260.50494</v>
      </c>
      <c r="G19" s="340">
        <f>'P&amp;G'!G18</f>
        <v>-281071925850.31396</v>
      </c>
      <c r="H19" s="340">
        <f>'P&amp;G'!H18</f>
        <v>-246522238440.12286</v>
      </c>
      <c r="I19" s="340">
        <f>'P&amp;G'!I18</f>
        <v>-211972551029.93179</v>
      </c>
      <c r="J19" s="340">
        <f>'P&amp;G'!J18</f>
        <v>-216559355652.22128</v>
      </c>
      <c r="K19" s="340">
        <f>'P&amp;G'!K18</f>
        <v>-211751924818.68359</v>
      </c>
      <c r="L19" s="340">
        <f>'P&amp;G'!L18</f>
        <v>-138065745376.01196</v>
      </c>
      <c r="M19" s="340">
        <f>'P&amp;G'!M18</f>
        <v>-112210277931.97762</v>
      </c>
      <c r="N19" s="340">
        <f>'P&amp;G'!N18</f>
        <v>-114508989076.49409</v>
      </c>
      <c r="O19" s="340">
        <f>'P&amp;G'!O18</f>
        <v>-47823033691.648033</v>
      </c>
    </row>
    <row r="20" spans="1:15">
      <c r="A20" s="370" t="s">
        <v>735</v>
      </c>
      <c r="C20" s="340">
        <f>(17908+28551-981-3369+66+1699)*M</f>
        <v>43874000000</v>
      </c>
      <c r="D20" s="340">
        <f>(7355+153+585+11684)*M</f>
        <v>19777000000</v>
      </c>
      <c r="E20" s="351">
        <f>'P&amp;G'!E20</f>
        <v>6014220875.2537498</v>
      </c>
      <c r="F20" s="351">
        <f>'P&amp;G'!F20</f>
        <v>17640586289.398102</v>
      </c>
      <c r="G20" s="351">
        <f ca="1">'P&amp;G'!G20</f>
        <v>41455170628.683563</v>
      </c>
      <c r="H20" s="351">
        <f ca="1">'P&amp;G'!H20</f>
        <v>27406396359.511684</v>
      </c>
      <c r="I20" s="351">
        <f ca="1">'P&amp;G'!I20</f>
        <v>29565274501.615566</v>
      </c>
      <c r="J20" s="351">
        <f ca="1">'P&amp;G'!J20</f>
        <v>22942089481.174812</v>
      </c>
      <c r="K20" s="351">
        <f ca="1">'P&amp;G'!K20</f>
        <v>-1.272336959838868E-5</v>
      </c>
      <c r="L20" s="351">
        <f ca="1">'P&amp;G'!L20</f>
        <v>1.0744178771972663E-5</v>
      </c>
      <c r="M20" s="351">
        <f ca="1">'P&amp;G'!M20</f>
        <v>1728137971.7137475</v>
      </c>
      <c r="N20" s="351">
        <f ca="1">'P&amp;G'!N20</f>
        <v>3.6756401062011742E-6</v>
      </c>
      <c r="O20" s="351">
        <f ca="1">'P&amp;G'!O20</f>
        <v>-1.7529975891113292E-5</v>
      </c>
    </row>
    <row r="21" spans="1:15">
      <c r="A21" s="370" t="s">
        <v>659</v>
      </c>
      <c r="C21" s="340">
        <f>-C32</f>
        <v>0</v>
      </c>
      <c r="D21" s="340">
        <f t="shared" ref="D21:O21" si="4">-D32</f>
        <v>0</v>
      </c>
      <c r="E21" s="340">
        <f t="shared" si="4"/>
        <v>0</v>
      </c>
      <c r="F21" s="340">
        <f t="shared" si="4"/>
        <v>0</v>
      </c>
      <c r="G21" s="340">
        <f t="shared" si="4"/>
        <v>0</v>
      </c>
      <c r="H21" s="340">
        <f t="shared" si="4"/>
        <v>0</v>
      </c>
      <c r="I21" s="340">
        <f t="shared" si="4"/>
        <v>0</v>
      </c>
      <c r="J21" s="340">
        <f t="shared" si="4"/>
        <v>0</v>
      </c>
      <c r="K21" s="340">
        <f t="shared" si="4"/>
        <v>0</v>
      </c>
      <c r="L21" s="340">
        <f t="shared" si="4"/>
        <v>0</v>
      </c>
      <c r="M21" s="340">
        <f t="shared" si="4"/>
        <v>0</v>
      </c>
      <c r="N21" s="340">
        <f t="shared" si="4"/>
        <v>0</v>
      </c>
      <c r="O21" s="340">
        <f t="shared" si="4"/>
        <v>0</v>
      </c>
    </row>
    <row r="22" spans="1:15">
      <c r="A22" s="371" t="s">
        <v>711</v>
      </c>
      <c r="C22" s="340">
        <f>(8324+33496+2661+95-14378-524-173-1398-35-18927+2585)*M</f>
        <v>11726000000</v>
      </c>
      <c r="D22" s="340">
        <f>-D17*(1-'Datos Generales'!E58)-D18</f>
        <v>3938500000</v>
      </c>
      <c r="E22" s="340">
        <f>-E17*(1-'Datos Generales'!F58)-E18</f>
        <v>3395018562.903203</v>
      </c>
      <c r="F22" s="340">
        <f ca="1">-F17*(1-'Datos Generales'!G58)-F18</f>
        <v>5040196036.8824568</v>
      </c>
      <c r="G22" s="340">
        <f ca="1">-G17*(1-'Datos Generales'!H58)-G18</f>
        <v>6689470916.321497</v>
      </c>
      <c r="H22" s="340">
        <f ca="1">-H17*(1-'Datos Generales'!I58)-H18</f>
        <v>6455684165.0112858</v>
      </c>
      <c r="I22" s="340">
        <f ca="1">-I17*(1-'Datos Generales'!J58)-I18</f>
        <v>7260480282.8011332</v>
      </c>
      <c r="J22" s="340">
        <f ca="1">-J17*(1-'Datos Generales'!K58)-J18</f>
        <v>5336965592.3927441</v>
      </c>
      <c r="K22" s="340">
        <f ca="1">-K17*(1-'Datos Generales'!L58)-K18</f>
        <v>2670722340.7468314</v>
      </c>
      <c r="L22" s="340">
        <f ca="1">-L17*(1-'Datos Generales'!M58)-L18</f>
        <v>1423890221.5257769</v>
      </c>
      <c r="M22" s="340">
        <f ca="1">-M17*(1-'Datos Generales'!N58)-M18</f>
        <v>0</v>
      </c>
      <c r="N22" s="340">
        <f ca="1">-N17*(1-'Datos Generales'!O58)-N18</f>
        <v>0</v>
      </c>
      <c r="O22" s="340">
        <f ca="1">-O17*(1-'Datos Generales'!P58)-O18</f>
        <v>0</v>
      </c>
    </row>
    <row r="23" spans="1:15" ht="16.5" thickBot="1">
      <c r="A23" s="366" t="s">
        <v>660</v>
      </c>
      <c r="B23" s="366"/>
      <c r="C23" s="367">
        <f>C12+C13</f>
        <v>505399999999.99988</v>
      </c>
      <c r="D23" s="367">
        <f>D12+D13</f>
        <v>269854499999.99994</v>
      </c>
      <c r="E23" s="367">
        <f t="shared" ref="E23:O23" si="5">E12+E13</f>
        <v>427821019614.86407</v>
      </c>
      <c r="F23" s="367">
        <f t="shared" ca="1" si="5"/>
        <v>990503586027.34412</v>
      </c>
      <c r="G23" s="367">
        <f t="shared" ca="1" si="5"/>
        <v>1053102057686.8169</v>
      </c>
      <c r="H23" s="367">
        <f t="shared" ca="1" si="5"/>
        <v>1301698989059.5535</v>
      </c>
      <c r="I23" s="367">
        <f t="shared" ca="1" si="5"/>
        <v>1375469503889.6758</v>
      </c>
      <c r="J23" s="367">
        <f t="shared" ca="1" si="5"/>
        <v>-197766645622.72699</v>
      </c>
      <c r="K23" s="367">
        <f t="shared" ca="1" si="5"/>
        <v>-184034944212.73938</v>
      </c>
      <c r="L23" s="367">
        <f t="shared" ca="1" si="5"/>
        <v>904411796788.38989</v>
      </c>
      <c r="M23" s="367">
        <f t="shared" ca="1" si="5"/>
        <v>-207941815641.14893</v>
      </c>
      <c r="N23" s="367">
        <f t="shared" ca="1" si="5"/>
        <v>-26098456491.801636</v>
      </c>
      <c r="O23" s="367">
        <f t="shared" ca="1" si="5"/>
        <v>1506043111798.3577</v>
      </c>
    </row>
    <row r="24" spans="1:15" ht="16.5" thickTop="1">
      <c r="A24" s="371" t="s">
        <v>661</v>
      </c>
      <c r="C24" s="340">
        <f>C45</f>
        <v>0</v>
      </c>
      <c r="D24" s="340">
        <f t="shared" ref="D24:O24" si="6">D45</f>
        <v>0</v>
      </c>
      <c r="E24" s="340">
        <f t="shared" si="6"/>
        <v>0</v>
      </c>
      <c r="F24" s="340">
        <f t="shared" ca="1" si="6"/>
        <v>0</v>
      </c>
      <c r="G24" s="340">
        <f t="shared" ca="1" si="6"/>
        <v>0</v>
      </c>
      <c r="H24" s="340">
        <f t="shared" ca="1" si="6"/>
        <v>0</v>
      </c>
      <c r="I24" s="340">
        <f t="shared" ca="1" si="6"/>
        <v>0</v>
      </c>
      <c r="J24" s="340">
        <f t="shared" ca="1" si="6"/>
        <v>0</v>
      </c>
      <c r="K24" s="340">
        <f t="shared" ca="1" si="6"/>
        <v>0</v>
      </c>
      <c r="L24" s="340">
        <f t="shared" ca="1" si="6"/>
        <v>-400491065862.8349</v>
      </c>
      <c r="M24" s="340">
        <f t="shared" ca="1" si="6"/>
        <v>0</v>
      </c>
      <c r="N24" s="340">
        <f t="shared" ca="1" si="6"/>
        <v>0</v>
      </c>
      <c r="O24" s="340">
        <f t="shared" ca="1" si="6"/>
        <v>-248351104403.95895</v>
      </c>
    </row>
    <row r="25" spans="1:15" s="375" customFormat="1" ht="16.5" thickBot="1">
      <c r="A25" s="372" t="s">
        <v>662</v>
      </c>
      <c r="B25" s="373"/>
      <c r="C25" s="374">
        <f>C23+C24</f>
        <v>505399999999.99988</v>
      </c>
      <c r="D25" s="374">
        <f t="shared" ref="D25:O25" si="7">D23+D24</f>
        <v>269854499999.99994</v>
      </c>
      <c r="E25" s="374">
        <f t="shared" si="7"/>
        <v>427821019614.86407</v>
      </c>
      <c r="F25" s="374">
        <f t="shared" ca="1" si="7"/>
        <v>990503586027.34412</v>
      </c>
      <c r="G25" s="374">
        <f t="shared" ca="1" si="7"/>
        <v>1053102057686.8169</v>
      </c>
      <c r="H25" s="374">
        <f t="shared" ca="1" si="7"/>
        <v>1301698989059.5535</v>
      </c>
      <c r="I25" s="374">
        <f t="shared" ca="1" si="7"/>
        <v>1375469503889.6758</v>
      </c>
      <c r="J25" s="374">
        <f t="shared" ca="1" si="7"/>
        <v>-197766645622.72699</v>
      </c>
      <c r="K25" s="374">
        <f t="shared" ca="1" si="7"/>
        <v>-184034944212.73938</v>
      </c>
      <c r="L25" s="374">
        <f t="shared" ca="1" si="7"/>
        <v>503920730925.55499</v>
      </c>
      <c r="M25" s="374">
        <f t="shared" ca="1" si="7"/>
        <v>-207941815641.14893</v>
      </c>
      <c r="N25" s="374">
        <f t="shared" ca="1" si="7"/>
        <v>-26098456491.801636</v>
      </c>
      <c r="O25" s="374">
        <f t="shared" ca="1" si="7"/>
        <v>1257692007394.3987</v>
      </c>
    </row>
    <row r="26" spans="1:15" s="375" customFormat="1" ht="17.25" thickTop="1" thickBot="1">
      <c r="A26" s="372" t="s">
        <v>1048</v>
      </c>
      <c r="B26" s="373"/>
      <c r="C26" s="374">
        <f>IF(C25&gt;0,0,('Balance General'!B64-'Balance General'!B22+'Balance General'!B19+Renta!B157)*'Datos Generales'!D60)</f>
        <v>0</v>
      </c>
      <c r="D26" s="374">
        <f>IF(D25&gt;0,0,('Balance General'!C64-'Balance General'!C22+'Balance General'!C19+Renta!C157)*'Datos Generales'!E60)</f>
        <v>0</v>
      </c>
      <c r="E26" s="374">
        <f>IF(E25&gt;0,0,('Balance General'!D64-'Balance General'!D22+'Balance General'!D19+Renta!D157)*'Datos Generales'!F60)</f>
        <v>0</v>
      </c>
      <c r="F26" s="374">
        <f ca="1">IF(F25&gt;0,0,('Balance General'!E64-'Balance General'!E22+'Balance General'!E19+Renta!E157)*'Datos Generales'!G60)</f>
        <v>0</v>
      </c>
      <c r="G26" s="374">
        <f ca="1">IF(G25&gt;0,0,('Balance General'!F64-'Balance General'!F22+'Balance General'!F19+Renta!F157)*'Datos Generales'!H60)</f>
        <v>0</v>
      </c>
      <c r="H26" s="374">
        <f ca="1">IF(H25&gt;0,0,('Balance General'!G64-'Balance General'!G22+'Balance General'!G19+Renta!G157)*'Datos Generales'!I60)</f>
        <v>0</v>
      </c>
      <c r="I26" s="374">
        <f ca="1">IF(I25&gt;0,0,('Balance General'!H64-'Balance General'!H22+'Balance General'!H19+Renta!H157)*'Datos Generales'!J60)</f>
        <v>0</v>
      </c>
      <c r="J26" s="374">
        <f ca="1">IF(J25&gt;0,0,('Balance General'!I64-'Balance General'!I22+'Balance General'!I19+Renta!I157)*'Datos Generales'!K60)</f>
        <v>55945662445.543884</v>
      </c>
      <c r="K26" s="374">
        <f ca="1">IF(K25&gt;0,0,('Balance General'!J64-'Balance General'!J22+'Balance General'!J19+Renta!J157)*'Datos Generales'!L60)</f>
        <v>21805459356.296028</v>
      </c>
      <c r="L26" s="374">
        <f ca="1">IF(L25&gt;0,0,('Balance General'!K64-'Balance General'!K22+'Balance General'!K19+Renta!K157)*'Datos Generales'!M60)</f>
        <v>0</v>
      </c>
      <c r="M26" s="374">
        <f ca="1">IF(M25&gt;0,0,('Balance General'!L64-'Balance General'!L22+'Balance General'!L19+Renta!L157)*'Datos Generales'!N60)</f>
        <v>34754350392.89563</v>
      </c>
      <c r="N26" s="374">
        <f ca="1">IF(N25&gt;0,0,('Balance General'!M64-'Balance General'!M22+'Balance General'!M19+Renta!M157)*'Datos Generales'!O60)</f>
        <v>8521584744.813076</v>
      </c>
      <c r="O26" s="374">
        <f ca="1">IF(O25&gt;0,0,('Balance General'!N64-'Balance General'!N22+'Balance General'!N19+Renta!N157)*'Datos Generales'!P60)</f>
        <v>0</v>
      </c>
    </row>
    <row r="27" spans="1:15" ht="16.5" thickTop="1">
      <c r="A27" s="370" t="s">
        <v>663</v>
      </c>
      <c r="C27" s="351">
        <f>IF(C25&gt;0,-C25,-C26)*'Datos Generales'!D55</f>
        <v>-45485999999.999985</v>
      </c>
      <c r="D27" s="351">
        <f>IF(D25&gt;0,-D25,-D26)*'Datos Generales'!E55</f>
        <v>-24286904999.999992</v>
      </c>
      <c r="E27" s="351">
        <f>IF(E25&gt;0,-E25,-E26)*'Datos Generales'!F55</f>
        <v>-38503891765.337769</v>
      </c>
      <c r="F27" s="351">
        <f ca="1">IF(F25&gt;0,-F25,-F26)*'Datos Generales'!G55</f>
        <v>-138670502043.82819</v>
      </c>
      <c r="G27" s="351">
        <f ca="1">IF(G25&gt;0,-G25,-G26)*'Datos Generales'!H55</f>
        <v>-157965308653.02252</v>
      </c>
      <c r="H27" s="351">
        <f ca="1">IF(H25&gt;0,-H25,-H26)*'Datos Generales'!I55</f>
        <v>-221288828140.12405</v>
      </c>
      <c r="I27" s="351">
        <f ca="1">IF(I25&gt;0,-I25,-I26)*'Datos Generales'!J55</f>
        <v>-247584510700.14163</v>
      </c>
      <c r="J27" s="351">
        <f ca="1">IF(J25&gt;0,-J25,-J26)*'Datos Generales'!K55</f>
        <v>-5035109620.0989494</v>
      </c>
      <c r="K27" s="351">
        <f ca="1">IF(K25&gt;0,-K25,-K26)*'Datos Generales'!L55</f>
        <v>-1962491342.0666425</v>
      </c>
      <c r="L27" s="351">
        <f ca="1">IF(L25&gt;0,-L25,-L26)*'Datos Generales'!M55</f>
        <v>-45352865783.29995</v>
      </c>
      <c r="M27" s="351">
        <f ca="1">IF(M25&gt;0,-M25,-M26)*'Datos Generales'!N55</f>
        <v>-3127891535.3606067</v>
      </c>
      <c r="N27" s="351">
        <f ca="1">IF(N25&gt;0,-N25,-N26)*'Datos Generales'!O55</f>
        <v>-766942627.03317678</v>
      </c>
      <c r="O27" s="351">
        <f ca="1">IF(O25&gt;0,-O25,-O26)*'Datos Generales'!P55</f>
        <v>-113192280665.49588</v>
      </c>
    </row>
    <row r="28" spans="1:15" ht="24.95" customHeight="1">
      <c r="A28" s="370" t="s">
        <v>664</v>
      </c>
      <c r="C28" s="351">
        <f>(C38/('Datos Generales'!D54+'Datos Generales'!D55)*'Datos Generales'!D55)-2414496470.58824</f>
        <v>-4508680000.0000076</v>
      </c>
      <c r="D28" s="340">
        <f>D38-((287905000/('Datos Generales'!E54+'Datos Generales'!E55))*'Datos Generales'!E55)</f>
        <v>-3226750147.0588274</v>
      </c>
      <c r="E28" s="340">
        <f t="shared" ref="E28:O28" si="8">E38</f>
        <v>-3189597119.5432596</v>
      </c>
      <c r="F28" s="340">
        <f t="shared" si="8"/>
        <v>-24406805122.589691</v>
      </c>
      <c r="G28" s="340">
        <f t="shared" si="8"/>
        <v>-26276049490.80027</v>
      </c>
      <c r="H28" s="340">
        <f t="shared" si="8"/>
        <v>-29930073264.040413</v>
      </c>
      <c r="I28" s="340">
        <f t="shared" si="8"/>
        <v>-31856711085.597088</v>
      </c>
      <c r="J28" s="340">
        <f t="shared" si="8"/>
        <v>-16014594181.830452</v>
      </c>
      <c r="K28" s="340">
        <f t="shared" si="8"/>
        <v>-16104421731.372168</v>
      </c>
      <c r="L28" s="340">
        <f t="shared" si="8"/>
        <v>-16197946567.240143</v>
      </c>
      <c r="M28" s="340">
        <f t="shared" si="8"/>
        <v>-16295349073.376705</v>
      </c>
      <c r="N28" s="340">
        <f t="shared" si="8"/>
        <v>-15500548058.399776</v>
      </c>
      <c r="O28" s="340">
        <f t="shared" si="8"/>
        <v>-15606179188.37756</v>
      </c>
    </row>
    <row r="29" spans="1:15" s="375" customFormat="1" ht="16.5" thickBot="1">
      <c r="A29" s="372" t="s">
        <v>665</v>
      </c>
      <c r="B29" s="373"/>
      <c r="C29" s="374">
        <f>C27+C28</f>
        <v>-49994679999.999992</v>
      </c>
      <c r="D29" s="374">
        <f t="shared" ref="D29:O29" si="9">D27+D28</f>
        <v>-27513655147.058819</v>
      </c>
      <c r="E29" s="374">
        <f t="shared" si="9"/>
        <v>-41693488884.881027</v>
      </c>
      <c r="F29" s="374">
        <f t="shared" ca="1" si="9"/>
        <v>-163077307166.41788</v>
      </c>
      <c r="G29" s="374">
        <f t="shared" ca="1" si="9"/>
        <v>-184241358143.82278</v>
      </c>
      <c r="H29" s="374">
        <f t="shared" ca="1" si="9"/>
        <v>-251218901404.16446</v>
      </c>
      <c r="I29" s="374">
        <f t="shared" ca="1" si="9"/>
        <v>-279441221785.73871</v>
      </c>
      <c r="J29" s="374">
        <f t="shared" ca="1" si="9"/>
        <v>-21049703801.929401</v>
      </c>
      <c r="K29" s="374">
        <f t="shared" ca="1" si="9"/>
        <v>-18066913073.438808</v>
      </c>
      <c r="L29" s="374">
        <f t="shared" ca="1" si="9"/>
        <v>-61550812350.540092</v>
      </c>
      <c r="M29" s="374">
        <f t="shared" ca="1" si="9"/>
        <v>-19423240608.737312</v>
      </c>
      <c r="N29" s="374">
        <f t="shared" ca="1" si="9"/>
        <v>-16267490685.432953</v>
      </c>
      <c r="O29" s="374">
        <f t="shared" ca="1" si="9"/>
        <v>-128798459853.87344</v>
      </c>
    </row>
    <row r="30" spans="1:15" ht="16.5" thickTop="1">
      <c r="A30" s="376"/>
      <c r="D30" s="340"/>
      <c r="E30" s="340"/>
      <c r="F30" s="340">
        <f>D30+E30</f>
        <v>0</v>
      </c>
    </row>
    <row r="31" spans="1:15" ht="16.5" thickBot="1">
      <c r="A31" s="366" t="s">
        <v>659</v>
      </c>
      <c r="B31" s="366"/>
      <c r="C31" s="367"/>
      <c r="D31" s="367"/>
      <c r="E31" s="367"/>
      <c r="F31" s="367"/>
      <c r="G31" s="367"/>
      <c r="H31" s="367"/>
      <c r="I31" s="367"/>
      <c r="J31" s="367"/>
      <c r="K31" s="367"/>
      <c r="L31" s="367"/>
      <c r="M31" s="367"/>
      <c r="N31" s="367"/>
      <c r="O31" s="367"/>
    </row>
    <row r="32" spans="1:15" ht="17.25" thickTop="1" thickBot="1">
      <c r="A32" s="366" t="s">
        <v>666</v>
      </c>
      <c r="B32" s="366"/>
      <c r="C32" s="367">
        <f t="shared" ref="C32:O32" si="10">C31*APR</f>
        <v>0</v>
      </c>
      <c r="D32" s="367">
        <f t="shared" si="10"/>
        <v>0</v>
      </c>
      <c r="E32" s="367">
        <f t="shared" si="10"/>
        <v>0</v>
      </c>
      <c r="F32" s="367">
        <f t="shared" si="10"/>
        <v>0</v>
      </c>
      <c r="G32" s="367">
        <f t="shared" si="10"/>
        <v>0</v>
      </c>
      <c r="H32" s="367">
        <f t="shared" si="10"/>
        <v>0</v>
      </c>
      <c r="I32" s="367">
        <f t="shared" si="10"/>
        <v>0</v>
      </c>
      <c r="J32" s="367">
        <f t="shared" si="10"/>
        <v>0</v>
      </c>
      <c r="K32" s="367">
        <f t="shared" si="10"/>
        <v>0</v>
      </c>
      <c r="L32" s="367">
        <f t="shared" si="10"/>
        <v>0</v>
      </c>
      <c r="M32" s="367">
        <f t="shared" si="10"/>
        <v>0</v>
      </c>
      <c r="N32" s="367">
        <f t="shared" si="10"/>
        <v>0</v>
      </c>
      <c r="O32" s="367">
        <f t="shared" si="10"/>
        <v>0</v>
      </c>
    </row>
    <row r="33" spans="1:15" ht="16.5" thickTop="1">
      <c r="A33" s="377"/>
    </row>
    <row r="34" spans="1:15">
      <c r="A34" s="378" t="s">
        <v>667</v>
      </c>
      <c r="C34" s="340">
        <f>C156</f>
        <v>-181922000000.00009</v>
      </c>
      <c r="D34" s="340">
        <f>D156</f>
        <v>-90961000000.000046</v>
      </c>
      <c r="E34" s="340">
        <f t="shared" ref="E34:O34" si="11">E156</f>
        <v>-91224685989.850174</v>
      </c>
      <c r="F34" s="340">
        <f t="shared" si="11"/>
        <v>-389358144608.42407</v>
      </c>
      <c r="G34" s="340">
        <f t="shared" si="11"/>
        <v>-391036826544.00354</v>
      </c>
      <c r="H34" s="340">
        <f t="shared" si="11"/>
        <v>-392808008988.71069</v>
      </c>
      <c r="I34" s="340">
        <f t="shared" si="11"/>
        <v>-394652956506.63428</v>
      </c>
      <c r="J34" s="340">
        <f t="shared" si="11"/>
        <v>-396569370707.34332</v>
      </c>
      <c r="K34" s="340">
        <f t="shared" si="11"/>
        <v>-398565538474.93701</v>
      </c>
      <c r="L34" s="340">
        <f t="shared" si="11"/>
        <v>-400643868160.89203</v>
      </c>
      <c r="M34" s="340">
        <f t="shared" si="11"/>
        <v>-402808368297.26007</v>
      </c>
      <c r="N34" s="340">
        <f t="shared" si="11"/>
        <v>-395104323519.995</v>
      </c>
      <c r="O34" s="340">
        <f t="shared" si="11"/>
        <v>-397451681963.94574</v>
      </c>
    </row>
    <row r="35" spans="1:15">
      <c r="A35" s="378" t="s">
        <v>668</v>
      </c>
      <c r="C35" s="340">
        <f>'Activos fijos'!C84</f>
        <v>-94018000000</v>
      </c>
      <c r="D35" s="340">
        <f>'Activos fijos'!D84</f>
        <v>-55955000000</v>
      </c>
      <c r="E35" s="340">
        <f>'Activos fijos'!E84</f>
        <v>-55784717994.925064</v>
      </c>
      <c r="F35" s="340">
        <f>'Activos fijos'!F84</f>
        <v>-215023822304.21201</v>
      </c>
      <c r="G35" s="340">
        <f>'Activos fijos'!G84</f>
        <v>-215863163272.00174</v>
      </c>
      <c r="H35" s="340">
        <f>'Activos fijos'!H84</f>
        <v>-216748754494.35532</v>
      </c>
      <c r="I35" s="340">
        <f>'Activos fijos'!I84</f>
        <v>-217671228253.31711</v>
      </c>
      <c r="J35" s="340">
        <f>'Activos fijos'!J84</f>
        <v>-218629435353.67163</v>
      </c>
      <c r="K35" s="340">
        <f>'Activos fijos'!K84</f>
        <v>-219627519237.46848</v>
      </c>
      <c r="L35" s="340">
        <f>'Activos fijos'!L84</f>
        <v>-220666684080.44598</v>
      </c>
      <c r="M35" s="340">
        <f>'Activos fijos'!M84</f>
        <v>-221748934148.63</v>
      </c>
      <c r="N35" s="340">
        <f>'Activos fijos'!N84</f>
        <v>-222876011759.99747</v>
      </c>
      <c r="O35" s="340">
        <f>'Activos fijos'!O84</f>
        <v>-224049690981.97284</v>
      </c>
    </row>
    <row r="36" spans="1:15">
      <c r="A36" s="378"/>
      <c r="D36" s="340"/>
    </row>
    <row r="37" spans="1:15">
      <c r="A37" s="378" t="s">
        <v>669</v>
      </c>
      <c r="C37" s="340">
        <f>C35-C34</f>
        <v>87904000000.000092</v>
      </c>
      <c r="D37" s="340">
        <f t="shared" ref="D37:O37" si="12">D35-D34</f>
        <v>35006000000.000046</v>
      </c>
      <c r="E37" s="340">
        <f t="shared" si="12"/>
        <v>35439967994.92511</v>
      </c>
      <c r="F37" s="340">
        <f t="shared" si="12"/>
        <v>174334322304.21207</v>
      </c>
      <c r="G37" s="340">
        <f t="shared" si="12"/>
        <v>175173663272.0018</v>
      </c>
      <c r="H37" s="340">
        <f t="shared" si="12"/>
        <v>176059254494.35538</v>
      </c>
      <c r="I37" s="340">
        <f t="shared" si="12"/>
        <v>176981728253.31717</v>
      </c>
      <c r="J37" s="340">
        <f t="shared" si="12"/>
        <v>177939935353.67169</v>
      </c>
      <c r="K37" s="340">
        <f t="shared" si="12"/>
        <v>178938019237.46854</v>
      </c>
      <c r="L37" s="340">
        <f t="shared" si="12"/>
        <v>179977184080.44604</v>
      </c>
      <c r="M37" s="340">
        <f t="shared" si="12"/>
        <v>181059434148.63007</v>
      </c>
      <c r="N37" s="340">
        <f t="shared" si="12"/>
        <v>172228311759.99753</v>
      </c>
      <c r="O37" s="340">
        <f t="shared" si="12"/>
        <v>173401990981.9729</v>
      </c>
    </row>
    <row r="38" spans="1:15">
      <c r="A38" s="378" t="s">
        <v>670</v>
      </c>
      <c r="C38" s="340">
        <f>-C37*'Datos Generales'!D55</f>
        <v>-7911360000.0000076</v>
      </c>
      <c r="D38" s="340">
        <f>-D37*'Datos Generales'!E55</f>
        <v>-3150540000.0000038</v>
      </c>
      <c r="E38" s="340">
        <f>-E37*'Datos Generales'!F55</f>
        <v>-3189597119.5432596</v>
      </c>
      <c r="F38" s="340">
        <f>-F37*'Datos Generales'!G55</f>
        <v>-24406805122.589691</v>
      </c>
      <c r="G38" s="340">
        <f>-G37*'Datos Generales'!H55</f>
        <v>-26276049490.80027</v>
      </c>
      <c r="H38" s="340">
        <f>-H37*'Datos Generales'!I55</f>
        <v>-29930073264.040413</v>
      </c>
      <c r="I38" s="340">
        <f>-I37*'Datos Generales'!J55</f>
        <v>-31856711085.597088</v>
      </c>
      <c r="J38" s="340">
        <f>-J37*'Datos Generales'!K55</f>
        <v>-16014594181.830452</v>
      </c>
      <c r="K38" s="340">
        <f>-K37*'Datos Generales'!L55</f>
        <v>-16104421731.372168</v>
      </c>
      <c r="L38" s="340">
        <f>-L37*'Datos Generales'!M55</f>
        <v>-16197946567.240143</v>
      </c>
      <c r="M38" s="340">
        <f>-M37*'Datos Generales'!N55</f>
        <v>-16295349073.376705</v>
      </c>
      <c r="N38" s="340">
        <f>-N37*'Datos Generales'!O55</f>
        <v>-15500548058.399776</v>
      </c>
      <c r="O38" s="340">
        <f>-O37*'Datos Generales'!P55</f>
        <v>-15606179188.37756</v>
      </c>
    </row>
    <row r="39" spans="1:15">
      <c r="A39" s="378" t="s">
        <v>671</v>
      </c>
      <c r="B39" s="403">
        <v>0</v>
      </c>
      <c r="C39" s="340">
        <f>B39+C38</f>
        <v>-7911360000.0000076</v>
      </c>
      <c r="D39" s="340">
        <f t="shared" ref="D39:O39" si="13">C39+D38</f>
        <v>-11061900000.000011</v>
      </c>
      <c r="E39" s="340">
        <f t="shared" si="13"/>
        <v>-14251497119.54327</v>
      </c>
      <c r="F39" s="340">
        <f t="shared" si="13"/>
        <v>-38658302242.132965</v>
      </c>
      <c r="G39" s="340">
        <f t="shared" si="13"/>
        <v>-64934351732.933235</v>
      </c>
      <c r="H39" s="340">
        <f t="shared" si="13"/>
        <v>-94864424996.973648</v>
      </c>
      <c r="I39" s="340">
        <f t="shared" si="13"/>
        <v>-126721136082.57074</v>
      </c>
      <c r="J39" s="340">
        <f t="shared" si="13"/>
        <v>-142735730264.40118</v>
      </c>
      <c r="K39" s="340">
        <f t="shared" si="13"/>
        <v>-158840151995.77335</v>
      </c>
      <c r="L39" s="340">
        <f t="shared" si="13"/>
        <v>-175038098563.01349</v>
      </c>
      <c r="M39" s="340">
        <f t="shared" si="13"/>
        <v>-191333447636.3902</v>
      </c>
      <c r="N39" s="340">
        <f t="shared" si="13"/>
        <v>-206833995694.78998</v>
      </c>
      <c r="O39" s="340">
        <f t="shared" si="13"/>
        <v>-222440174883.16754</v>
      </c>
    </row>
    <row r="40" spans="1:15">
      <c r="A40" s="377"/>
      <c r="C40" s="340"/>
      <c r="D40" s="340"/>
    </row>
    <row r="41" spans="1:15" ht="16.5" thickBot="1">
      <c r="A41" s="372" t="s">
        <v>672</v>
      </c>
      <c r="C41" s="340"/>
      <c r="D41" s="340"/>
      <c r="E41" s="340"/>
      <c r="F41" s="340"/>
      <c r="G41" s="340"/>
      <c r="H41" s="340"/>
      <c r="I41" s="340"/>
      <c r="J41" s="340"/>
      <c r="K41" s="340"/>
      <c r="L41" s="340"/>
      <c r="M41" s="340"/>
      <c r="N41" s="340"/>
      <c r="O41" s="340"/>
    </row>
    <row r="42" spans="1:15" ht="17.25" thickTop="1" thickBot="1">
      <c r="A42" s="366" t="s">
        <v>660</v>
      </c>
      <c r="B42" s="366"/>
      <c r="C42" s="367"/>
      <c r="D42" s="367"/>
      <c r="E42" s="367">
        <f>E23</f>
        <v>427821019614.86407</v>
      </c>
      <c r="F42" s="367">
        <f ca="1">F23</f>
        <v>990503586027.34412</v>
      </c>
      <c r="G42" s="367">
        <f t="shared" ref="G42:O42" ca="1" si="14">G23</f>
        <v>1053102057686.8169</v>
      </c>
      <c r="H42" s="367">
        <f t="shared" ca="1" si="14"/>
        <v>1301698989059.5535</v>
      </c>
      <c r="I42" s="367">
        <f t="shared" ca="1" si="14"/>
        <v>1375469503889.6758</v>
      </c>
      <c r="J42" s="367">
        <f t="shared" ca="1" si="14"/>
        <v>-197766645622.72699</v>
      </c>
      <c r="K42" s="367">
        <f t="shared" ca="1" si="14"/>
        <v>-184034944212.73938</v>
      </c>
      <c r="L42" s="367">
        <f t="shared" ca="1" si="14"/>
        <v>904411796788.38989</v>
      </c>
      <c r="M42" s="367">
        <f t="shared" ca="1" si="14"/>
        <v>-207941815641.14893</v>
      </c>
      <c r="N42" s="367">
        <f t="shared" ca="1" si="14"/>
        <v>-26098456491.801636</v>
      </c>
      <c r="O42" s="367">
        <f t="shared" ca="1" si="14"/>
        <v>1506043111798.3577</v>
      </c>
    </row>
    <row r="43" spans="1:15" ht="16.5" thickTop="1">
      <c r="A43" s="302" t="s">
        <v>713</v>
      </c>
      <c r="C43" s="340">
        <f>IF(C23&gt;0,0,C23)</f>
        <v>0</v>
      </c>
      <c r="D43" s="340">
        <f t="shared" ref="D43:O43" si="15">IF(D23&gt;0,0,D23)</f>
        <v>0</v>
      </c>
      <c r="E43" s="340">
        <f t="shared" si="15"/>
        <v>0</v>
      </c>
      <c r="F43" s="340">
        <f t="shared" ca="1" si="15"/>
        <v>0</v>
      </c>
      <c r="G43" s="340">
        <f t="shared" ca="1" si="15"/>
        <v>0</v>
      </c>
      <c r="H43" s="340">
        <f t="shared" ca="1" si="15"/>
        <v>0</v>
      </c>
      <c r="I43" s="340">
        <f t="shared" ca="1" si="15"/>
        <v>0</v>
      </c>
      <c r="J43" s="340">
        <f t="shared" ca="1" si="15"/>
        <v>-197766645622.72699</v>
      </c>
      <c r="K43" s="340">
        <f t="shared" ca="1" si="15"/>
        <v>-184034944212.73938</v>
      </c>
      <c r="L43" s="340">
        <f t="shared" ca="1" si="15"/>
        <v>0</v>
      </c>
      <c r="M43" s="340">
        <f t="shared" ca="1" si="15"/>
        <v>-207941815641.14893</v>
      </c>
      <c r="N43" s="340">
        <f t="shared" ca="1" si="15"/>
        <v>-26098456491.801636</v>
      </c>
      <c r="O43" s="340">
        <f t="shared" ca="1" si="15"/>
        <v>0</v>
      </c>
    </row>
    <row r="44" spans="1:15">
      <c r="A44" s="302" t="s">
        <v>673</v>
      </c>
      <c r="C44" s="340">
        <f>(B44-B45)*(1+Macroeconomicos!C6)+C43</f>
        <v>0</v>
      </c>
      <c r="D44" s="340">
        <f>(C44-C45)*(1+Macroeconomicos!D6)+D43</f>
        <v>0</v>
      </c>
      <c r="E44" s="340">
        <f>(D44-D45)*(1+Macroeconomicos!E6)+E43</f>
        <v>0</v>
      </c>
      <c r="F44" s="340">
        <f ca="1">(E44-E45)*(1+Macroeconomicos!F6)+F43</f>
        <v>0</v>
      </c>
      <c r="G44" s="340">
        <f ca="1">(F44-F45)*(1+Macroeconomicos!G6)+G43</f>
        <v>0</v>
      </c>
      <c r="H44" s="340">
        <f ca="1">(G44-G45)*(1+Macroeconomicos!H6)+H43</f>
        <v>0</v>
      </c>
      <c r="I44" s="340">
        <f ca="1">(H44-H45)*(1+Macroeconomicos!I6)+I43</f>
        <v>0</v>
      </c>
      <c r="J44" s="340">
        <f ca="1">(I44-I45)*(1+Macroeconomicos!J6)+J43</f>
        <v>-197766645622.72699</v>
      </c>
      <c r="K44" s="340">
        <f ca="1">(J44-J45)*(1+Macroeconomicos!K6)+K43</f>
        <v>-388110345830.83136</v>
      </c>
      <c r="L44" s="340">
        <f ca="1">(K44-K45)*(1+Macroeconomicos!L6)+L43</f>
        <v>-400491065862.8349</v>
      </c>
      <c r="M44" s="340">
        <f ca="1">(L44-L45)*(1+Macroeconomicos!M6)+M43</f>
        <v>-207941815641.14893</v>
      </c>
      <c r="N44" s="340">
        <f ca="1">(M44-M45)*(1+Macroeconomicos!N6)+N43</f>
        <v>-240673616051.90323</v>
      </c>
      <c r="O44" s="340">
        <f ca="1">(N44-N45)*(1+Macroeconomicos!O6)+O43</f>
        <v>-248351104403.95895</v>
      </c>
    </row>
    <row r="45" spans="1:15" ht="16.5" customHeight="1">
      <c r="A45" s="302" t="s">
        <v>674</v>
      </c>
      <c r="C45" s="340">
        <f>IF(C42&gt;0,IF(C42&gt;-C44,C44,-C42),0)</f>
        <v>0</v>
      </c>
      <c r="D45" s="340">
        <f t="shared" ref="D45:O45" si="16">IF(D42&gt;0,IF(D42&gt;-D44,D44,-D42),0)</f>
        <v>0</v>
      </c>
      <c r="E45" s="340">
        <f t="shared" si="16"/>
        <v>0</v>
      </c>
      <c r="F45" s="340">
        <f t="shared" ca="1" si="16"/>
        <v>0</v>
      </c>
      <c r="G45" s="340">
        <f t="shared" ca="1" si="16"/>
        <v>0</v>
      </c>
      <c r="H45" s="340">
        <f t="shared" ca="1" si="16"/>
        <v>0</v>
      </c>
      <c r="I45" s="340">
        <f t="shared" ca="1" si="16"/>
        <v>0</v>
      </c>
      <c r="J45" s="340">
        <f t="shared" ca="1" si="16"/>
        <v>0</v>
      </c>
      <c r="K45" s="340">
        <f t="shared" ca="1" si="16"/>
        <v>0</v>
      </c>
      <c r="L45" s="340">
        <f t="shared" ca="1" si="16"/>
        <v>-400491065862.8349</v>
      </c>
      <c r="M45" s="340">
        <f t="shared" ca="1" si="16"/>
        <v>0</v>
      </c>
      <c r="N45" s="340">
        <f t="shared" ca="1" si="16"/>
        <v>0</v>
      </c>
      <c r="O45" s="340">
        <f t="shared" ca="1" si="16"/>
        <v>-248351104403.95895</v>
      </c>
    </row>
    <row r="46" spans="1:15" ht="16.5" thickBot="1">
      <c r="A46" s="366" t="s">
        <v>675</v>
      </c>
      <c r="B46" s="366"/>
      <c r="C46" s="367">
        <f>IF(C42&lt;0,0,C42+C45)</f>
        <v>0</v>
      </c>
      <c r="D46" s="367">
        <f t="shared" ref="D46:O46" si="17">IF(D42&lt;0,0,D42+D45)</f>
        <v>0</v>
      </c>
      <c r="E46" s="367">
        <f t="shared" si="17"/>
        <v>427821019614.86407</v>
      </c>
      <c r="F46" s="367">
        <f t="shared" ca="1" si="17"/>
        <v>990503586027.34412</v>
      </c>
      <c r="G46" s="367">
        <f t="shared" ca="1" si="17"/>
        <v>1053102057686.8169</v>
      </c>
      <c r="H46" s="367">
        <f t="shared" ca="1" si="17"/>
        <v>1301698989059.5535</v>
      </c>
      <c r="I46" s="367">
        <f t="shared" ca="1" si="17"/>
        <v>1375469503889.6758</v>
      </c>
      <c r="J46" s="367">
        <f t="shared" ca="1" si="17"/>
        <v>0</v>
      </c>
      <c r="K46" s="367">
        <f t="shared" ca="1" si="17"/>
        <v>0</v>
      </c>
      <c r="L46" s="367">
        <f t="shared" ca="1" si="17"/>
        <v>503920730925.55499</v>
      </c>
      <c r="M46" s="367">
        <f t="shared" ca="1" si="17"/>
        <v>0</v>
      </c>
      <c r="N46" s="367">
        <f t="shared" ca="1" si="17"/>
        <v>0</v>
      </c>
      <c r="O46" s="367">
        <f t="shared" ca="1" si="17"/>
        <v>1257692007394.3987</v>
      </c>
    </row>
    <row r="47" spans="1:15" ht="16.5" thickTop="1">
      <c r="A47" s="368"/>
      <c r="B47" s="368"/>
      <c r="C47" s="369"/>
      <c r="D47" s="369"/>
      <c r="E47" s="369"/>
      <c r="F47" s="369"/>
      <c r="G47" s="369"/>
      <c r="H47" s="369"/>
      <c r="I47" s="369"/>
      <c r="J47" s="369"/>
      <c r="K47" s="369"/>
      <c r="L47" s="369"/>
      <c r="M47" s="369"/>
      <c r="N47" s="369"/>
      <c r="O47" s="369"/>
    </row>
    <row r="48" spans="1:15">
      <c r="A48" s="368"/>
      <c r="B48" s="368"/>
      <c r="C48" s="369"/>
      <c r="D48" s="369"/>
      <c r="E48" s="369"/>
      <c r="F48" s="369"/>
      <c r="G48" s="369"/>
      <c r="H48" s="369"/>
      <c r="I48" s="369"/>
      <c r="J48" s="369"/>
      <c r="K48" s="369"/>
      <c r="L48" s="369"/>
      <c r="M48" s="369"/>
      <c r="N48" s="369"/>
      <c r="O48" s="369"/>
    </row>
    <row r="50" spans="1:15">
      <c r="A50" s="379" t="s">
        <v>676</v>
      </c>
      <c r="B50" s="314"/>
    </row>
    <row r="51" spans="1:15" ht="24.95" customHeight="1">
      <c r="A51" s="380"/>
    </row>
    <row r="52" spans="1:15" s="307" customFormat="1">
      <c r="A52" s="378" t="s">
        <v>677</v>
      </c>
      <c r="C52" s="381">
        <f>IF(C25&gt;0,C7+C9+C10+C11+C14+C15+C16+C21,0)</f>
        <v>518712999999.99988</v>
      </c>
      <c r="D52" s="381">
        <f t="shared" ref="D52:O52" si="18">IF(D25&gt;0,D7+D9+D10+D11+D14+D15+D16+D21,0)</f>
        <v>272210999999.99994</v>
      </c>
      <c r="E52" s="381">
        <f t="shared" si="18"/>
        <v>473811306262.17151</v>
      </c>
      <c r="F52" s="381">
        <f t="shared" ca="1" si="18"/>
        <v>1293524809035.3335</v>
      </c>
      <c r="G52" s="381">
        <f t="shared" ca="1" si="18"/>
        <v>1299408283824.7688</v>
      </c>
      <c r="H52" s="381">
        <f t="shared" ca="1" si="18"/>
        <v>1527270515305.176</v>
      </c>
      <c r="I52" s="381">
        <f t="shared" ca="1" si="18"/>
        <v>1565137260700.7932</v>
      </c>
      <c r="J52" s="381">
        <f t="shared" ca="1" si="18"/>
        <v>0</v>
      </c>
      <c r="K52" s="381">
        <f t="shared" ca="1" si="18"/>
        <v>0</v>
      </c>
      <c r="L52" s="381">
        <f t="shared" ca="1" si="18"/>
        <v>1043901432385.9277</v>
      </c>
      <c r="M52" s="381">
        <f t="shared" ca="1" si="18"/>
        <v>0</v>
      </c>
      <c r="N52" s="381">
        <f t="shared" ca="1" si="18"/>
        <v>0</v>
      </c>
      <c r="O52" s="381">
        <f t="shared" ca="1" si="18"/>
        <v>1553866145490.0059</v>
      </c>
    </row>
    <row r="53" spans="1:15" s="307" customFormat="1">
      <c r="A53" s="378" t="s">
        <v>678</v>
      </c>
      <c r="C53" s="381">
        <f>IF(C52&gt;0,MAX(C45,SUM($B$21:C21)-SUM($B$53:B53),-C52),0)</f>
        <v>0</v>
      </c>
      <c r="D53" s="381">
        <f>IF(D52&gt;0,MAX(D45,SUM($B$21:D21)-SUM($B$53:C53),-D52),0)</f>
        <v>0</v>
      </c>
      <c r="E53" s="381">
        <f>IF(E52&gt;0,MAX(E45,SUM($B$21:E21)-SUM($B$53:D53),-E52),0)</f>
        <v>0</v>
      </c>
      <c r="F53" s="381">
        <f ca="1">IF(F52&gt;0,MAX(F45,SUM($B$21:F21)-SUM($B$53:E53),-F52),0)</f>
        <v>0</v>
      </c>
      <c r="G53" s="381">
        <f ca="1">IF(G52&gt;0,MAX(G45,SUM($B$21:G21)-SUM($B$53:F53),-G52),0)</f>
        <v>0</v>
      </c>
      <c r="H53" s="381">
        <f ca="1">IF(H52&gt;0,MAX(H45,SUM($B$21:H21)-SUM($B$53:G53),-H52),0)</f>
        <v>0</v>
      </c>
      <c r="I53" s="381">
        <f ca="1">IF(I52&gt;0,MAX(I45,SUM($B$21:I21)-SUM($B$53:H53),-I52),0)</f>
        <v>0</v>
      </c>
      <c r="J53" s="381">
        <f ca="1">IF(J52&gt;0,MAX(J45,SUM($B$21:J21)-SUM($B$53:I53),-J52),0)</f>
        <v>0</v>
      </c>
      <c r="K53" s="381">
        <f ca="1">IF(K52&gt;0,MAX(K45,SUM($B$21:K21)-SUM($B$53:J53),-K52),0)</f>
        <v>0</v>
      </c>
      <c r="L53" s="381">
        <f ca="1">IF(L52&gt;0,MAX(L45,SUM($B$21:L21)-SUM($B$53:K53),-L52),0)</f>
        <v>0</v>
      </c>
      <c r="M53" s="381">
        <f ca="1">IF(M52&gt;0,MAX(M45,SUM($B$21:M21)-SUM($B$53:L53),-M52),0)</f>
        <v>0</v>
      </c>
      <c r="N53" s="381">
        <f ca="1">IF(N52&gt;0,MAX(N45,SUM($B$21:N21)-SUM($B$53:M53),-N52),0)</f>
        <v>0</v>
      </c>
      <c r="O53" s="381">
        <f ca="1">IF(O52&gt;0,MAX(O45,SUM($B$21:O21)-SUM($B$53:N53),-O52),0)</f>
        <v>0</v>
      </c>
    </row>
    <row r="54" spans="1:15" s="307" customFormat="1">
      <c r="A54" s="378" t="s">
        <v>1047</v>
      </c>
      <c r="C54" s="381">
        <f t="shared" ref="C54:I54" si="19">IF(C25&lt;=0,C26,0)</f>
        <v>0</v>
      </c>
      <c r="D54" s="381">
        <f t="shared" si="19"/>
        <v>0</v>
      </c>
      <c r="E54" s="381">
        <f t="shared" si="19"/>
        <v>0</v>
      </c>
      <c r="F54" s="381">
        <f t="shared" ca="1" si="19"/>
        <v>0</v>
      </c>
      <c r="G54" s="381">
        <f t="shared" ca="1" si="19"/>
        <v>0</v>
      </c>
      <c r="H54" s="381">
        <f t="shared" ca="1" si="19"/>
        <v>0</v>
      </c>
      <c r="I54" s="381">
        <f t="shared" ca="1" si="19"/>
        <v>0</v>
      </c>
      <c r="J54" s="381">
        <f ca="1">IF(J25&lt;=0,J26,0)</f>
        <v>55945662445.543884</v>
      </c>
      <c r="K54" s="381">
        <f t="shared" ref="K54:O54" ca="1" si="20">IF(K25&lt;=0,K26,0)</f>
        <v>21805459356.296028</v>
      </c>
      <c r="L54" s="381">
        <f t="shared" ca="1" si="20"/>
        <v>0</v>
      </c>
      <c r="M54" s="381">
        <f t="shared" ca="1" si="20"/>
        <v>34754350392.89563</v>
      </c>
      <c r="N54" s="381">
        <f t="shared" ca="1" si="20"/>
        <v>8521584744.813076</v>
      </c>
      <c r="O54" s="381">
        <f t="shared" ca="1" si="20"/>
        <v>0</v>
      </c>
    </row>
    <row r="55" spans="1:15" ht="16.5" thickBot="1">
      <c r="A55" s="366" t="s">
        <v>679</v>
      </c>
      <c r="B55" s="366"/>
      <c r="C55" s="367">
        <f>SUM(C52:C54)</f>
        <v>518712999999.99988</v>
      </c>
      <c r="D55" s="367">
        <f t="shared" ref="D55:O55" si="21">SUM(D52:D54)</f>
        <v>272210999999.99994</v>
      </c>
      <c r="E55" s="367">
        <f t="shared" si="21"/>
        <v>473811306262.17151</v>
      </c>
      <c r="F55" s="367">
        <f t="shared" ca="1" si="21"/>
        <v>1293524809035.3335</v>
      </c>
      <c r="G55" s="367">
        <f t="shared" ca="1" si="21"/>
        <v>1299408283824.7688</v>
      </c>
      <c r="H55" s="367">
        <f t="shared" ca="1" si="21"/>
        <v>1527270515305.176</v>
      </c>
      <c r="I55" s="367">
        <f t="shared" ca="1" si="21"/>
        <v>1565137260700.7932</v>
      </c>
      <c r="J55" s="367">
        <f t="shared" ca="1" si="21"/>
        <v>55945662445.543884</v>
      </c>
      <c r="K55" s="367">
        <f t="shared" ca="1" si="21"/>
        <v>21805459356.296028</v>
      </c>
      <c r="L55" s="367">
        <f t="shared" ca="1" si="21"/>
        <v>1043901432385.9277</v>
      </c>
      <c r="M55" s="367">
        <f t="shared" ca="1" si="21"/>
        <v>34754350392.89563</v>
      </c>
      <c r="N55" s="367">
        <f t="shared" ca="1" si="21"/>
        <v>8521584744.813076</v>
      </c>
      <c r="O55" s="367">
        <f t="shared" ca="1" si="21"/>
        <v>1553866145490.0059</v>
      </c>
    </row>
    <row r="56" spans="1:15" ht="17.25" thickTop="1" thickBot="1">
      <c r="A56" s="366" t="s">
        <v>680</v>
      </c>
      <c r="B56" s="366"/>
      <c r="C56" s="367">
        <f>IF(C55&lt;0,0,-C55*'Datos Generales'!D55)</f>
        <v>-46684169999.999985</v>
      </c>
      <c r="D56" s="367">
        <f>IF(D55&lt;0,0,-D55*'Datos Generales'!E55)</f>
        <v>-24498989999.999992</v>
      </c>
      <c r="E56" s="367">
        <f>IF(E55&lt;0,0,-E55*'Datos Generales'!F55)</f>
        <v>-42643017563.595436</v>
      </c>
      <c r="F56" s="367">
        <f ca="1">IF(F55&lt;0,0,-F55*'Datos Generales'!G55)</f>
        <v>-181093473264.94672</v>
      </c>
      <c r="G56" s="367">
        <f ca="1">IF(G55&lt;0,0,-G55*'Datos Generales'!H55)</f>
        <v>-194911242573.7153</v>
      </c>
      <c r="H56" s="367">
        <f ca="1">IF(H55&lt;0,0,-H55*'Datos Generales'!I55)</f>
        <v>-259635987601.87991</v>
      </c>
      <c r="I56" s="367">
        <f ca="1">IF(I55&lt;0,0,-I55*'Datos Generales'!J55)</f>
        <v>-281724706926.14276</v>
      </c>
      <c r="J56" s="367">
        <f ca="1">IF(J55&lt;0,0,-J55*'Datos Generales'!K55)</f>
        <v>-5035109620.0989494</v>
      </c>
      <c r="K56" s="367">
        <f ca="1">IF(K55&lt;0,0,-K55*'Datos Generales'!L55)</f>
        <v>-1962491342.0666425</v>
      </c>
      <c r="L56" s="367">
        <f ca="1">IF(L55&lt;0,0,-L55*'Datos Generales'!M55)</f>
        <v>-93951128914.73349</v>
      </c>
      <c r="M56" s="367">
        <f ca="1">IF(M55&lt;0,0,-M55*'Datos Generales'!N55)</f>
        <v>-3127891535.3606067</v>
      </c>
      <c r="N56" s="367">
        <f ca="1">IF(N55&lt;0,0,-N55*'Datos Generales'!O55)</f>
        <v>-766942627.03317678</v>
      </c>
      <c r="O56" s="367">
        <f ca="1">IF(O55&lt;0,0,-O55*'Datos Generales'!P55)</f>
        <v>-139847953094.10052</v>
      </c>
    </row>
    <row r="57" spans="1:15" ht="16.5" thickTop="1">
      <c r="A57" s="380"/>
    </row>
    <row r="58" spans="1:15">
      <c r="A58" s="380" t="s">
        <v>681</v>
      </c>
      <c r="C58" s="340">
        <f t="shared" ref="C58:I58" si="22">IF(C25&gt;0,C20,0)</f>
        <v>43874000000</v>
      </c>
      <c r="D58" s="340">
        <f t="shared" si="22"/>
        <v>19777000000</v>
      </c>
      <c r="E58" s="340">
        <f t="shared" si="22"/>
        <v>6014220875.2537498</v>
      </c>
      <c r="F58" s="340">
        <f t="shared" ca="1" si="22"/>
        <v>17640586289.398102</v>
      </c>
      <c r="G58" s="340">
        <f t="shared" ca="1" si="22"/>
        <v>41455170628.683563</v>
      </c>
      <c r="H58" s="340">
        <f t="shared" ca="1" si="22"/>
        <v>27406396359.511684</v>
      </c>
      <c r="I58" s="340">
        <f t="shared" ca="1" si="22"/>
        <v>29565274501.615566</v>
      </c>
      <c r="J58" s="340">
        <f ca="1">IF(J25&gt;0,J20,0)</f>
        <v>0</v>
      </c>
      <c r="K58" s="340">
        <f t="shared" ref="K58:O58" ca="1" si="23">IF(K25&gt;0,K20,0)</f>
        <v>0</v>
      </c>
      <c r="L58" s="340">
        <f t="shared" ca="1" si="23"/>
        <v>1.0744178771972663E-5</v>
      </c>
      <c r="M58" s="340">
        <f t="shared" ca="1" si="23"/>
        <v>0</v>
      </c>
      <c r="N58" s="340">
        <f t="shared" ca="1" si="23"/>
        <v>0</v>
      </c>
      <c r="O58" s="340">
        <f t="shared" ca="1" si="23"/>
        <v>-1.7529975891113292E-5</v>
      </c>
    </row>
    <row r="59" spans="1:15">
      <c r="A59" s="380" t="s">
        <v>657</v>
      </c>
      <c r="C59" s="340">
        <f t="shared" ref="C59:K59" si="24">IF(C25&gt;0,C17,0)</f>
        <v>-8178000000</v>
      </c>
      <c r="D59" s="340">
        <f t="shared" si="24"/>
        <v>-7877000000</v>
      </c>
      <c r="E59" s="340">
        <f t="shared" si="24"/>
        <v>-6790037125.806406</v>
      </c>
      <c r="F59" s="340">
        <f t="shared" ca="1" si="24"/>
        <v>-10080392073.764914</v>
      </c>
      <c r="G59" s="340">
        <f t="shared" ca="1" si="24"/>
        <v>-13378941832.642994</v>
      </c>
      <c r="H59" s="340">
        <f t="shared" ca="1" si="24"/>
        <v>-12911368330.022572</v>
      </c>
      <c r="I59" s="340">
        <f t="shared" ca="1" si="24"/>
        <v>-14520960565.602266</v>
      </c>
      <c r="J59" s="340">
        <f t="shared" ca="1" si="24"/>
        <v>0</v>
      </c>
      <c r="K59" s="340">
        <f t="shared" ca="1" si="24"/>
        <v>0</v>
      </c>
      <c r="L59" s="340">
        <f ca="1">IF(L25&gt;0,L17,0)</f>
        <v>-2847780443.0515537</v>
      </c>
      <c r="M59" s="340">
        <f t="shared" ref="M59:O59" ca="1" si="25">IF(M25&gt;0,M17,0)</f>
        <v>0</v>
      </c>
      <c r="N59" s="340">
        <f t="shared" ca="1" si="25"/>
        <v>0</v>
      </c>
      <c r="O59" s="340">
        <f t="shared" ca="1" si="25"/>
        <v>0</v>
      </c>
    </row>
    <row r="60" spans="1:15">
      <c r="A60" s="380" t="s">
        <v>682</v>
      </c>
      <c r="C60" s="340">
        <f t="shared" ref="C60:K60" si="26">IF(C25&gt;0,C19+C22,0)</f>
        <v>-49009000000</v>
      </c>
      <c r="D60" s="340">
        <f t="shared" si="26"/>
        <v>-14256500000</v>
      </c>
      <c r="E60" s="340">
        <f t="shared" si="26"/>
        <v>-45214470396.754776</v>
      </c>
      <c r="F60" s="340">
        <f t="shared" ca="1" si="26"/>
        <v>-310581417223.6225</v>
      </c>
      <c r="G60" s="340">
        <f t="shared" ca="1" si="26"/>
        <v>-274382454933.99246</v>
      </c>
      <c r="H60" s="340">
        <f t="shared" ca="1" si="26"/>
        <v>-240066554275.11157</v>
      </c>
      <c r="I60" s="340">
        <f t="shared" ca="1" si="26"/>
        <v>-204712070747.13065</v>
      </c>
      <c r="J60" s="340">
        <f t="shared" ca="1" si="26"/>
        <v>0</v>
      </c>
      <c r="K60" s="340">
        <f t="shared" ca="1" si="26"/>
        <v>0</v>
      </c>
      <c r="L60" s="340">
        <f ca="1">IF(L25&gt;0,L19+L22,0)</f>
        <v>-136641855154.48619</v>
      </c>
      <c r="M60" s="340">
        <f t="shared" ref="M60:O60" ca="1" si="27">IF(M25&gt;0,M19+M22,0)</f>
        <v>0</v>
      </c>
      <c r="N60" s="340">
        <f t="shared" ca="1" si="27"/>
        <v>0</v>
      </c>
      <c r="O60" s="340">
        <f t="shared" ca="1" si="27"/>
        <v>-47823033691.648033</v>
      </c>
    </row>
    <row r="61" spans="1:15">
      <c r="A61" s="380" t="s">
        <v>683</v>
      </c>
      <c r="C61" s="340">
        <f t="shared" ref="C61:K61" si="28">IF(C25&gt;0,C24-C53,0)</f>
        <v>0</v>
      </c>
      <c r="D61" s="340">
        <f t="shared" si="28"/>
        <v>0</v>
      </c>
      <c r="E61" s="340">
        <f t="shared" si="28"/>
        <v>0</v>
      </c>
      <c r="F61" s="340">
        <f t="shared" ca="1" si="28"/>
        <v>0</v>
      </c>
      <c r="G61" s="340">
        <f t="shared" ca="1" si="28"/>
        <v>0</v>
      </c>
      <c r="H61" s="340">
        <f t="shared" ca="1" si="28"/>
        <v>0</v>
      </c>
      <c r="I61" s="340">
        <f t="shared" ca="1" si="28"/>
        <v>0</v>
      </c>
      <c r="J61" s="340">
        <f t="shared" ca="1" si="28"/>
        <v>0</v>
      </c>
      <c r="K61" s="340">
        <f t="shared" ca="1" si="28"/>
        <v>0</v>
      </c>
      <c r="L61" s="340">
        <f ca="1">IF(L25&gt;0,L24-L53,0)</f>
        <v>-400491065862.8349</v>
      </c>
      <c r="M61" s="340">
        <f t="shared" ref="M61:O61" ca="1" si="29">IF(M25&gt;0,M24-M53,0)</f>
        <v>0</v>
      </c>
      <c r="N61" s="340">
        <f t="shared" ca="1" si="29"/>
        <v>0</v>
      </c>
      <c r="O61" s="340">
        <f t="shared" ca="1" si="29"/>
        <v>-248351104403.95895</v>
      </c>
    </row>
    <row r="62" spans="1:15" s="307" customFormat="1">
      <c r="A62" s="378" t="s">
        <v>684</v>
      </c>
      <c r="C62" s="381">
        <f t="shared" ref="C62:O62" si="30">SUM(C58:C61)</f>
        <v>-13313000000</v>
      </c>
      <c r="D62" s="381">
        <f t="shared" si="30"/>
        <v>-2356500000</v>
      </c>
      <c r="E62" s="381">
        <f t="shared" si="30"/>
        <v>-45990286647.307434</v>
      </c>
      <c r="F62" s="381">
        <f t="shared" ca="1" si="30"/>
        <v>-303021223007.98932</v>
      </c>
      <c r="G62" s="381">
        <f t="shared" ca="1" si="30"/>
        <v>-246306226137.9519</v>
      </c>
      <c r="H62" s="381">
        <f t="shared" ca="1" si="30"/>
        <v>-225571526245.62247</v>
      </c>
      <c r="I62" s="381">
        <f t="shared" ca="1" si="30"/>
        <v>-189667756811.11734</v>
      </c>
      <c r="J62" s="381">
        <f t="shared" ca="1" si="30"/>
        <v>0</v>
      </c>
      <c r="K62" s="381">
        <f t="shared" ca="1" si="30"/>
        <v>0</v>
      </c>
      <c r="L62" s="381">
        <f t="shared" ca="1" si="30"/>
        <v>-539980701460.37262</v>
      </c>
      <c r="M62" s="381">
        <f t="shared" ca="1" si="30"/>
        <v>0</v>
      </c>
      <c r="N62" s="381">
        <f t="shared" ca="1" si="30"/>
        <v>0</v>
      </c>
      <c r="O62" s="381">
        <f t="shared" ca="1" si="30"/>
        <v>-296174138095.60699</v>
      </c>
    </row>
    <row r="63" spans="1:15" ht="16.5" thickBot="1">
      <c r="A63" s="366" t="s">
        <v>685</v>
      </c>
      <c r="B63" s="366"/>
      <c r="C63" s="367">
        <f>-C62*'Datos Generales'!D55</f>
        <v>1198170000</v>
      </c>
      <c r="D63" s="367">
        <f>-D62*'Datos Generales'!E55</f>
        <v>212085000</v>
      </c>
      <c r="E63" s="367">
        <f>-E62*'Datos Generales'!F55</f>
        <v>4139125798.257669</v>
      </c>
      <c r="F63" s="367">
        <f ca="1">-F62*'Datos Generales'!G55</f>
        <v>42422971221.118507</v>
      </c>
      <c r="G63" s="367">
        <f ca="1">-G62*'Datos Generales'!H55</f>
        <v>36945933920.692787</v>
      </c>
      <c r="H63" s="367">
        <f ca="1">-H62*'Datos Generales'!I55</f>
        <v>38347159461.755814</v>
      </c>
      <c r="I63" s="367">
        <f ca="1">-I62*'Datos Generales'!J55</f>
        <v>34140196226.001122</v>
      </c>
      <c r="J63" s="367">
        <f ca="1">-J62*'Datos Generales'!K55</f>
        <v>0</v>
      </c>
      <c r="K63" s="367">
        <f ca="1">-K62*'Datos Generales'!L55</f>
        <v>0</v>
      </c>
      <c r="L63" s="367">
        <f ca="1">-L62*'Datos Generales'!M55</f>
        <v>48598263131.433533</v>
      </c>
      <c r="M63" s="367">
        <f ca="1">-M62*'Datos Generales'!N55</f>
        <v>0</v>
      </c>
      <c r="N63" s="367">
        <f ca="1">-N62*'Datos Generales'!O55</f>
        <v>0</v>
      </c>
      <c r="O63" s="367">
        <f ca="1">-O62*'Datos Generales'!P55</f>
        <v>26655672428.60463</v>
      </c>
    </row>
    <row r="64" spans="1:15" ht="16.5" thickTop="1">
      <c r="A64" s="380"/>
      <c r="C64" s="340"/>
      <c r="D64" s="340"/>
      <c r="E64" s="340"/>
      <c r="F64" s="340"/>
      <c r="G64" s="340"/>
      <c r="H64" s="340"/>
      <c r="I64" s="340"/>
      <c r="J64" s="340"/>
      <c r="K64" s="340"/>
      <c r="L64" s="340"/>
      <c r="M64" s="340"/>
      <c r="N64" s="340"/>
      <c r="O64" s="340"/>
    </row>
    <row r="65" spans="1:15">
      <c r="A65" s="380"/>
      <c r="C65" s="340"/>
      <c r="D65" s="340"/>
      <c r="E65" s="340"/>
      <c r="F65" s="340"/>
      <c r="G65" s="340"/>
      <c r="H65" s="340"/>
      <c r="I65" s="340"/>
      <c r="J65" s="340"/>
      <c r="K65" s="340"/>
      <c r="L65" s="340"/>
      <c r="M65" s="340"/>
      <c r="N65" s="340"/>
      <c r="O65" s="340"/>
    </row>
    <row r="66" spans="1:15">
      <c r="A66" s="378" t="s">
        <v>686</v>
      </c>
      <c r="C66" s="340">
        <f t="shared" ref="C66:O66" si="31">C55+C62</f>
        <v>505399999999.99988</v>
      </c>
      <c r="D66" s="340">
        <f t="shared" si="31"/>
        <v>269854499999.99994</v>
      </c>
      <c r="E66" s="340">
        <f t="shared" si="31"/>
        <v>427821019614.86407</v>
      </c>
      <c r="F66" s="340">
        <f t="shared" ca="1" si="31"/>
        <v>990503586027.34424</v>
      </c>
      <c r="G66" s="340">
        <f t="shared" ca="1" si="31"/>
        <v>1053102057686.8169</v>
      </c>
      <c r="H66" s="340">
        <f t="shared" ca="1" si="31"/>
        <v>1301698989059.5535</v>
      </c>
      <c r="I66" s="340">
        <f t="shared" ca="1" si="31"/>
        <v>1375469503889.6758</v>
      </c>
      <c r="J66" s="340">
        <f t="shared" ca="1" si="31"/>
        <v>55945662445.543884</v>
      </c>
      <c r="K66" s="340">
        <f t="shared" ca="1" si="31"/>
        <v>21805459356.296028</v>
      </c>
      <c r="L66" s="340">
        <f t="shared" ca="1" si="31"/>
        <v>503920730925.55511</v>
      </c>
      <c r="M66" s="340">
        <f t="shared" ca="1" si="31"/>
        <v>34754350392.89563</v>
      </c>
      <c r="N66" s="340">
        <f t="shared" ca="1" si="31"/>
        <v>8521584744.813076</v>
      </c>
      <c r="O66" s="340">
        <f t="shared" ca="1" si="31"/>
        <v>1257692007394.3989</v>
      </c>
    </row>
    <row r="67" spans="1:15">
      <c r="A67" s="382" t="s">
        <v>687</v>
      </c>
      <c r="B67" s="382"/>
      <c r="C67" s="383">
        <f t="shared" ref="C67:O67" si="32">IF(C25&gt;0,C25,C26)-C66</f>
        <v>0</v>
      </c>
      <c r="D67" s="383">
        <f t="shared" si="32"/>
        <v>0</v>
      </c>
      <c r="E67" s="383">
        <f t="shared" si="32"/>
        <v>0</v>
      </c>
      <c r="F67" s="383">
        <f t="shared" ca="1" si="32"/>
        <v>0</v>
      </c>
      <c r="G67" s="383">
        <f t="shared" ca="1" si="32"/>
        <v>0</v>
      </c>
      <c r="H67" s="383">
        <f t="shared" ca="1" si="32"/>
        <v>0</v>
      </c>
      <c r="I67" s="383">
        <f t="shared" ca="1" si="32"/>
        <v>0</v>
      </c>
      <c r="J67" s="383">
        <f t="shared" ca="1" si="32"/>
        <v>0</v>
      </c>
      <c r="K67" s="383">
        <f t="shared" ca="1" si="32"/>
        <v>0</v>
      </c>
      <c r="L67" s="383">
        <f t="shared" ca="1" si="32"/>
        <v>0</v>
      </c>
      <c r="M67" s="383">
        <f t="shared" ca="1" si="32"/>
        <v>0</v>
      </c>
      <c r="N67" s="383">
        <f t="shared" ca="1" si="32"/>
        <v>0</v>
      </c>
      <c r="O67" s="383">
        <f t="shared" ca="1" si="32"/>
        <v>0</v>
      </c>
    </row>
    <row r="68" spans="1:15">
      <c r="A68" s="378"/>
      <c r="I68" s="384"/>
      <c r="J68" s="384"/>
      <c r="K68" s="384"/>
    </row>
    <row r="69" spans="1:15" ht="16.5" thickBot="1">
      <c r="A69" s="385" t="s">
        <v>688</v>
      </c>
      <c r="I69" s="384"/>
      <c r="J69" s="384"/>
      <c r="K69" s="384"/>
    </row>
    <row r="70" spans="1:15" s="307" customFormat="1" ht="16.5" thickTop="1">
      <c r="A70" s="386" t="s">
        <v>689</v>
      </c>
      <c r="C70" s="387">
        <f t="shared" ref="C70:O70" si="33">C27</f>
        <v>-45485999999.999985</v>
      </c>
      <c r="D70" s="387">
        <f t="shared" si="33"/>
        <v>-24286904999.999992</v>
      </c>
      <c r="E70" s="387">
        <f t="shared" si="33"/>
        <v>-38503891765.337769</v>
      </c>
      <c r="F70" s="387">
        <f t="shared" ca="1" si="33"/>
        <v>-138670502043.82819</v>
      </c>
      <c r="G70" s="387">
        <f t="shared" ca="1" si="33"/>
        <v>-157965308653.02252</v>
      </c>
      <c r="H70" s="387">
        <f t="shared" ca="1" si="33"/>
        <v>-221288828140.12405</v>
      </c>
      <c r="I70" s="387">
        <f t="shared" ca="1" si="33"/>
        <v>-247584510700.14163</v>
      </c>
      <c r="J70" s="387">
        <f t="shared" ca="1" si="33"/>
        <v>-5035109620.0989494</v>
      </c>
      <c r="K70" s="387">
        <f t="shared" ca="1" si="33"/>
        <v>-1962491342.0666425</v>
      </c>
      <c r="L70" s="387">
        <f t="shared" ca="1" si="33"/>
        <v>-45352865783.29995</v>
      </c>
      <c r="M70" s="387">
        <f t="shared" ca="1" si="33"/>
        <v>-3127891535.3606067</v>
      </c>
      <c r="N70" s="387">
        <f t="shared" ca="1" si="33"/>
        <v>-766942627.03317678</v>
      </c>
      <c r="O70" s="387">
        <f t="shared" ca="1" si="33"/>
        <v>-113192280665.49588</v>
      </c>
    </row>
    <row r="71" spans="1:15">
      <c r="A71" s="370" t="s">
        <v>690</v>
      </c>
      <c r="B71" s="384"/>
      <c r="C71" s="384">
        <f>B70*'Datos Generales'!D56</f>
        <v>0</v>
      </c>
      <c r="D71" s="384">
        <f>C70*'Datos Generales'!E56</f>
        <v>-34114499999.999989</v>
      </c>
      <c r="E71" s="384">
        <f>D70*'Datos Generales'!F56</f>
        <v>-18215178749.999992</v>
      </c>
      <c r="F71" s="384">
        <f>E70*'Datos Generales'!G56</f>
        <v>-28877918824.003326</v>
      </c>
      <c r="G71" s="384">
        <f ca="1">F70*'Datos Generales'!H56</f>
        <v>-104002876532.87114</v>
      </c>
      <c r="H71" s="384">
        <f ca="1">G70*'Datos Generales'!I56</f>
        <v>-118473981489.76689</v>
      </c>
      <c r="I71" s="384">
        <f ca="1">H70*'Datos Generales'!J56</f>
        <v>-165966621105.09305</v>
      </c>
      <c r="J71" s="384">
        <f ca="1">I70*'Datos Generales'!K56</f>
        <v>-185688383025.10623</v>
      </c>
      <c r="K71" s="384">
        <f ca="1">J70*'Datos Generales'!L56</f>
        <v>-3776332215.0742121</v>
      </c>
      <c r="L71" s="384">
        <f ca="1">K70*'Datos Generales'!M56</f>
        <v>-1471868506.5499818</v>
      </c>
      <c r="M71" s="384">
        <f ca="1">L70*'Datos Generales'!N56</f>
        <v>-34014649337.47496</v>
      </c>
      <c r="N71" s="384">
        <f ca="1">M70*'Datos Generales'!O56</f>
        <v>-2345918651.5204549</v>
      </c>
      <c r="O71" s="384">
        <f ca="1">N70*'Datos Generales'!P56</f>
        <v>-575206970.27488256</v>
      </c>
    </row>
    <row r="72" spans="1:15">
      <c r="A72" s="370" t="s">
        <v>691</v>
      </c>
      <c r="C72" s="384">
        <f>C70</f>
        <v>-45485999999.999985</v>
      </c>
      <c r="D72" s="384">
        <f t="shared" ref="D72:O72" si="34">D70</f>
        <v>-24286904999.999992</v>
      </c>
      <c r="E72" s="384">
        <f t="shared" si="34"/>
        <v>-38503891765.337769</v>
      </c>
      <c r="F72" s="384">
        <f t="shared" ca="1" si="34"/>
        <v>-138670502043.82819</v>
      </c>
      <c r="G72" s="384">
        <f t="shared" ca="1" si="34"/>
        <v>-157965308653.02252</v>
      </c>
      <c r="H72" s="384">
        <f t="shared" ca="1" si="34"/>
        <v>-221288828140.12405</v>
      </c>
      <c r="I72" s="384">
        <f t="shared" ca="1" si="34"/>
        <v>-247584510700.14163</v>
      </c>
      <c r="J72" s="384">
        <f t="shared" ca="1" si="34"/>
        <v>-5035109620.0989494</v>
      </c>
      <c r="K72" s="384">
        <f t="shared" ca="1" si="34"/>
        <v>-1962491342.0666425</v>
      </c>
      <c r="L72" s="384">
        <f t="shared" ca="1" si="34"/>
        <v>-45352865783.29995</v>
      </c>
      <c r="M72" s="384">
        <f t="shared" ca="1" si="34"/>
        <v>-3127891535.3606067</v>
      </c>
      <c r="N72" s="384">
        <f t="shared" ca="1" si="34"/>
        <v>-766942627.03317678</v>
      </c>
      <c r="O72" s="384">
        <f t="shared" ca="1" si="34"/>
        <v>-113192280665.49588</v>
      </c>
    </row>
    <row r="73" spans="1:15" ht="16.5" thickBot="1">
      <c r="A73" s="366" t="s">
        <v>692</v>
      </c>
      <c r="B73" s="366"/>
      <c r="C73" s="367">
        <f>B72+C71-B71</f>
        <v>0</v>
      </c>
      <c r="D73" s="367">
        <f t="shared" ref="D73:O73" si="35">C72+D71-C71</f>
        <v>-79600499999.999969</v>
      </c>
      <c r="E73" s="367">
        <f t="shared" si="35"/>
        <v>-8387583749.9999962</v>
      </c>
      <c r="F73" s="367">
        <f t="shared" si="35"/>
        <v>-49166631839.341103</v>
      </c>
      <c r="G73" s="367">
        <f t="shared" ca="1" si="35"/>
        <v>-213795459752.69601</v>
      </c>
      <c r="H73" s="367">
        <f t="shared" ca="1" si="35"/>
        <v>-172436413609.91827</v>
      </c>
      <c r="I73" s="367">
        <f t="shared" ca="1" si="35"/>
        <v>-268781467755.4502</v>
      </c>
      <c r="J73" s="367">
        <f t="shared" ca="1" si="35"/>
        <v>-267306272620.15482</v>
      </c>
      <c r="K73" s="367">
        <f t="shared" ca="1" si="35"/>
        <v>176876941189.93307</v>
      </c>
      <c r="L73" s="367">
        <f t="shared" ca="1" si="35"/>
        <v>341972366.45758772</v>
      </c>
      <c r="M73" s="367">
        <f t="shared" ca="1" si="35"/>
        <v>-77895646614.224915</v>
      </c>
      <c r="N73" s="367">
        <f t="shared" ca="1" si="35"/>
        <v>28540839150.593899</v>
      </c>
      <c r="O73" s="367">
        <f t="shared" ca="1" si="35"/>
        <v>1003769054.2123957</v>
      </c>
    </row>
    <row r="74" spans="1:15" s="307" customFormat="1" ht="16.5" thickTop="1">
      <c r="C74" s="387"/>
      <c r="D74" s="387"/>
      <c r="E74" s="387"/>
      <c r="F74" s="387"/>
      <c r="G74" s="387"/>
      <c r="H74" s="387"/>
      <c r="I74" s="387"/>
      <c r="J74" s="387"/>
      <c r="K74" s="387"/>
      <c r="L74" s="387"/>
      <c r="M74" s="387"/>
      <c r="N74" s="387"/>
      <c r="O74" s="387"/>
    </row>
    <row r="75" spans="1:15">
      <c r="A75" s="306" t="s">
        <v>693</v>
      </c>
    </row>
    <row r="76" spans="1:15">
      <c r="A76" s="302" t="s">
        <v>694</v>
      </c>
      <c r="C76" s="340">
        <f t="shared" ref="C76:O76" si="36">C56</f>
        <v>-46684169999.999985</v>
      </c>
      <c r="D76" s="340">
        <f t="shared" si="36"/>
        <v>-24498989999.999992</v>
      </c>
      <c r="E76" s="340">
        <f t="shared" si="36"/>
        <v>-42643017563.595436</v>
      </c>
      <c r="F76" s="340">
        <f t="shared" ca="1" si="36"/>
        <v>-181093473264.94672</v>
      </c>
      <c r="G76" s="340">
        <f t="shared" ca="1" si="36"/>
        <v>-194911242573.7153</v>
      </c>
      <c r="H76" s="340">
        <f t="shared" ca="1" si="36"/>
        <v>-259635987601.87991</v>
      </c>
      <c r="I76" s="340">
        <f t="shared" ca="1" si="36"/>
        <v>-281724706926.14276</v>
      </c>
      <c r="J76" s="340">
        <f t="shared" ca="1" si="36"/>
        <v>-5035109620.0989494</v>
      </c>
      <c r="K76" s="340">
        <f t="shared" ca="1" si="36"/>
        <v>-1962491342.0666425</v>
      </c>
      <c r="L76" s="340">
        <f t="shared" ca="1" si="36"/>
        <v>-93951128914.73349</v>
      </c>
      <c r="M76" s="340">
        <f t="shared" ca="1" si="36"/>
        <v>-3127891535.3606067</v>
      </c>
      <c r="N76" s="340">
        <f t="shared" ca="1" si="36"/>
        <v>-766942627.03317678</v>
      </c>
      <c r="O76" s="340">
        <f t="shared" ca="1" si="36"/>
        <v>-139847953094.10052</v>
      </c>
    </row>
    <row r="77" spans="1:15">
      <c r="A77" s="302" t="s">
        <v>695</v>
      </c>
      <c r="C77" s="340">
        <f>B76*'Datos Generales'!D56</f>
        <v>0</v>
      </c>
      <c r="D77" s="340">
        <f>C76*'Datos Generales'!E56</f>
        <v>-35013127499.999985</v>
      </c>
      <c r="E77" s="340">
        <f>D76*'Datos Generales'!F56</f>
        <v>-18374242499.999992</v>
      </c>
      <c r="F77" s="340">
        <f>E76*'Datos Generales'!G56</f>
        <v>-31982263172.696579</v>
      </c>
      <c r="G77" s="340">
        <f ca="1">F76*'Datos Generales'!H56</f>
        <v>-135820104948.71004</v>
      </c>
      <c r="H77" s="340">
        <f ca="1">G76*'Datos Generales'!I56</f>
        <v>-146183431930.28647</v>
      </c>
      <c r="I77" s="340">
        <f ca="1">H76*'Datos Generales'!J56</f>
        <v>-194726990701.40994</v>
      </c>
      <c r="J77" s="340">
        <f ca="1">I76*'Datos Generales'!K56</f>
        <v>-211293530194.60706</v>
      </c>
      <c r="K77" s="340">
        <f ca="1">J76*'Datos Generales'!L56</f>
        <v>-3776332215.0742121</v>
      </c>
      <c r="L77" s="340">
        <f ca="1">K76*'Datos Generales'!M56</f>
        <v>-1471868506.5499818</v>
      </c>
      <c r="M77" s="340">
        <f ca="1">L76*'Datos Generales'!N56</f>
        <v>-70463346686.05011</v>
      </c>
      <c r="N77" s="340">
        <f ca="1">M76*'Datos Generales'!O56</f>
        <v>-2345918651.5204549</v>
      </c>
      <c r="O77" s="340">
        <f ca="1">N76*'Datos Generales'!P56</f>
        <v>-575206970.27488256</v>
      </c>
    </row>
    <row r="78" spans="1:15">
      <c r="A78" s="302" t="s">
        <v>696</v>
      </c>
      <c r="C78" s="340">
        <f>C76</f>
        <v>-46684169999.999985</v>
      </c>
      <c r="D78" s="340">
        <f t="shared" ref="D78:O78" si="37">D76</f>
        <v>-24498989999.999992</v>
      </c>
      <c r="E78" s="340">
        <f t="shared" si="37"/>
        <v>-42643017563.595436</v>
      </c>
      <c r="F78" s="340">
        <f t="shared" ca="1" si="37"/>
        <v>-181093473264.94672</v>
      </c>
      <c r="G78" s="340">
        <f t="shared" ca="1" si="37"/>
        <v>-194911242573.7153</v>
      </c>
      <c r="H78" s="340">
        <f t="shared" ca="1" si="37"/>
        <v>-259635987601.87991</v>
      </c>
      <c r="I78" s="340">
        <f t="shared" ca="1" si="37"/>
        <v>-281724706926.14276</v>
      </c>
      <c r="J78" s="340">
        <f t="shared" ca="1" si="37"/>
        <v>-5035109620.0989494</v>
      </c>
      <c r="K78" s="340">
        <f t="shared" ca="1" si="37"/>
        <v>-1962491342.0666425</v>
      </c>
      <c r="L78" s="340">
        <f t="shared" ca="1" si="37"/>
        <v>-93951128914.73349</v>
      </c>
      <c r="M78" s="340">
        <f t="shared" ca="1" si="37"/>
        <v>-3127891535.3606067</v>
      </c>
      <c r="N78" s="340">
        <f t="shared" ca="1" si="37"/>
        <v>-766942627.03317678</v>
      </c>
      <c r="O78" s="340">
        <f t="shared" ca="1" si="37"/>
        <v>-139847953094.10052</v>
      </c>
    </row>
    <row r="79" spans="1:15">
      <c r="A79" s="302" t="s">
        <v>697</v>
      </c>
      <c r="C79" s="340">
        <f>B78+C77-B77</f>
        <v>0</v>
      </c>
      <c r="D79" s="340">
        <f t="shared" ref="D79:O79" si="38">C78+D77-C77</f>
        <v>-81697297499.999969</v>
      </c>
      <c r="E79" s="340">
        <f t="shared" si="38"/>
        <v>-7860105000</v>
      </c>
      <c r="F79" s="340">
        <f t="shared" si="38"/>
        <v>-56251038236.29203</v>
      </c>
      <c r="G79" s="340">
        <f t="shared" ca="1" si="38"/>
        <v>-284931315040.96014</v>
      </c>
      <c r="H79" s="340">
        <f t="shared" ca="1" si="38"/>
        <v>-205274569555.29175</v>
      </c>
      <c r="I79" s="340">
        <f t="shared" ca="1" si="38"/>
        <v>-308179546373.00342</v>
      </c>
      <c r="J79" s="340">
        <f t="shared" ca="1" si="38"/>
        <v>-298291246419.33984</v>
      </c>
      <c r="K79" s="340">
        <f t="shared" ca="1" si="38"/>
        <v>202482088359.4339</v>
      </c>
      <c r="L79" s="340">
        <f t="shared" ca="1" si="38"/>
        <v>341972366.45758772</v>
      </c>
      <c r="M79" s="340">
        <f t="shared" ca="1" si="38"/>
        <v>-162942607094.23361</v>
      </c>
      <c r="N79" s="340">
        <f t="shared" ca="1" si="38"/>
        <v>64989536499.169052</v>
      </c>
      <c r="O79" s="340">
        <f t="shared" ca="1" si="38"/>
        <v>1003769054.2123957</v>
      </c>
    </row>
    <row r="81" spans="1:15">
      <c r="A81" s="306" t="s">
        <v>698</v>
      </c>
    </row>
    <row r="82" spans="1:15" ht="24.95" customHeight="1">
      <c r="A82" s="302" t="s">
        <v>699</v>
      </c>
      <c r="C82" s="340">
        <f>C63</f>
        <v>1198170000</v>
      </c>
      <c r="D82" s="340">
        <f t="shared" ref="D82:O82" si="39">D63</f>
        <v>212085000</v>
      </c>
      <c r="E82" s="340">
        <f t="shared" si="39"/>
        <v>4139125798.257669</v>
      </c>
      <c r="F82" s="340">
        <f t="shared" ca="1" si="39"/>
        <v>42422971221.118507</v>
      </c>
      <c r="G82" s="340">
        <f t="shared" ca="1" si="39"/>
        <v>36945933920.692787</v>
      </c>
      <c r="H82" s="340">
        <f t="shared" ca="1" si="39"/>
        <v>38347159461.755814</v>
      </c>
      <c r="I82" s="340">
        <f t="shared" ca="1" si="39"/>
        <v>34140196226.001122</v>
      </c>
      <c r="J82" s="340">
        <f t="shared" ca="1" si="39"/>
        <v>0</v>
      </c>
      <c r="K82" s="340">
        <f t="shared" ca="1" si="39"/>
        <v>0</v>
      </c>
      <c r="L82" s="340">
        <f t="shared" ca="1" si="39"/>
        <v>48598263131.433533</v>
      </c>
      <c r="M82" s="340">
        <f t="shared" ca="1" si="39"/>
        <v>0</v>
      </c>
      <c r="N82" s="340">
        <f t="shared" ca="1" si="39"/>
        <v>0</v>
      </c>
      <c r="O82" s="340">
        <f t="shared" ca="1" si="39"/>
        <v>26655672428.60463</v>
      </c>
    </row>
    <row r="83" spans="1:15">
      <c r="A83" s="302" t="s">
        <v>700</v>
      </c>
      <c r="C83" s="340">
        <f>B82*'Datos Generales'!D56</f>
        <v>0</v>
      </c>
      <c r="D83" s="340">
        <f>C82*'Datos Generales'!E56</f>
        <v>898627500</v>
      </c>
      <c r="E83" s="340">
        <f>D82*'Datos Generales'!F56</f>
        <v>159063750</v>
      </c>
      <c r="F83" s="340">
        <f>E82*'Datos Generales'!G56</f>
        <v>3104344348.6932516</v>
      </c>
      <c r="G83" s="340">
        <f ca="1">F82*'Datos Generales'!H56</f>
        <v>31817228415.838882</v>
      </c>
      <c r="H83" s="340">
        <f ca="1">G82*'Datos Generales'!I56</f>
        <v>27709450440.519592</v>
      </c>
      <c r="I83" s="340">
        <f ca="1">H82*'Datos Generales'!J56</f>
        <v>28760369596.31686</v>
      </c>
      <c r="J83" s="340">
        <f ca="1">I82*'Datos Generales'!K56</f>
        <v>25605147169.500839</v>
      </c>
      <c r="K83" s="340">
        <f ca="1">J82*'Datos Generales'!L56</f>
        <v>0</v>
      </c>
      <c r="L83" s="340">
        <f ca="1">K82*'Datos Generales'!M56</f>
        <v>0</v>
      </c>
      <c r="M83" s="340">
        <f ca="1">L82*'Datos Generales'!N56</f>
        <v>36448697348.57515</v>
      </c>
      <c r="N83" s="340">
        <f ca="1">M82*'Datos Generales'!O56</f>
        <v>0</v>
      </c>
      <c r="O83" s="340">
        <f ca="1">N82*'Datos Generales'!P56</f>
        <v>0</v>
      </c>
    </row>
    <row r="84" spans="1:15">
      <c r="A84" s="302" t="s">
        <v>701</v>
      </c>
      <c r="C84" s="340">
        <f>C82</f>
        <v>1198170000</v>
      </c>
      <c r="D84" s="340">
        <f t="shared" ref="D84:O84" si="40">D82</f>
        <v>212085000</v>
      </c>
      <c r="E84" s="340">
        <f t="shared" si="40"/>
        <v>4139125798.257669</v>
      </c>
      <c r="F84" s="340">
        <f t="shared" ca="1" si="40"/>
        <v>42422971221.118507</v>
      </c>
      <c r="G84" s="340">
        <f t="shared" ca="1" si="40"/>
        <v>36945933920.692787</v>
      </c>
      <c r="H84" s="340">
        <f t="shared" ca="1" si="40"/>
        <v>38347159461.755814</v>
      </c>
      <c r="I84" s="340">
        <f t="shared" ca="1" si="40"/>
        <v>34140196226.001122</v>
      </c>
      <c r="J84" s="340">
        <f t="shared" ca="1" si="40"/>
        <v>0</v>
      </c>
      <c r="K84" s="340">
        <f t="shared" ca="1" si="40"/>
        <v>0</v>
      </c>
      <c r="L84" s="340">
        <f t="shared" ca="1" si="40"/>
        <v>48598263131.433533</v>
      </c>
      <c r="M84" s="340">
        <f t="shared" ca="1" si="40"/>
        <v>0</v>
      </c>
      <c r="N84" s="340">
        <f t="shared" ca="1" si="40"/>
        <v>0</v>
      </c>
      <c r="O84" s="340">
        <f t="shared" ca="1" si="40"/>
        <v>26655672428.60463</v>
      </c>
    </row>
    <row r="85" spans="1:15">
      <c r="A85" s="302" t="s">
        <v>702</v>
      </c>
      <c r="C85" s="340">
        <f>B84+C83-B83</f>
        <v>0</v>
      </c>
      <c r="D85" s="340">
        <f t="shared" ref="D85:O85" si="41">C84+D83-C83</f>
        <v>2096797500</v>
      </c>
      <c r="E85" s="340">
        <f t="shared" si="41"/>
        <v>-527478750</v>
      </c>
      <c r="F85" s="340">
        <f t="shared" si="41"/>
        <v>7084406396.9509201</v>
      </c>
      <c r="G85" s="340">
        <f t="shared" ca="1" si="41"/>
        <v>71135855288.264145</v>
      </c>
      <c r="H85" s="340">
        <f t="shared" ca="1" si="41"/>
        <v>32838155945.373497</v>
      </c>
      <c r="I85" s="340">
        <f t="shared" ca="1" si="41"/>
        <v>39398078617.553085</v>
      </c>
      <c r="J85" s="340">
        <f t="shared" ca="1" si="41"/>
        <v>30984973799.185101</v>
      </c>
      <c r="K85" s="340">
        <f t="shared" ca="1" si="41"/>
        <v>-25605147169.500839</v>
      </c>
      <c r="L85" s="340">
        <f t="shared" ca="1" si="41"/>
        <v>0</v>
      </c>
      <c r="M85" s="340">
        <f t="shared" ca="1" si="41"/>
        <v>85046960480.008682</v>
      </c>
      <c r="N85" s="340">
        <f t="shared" ca="1" si="41"/>
        <v>-36448697348.57515</v>
      </c>
      <c r="O85" s="340">
        <f t="shared" ca="1" si="41"/>
        <v>0</v>
      </c>
    </row>
    <row r="86" spans="1:15">
      <c r="I86" s="384"/>
      <c r="J86" s="384"/>
      <c r="K86" s="384"/>
    </row>
    <row r="87" spans="1:15">
      <c r="A87" s="382" t="s">
        <v>703</v>
      </c>
      <c r="B87" s="382"/>
      <c r="C87" s="388">
        <f>C70-(C76+C82)</f>
        <v>0</v>
      </c>
      <c r="D87" s="388">
        <f t="shared" ref="D87:O90" si="42">D70-(D76+D82)</f>
        <v>0</v>
      </c>
      <c r="E87" s="388">
        <f t="shared" si="42"/>
        <v>0</v>
      </c>
      <c r="F87" s="388">
        <f t="shared" ca="1" si="42"/>
        <v>0</v>
      </c>
      <c r="G87" s="388">
        <f t="shared" ca="1" si="42"/>
        <v>0</v>
      </c>
      <c r="H87" s="388">
        <f t="shared" ca="1" si="42"/>
        <v>0</v>
      </c>
      <c r="I87" s="388">
        <f t="shared" ca="1" si="42"/>
        <v>0</v>
      </c>
      <c r="J87" s="388">
        <f t="shared" ca="1" si="42"/>
        <v>0</v>
      </c>
      <c r="K87" s="388">
        <f t="shared" ca="1" si="42"/>
        <v>0</v>
      </c>
      <c r="L87" s="388">
        <f t="shared" ca="1" si="42"/>
        <v>0</v>
      </c>
      <c r="M87" s="388">
        <f t="shared" ca="1" si="42"/>
        <v>0</v>
      </c>
      <c r="N87" s="388">
        <f t="shared" ca="1" si="42"/>
        <v>0</v>
      </c>
      <c r="O87" s="388">
        <f t="shared" ca="1" si="42"/>
        <v>0</v>
      </c>
    </row>
    <row r="88" spans="1:15">
      <c r="A88" s="382" t="s">
        <v>704</v>
      </c>
      <c r="B88" s="382"/>
      <c r="C88" s="388">
        <f>C71-(C77+C83)</f>
        <v>0</v>
      </c>
      <c r="D88" s="388">
        <f t="shared" si="42"/>
        <v>0</v>
      </c>
      <c r="E88" s="388">
        <f t="shared" si="42"/>
        <v>0</v>
      </c>
      <c r="F88" s="388">
        <f t="shared" si="42"/>
        <v>0</v>
      </c>
      <c r="G88" s="388">
        <f t="shared" ca="1" si="42"/>
        <v>0</v>
      </c>
      <c r="H88" s="388">
        <f t="shared" ca="1" si="42"/>
        <v>0</v>
      </c>
      <c r="I88" s="388">
        <f t="shared" ca="1" si="42"/>
        <v>0</v>
      </c>
      <c r="J88" s="388">
        <f t="shared" ca="1" si="42"/>
        <v>0</v>
      </c>
      <c r="K88" s="388">
        <f t="shared" ca="1" si="42"/>
        <v>0</v>
      </c>
      <c r="L88" s="388">
        <f t="shared" ca="1" si="42"/>
        <v>0</v>
      </c>
      <c r="M88" s="388">
        <f t="shared" ca="1" si="42"/>
        <v>0</v>
      </c>
      <c r="N88" s="388">
        <f t="shared" ca="1" si="42"/>
        <v>0</v>
      </c>
      <c r="O88" s="388">
        <f t="shared" ca="1" si="42"/>
        <v>0</v>
      </c>
    </row>
    <row r="89" spans="1:15">
      <c r="A89" s="382" t="s">
        <v>705</v>
      </c>
      <c r="B89" s="382"/>
      <c r="C89" s="388">
        <f>C72-(C78+C84)</f>
        <v>0</v>
      </c>
      <c r="D89" s="388">
        <f t="shared" si="42"/>
        <v>0</v>
      </c>
      <c r="E89" s="388">
        <f t="shared" si="42"/>
        <v>0</v>
      </c>
      <c r="F89" s="388">
        <f t="shared" ca="1" si="42"/>
        <v>0</v>
      </c>
      <c r="G89" s="388">
        <f t="shared" ca="1" si="42"/>
        <v>0</v>
      </c>
      <c r="H89" s="388">
        <f t="shared" ca="1" si="42"/>
        <v>0</v>
      </c>
      <c r="I89" s="388">
        <f t="shared" ca="1" si="42"/>
        <v>0</v>
      </c>
      <c r="J89" s="388">
        <f t="shared" ca="1" si="42"/>
        <v>0</v>
      </c>
      <c r="K89" s="388">
        <f t="shared" ca="1" si="42"/>
        <v>0</v>
      </c>
      <c r="L89" s="388">
        <f t="shared" ca="1" si="42"/>
        <v>0</v>
      </c>
      <c r="M89" s="388">
        <f t="shared" ca="1" si="42"/>
        <v>0</v>
      </c>
      <c r="N89" s="388">
        <f t="shared" ca="1" si="42"/>
        <v>0</v>
      </c>
      <c r="O89" s="388">
        <f t="shared" ca="1" si="42"/>
        <v>0</v>
      </c>
    </row>
    <row r="90" spans="1:15">
      <c r="A90" s="382" t="s">
        <v>706</v>
      </c>
      <c r="B90" s="382"/>
      <c r="C90" s="388">
        <f>C73-(C79+C85)</f>
        <v>0</v>
      </c>
      <c r="D90" s="388">
        <f t="shared" si="42"/>
        <v>0</v>
      </c>
      <c r="E90" s="388">
        <f t="shared" si="42"/>
        <v>0</v>
      </c>
      <c r="F90" s="388">
        <f t="shared" si="42"/>
        <v>0</v>
      </c>
      <c r="G90" s="388">
        <f t="shared" ca="1" si="42"/>
        <v>0</v>
      </c>
      <c r="H90" s="388">
        <f t="shared" ca="1" si="42"/>
        <v>0</v>
      </c>
      <c r="I90" s="388">
        <f t="shared" ca="1" si="42"/>
        <v>0</v>
      </c>
      <c r="J90" s="388">
        <f t="shared" ca="1" si="42"/>
        <v>0</v>
      </c>
      <c r="K90" s="388">
        <f t="shared" ca="1" si="42"/>
        <v>0</v>
      </c>
      <c r="L90" s="388">
        <f t="shared" ca="1" si="42"/>
        <v>0</v>
      </c>
      <c r="M90" s="388">
        <f t="shared" ca="1" si="42"/>
        <v>0</v>
      </c>
      <c r="N90" s="388">
        <f t="shared" ca="1" si="42"/>
        <v>0</v>
      </c>
      <c r="O90" s="388">
        <f t="shared" ca="1" si="42"/>
        <v>0</v>
      </c>
    </row>
    <row r="91" spans="1:15">
      <c r="I91" s="384"/>
      <c r="J91" s="384"/>
      <c r="K91" s="384"/>
    </row>
    <row r="93" spans="1:15" ht="16.5" thickBot="1">
      <c r="A93" s="304" t="s">
        <v>656</v>
      </c>
      <c r="B93" s="353"/>
      <c r="C93" s="345">
        <f t="shared" ref="C93:O93" si="43">C4</f>
        <v>2013</v>
      </c>
      <c r="D93" s="322">
        <f t="shared" si="43"/>
        <v>41820</v>
      </c>
      <c r="E93" s="305">
        <f t="shared" si="43"/>
        <v>2014</v>
      </c>
      <c r="F93" s="305">
        <f t="shared" si="43"/>
        <v>2015</v>
      </c>
      <c r="G93" s="305">
        <f t="shared" si="43"/>
        <v>2016</v>
      </c>
      <c r="H93" s="305">
        <f t="shared" si="43"/>
        <v>2017</v>
      </c>
      <c r="I93" s="305">
        <f t="shared" si="43"/>
        <v>2018</v>
      </c>
      <c r="J93" s="305">
        <f t="shared" si="43"/>
        <v>2019</v>
      </c>
      <c r="K93" s="305">
        <f t="shared" si="43"/>
        <v>2020</v>
      </c>
      <c r="L93" s="305">
        <f t="shared" si="43"/>
        <v>2021</v>
      </c>
      <c r="M93" s="305">
        <f t="shared" si="43"/>
        <v>2022</v>
      </c>
      <c r="N93" s="305">
        <f t="shared" si="43"/>
        <v>2023</v>
      </c>
      <c r="O93" s="305">
        <f t="shared" si="43"/>
        <v>2024</v>
      </c>
    </row>
    <row r="94" spans="1:15" ht="16.5" thickTop="1">
      <c r="C94" s="306"/>
      <c r="D94" s="306"/>
      <c r="E94" s="306"/>
      <c r="F94" s="306"/>
      <c r="G94" s="306"/>
      <c r="H94" s="306"/>
      <c r="I94" s="306"/>
      <c r="J94" s="306"/>
      <c r="K94" s="306"/>
      <c r="L94" s="306"/>
      <c r="M94" s="306"/>
      <c r="N94" s="306"/>
      <c r="O94" s="306"/>
    </row>
    <row r="95" spans="1:15">
      <c r="A95" s="307" t="s">
        <v>707</v>
      </c>
    </row>
    <row r="96" spans="1:15">
      <c r="A96" s="308" t="s">
        <v>352</v>
      </c>
      <c r="C96" s="309">
        <f>'Activos fijos'!C21</f>
        <v>178090000000</v>
      </c>
      <c r="D96" s="309">
        <f>'Activos fijos'!D21</f>
        <v>0</v>
      </c>
      <c r="E96" s="309">
        <f>'Activos fijos'!E21</f>
        <v>0</v>
      </c>
      <c r="F96" s="309">
        <f>'Activos fijos'!F21</f>
        <v>0</v>
      </c>
      <c r="G96" s="309">
        <f>'Activos fijos'!G21</f>
        <v>0</v>
      </c>
      <c r="H96" s="309">
        <f>'Activos fijos'!H21</f>
        <v>0</v>
      </c>
      <c r="I96" s="309">
        <f>'Activos fijos'!I21</f>
        <v>0</v>
      </c>
      <c r="J96" s="309">
        <f>'Activos fijos'!J21</f>
        <v>0</v>
      </c>
      <c r="K96" s="309">
        <f>'Activos fijos'!K21</f>
        <v>0</v>
      </c>
      <c r="L96" s="309">
        <f>'Activos fijos'!L21</f>
        <v>0</v>
      </c>
      <c r="M96" s="309">
        <f>'Activos fijos'!M21</f>
        <v>0</v>
      </c>
      <c r="N96" s="309">
        <f>'Activos fijos'!N21</f>
        <v>0</v>
      </c>
      <c r="O96" s="309">
        <f>'Activos fijos'!O21</f>
        <v>0</v>
      </c>
    </row>
    <row r="97" spans="1:15">
      <c r="A97" s="308" t="s">
        <v>437</v>
      </c>
      <c r="B97" s="389"/>
      <c r="C97" s="309">
        <v>3261186000000.002</v>
      </c>
      <c r="D97" s="309">
        <f>'Activos fijos'!D22</f>
        <v>0</v>
      </c>
      <c r="E97" s="309">
        <f>'Activos fijos'!E22</f>
        <v>10547439594.005108</v>
      </c>
      <c r="F97" s="309">
        <f>'Activos fijos'!F22</f>
        <v>4138175452574.4751</v>
      </c>
      <c r="G97" s="309">
        <f>'Activos fijos'!G22</f>
        <v>33573638711.589741</v>
      </c>
      <c r="H97" s="309">
        <f>'Activos fijos'!H22</f>
        <v>35423648894.14267</v>
      </c>
      <c r="I97" s="309">
        <f>'Activos fijos'!I22</f>
        <v>36898950358.472214</v>
      </c>
      <c r="J97" s="309">
        <f>'Activos fijos'!J22</f>
        <v>38328284014.180855</v>
      </c>
      <c r="K97" s="309">
        <f>'Activos fijos'!K22</f>
        <v>39923355351.873466</v>
      </c>
      <c r="L97" s="309">
        <f>'Activos fijos'!L22</f>
        <v>41566593719.100731</v>
      </c>
      <c r="M97" s="309">
        <f>'Activos fijos'!M22</f>
        <v>43290002727.361076</v>
      </c>
      <c r="N97" s="309">
        <f>'Activos fijos'!N22</f>
        <v>45083104454.698402</v>
      </c>
      <c r="O97" s="309">
        <f>'Activos fijos'!O22</f>
        <v>46947168879.014709</v>
      </c>
    </row>
    <row r="98" spans="1:15">
      <c r="A98" s="308" t="s">
        <v>609</v>
      </c>
      <c r="B98" s="389"/>
      <c r="C98" s="309">
        <f>'Activos fijos'!C23</f>
        <v>99582000000</v>
      </c>
      <c r="D98" s="309">
        <f>'Activos fijos'!D23</f>
        <v>0</v>
      </c>
      <c r="E98" s="309">
        <f>'Activos fijos'!E23</f>
        <v>0</v>
      </c>
      <c r="F98" s="309">
        <f>'Activos fijos'!F23</f>
        <v>0</v>
      </c>
      <c r="G98" s="309">
        <f>'Activos fijos'!G23</f>
        <v>0</v>
      </c>
      <c r="H98" s="309">
        <f>'Activos fijos'!H23</f>
        <v>0</v>
      </c>
      <c r="I98" s="309">
        <f>'Activos fijos'!I23</f>
        <v>0</v>
      </c>
      <c r="J98" s="309">
        <f>'Activos fijos'!J23</f>
        <v>0</v>
      </c>
      <c r="K98" s="309">
        <f>'Activos fijos'!K23</f>
        <v>0</v>
      </c>
      <c r="L98" s="309">
        <f>'Activos fijos'!L23</f>
        <v>0</v>
      </c>
      <c r="M98" s="309">
        <f>'Activos fijos'!M23</f>
        <v>0</v>
      </c>
      <c r="N98" s="309">
        <f>'Activos fijos'!N23</f>
        <v>0</v>
      </c>
      <c r="O98" s="309">
        <f>'Activos fijos'!O23</f>
        <v>0</v>
      </c>
    </row>
    <row r="99" spans="1:15" s="329" customFormat="1">
      <c r="A99" s="665" t="s">
        <v>622</v>
      </c>
      <c r="B99" s="666"/>
      <c r="C99" s="332">
        <f>SUM(C96:C98)</f>
        <v>3538858000000.002</v>
      </c>
      <c r="D99" s="332">
        <f t="shared" ref="D99:O99" si="44">SUM(D96:D98)</f>
        <v>0</v>
      </c>
      <c r="E99" s="332">
        <f t="shared" si="44"/>
        <v>10547439594.005108</v>
      </c>
      <c r="F99" s="332">
        <f t="shared" si="44"/>
        <v>4138175452574.4751</v>
      </c>
      <c r="G99" s="332">
        <f t="shared" si="44"/>
        <v>33573638711.589741</v>
      </c>
      <c r="H99" s="332">
        <f t="shared" si="44"/>
        <v>35423648894.14267</v>
      </c>
      <c r="I99" s="332">
        <f t="shared" si="44"/>
        <v>36898950358.472214</v>
      </c>
      <c r="J99" s="332">
        <f t="shared" si="44"/>
        <v>38328284014.180855</v>
      </c>
      <c r="K99" s="332">
        <f t="shared" si="44"/>
        <v>39923355351.873466</v>
      </c>
      <c r="L99" s="332">
        <f t="shared" si="44"/>
        <v>41566593719.100731</v>
      </c>
      <c r="M99" s="332">
        <f t="shared" si="44"/>
        <v>43290002727.361076</v>
      </c>
      <c r="N99" s="332">
        <f t="shared" si="44"/>
        <v>45083104454.698402</v>
      </c>
      <c r="O99" s="332">
        <f t="shared" si="44"/>
        <v>46947168879.014709</v>
      </c>
    </row>
    <row r="100" spans="1:15" s="314" customFormat="1">
      <c r="A100" s="312"/>
      <c r="B100" s="312"/>
      <c r="C100" s="313"/>
      <c r="D100" s="313"/>
      <c r="E100" s="313"/>
      <c r="F100" s="313"/>
      <c r="G100" s="313"/>
      <c r="H100" s="313"/>
      <c r="I100" s="313"/>
      <c r="J100" s="313"/>
      <c r="K100" s="313"/>
      <c r="L100" s="313"/>
      <c r="M100" s="313"/>
      <c r="N100" s="313"/>
      <c r="O100" s="313"/>
    </row>
    <row r="101" spans="1:15">
      <c r="C101" s="390"/>
      <c r="D101" s="390"/>
      <c r="E101" s="390"/>
      <c r="F101" s="390"/>
      <c r="G101" s="390"/>
      <c r="H101" s="390"/>
      <c r="I101" s="390"/>
      <c r="J101" s="390"/>
      <c r="K101" s="390"/>
      <c r="L101" s="390"/>
      <c r="M101" s="390"/>
      <c r="N101" s="390"/>
      <c r="O101" s="390"/>
    </row>
    <row r="102" spans="1:15" ht="16.5" thickBot="1">
      <c r="A102" s="304" t="s">
        <v>712</v>
      </c>
      <c r="B102" s="331" t="s">
        <v>130</v>
      </c>
      <c r="C102" s="345">
        <f>C93</f>
        <v>2013</v>
      </c>
      <c r="D102" s="322">
        <f t="shared" ref="D102:O102" si="45">D93</f>
        <v>41820</v>
      </c>
      <c r="E102" s="305">
        <f t="shared" si="45"/>
        <v>2014</v>
      </c>
      <c r="F102" s="305">
        <f t="shared" si="45"/>
        <v>2015</v>
      </c>
      <c r="G102" s="305">
        <f t="shared" si="45"/>
        <v>2016</v>
      </c>
      <c r="H102" s="305">
        <f t="shared" si="45"/>
        <v>2017</v>
      </c>
      <c r="I102" s="305">
        <f t="shared" si="45"/>
        <v>2018</v>
      </c>
      <c r="J102" s="305">
        <f t="shared" si="45"/>
        <v>2019</v>
      </c>
      <c r="K102" s="305">
        <f t="shared" si="45"/>
        <v>2020</v>
      </c>
      <c r="L102" s="305">
        <f t="shared" si="45"/>
        <v>2021</v>
      </c>
      <c r="M102" s="305">
        <f t="shared" si="45"/>
        <v>2022</v>
      </c>
      <c r="N102" s="305">
        <f t="shared" si="45"/>
        <v>2023</v>
      </c>
      <c r="O102" s="305">
        <f t="shared" si="45"/>
        <v>2024</v>
      </c>
    </row>
    <row r="103" spans="1:15" ht="16.5" thickTop="1">
      <c r="C103" s="390"/>
      <c r="D103" s="390"/>
      <c r="E103" s="390"/>
      <c r="F103" s="390"/>
      <c r="G103" s="390"/>
      <c r="H103" s="390"/>
      <c r="I103" s="390"/>
      <c r="J103" s="390"/>
      <c r="K103" s="390"/>
      <c r="L103" s="390"/>
      <c r="M103" s="390"/>
      <c r="N103" s="390"/>
      <c r="O103" s="390"/>
    </row>
    <row r="104" spans="1:15">
      <c r="A104" s="391" t="s">
        <v>585</v>
      </c>
      <c r="C104" s="340"/>
      <c r="D104" s="340"/>
      <c r="E104" s="340"/>
      <c r="F104" s="340"/>
      <c r="G104" s="340"/>
      <c r="H104" s="340"/>
      <c r="I104" s="340"/>
      <c r="J104" s="340"/>
      <c r="K104" s="340"/>
      <c r="L104" s="340"/>
      <c r="M104" s="340"/>
      <c r="N104" s="340"/>
      <c r="O104" s="340"/>
    </row>
    <row r="105" spans="1:15">
      <c r="A105" s="308" t="s">
        <v>352</v>
      </c>
      <c r="B105" s="348">
        <f>$C$102</f>
        <v>2013</v>
      </c>
      <c r="C105" s="315">
        <v>-8904500000</v>
      </c>
      <c r="D105" s="316">
        <v>-4452250000</v>
      </c>
      <c r="E105" s="340">
        <f t="shared" ref="E105:O105" si="46">(-$C$96/Deprec._Fiscal_Inmuebles)*E5/Mes_año</f>
        <v>-4452250000</v>
      </c>
      <c r="F105" s="340">
        <f t="shared" si="46"/>
        <v>-8904500000</v>
      </c>
      <c r="G105" s="340">
        <f t="shared" si="46"/>
        <v>-8904500000</v>
      </c>
      <c r="H105" s="340">
        <f t="shared" si="46"/>
        <v>-8904500000</v>
      </c>
      <c r="I105" s="340">
        <f t="shared" si="46"/>
        <v>-8904500000</v>
      </c>
      <c r="J105" s="340">
        <f t="shared" si="46"/>
        <v>-8904500000</v>
      </c>
      <c r="K105" s="340">
        <f t="shared" si="46"/>
        <v>-8904500000</v>
      </c>
      <c r="L105" s="340">
        <f t="shared" si="46"/>
        <v>-8904500000</v>
      </c>
      <c r="M105" s="340">
        <f t="shared" si="46"/>
        <v>-8904500000</v>
      </c>
      <c r="N105" s="340">
        <f t="shared" si="46"/>
        <v>-8904500000</v>
      </c>
      <c r="O105" s="340">
        <f t="shared" si="46"/>
        <v>-8904500000</v>
      </c>
    </row>
    <row r="106" spans="1:15">
      <c r="A106" s="308" t="s">
        <v>437</v>
      </c>
      <c r="B106" s="348">
        <f>$C$102</f>
        <v>2013</v>
      </c>
      <c r="C106" s="316">
        <v>-163059300000.00009</v>
      </c>
      <c r="D106" s="316">
        <v>-81529650000.000046</v>
      </c>
      <c r="E106" s="340">
        <f t="shared" ref="E106:O106" si="47">(-$C$97/Deprec_Fiscal_Plantas_Generacion)*E5/Mes_año</f>
        <v>-81529650000.000046</v>
      </c>
      <c r="F106" s="340">
        <f t="shared" si="47"/>
        <v>-163059300000.00009</v>
      </c>
      <c r="G106" s="340">
        <f t="shared" si="47"/>
        <v>-163059300000.00009</v>
      </c>
      <c r="H106" s="340">
        <f t="shared" si="47"/>
        <v>-163059300000.00009</v>
      </c>
      <c r="I106" s="340">
        <f t="shared" si="47"/>
        <v>-163059300000.00009</v>
      </c>
      <c r="J106" s="340">
        <f t="shared" si="47"/>
        <v>-163059300000.00009</v>
      </c>
      <c r="K106" s="340">
        <f t="shared" si="47"/>
        <v>-163059300000.00009</v>
      </c>
      <c r="L106" s="340">
        <f t="shared" si="47"/>
        <v>-163059300000.00009</v>
      </c>
      <c r="M106" s="340">
        <f t="shared" si="47"/>
        <v>-163059300000.00009</v>
      </c>
      <c r="N106" s="340">
        <f t="shared" si="47"/>
        <v>-163059300000.00009</v>
      </c>
      <c r="O106" s="340">
        <f t="shared" si="47"/>
        <v>-163059300000.00009</v>
      </c>
    </row>
    <row r="107" spans="1:15">
      <c r="A107" s="308" t="s">
        <v>609</v>
      </c>
      <c r="B107" s="348">
        <f>$C$102</f>
        <v>2013</v>
      </c>
      <c r="C107" s="316">
        <v>-9958200000</v>
      </c>
      <c r="D107" s="316">
        <v>-4979100000</v>
      </c>
      <c r="E107" s="340">
        <f>IF($C$98+SUM($C$107:D107)&gt;=-((-$C$98/Deprec_Fiscal_Equipos)*E5/Mes_año),(-$C$98/Deprec_Fiscal_Equipos)*E5/Mes_año,-$C$98-SUM($C$107:D107))</f>
        <v>-4979100000</v>
      </c>
      <c r="F107" s="340">
        <f>IF($C$98+SUM($C$107:E107)&gt;=-((-$C$98/Deprec_Fiscal_Equipos)*F5/Mes_año),(-$C$98/Deprec_Fiscal_Equipos)*F5/Mes_año,-$C$98-SUM($C$107:E107))</f>
        <v>-9958200000</v>
      </c>
      <c r="G107" s="340">
        <f>IF($C$98+SUM($C$107:F107)&gt;=-((-$C$98/Deprec_Fiscal_Equipos)*G5/Mes_año),(-$C$98/Deprec_Fiscal_Equipos)*G5/Mes_año,-$C$98-SUM($C$107:F107))</f>
        <v>-9958200000</v>
      </c>
      <c r="H107" s="340">
        <f>IF($C$98+SUM($C$107:G107)&gt;=-((-$C$98/Deprec_Fiscal_Equipos)*H5/Mes_año),(-$C$98/Deprec_Fiscal_Equipos)*H5/Mes_año,-$C$98-SUM($C$107:G107))</f>
        <v>-9958200000</v>
      </c>
      <c r="I107" s="340">
        <f>IF($C$98+SUM($C$107:H107)&gt;=-((-$C$98/Deprec_Fiscal_Equipos)*I5/Mes_año),(-$C$98/Deprec_Fiscal_Equipos)*I5/Mes_año,-$C$98-SUM($C$107:H107))</f>
        <v>-9958200000</v>
      </c>
      <c r="J107" s="340">
        <f>IF($C$98+SUM($C$107:I107)&gt;=-((-$C$98/Deprec_Fiscal_Equipos)*J5/Mes_año),(-$C$98/Deprec_Fiscal_Equipos)*J5/Mes_año,-$C$98-SUM($C$107:I107))</f>
        <v>-9958200000</v>
      </c>
      <c r="K107" s="340">
        <f>IF($C$98+SUM($C$107:J107)&gt;=-((-$C$98/Deprec_Fiscal_Equipos)*K5/Mes_año),(-$C$98/Deprec_Fiscal_Equipos)*K5/Mes_año,-$C$98-SUM($C$107:J107))</f>
        <v>-9958200000</v>
      </c>
      <c r="L107" s="340">
        <f>IF($C$98+SUM($C$107:K107)&gt;=-((-$C$98/Deprec_Fiscal_Equipos)*L5/Mes_año),(-$C$98/Deprec_Fiscal_Equipos)*L5/Mes_año,-$C$98-SUM($C$107:K107))</f>
        <v>-9958200000</v>
      </c>
      <c r="M107" s="340">
        <f>IF($C$98+SUM($C$107:L107)&gt;=-((-$C$98/Deprec_Fiscal_Equipos)*M5/Mes_año),(-$C$98/Deprec_Fiscal_Equipos)*M5/Mes_año,-$C$98-SUM($C$107:L107))</f>
        <v>-9958200000</v>
      </c>
      <c r="N107" s="340">
        <f>IF($C$98+SUM($C$107:M107)&gt;=-((-$C$98/Deprec_Fiscal_Equipos)*N5/Mes_año),(-$C$98/Deprec_Fiscal_Equipos)*N5/Mes_año,-$C$98-SUM($C$107:M107))</f>
        <v>0</v>
      </c>
      <c r="O107" s="340">
        <f>IF($C$98+SUM($C$107:N107)&gt;=-((-$C$98/Deprec_Fiscal_Equipos)*O5/Mes_año),(-$C$98/Deprec_Fiscal_Equipos)*O5/Mes_año,-$C$98-SUM($C$107:N107))</f>
        <v>0</v>
      </c>
    </row>
    <row r="108" spans="1:15">
      <c r="A108" s="346" t="s">
        <v>625</v>
      </c>
      <c r="C108" s="316"/>
      <c r="D108" s="316"/>
    </row>
    <row r="109" spans="1:15">
      <c r="A109" s="308" t="s">
        <v>352</v>
      </c>
      <c r="B109" s="401">
        <f>$D$102</f>
        <v>41820</v>
      </c>
      <c r="C109" s="404">
        <v>0</v>
      </c>
      <c r="D109" s="404">
        <v>0</v>
      </c>
      <c r="E109" s="340">
        <f t="shared" ref="E109:O109" si="48">IF(E102&lt;$B$109,0,(-$D$96/Deprec._Fiscal_Inmuebles)*E5/Mes_año)</f>
        <v>0</v>
      </c>
      <c r="F109" s="340">
        <f t="shared" si="48"/>
        <v>0</v>
      </c>
      <c r="G109" s="340">
        <f t="shared" si="48"/>
        <v>0</v>
      </c>
      <c r="H109" s="340">
        <f t="shared" si="48"/>
        <v>0</v>
      </c>
      <c r="I109" s="340">
        <f t="shared" si="48"/>
        <v>0</v>
      </c>
      <c r="J109" s="340">
        <f t="shared" si="48"/>
        <v>0</v>
      </c>
      <c r="K109" s="340">
        <f t="shared" si="48"/>
        <v>0</v>
      </c>
      <c r="L109" s="340">
        <f t="shared" si="48"/>
        <v>0</v>
      </c>
      <c r="M109" s="340">
        <f t="shared" si="48"/>
        <v>0</v>
      </c>
      <c r="N109" s="340">
        <f t="shared" si="48"/>
        <v>0</v>
      </c>
      <c r="O109" s="340">
        <f t="shared" si="48"/>
        <v>0</v>
      </c>
    </row>
    <row r="110" spans="1:15">
      <c r="A110" s="308" t="s">
        <v>437</v>
      </c>
      <c r="B110" s="401">
        <f>$D$102</f>
        <v>41820</v>
      </c>
      <c r="C110" s="404">
        <v>0</v>
      </c>
      <c r="D110" s="404">
        <v>0</v>
      </c>
      <c r="E110" s="340">
        <f t="shared" ref="E110:O110" si="49">IF(E102&lt;$B$110,0,(-$D$97/Deprec_Fiscal_Plantas_Generacion)*E5/Mes_año)</f>
        <v>0</v>
      </c>
      <c r="F110" s="340">
        <f t="shared" si="49"/>
        <v>0</v>
      </c>
      <c r="G110" s="340">
        <f t="shared" si="49"/>
        <v>0</v>
      </c>
      <c r="H110" s="340">
        <f t="shared" si="49"/>
        <v>0</v>
      </c>
      <c r="I110" s="340">
        <f t="shared" si="49"/>
        <v>0</v>
      </c>
      <c r="J110" s="340">
        <f t="shared" si="49"/>
        <v>0</v>
      </c>
      <c r="K110" s="340">
        <f t="shared" si="49"/>
        <v>0</v>
      </c>
      <c r="L110" s="340">
        <f t="shared" si="49"/>
        <v>0</v>
      </c>
      <c r="M110" s="340">
        <f t="shared" si="49"/>
        <v>0</v>
      </c>
      <c r="N110" s="340">
        <f t="shared" si="49"/>
        <v>0</v>
      </c>
      <c r="O110" s="340">
        <f t="shared" si="49"/>
        <v>0</v>
      </c>
    </row>
    <row r="111" spans="1:15">
      <c r="A111" s="308" t="s">
        <v>609</v>
      </c>
      <c r="B111" s="401">
        <f>$D$102</f>
        <v>41820</v>
      </c>
      <c r="C111" s="404">
        <v>0</v>
      </c>
      <c r="D111" s="404">
        <v>0</v>
      </c>
      <c r="E111" s="340">
        <f t="shared" ref="E111:O111" si="50">IF(E102&lt;$B$111,0,(-$D$98/Deprec_Fiscal_Equipos)*E5/Mes_año)</f>
        <v>0</v>
      </c>
      <c r="F111" s="340">
        <f t="shared" si="50"/>
        <v>0</v>
      </c>
      <c r="G111" s="340">
        <f t="shared" si="50"/>
        <v>0</v>
      </c>
      <c r="H111" s="340">
        <f t="shared" si="50"/>
        <v>0</v>
      </c>
      <c r="I111" s="340">
        <f t="shared" si="50"/>
        <v>0</v>
      </c>
      <c r="J111" s="340">
        <f t="shared" si="50"/>
        <v>0</v>
      </c>
      <c r="K111" s="340">
        <f t="shared" si="50"/>
        <v>0</v>
      </c>
      <c r="L111" s="340">
        <f t="shared" si="50"/>
        <v>0</v>
      </c>
      <c r="M111" s="340">
        <f t="shared" si="50"/>
        <v>0</v>
      </c>
      <c r="N111" s="340">
        <f t="shared" si="50"/>
        <v>0</v>
      </c>
      <c r="O111" s="340">
        <f t="shared" si="50"/>
        <v>0</v>
      </c>
    </row>
    <row r="112" spans="1:15" s="314" customFormat="1">
      <c r="A112" s="346" t="s">
        <v>626</v>
      </c>
      <c r="C112" s="404"/>
      <c r="D112" s="404"/>
      <c r="E112" s="392"/>
      <c r="F112" s="392"/>
      <c r="G112" s="392"/>
      <c r="H112" s="392"/>
      <c r="I112" s="392"/>
      <c r="J112" s="392"/>
      <c r="K112" s="392"/>
      <c r="L112" s="392"/>
      <c r="M112" s="392"/>
      <c r="N112" s="392"/>
      <c r="O112" s="392"/>
    </row>
    <row r="113" spans="1:15" s="314" customFormat="1">
      <c r="A113" s="308" t="s">
        <v>352</v>
      </c>
      <c r="B113" s="314">
        <f>$E$102</f>
        <v>2014</v>
      </c>
      <c r="C113" s="404">
        <v>0</v>
      </c>
      <c r="D113" s="404">
        <v>0</v>
      </c>
      <c r="E113" s="351">
        <f t="shared" ref="E113:O113" si="51">IF(E102&lt;$B$113,0,(-$E$96/Deprec._Fiscal_Inmuebles)*E5/Mes_año)</f>
        <v>0</v>
      </c>
      <c r="F113" s="351">
        <f t="shared" si="51"/>
        <v>0</v>
      </c>
      <c r="G113" s="351">
        <f t="shared" si="51"/>
        <v>0</v>
      </c>
      <c r="H113" s="351">
        <f t="shared" si="51"/>
        <v>0</v>
      </c>
      <c r="I113" s="351">
        <f t="shared" si="51"/>
        <v>0</v>
      </c>
      <c r="J113" s="351">
        <f t="shared" si="51"/>
        <v>0</v>
      </c>
      <c r="K113" s="351">
        <f t="shared" si="51"/>
        <v>0</v>
      </c>
      <c r="L113" s="351">
        <f t="shared" si="51"/>
        <v>0</v>
      </c>
      <c r="M113" s="351">
        <f t="shared" si="51"/>
        <v>0</v>
      </c>
      <c r="N113" s="351">
        <f t="shared" si="51"/>
        <v>0</v>
      </c>
      <c r="O113" s="351">
        <f t="shared" si="51"/>
        <v>0</v>
      </c>
    </row>
    <row r="114" spans="1:15" s="314" customFormat="1">
      <c r="A114" s="308" t="s">
        <v>437</v>
      </c>
      <c r="B114" s="314">
        <f>$E$102</f>
        <v>2014</v>
      </c>
      <c r="C114" s="404">
        <v>0</v>
      </c>
      <c r="D114" s="404">
        <v>0</v>
      </c>
      <c r="E114" s="351">
        <f t="shared" ref="E114:O114" si="52">IF(E102&lt;$B$114,0,(-$E$97/Deprec_Fiscal_Plantas_Generacion)*E5/Mes_año)</f>
        <v>-263685989.8501277</v>
      </c>
      <c r="F114" s="351">
        <f t="shared" si="52"/>
        <v>-527371979.70025539</v>
      </c>
      <c r="G114" s="351">
        <f t="shared" si="52"/>
        <v>-527371979.70025539</v>
      </c>
      <c r="H114" s="351">
        <f t="shared" si="52"/>
        <v>-527371979.70025539</v>
      </c>
      <c r="I114" s="351">
        <f t="shared" si="52"/>
        <v>-527371979.70025539</v>
      </c>
      <c r="J114" s="351">
        <f t="shared" si="52"/>
        <v>-527371979.70025539</v>
      </c>
      <c r="K114" s="351">
        <f t="shared" si="52"/>
        <v>-527371979.70025539</v>
      </c>
      <c r="L114" s="351">
        <f t="shared" si="52"/>
        <v>-527371979.70025539</v>
      </c>
      <c r="M114" s="351">
        <f t="shared" si="52"/>
        <v>-527371979.70025539</v>
      </c>
      <c r="N114" s="351">
        <f t="shared" si="52"/>
        <v>-527371979.70025539</v>
      </c>
      <c r="O114" s="351">
        <f t="shared" si="52"/>
        <v>-527371979.70025539</v>
      </c>
    </row>
    <row r="115" spans="1:15" s="314" customFormat="1">
      <c r="A115" s="308" t="s">
        <v>609</v>
      </c>
      <c r="B115" s="314">
        <f>$E$102</f>
        <v>2014</v>
      </c>
      <c r="C115" s="404">
        <v>0</v>
      </c>
      <c r="D115" s="404">
        <v>0</v>
      </c>
      <c r="E115" s="351">
        <f t="shared" ref="E115:O115" si="53">IF(E102&lt;$B$115,0,(-$E$98/Deprec_Fiscal_Equipos)*E5/Mes_año)</f>
        <v>0</v>
      </c>
      <c r="F115" s="351">
        <f t="shared" si="53"/>
        <v>0</v>
      </c>
      <c r="G115" s="351">
        <f t="shared" si="53"/>
        <v>0</v>
      </c>
      <c r="H115" s="351">
        <f t="shared" si="53"/>
        <v>0</v>
      </c>
      <c r="I115" s="351">
        <f t="shared" si="53"/>
        <v>0</v>
      </c>
      <c r="J115" s="351">
        <f t="shared" si="53"/>
        <v>0</v>
      </c>
      <c r="K115" s="351">
        <f t="shared" si="53"/>
        <v>0</v>
      </c>
      <c r="L115" s="351">
        <f t="shared" si="53"/>
        <v>0</v>
      </c>
      <c r="M115" s="351">
        <f t="shared" si="53"/>
        <v>0</v>
      </c>
      <c r="N115" s="351">
        <f t="shared" si="53"/>
        <v>0</v>
      </c>
      <c r="O115" s="351">
        <f t="shared" si="53"/>
        <v>0</v>
      </c>
    </row>
    <row r="116" spans="1:15" s="314" customFormat="1">
      <c r="A116" s="346" t="s">
        <v>586</v>
      </c>
      <c r="C116" s="404"/>
      <c r="D116" s="404"/>
      <c r="E116" s="392"/>
      <c r="F116" s="392"/>
      <c r="G116" s="392"/>
      <c r="H116" s="392"/>
      <c r="I116" s="392"/>
      <c r="J116" s="392"/>
      <c r="K116" s="392"/>
      <c r="L116" s="392"/>
      <c r="M116" s="392"/>
      <c r="N116" s="392"/>
      <c r="O116" s="392"/>
    </row>
    <row r="117" spans="1:15" s="314" customFormat="1">
      <c r="A117" s="308" t="s">
        <v>352</v>
      </c>
      <c r="B117" s="314">
        <f>$F$102</f>
        <v>2015</v>
      </c>
      <c r="C117" s="404">
        <v>0</v>
      </c>
      <c r="D117" s="404">
        <v>0</v>
      </c>
      <c r="E117" s="351">
        <f t="shared" ref="E117:O117" si="54">IF(E102&lt;$B$117,0,(-$F$96/Deprec._Fiscal_Inmuebles)*E5/Mes_año)</f>
        <v>0</v>
      </c>
      <c r="F117" s="351">
        <f t="shared" si="54"/>
        <v>0</v>
      </c>
      <c r="G117" s="351">
        <f t="shared" si="54"/>
        <v>0</v>
      </c>
      <c r="H117" s="351">
        <f t="shared" si="54"/>
        <v>0</v>
      </c>
      <c r="I117" s="351">
        <f t="shared" si="54"/>
        <v>0</v>
      </c>
      <c r="J117" s="351">
        <f t="shared" si="54"/>
        <v>0</v>
      </c>
      <c r="K117" s="351">
        <f t="shared" si="54"/>
        <v>0</v>
      </c>
      <c r="L117" s="351">
        <f t="shared" si="54"/>
        <v>0</v>
      </c>
      <c r="M117" s="351">
        <f t="shared" si="54"/>
        <v>0</v>
      </c>
      <c r="N117" s="351">
        <f t="shared" si="54"/>
        <v>0</v>
      </c>
      <c r="O117" s="351">
        <f t="shared" si="54"/>
        <v>0</v>
      </c>
    </row>
    <row r="118" spans="1:15" s="314" customFormat="1">
      <c r="A118" s="308" t="s">
        <v>437</v>
      </c>
      <c r="B118" s="314">
        <f>$F$102</f>
        <v>2015</v>
      </c>
      <c r="C118" s="404">
        <v>0</v>
      </c>
      <c r="D118" s="404">
        <v>0</v>
      </c>
      <c r="E118" s="351">
        <f t="shared" ref="E118:O118" si="55">IF(E102&lt;$B$118,0,(-$F$97/Deprec_Fiscal_Plantas_Generacion)*E5/Mes_año)</f>
        <v>0</v>
      </c>
      <c r="F118" s="351">
        <f t="shared" si="55"/>
        <v>-206908772628.72375</v>
      </c>
      <c r="G118" s="351">
        <f t="shared" si="55"/>
        <v>-206908772628.72375</v>
      </c>
      <c r="H118" s="351">
        <f t="shared" si="55"/>
        <v>-206908772628.72375</v>
      </c>
      <c r="I118" s="351">
        <f t="shared" si="55"/>
        <v>-206908772628.72375</v>
      </c>
      <c r="J118" s="351">
        <f t="shared" si="55"/>
        <v>-206908772628.72375</v>
      </c>
      <c r="K118" s="351">
        <f t="shared" si="55"/>
        <v>-206908772628.72375</v>
      </c>
      <c r="L118" s="351">
        <f t="shared" si="55"/>
        <v>-206908772628.72375</v>
      </c>
      <c r="M118" s="351">
        <f t="shared" si="55"/>
        <v>-206908772628.72375</v>
      </c>
      <c r="N118" s="351">
        <f t="shared" si="55"/>
        <v>-206908772628.72375</v>
      </c>
      <c r="O118" s="351">
        <f t="shared" si="55"/>
        <v>-206908772628.72375</v>
      </c>
    </row>
    <row r="119" spans="1:15" s="314" customFormat="1">
      <c r="A119" s="308" t="s">
        <v>609</v>
      </c>
      <c r="B119" s="314">
        <f>$F$102</f>
        <v>2015</v>
      </c>
      <c r="C119" s="404">
        <v>0</v>
      </c>
      <c r="D119" s="404">
        <v>0</v>
      </c>
      <c r="E119" s="351">
        <f t="shared" ref="E119:O119" si="56">IF(E102&lt;$B$119,0,(-$F$98/Deprec_Fiscal_Equipos)*E5/Mes_año)</f>
        <v>0</v>
      </c>
      <c r="F119" s="351">
        <f t="shared" si="56"/>
        <v>0</v>
      </c>
      <c r="G119" s="351">
        <f t="shared" si="56"/>
        <v>0</v>
      </c>
      <c r="H119" s="351">
        <f t="shared" si="56"/>
        <v>0</v>
      </c>
      <c r="I119" s="351">
        <f t="shared" si="56"/>
        <v>0</v>
      </c>
      <c r="J119" s="351">
        <f t="shared" si="56"/>
        <v>0</v>
      </c>
      <c r="K119" s="351">
        <f t="shared" si="56"/>
        <v>0</v>
      </c>
      <c r="L119" s="351">
        <f t="shared" si="56"/>
        <v>0</v>
      </c>
      <c r="M119" s="351">
        <f t="shared" si="56"/>
        <v>0</v>
      </c>
      <c r="N119" s="351">
        <f t="shared" si="56"/>
        <v>0</v>
      </c>
      <c r="O119" s="351">
        <f t="shared" si="56"/>
        <v>0</v>
      </c>
    </row>
    <row r="120" spans="1:15" s="314" customFormat="1">
      <c r="A120" s="346" t="s">
        <v>587</v>
      </c>
      <c r="C120" s="404"/>
      <c r="D120" s="404"/>
      <c r="E120" s="392"/>
      <c r="F120" s="392"/>
      <c r="G120" s="392"/>
      <c r="H120" s="392"/>
      <c r="I120" s="392"/>
      <c r="J120" s="392"/>
      <c r="K120" s="392"/>
      <c r="L120" s="392"/>
      <c r="M120" s="392"/>
      <c r="N120" s="392"/>
      <c r="O120" s="392"/>
    </row>
    <row r="121" spans="1:15">
      <c r="A121" s="308" t="s">
        <v>352</v>
      </c>
      <c r="B121" s="302">
        <f>$G$102</f>
        <v>2016</v>
      </c>
      <c r="C121" s="404">
        <v>0</v>
      </c>
      <c r="D121" s="404">
        <v>0</v>
      </c>
      <c r="E121" s="340">
        <f t="shared" ref="E121:O121" si="57">IF(E102&lt;$B$121,0,(-$G$96/Deprec._Fiscal_Inmuebles)*E5/Mes_año)</f>
        <v>0</v>
      </c>
      <c r="F121" s="340">
        <f t="shared" si="57"/>
        <v>0</v>
      </c>
      <c r="G121" s="340">
        <f t="shared" si="57"/>
        <v>0</v>
      </c>
      <c r="H121" s="340">
        <f t="shared" si="57"/>
        <v>0</v>
      </c>
      <c r="I121" s="340">
        <f t="shared" si="57"/>
        <v>0</v>
      </c>
      <c r="J121" s="340">
        <f t="shared" si="57"/>
        <v>0</v>
      </c>
      <c r="K121" s="340">
        <f t="shared" si="57"/>
        <v>0</v>
      </c>
      <c r="L121" s="340">
        <f t="shared" si="57"/>
        <v>0</v>
      </c>
      <c r="M121" s="340">
        <f t="shared" si="57"/>
        <v>0</v>
      </c>
      <c r="N121" s="340">
        <f t="shared" si="57"/>
        <v>0</v>
      </c>
      <c r="O121" s="340">
        <f t="shared" si="57"/>
        <v>0</v>
      </c>
    </row>
    <row r="122" spans="1:15">
      <c r="A122" s="308" t="s">
        <v>437</v>
      </c>
      <c r="B122" s="302">
        <f>$G$102</f>
        <v>2016</v>
      </c>
      <c r="C122" s="404">
        <v>0</v>
      </c>
      <c r="D122" s="404">
        <v>0</v>
      </c>
      <c r="E122" s="340">
        <f t="shared" ref="E122:O122" si="58">IF(E102&lt;$B$122,0,(-$G$97/Deprec_Fiscal_Plantas_Generacion)*E5/Mes_año)</f>
        <v>0</v>
      </c>
      <c r="F122" s="340">
        <f t="shared" si="58"/>
        <v>0</v>
      </c>
      <c r="G122" s="340">
        <f t="shared" si="58"/>
        <v>-1678681935.5794871</v>
      </c>
      <c r="H122" s="340">
        <f t="shared" si="58"/>
        <v>-1678681935.5794871</v>
      </c>
      <c r="I122" s="340">
        <f t="shared" si="58"/>
        <v>-1678681935.5794871</v>
      </c>
      <c r="J122" s="340">
        <f t="shared" si="58"/>
        <v>-1678681935.5794871</v>
      </c>
      <c r="K122" s="340">
        <f t="shared" si="58"/>
        <v>-1678681935.5794871</v>
      </c>
      <c r="L122" s="340">
        <f t="shared" si="58"/>
        <v>-1678681935.5794871</v>
      </c>
      <c r="M122" s="340">
        <f t="shared" si="58"/>
        <v>-1678681935.5794871</v>
      </c>
      <c r="N122" s="340">
        <f t="shared" si="58"/>
        <v>-1678681935.5794871</v>
      </c>
      <c r="O122" s="340">
        <f t="shared" si="58"/>
        <v>-1678681935.5794871</v>
      </c>
    </row>
    <row r="123" spans="1:15">
      <c r="A123" s="308" t="s">
        <v>609</v>
      </c>
      <c r="B123" s="302">
        <f>$G$102</f>
        <v>2016</v>
      </c>
      <c r="C123" s="404">
        <v>0</v>
      </c>
      <c r="D123" s="404">
        <v>0</v>
      </c>
      <c r="E123" s="340">
        <f t="shared" ref="E123:O123" si="59">IF(E102&lt;$B$123,0,(-$G$98/Deprec_Fiscal_Equipos)*E5/Mes_año)</f>
        <v>0</v>
      </c>
      <c r="F123" s="340">
        <f t="shared" si="59"/>
        <v>0</v>
      </c>
      <c r="G123" s="340">
        <f t="shared" si="59"/>
        <v>0</v>
      </c>
      <c r="H123" s="340">
        <f t="shared" si="59"/>
        <v>0</v>
      </c>
      <c r="I123" s="340">
        <f t="shared" si="59"/>
        <v>0</v>
      </c>
      <c r="J123" s="340">
        <f t="shared" si="59"/>
        <v>0</v>
      </c>
      <c r="K123" s="340">
        <f t="shared" si="59"/>
        <v>0</v>
      </c>
      <c r="L123" s="340">
        <f t="shared" si="59"/>
        <v>0</v>
      </c>
      <c r="M123" s="340">
        <f t="shared" si="59"/>
        <v>0</v>
      </c>
      <c r="N123" s="340">
        <f t="shared" si="59"/>
        <v>0</v>
      </c>
      <c r="O123" s="340">
        <f t="shared" si="59"/>
        <v>0</v>
      </c>
    </row>
    <row r="124" spans="1:15">
      <c r="A124" s="391" t="s">
        <v>588</v>
      </c>
      <c r="C124" s="404"/>
      <c r="D124" s="404"/>
      <c r="E124" s="393"/>
      <c r="F124" s="393"/>
      <c r="G124" s="393"/>
      <c r="H124" s="393"/>
      <c r="I124" s="393"/>
      <c r="J124" s="393"/>
      <c r="K124" s="393"/>
      <c r="L124" s="393"/>
      <c r="M124" s="393"/>
      <c r="N124" s="393"/>
      <c r="O124" s="393"/>
    </row>
    <row r="125" spans="1:15">
      <c r="A125" s="308" t="s">
        <v>352</v>
      </c>
      <c r="B125" s="302">
        <f>$H$102</f>
        <v>2017</v>
      </c>
      <c r="C125" s="404">
        <v>0</v>
      </c>
      <c r="D125" s="404">
        <v>0</v>
      </c>
      <c r="E125" s="340">
        <f t="shared" ref="E125:O125" si="60">IF(E102&lt;$B$125,0,(-$H$96/Deprec._Fiscal_Inmuebles)*E5/Mes_año)</f>
        <v>0</v>
      </c>
      <c r="F125" s="340">
        <f t="shared" si="60"/>
        <v>0</v>
      </c>
      <c r="G125" s="340">
        <f t="shared" si="60"/>
        <v>0</v>
      </c>
      <c r="H125" s="340">
        <f t="shared" si="60"/>
        <v>0</v>
      </c>
      <c r="I125" s="340">
        <f t="shared" si="60"/>
        <v>0</v>
      </c>
      <c r="J125" s="340">
        <f t="shared" si="60"/>
        <v>0</v>
      </c>
      <c r="K125" s="340">
        <f t="shared" si="60"/>
        <v>0</v>
      </c>
      <c r="L125" s="340">
        <f t="shared" si="60"/>
        <v>0</v>
      </c>
      <c r="M125" s="340">
        <f t="shared" si="60"/>
        <v>0</v>
      </c>
      <c r="N125" s="340">
        <f t="shared" si="60"/>
        <v>0</v>
      </c>
      <c r="O125" s="340">
        <f t="shared" si="60"/>
        <v>0</v>
      </c>
    </row>
    <row r="126" spans="1:15">
      <c r="A126" s="308" t="s">
        <v>437</v>
      </c>
      <c r="B126" s="302">
        <f>$H$102</f>
        <v>2017</v>
      </c>
      <c r="C126" s="404">
        <v>0</v>
      </c>
      <c r="D126" s="404">
        <v>0</v>
      </c>
      <c r="E126" s="340">
        <f t="shared" ref="E126:O126" si="61">IF(E102&lt;$B$126,0,(-$H$97/Deprec_Fiscal_Plantas_Generacion)*E5/Mes_año)</f>
        <v>0</v>
      </c>
      <c r="F126" s="340">
        <f t="shared" si="61"/>
        <v>0</v>
      </c>
      <c r="G126" s="340">
        <f t="shared" si="61"/>
        <v>0</v>
      </c>
      <c r="H126" s="340">
        <f t="shared" si="61"/>
        <v>-1771182444.7071335</v>
      </c>
      <c r="I126" s="340">
        <f t="shared" si="61"/>
        <v>-1771182444.7071335</v>
      </c>
      <c r="J126" s="340">
        <f t="shared" si="61"/>
        <v>-1771182444.7071335</v>
      </c>
      <c r="K126" s="340">
        <f t="shared" si="61"/>
        <v>-1771182444.7071335</v>
      </c>
      <c r="L126" s="340">
        <f t="shared" si="61"/>
        <v>-1771182444.7071335</v>
      </c>
      <c r="M126" s="340">
        <f t="shared" si="61"/>
        <v>-1771182444.7071335</v>
      </c>
      <c r="N126" s="340">
        <f t="shared" si="61"/>
        <v>-1771182444.7071335</v>
      </c>
      <c r="O126" s="340">
        <f t="shared" si="61"/>
        <v>-1771182444.7071335</v>
      </c>
    </row>
    <row r="127" spans="1:15">
      <c r="A127" s="308" t="s">
        <v>609</v>
      </c>
      <c r="B127" s="302">
        <f>$H$102</f>
        <v>2017</v>
      </c>
      <c r="C127" s="404">
        <v>0</v>
      </c>
      <c r="D127" s="404">
        <v>0</v>
      </c>
      <c r="E127" s="340">
        <f t="shared" ref="E127:O127" si="62">IF(E102&lt;$B$127,0,(-$H$98/Deprec_Fiscal_Equipos)*E5/Mes_año)</f>
        <v>0</v>
      </c>
      <c r="F127" s="340">
        <f t="shared" si="62"/>
        <v>0</v>
      </c>
      <c r="G127" s="340">
        <f t="shared" si="62"/>
        <v>0</v>
      </c>
      <c r="H127" s="340">
        <f t="shared" si="62"/>
        <v>0</v>
      </c>
      <c r="I127" s="340">
        <f t="shared" si="62"/>
        <v>0</v>
      </c>
      <c r="J127" s="340">
        <f t="shared" si="62"/>
        <v>0</v>
      </c>
      <c r="K127" s="340">
        <f t="shared" si="62"/>
        <v>0</v>
      </c>
      <c r="L127" s="340">
        <f t="shared" si="62"/>
        <v>0</v>
      </c>
      <c r="M127" s="340">
        <f t="shared" si="62"/>
        <v>0</v>
      </c>
      <c r="N127" s="340">
        <f t="shared" si="62"/>
        <v>0</v>
      </c>
      <c r="O127" s="340">
        <f t="shared" si="62"/>
        <v>0</v>
      </c>
    </row>
    <row r="128" spans="1:15">
      <c r="A128" s="391" t="s">
        <v>589</v>
      </c>
      <c r="C128" s="404"/>
      <c r="D128" s="404"/>
      <c r="E128" s="393"/>
      <c r="F128" s="393"/>
      <c r="G128" s="393"/>
      <c r="H128" s="393"/>
      <c r="I128" s="393"/>
      <c r="J128" s="393"/>
      <c r="K128" s="393"/>
      <c r="L128" s="393"/>
      <c r="M128" s="393"/>
      <c r="N128" s="393"/>
      <c r="O128" s="393"/>
    </row>
    <row r="129" spans="1:15">
      <c r="A129" s="308" t="s">
        <v>352</v>
      </c>
      <c r="B129" s="302">
        <f>$I$102</f>
        <v>2018</v>
      </c>
      <c r="C129" s="404">
        <v>0</v>
      </c>
      <c r="D129" s="404">
        <v>0</v>
      </c>
      <c r="E129" s="340">
        <f t="shared" ref="E129:O129" si="63">IF(E102&lt;$B$129,0,(-$I$96/Deprec._Fiscal_Inmuebles)*E5/Mes_año)</f>
        <v>0</v>
      </c>
      <c r="F129" s="340">
        <f t="shared" si="63"/>
        <v>0</v>
      </c>
      <c r="G129" s="340">
        <f t="shared" si="63"/>
        <v>0</v>
      </c>
      <c r="H129" s="340">
        <f t="shared" si="63"/>
        <v>0</v>
      </c>
      <c r="I129" s="340">
        <f t="shared" si="63"/>
        <v>0</v>
      </c>
      <c r="J129" s="340">
        <f t="shared" si="63"/>
        <v>0</v>
      </c>
      <c r="K129" s="340">
        <f t="shared" si="63"/>
        <v>0</v>
      </c>
      <c r="L129" s="340">
        <f t="shared" si="63"/>
        <v>0</v>
      </c>
      <c r="M129" s="340">
        <f t="shared" si="63"/>
        <v>0</v>
      </c>
      <c r="N129" s="340">
        <f t="shared" si="63"/>
        <v>0</v>
      </c>
      <c r="O129" s="340">
        <f t="shared" si="63"/>
        <v>0</v>
      </c>
    </row>
    <row r="130" spans="1:15">
      <c r="A130" s="308" t="s">
        <v>437</v>
      </c>
      <c r="B130" s="302">
        <f>$I$102</f>
        <v>2018</v>
      </c>
      <c r="C130" s="404">
        <v>0</v>
      </c>
      <c r="D130" s="404">
        <v>0</v>
      </c>
      <c r="E130" s="340">
        <f t="shared" ref="E130:O130" si="64">IF(E102&lt;$B$130,0,(-$I$97/Deprec_Fiscal_Plantas_Generacion)*E5/Mes_año)</f>
        <v>0</v>
      </c>
      <c r="F130" s="340">
        <f t="shared" si="64"/>
        <v>0</v>
      </c>
      <c r="G130" s="340">
        <f t="shared" si="64"/>
        <v>0</v>
      </c>
      <c r="H130" s="340">
        <f t="shared" si="64"/>
        <v>0</v>
      </c>
      <c r="I130" s="340">
        <f t="shared" si="64"/>
        <v>-1844947517.9236107</v>
      </c>
      <c r="J130" s="340">
        <f t="shared" si="64"/>
        <v>-1844947517.9236107</v>
      </c>
      <c r="K130" s="340">
        <f t="shared" si="64"/>
        <v>-1844947517.9236107</v>
      </c>
      <c r="L130" s="340">
        <f t="shared" si="64"/>
        <v>-1844947517.9236107</v>
      </c>
      <c r="M130" s="340">
        <f t="shared" si="64"/>
        <v>-1844947517.9236107</v>
      </c>
      <c r="N130" s="340">
        <f t="shared" si="64"/>
        <v>-1844947517.9236107</v>
      </c>
      <c r="O130" s="340">
        <f t="shared" si="64"/>
        <v>-1844947517.9236107</v>
      </c>
    </row>
    <row r="131" spans="1:15">
      <c r="A131" s="308" t="s">
        <v>609</v>
      </c>
      <c r="B131" s="302">
        <f>$I$102</f>
        <v>2018</v>
      </c>
      <c r="C131" s="404">
        <v>0</v>
      </c>
      <c r="D131" s="404">
        <v>0</v>
      </c>
      <c r="E131" s="340">
        <f t="shared" ref="E131:O131" si="65">IF(E102&lt;$B$131,0,(-$I$98/Deprec_Fiscal_Equipos)*E5/Mes_año)</f>
        <v>0</v>
      </c>
      <c r="F131" s="340">
        <f t="shared" si="65"/>
        <v>0</v>
      </c>
      <c r="G131" s="340">
        <f t="shared" si="65"/>
        <v>0</v>
      </c>
      <c r="H131" s="340">
        <f t="shared" si="65"/>
        <v>0</v>
      </c>
      <c r="I131" s="340">
        <f t="shared" si="65"/>
        <v>0</v>
      </c>
      <c r="J131" s="340">
        <f t="shared" si="65"/>
        <v>0</v>
      </c>
      <c r="K131" s="340">
        <f t="shared" si="65"/>
        <v>0</v>
      </c>
      <c r="L131" s="340">
        <f t="shared" si="65"/>
        <v>0</v>
      </c>
      <c r="M131" s="340">
        <f t="shared" si="65"/>
        <v>0</v>
      </c>
      <c r="N131" s="340">
        <f t="shared" si="65"/>
        <v>0</v>
      </c>
      <c r="O131" s="340">
        <f t="shared" si="65"/>
        <v>0</v>
      </c>
    </row>
    <row r="132" spans="1:15">
      <c r="A132" s="391" t="s">
        <v>590</v>
      </c>
      <c r="C132" s="404"/>
      <c r="D132" s="404"/>
      <c r="E132" s="393"/>
      <c r="F132" s="393"/>
      <c r="G132" s="393"/>
      <c r="H132" s="393"/>
      <c r="I132" s="393"/>
      <c r="J132" s="393"/>
      <c r="K132" s="393"/>
      <c r="L132" s="393"/>
      <c r="M132" s="393"/>
      <c r="N132" s="393"/>
      <c r="O132" s="393"/>
    </row>
    <row r="133" spans="1:15">
      <c r="A133" s="308" t="s">
        <v>352</v>
      </c>
      <c r="B133" s="302">
        <f>$J$102</f>
        <v>2019</v>
      </c>
      <c r="C133" s="404">
        <v>0</v>
      </c>
      <c r="D133" s="404">
        <v>0</v>
      </c>
      <c r="E133" s="340">
        <f t="shared" ref="E133:O133" si="66">IF(E102&lt;$B$133,0,(-$J$96/Deprec._Fiscal_Inmuebles)*E5/Mes_año)</f>
        <v>0</v>
      </c>
      <c r="F133" s="340">
        <f t="shared" si="66"/>
        <v>0</v>
      </c>
      <c r="G133" s="340">
        <f t="shared" si="66"/>
        <v>0</v>
      </c>
      <c r="H133" s="340">
        <f t="shared" si="66"/>
        <v>0</v>
      </c>
      <c r="I133" s="340">
        <f t="shared" si="66"/>
        <v>0</v>
      </c>
      <c r="J133" s="340">
        <f t="shared" si="66"/>
        <v>0</v>
      </c>
      <c r="K133" s="340">
        <f t="shared" si="66"/>
        <v>0</v>
      </c>
      <c r="L133" s="340">
        <f t="shared" si="66"/>
        <v>0</v>
      </c>
      <c r="M133" s="340">
        <f t="shared" si="66"/>
        <v>0</v>
      </c>
      <c r="N133" s="340">
        <f t="shared" si="66"/>
        <v>0</v>
      </c>
      <c r="O133" s="340">
        <f t="shared" si="66"/>
        <v>0</v>
      </c>
    </row>
    <row r="134" spans="1:15">
      <c r="A134" s="308" t="s">
        <v>437</v>
      </c>
      <c r="B134" s="302">
        <f>$J$102</f>
        <v>2019</v>
      </c>
      <c r="C134" s="404">
        <v>0</v>
      </c>
      <c r="D134" s="404">
        <v>0</v>
      </c>
      <c r="E134" s="340">
        <f t="shared" ref="E134:O134" si="67">IF(E102&lt;$B$134,0,(-$J$97/Deprec_Fiscal_Plantas_Generacion)*E5/Mes_año)</f>
        <v>0</v>
      </c>
      <c r="F134" s="340">
        <f t="shared" si="67"/>
        <v>0</v>
      </c>
      <c r="G134" s="340">
        <f t="shared" si="67"/>
        <v>0</v>
      </c>
      <c r="H134" s="340">
        <f t="shared" si="67"/>
        <v>0</v>
      </c>
      <c r="I134" s="340">
        <f t="shared" si="67"/>
        <v>0</v>
      </c>
      <c r="J134" s="340">
        <f t="shared" si="67"/>
        <v>-1916414200.7090428</v>
      </c>
      <c r="K134" s="340">
        <f t="shared" si="67"/>
        <v>-1916414200.7090428</v>
      </c>
      <c r="L134" s="340">
        <f t="shared" si="67"/>
        <v>-1916414200.7090428</v>
      </c>
      <c r="M134" s="340">
        <f t="shared" si="67"/>
        <v>-1916414200.7090428</v>
      </c>
      <c r="N134" s="340">
        <f t="shared" si="67"/>
        <v>-1916414200.7090428</v>
      </c>
      <c r="O134" s="340">
        <f t="shared" si="67"/>
        <v>-1916414200.7090428</v>
      </c>
    </row>
    <row r="135" spans="1:15">
      <c r="A135" s="308" t="s">
        <v>609</v>
      </c>
      <c r="B135" s="302">
        <f>$J$102</f>
        <v>2019</v>
      </c>
      <c r="C135" s="404">
        <v>0</v>
      </c>
      <c r="D135" s="404">
        <v>0</v>
      </c>
      <c r="E135" s="340">
        <f t="shared" ref="E135:O135" si="68">IF(E102&lt;$B$135,0,(-$J$98/Deprec_Fiscal_Equipos)*E5/Mes_año)</f>
        <v>0</v>
      </c>
      <c r="F135" s="340">
        <f t="shared" si="68"/>
        <v>0</v>
      </c>
      <c r="G135" s="340">
        <f t="shared" si="68"/>
        <v>0</v>
      </c>
      <c r="H135" s="340">
        <f t="shared" si="68"/>
        <v>0</v>
      </c>
      <c r="I135" s="340">
        <f t="shared" si="68"/>
        <v>0</v>
      </c>
      <c r="J135" s="340">
        <f t="shared" si="68"/>
        <v>0</v>
      </c>
      <c r="K135" s="340">
        <f t="shared" si="68"/>
        <v>0</v>
      </c>
      <c r="L135" s="340">
        <f t="shared" si="68"/>
        <v>0</v>
      </c>
      <c r="M135" s="340">
        <f t="shared" si="68"/>
        <v>0</v>
      </c>
      <c r="N135" s="340">
        <f t="shared" si="68"/>
        <v>0</v>
      </c>
      <c r="O135" s="340">
        <f t="shared" si="68"/>
        <v>0</v>
      </c>
    </row>
    <row r="136" spans="1:15">
      <c r="A136" s="391" t="s">
        <v>591</v>
      </c>
      <c r="C136" s="404"/>
      <c r="D136" s="404"/>
      <c r="E136" s="340"/>
      <c r="F136" s="340"/>
      <c r="G136" s="340"/>
      <c r="H136" s="340"/>
      <c r="I136" s="340"/>
      <c r="J136" s="340"/>
      <c r="K136" s="340"/>
      <c r="L136" s="340"/>
      <c r="M136" s="340"/>
      <c r="N136" s="340"/>
      <c r="O136" s="340"/>
    </row>
    <row r="137" spans="1:15">
      <c r="A137" s="308" t="s">
        <v>352</v>
      </c>
      <c r="B137" s="302">
        <f>$K$102</f>
        <v>2020</v>
      </c>
      <c r="C137" s="404">
        <v>0</v>
      </c>
      <c r="D137" s="404">
        <v>0</v>
      </c>
      <c r="E137" s="340">
        <f t="shared" ref="E137:O137" si="69">IF(E102&lt;$B$137,0,(-$K$96/Deprec._Fiscal_Inmuebles)*E5/Mes_año)</f>
        <v>0</v>
      </c>
      <c r="F137" s="340">
        <f t="shared" si="69"/>
        <v>0</v>
      </c>
      <c r="G137" s="340">
        <f t="shared" si="69"/>
        <v>0</v>
      </c>
      <c r="H137" s="340">
        <f t="shared" si="69"/>
        <v>0</v>
      </c>
      <c r="I137" s="340">
        <f t="shared" si="69"/>
        <v>0</v>
      </c>
      <c r="J137" s="340">
        <f t="shared" si="69"/>
        <v>0</v>
      </c>
      <c r="K137" s="340">
        <f t="shared" si="69"/>
        <v>0</v>
      </c>
      <c r="L137" s="340">
        <f t="shared" si="69"/>
        <v>0</v>
      </c>
      <c r="M137" s="340">
        <f t="shared" si="69"/>
        <v>0</v>
      </c>
      <c r="N137" s="340">
        <f t="shared" si="69"/>
        <v>0</v>
      </c>
      <c r="O137" s="340">
        <f t="shared" si="69"/>
        <v>0</v>
      </c>
    </row>
    <row r="138" spans="1:15">
      <c r="A138" s="308" t="s">
        <v>437</v>
      </c>
      <c r="B138" s="302">
        <f>$K$102</f>
        <v>2020</v>
      </c>
      <c r="C138" s="404">
        <v>0</v>
      </c>
      <c r="D138" s="404">
        <v>0</v>
      </c>
      <c r="E138" s="340">
        <f t="shared" ref="E138:O138" si="70">IF(E102&lt;$B$138,0,(-$K$97/Deprec_Fiscal_Plantas_Generacion)*E5/Mes_año)</f>
        <v>0</v>
      </c>
      <c r="F138" s="340">
        <f t="shared" si="70"/>
        <v>0</v>
      </c>
      <c r="G138" s="340">
        <f t="shared" si="70"/>
        <v>0</v>
      </c>
      <c r="H138" s="340">
        <f t="shared" si="70"/>
        <v>0</v>
      </c>
      <c r="I138" s="340">
        <f t="shared" si="70"/>
        <v>0</v>
      </c>
      <c r="J138" s="340">
        <f t="shared" si="70"/>
        <v>0</v>
      </c>
      <c r="K138" s="340">
        <f t="shared" si="70"/>
        <v>-1996167767.593673</v>
      </c>
      <c r="L138" s="340">
        <f t="shared" si="70"/>
        <v>-1996167767.593673</v>
      </c>
      <c r="M138" s="340">
        <f t="shared" si="70"/>
        <v>-1996167767.593673</v>
      </c>
      <c r="N138" s="340">
        <f t="shared" si="70"/>
        <v>-1996167767.593673</v>
      </c>
      <c r="O138" s="340">
        <f t="shared" si="70"/>
        <v>-1996167767.593673</v>
      </c>
    </row>
    <row r="139" spans="1:15">
      <c r="A139" s="308" t="s">
        <v>609</v>
      </c>
      <c r="B139" s="302">
        <f>$K$102</f>
        <v>2020</v>
      </c>
      <c r="C139" s="404">
        <v>0</v>
      </c>
      <c r="D139" s="404">
        <v>0</v>
      </c>
      <c r="E139" s="340">
        <f t="shared" ref="E139:O139" si="71">IF(E102&lt;$B$139,0,(-$K$98/Deprec_Fiscal_Equipos)*E5/Mes_año)</f>
        <v>0</v>
      </c>
      <c r="F139" s="340">
        <f t="shared" si="71"/>
        <v>0</v>
      </c>
      <c r="G139" s="340">
        <f t="shared" si="71"/>
        <v>0</v>
      </c>
      <c r="H139" s="340">
        <f t="shared" si="71"/>
        <v>0</v>
      </c>
      <c r="I139" s="340">
        <f t="shared" si="71"/>
        <v>0</v>
      </c>
      <c r="J139" s="340">
        <f t="shared" si="71"/>
        <v>0</v>
      </c>
      <c r="K139" s="340">
        <f t="shared" si="71"/>
        <v>0</v>
      </c>
      <c r="L139" s="340">
        <f t="shared" si="71"/>
        <v>0</v>
      </c>
      <c r="M139" s="340">
        <f t="shared" si="71"/>
        <v>0</v>
      </c>
      <c r="N139" s="340">
        <f t="shared" si="71"/>
        <v>0</v>
      </c>
      <c r="O139" s="340">
        <f t="shared" si="71"/>
        <v>0</v>
      </c>
    </row>
    <row r="140" spans="1:15">
      <c r="A140" s="391" t="s">
        <v>592</v>
      </c>
      <c r="C140" s="404"/>
      <c r="D140" s="404"/>
      <c r="E140" s="340"/>
      <c r="F140" s="340"/>
      <c r="G140" s="340"/>
      <c r="H140" s="340"/>
      <c r="I140" s="340"/>
      <c r="J140" s="340"/>
      <c r="K140" s="340"/>
      <c r="L140" s="340"/>
      <c r="M140" s="340"/>
      <c r="N140" s="340"/>
      <c r="O140" s="340"/>
    </row>
    <row r="141" spans="1:15">
      <c r="A141" s="308" t="s">
        <v>352</v>
      </c>
      <c r="B141" s="302">
        <f>$L$102</f>
        <v>2021</v>
      </c>
      <c r="C141" s="404">
        <v>0</v>
      </c>
      <c r="D141" s="404">
        <v>0</v>
      </c>
      <c r="E141" s="340">
        <f t="shared" ref="E141:O141" si="72">IF(E102&lt;$B$141,0,(-$L$96/Deprec._Fiscal_Inmuebles)*E5/Mes_año)</f>
        <v>0</v>
      </c>
      <c r="F141" s="340">
        <f t="shared" si="72"/>
        <v>0</v>
      </c>
      <c r="G141" s="340">
        <f t="shared" si="72"/>
        <v>0</v>
      </c>
      <c r="H141" s="340">
        <f t="shared" si="72"/>
        <v>0</v>
      </c>
      <c r="I141" s="340">
        <f t="shared" si="72"/>
        <v>0</v>
      </c>
      <c r="J141" s="340">
        <f t="shared" si="72"/>
        <v>0</v>
      </c>
      <c r="K141" s="340">
        <f t="shared" si="72"/>
        <v>0</v>
      </c>
      <c r="L141" s="340">
        <f t="shared" si="72"/>
        <v>0</v>
      </c>
      <c r="M141" s="340">
        <f t="shared" si="72"/>
        <v>0</v>
      </c>
      <c r="N141" s="340">
        <f t="shared" si="72"/>
        <v>0</v>
      </c>
      <c r="O141" s="340">
        <f t="shared" si="72"/>
        <v>0</v>
      </c>
    </row>
    <row r="142" spans="1:15">
      <c r="A142" s="308" t="s">
        <v>437</v>
      </c>
      <c r="B142" s="302">
        <f>$L$102</f>
        <v>2021</v>
      </c>
      <c r="C142" s="404">
        <v>0</v>
      </c>
      <c r="D142" s="404">
        <v>0</v>
      </c>
      <c r="E142" s="340">
        <f t="shared" ref="E142:O142" si="73">IF(E102&lt;$B$142,0,(-$L$97/Deprec_Fiscal_Plantas_Generacion)*E5/Mes_año)</f>
        <v>0</v>
      </c>
      <c r="F142" s="340">
        <f t="shared" si="73"/>
        <v>0</v>
      </c>
      <c r="G142" s="340">
        <f t="shared" si="73"/>
        <v>0</v>
      </c>
      <c r="H142" s="340">
        <f t="shared" si="73"/>
        <v>0</v>
      </c>
      <c r="I142" s="340">
        <f t="shared" si="73"/>
        <v>0</v>
      </c>
      <c r="J142" s="340">
        <f t="shared" si="73"/>
        <v>0</v>
      </c>
      <c r="K142" s="340">
        <f t="shared" si="73"/>
        <v>0</v>
      </c>
      <c r="L142" s="340">
        <f t="shared" si="73"/>
        <v>-2078329685.9550369</v>
      </c>
      <c r="M142" s="340">
        <f t="shared" si="73"/>
        <v>-2078329685.9550369</v>
      </c>
      <c r="N142" s="340">
        <f t="shared" si="73"/>
        <v>-2078329685.9550369</v>
      </c>
      <c r="O142" s="340">
        <f t="shared" si="73"/>
        <v>-2078329685.9550369</v>
      </c>
    </row>
    <row r="143" spans="1:15">
      <c r="A143" s="308" t="s">
        <v>609</v>
      </c>
      <c r="B143" s="302">
        <f>$L$102</f>
        <v>2021</v>
      </c>
      <c r="C143" s="404">
        <v>0</v>
      </c>
      <c r="D143" s="404">
        <v>0</v>
      </c>
      <c r="E143" s="340">
        <f t="shared" ref="E143:O143" si="74">IF(E102&lt;$B$143,0,(-$L$98/Deprec_Fiscal_Equipos)*E5/Mes_año)</f>
        <v>0</v>
      </c>
      <c r="F143" s="340">
        <f t="shared" si="74"/>
        <v>0</v>
      </c>
      <c r="G143" s="340">
        <f t="shared" si="74"/>
        <v>0</v>
      </c>
      <c r="H143" s="340">
        <f t="shared" si="74"/>
        <v>0</v>
      </c>
      <c r="I143" s="340">
        <f t="shared" si="74"/>
        <v>0</v>
      </c>
      <c r="J143" s="340">
        <f t="shared" si="74"/>
        <v>0</v>
      </c>
      <c r="K143" s="340">
        <f t="shared" si="74"/>
        <v>0</v>
      </c>
      <c r="L143" s="340">
        <f t="shared" si="74"/>
        <v>0</v>
      </c>
      <c r="M143" s="340">
        <f t="shared" si="74"/>
        <v>0</v>
      </c>
      <c r="N143" s="340">
        <f t="shared" si="74"/>
        <v>0</v>
      </c>
      <c r="O143" s="340">
        <f t="shared" si="74"/>
        <v>0</v>
      </c>
    </row>
    <row r="144" spans="1:15">
      <c r="A144" s="391" t="s">
        <v>593</v>
      </c>
      <c r="C144" s="404"/>
      <c r="D144" s="404"/>
      <c r="E144" s="340"/>
      <c r="F144" s="340"/>
      <c r="G144" s="340"/>
      <c r="H144" s="340"/>
      <c r="I144" s="340"/>
      <c r="J144" s="340"/>
      <c r="K144" s="340"/>
      <c r="L144" s="340"/>
      <c r="M144" s="340"/>
      <c r="N144" s="340"/>
      <c r="O144" s="340"/>
    </row>
    <row r="145" spans="1:15">
      <c r="A145" s="308" t="s">
        <v>352</v>
      </c>
      <c r="B145" s="302">
        <f>$M$102</f>
        <v>2022</v>
      </c>
      <c r="C145" s="404">
        <v>0</v>
      </c>
      <c r="D145" s="404">
        <v>0</v>
      </c>
      <c r="E145" s="340">
        <f t="shared" ref="E145:O145" si="75">IF(E102&lt;$B$145,0,(-$M$96/Deprec._Fiscal_Inmuebles)*E5/Mes_año)</f>
        <v>0</v>
      </c>
      <c r="F145" s="340">
        <f t="shared" si="75"/>
        <v>0</v>
      </c>
      <c r="G145" s="340">
        <f t="shared" si="75"/>
        <v>0</v>
      </c>
      <c r="H145" s="340">
        <f t="shared" si="75"/>
        <v>0</v>
      </c>
      <c r="I145" s="340">
        <f t="shared" si="75"/>
        <v>0</v>
      </c>
      <c r="J145" s="340">
        <f t="shared" si="75"/>
        <v>0</v>
      </c>
      <c r="K145" s="340">
        <f t="shared" si="75"/>
        <v>0</v>
      </c>
      <c r="L145" s="340">
        <f t="shared" si="75"/>
        <v>0</v>
      </c>
      <c r="M145" s="340">
        <f t="shared" si="75"/>
        <v>0</v>
      </c>
      <c r="N145" s="340">
        <f t="shared" si="75"/>
        <v>0</v>
      </c>
      <c r="O145" s="340">
        <f t="shared" si="75"/>
        <v>0</v>
      </c>
    </row>
    <row r="146" spans="1:15">
      <c r="A146" s="308" t="s">
        <v>437</v>
      </c>
      <c r="B146" s="302">
        <f>$M$102</f>
        <v>2022</v>
      </c>
      <c r="C146" s="404">
        <v>0</v>
      </c>
      <c r="D146" s="404">
        <v>0</v>
      </c>
      <c r="E146" s="340">
        <f t="shared" ref="E146:O146" si="76">IF(E102&lt;$B$146,0,(-$M$97/Deprec_Fiscal_Plantas_Generacion)*E5/Mes_año)</f>
        <v>0</v>
      </c>
      <c r="F146" s="340">
        <f t="shared" si="76"/>
        <v>0</v>
      </c>
      <c r="G146" s="340">
        <f t="shared" si="76"/>
        <v>0</v>
      </c>
      <c r="H146" s="340">
        <f t="shared" si="76"/>
        <v>0</v>
      </c>
      <c r="I146" s="340">
        <f t="shared" si="76"/>
        <v>0</v>
      </c>
      <c r="J146" s="340">
        <f t="shared" si="76"/>
        <v>0</v>
      </c>
      <c r="K146" s="340">
        <f t="shared" si="76"/>
        <v>0</v>
      </c>
      <c r="L146" s="340">
        <f t="shared" si="76"/>
        <v>0</v>
      </c>
      <c r="M146" s="340">
        <f t="shared" si="76"/>
        <v>-2164500136.3680539</v>
      </c>
      <c r="N146" s="340">
        <f t="shared" si="76"/>
        <v>-2164500136.3680539</v>
      </c>
      <c r="O146" s="340">
        <f t="shared" si="76"/>
        <v>-2164500136.3680539</v>
      </c>
    </row>
    <row r="147" spans="1:15">
      <c r="A147" s="308" t="s">
        <v>609</v>
      </c>
      <c r="B147" s="302">
        <f>$M$102</f>
        <v>2022</v>
      </c>
      <c r="C147" s="404">
        <v>0</v>
      </c>
      <c r="D147" s="404">
        <v>0</v>
      </c>
      <c r="E147" s="340">
        <f t="shared" ref="E147:O147" si="77">IF(E102&lt;$B$147,0,(-$M$98/Deprec_Fiscal_Equipos)*E5/Mes_año)</f>
        <v>0</v>
      </c>
      <c r="F147" s="340">
        <f t="shared" si="77"/>
        <v>0</v>
      </c>
      <c r="G147" s="340">
        <f t="shared" si="77"/>
        <v>0</v>
      </c>
      <c r="H147" s="340">
        <f t="shared" si="77"/>
        <v>0</v>
      </c>
      <c r="I147" s="340">
        <f t="shared" si="77"/>
        <v>0</v>
      </c>
      <c r="J147" s="340">
        <f t="shared" si="77"/>
        <v>0</v>
      </c>
      <c r="K147" s="340">
        <f t="shared" si="77"/>
        <v>0</v>
      </c>
      <c r="L147" s="340">
        <f t="shared" si="77"/>
        <v>0</v>
      </c>
      <c r="M147" s="340">
        <f t="shared" si="77"/>
        <v>0</v>
      </c>
      <c r="N147" s="340">
        <f t="shared" si="77"/>
        <v>0</v>
      </c>
      <c r="O147" s="340">
        <f t="shared" si="77"/>
        <v>0</v>
      </c>
    </row>
    <row r="148" spans="1:15">
      <c r="A148" s="391" t="s">
        <v>594</v>
      </c>
      <c r="C148" s="404"/>
      <c r="D148" s="404"/>
      <c r="E148" s="340"/>
      <c r="F148" s="340"/>
      <c r="G148" s="340"/>
      <c r="H148" s="340"/>
      <c r="I148" s="340"/>
      <c r="J148" s="340"/>
      <c r="K148" s="340"/>
      <c r="L148" s="340"/>
      <c r="M148" s="340"/>
      <c r="N148" s="340"/>
      <c r="O148" s="340"/>
    </row>
    <row r="149" spans="1:15">
      <c r="A149" s="308" t="s">
        <v>352</v>
      </c>
      <c r="B149" s="302">
        <f>$N$102</f>
        <v>2023</v>
      </c>
      <c r="C149" s="404">
        <v>0</v>
      </c>
      <c r="D149" s="404">
        <v>0</v>
      </c>
      <c r="E149" s="340">
        <f t="shared" ref="E149:O149" si="78">IF(E102&lt;$B$149,0,(-$N$96/Deprec._Fiscal_Inmuebles)*E5/Mes_año)</f>
        <v>0</v>
      </c>
      <c r="F149" s="340">
        <f t="shared" si="78"/>
        <v>0</v>
      </c>
      <c r="G149" s="340">
        <f t="shared" si="78"/>
        <v>0</v>
      </c>
      <c r="H149" s="340">
        <f t="shared" si="78"/>
        <v>0</v>
      </c>
      <c r="I149" s="340">
        <f t="shared" si="78"/>
        <v>0</v>
      </c>
      <c r="J149" s="340">
        <f t="shared" si="78"/>
        <v>0</v>
      </c>
      <c r="K149" s="340">
        <f t="shared" si="78"/>
        <v>0</v>
      </c>
      <c r="L149" s="340">
        <f t="shared" si="78"/>
        <v>0</v>
      </c>
      <c r="M149" s="340">
        <f t="shared" si="78"/>
        <v>0</v>
      </c>
      <c r="N149" s="340">
        <f t="shared" si="78"/>
        <v>0</v>
      </c>
      <c r="O149" s="340">
        <f t="shared" si="78"/>
        <v>0</v>
      </c>
    </row>
    <row r="150" spans="1:15">
      <c r="A150" s="308" t="s">
        <v>437</v>
      </c>
      <c r="B150" s="302">
        <f>$N$102</f>
        <v>2023</v>
      </c>
      <c r="C150" s="404">
        <v>0</v>
      </c>
      <c r="D150" s="404">
        <v>0</v>
      </c>
      <c r="E150" s="340">
        <f t="shared" ref="E150:O150" si="79">IF(E102&lt;$B$150,0,(-$N$97/Deprec_Fiscal_Plantas_Generacion)*E5/Mes_año)</f>
        <v>0</v>
      </c>
      <c r="F150" s="340">
        <f t="shared" si="79"/>
        <v>0</v>
      </c>
      <c r="G150" s="340">
        <f t="shared" si="79"/>
        <v>0</v>
      </c>
      <c r="H150" s="340">
        <f t="shared" si="79"/>
        <v>0</v>
      </c>
      <c r="I150" s="340">
        <f t="shared" si="79"/>
        <v>0</v>
      </c>
      <c r="J150" s="340">
        <f t="shared" si="79"/>
        <v>0</v>
      </c>
      <c r="K150" s="340">
        <f t="shared" si="79"/>
        <v>0</v>
      </c>
      <c r="L150" s="340">
        <f t="shared" si="79"/>
        <v>0</v>
      </c>
      <c r="M150" s="340">
        <f t="shared" si="79"/>
        <v>0</v>
      </c>
      <c r="N150" s="340">
        <f t="shared" si="79"/>
        <v>-2254155222.73492</v>
      </c>
      <c r="O150" s="340">
        <f t="shared" si="79"/>
        <v>-2254155222.73492</v>
      </c>
    </row>
    <row r="151" spans="1:15">
      <c r="A151" s="308" t="s">
        <v>609</v>
      </c>
      <c r="B151" s="302">
        <f>$N$102</f>
        <v>2023</v>
      </c>
      <c r="C151" s="404">
        <v>0</v>
      </c>
      <c r="D151" s="404">
        <v>0</v>
      </c>
      <c r="E151" s="340">
        <f t="shared" ref="E151:O151" si="80">IF(E102&lt;$B$151,0,(-$N$98/Deprec_Fiscal_Equipos)*E5/Mes_año)</f>
        <v>0</v>
      </c>
      <c r="F151" s="340">
        <f t="shared" si="80"/>
        <v>0</v>
      </c>
      <c r="G151" s="340">
        <f t="shared" si="80"/>
        <v>0</v>
      </c>
      <c r="H151" s="340">
        <f t="shared" si="80"/>
        <v>0</v>
      </c>
      <c r="I151" s="340">
        <f t="shared" si="80"/>
        <v>0</v>
      </c>
      <c r="J151" s="340">
        <f t="shared" si="80"/>
        <v>0</v>
      </c>
      <c r="K151" s="340">
        <f t="shared" si="80"/>
        <v>0</v>
      </c>
      <c r="L151" s="340">
        <f t="shared" si="80"/>
        <v>0</v>
      </c>
      <c r="M151" s="340">
        <f t="shared" si="80"/>
        <v>0</v>
      </c>
      <c r="N151" s="340">
        <f t="shared" si="80"/>
        <v>0</v>
      </c>
      <c r="O151" s="340">
        <f t="shared" si="80"/>
        <v>0</v>
      </c>
    </row>
    <row r="152" spans="1:15">
      <c r="A152" s="391" t="s">
        <v>595</v>
      </c>
      <c r="C152" s="404"/>
      <c r="D152" s="404"/>
      <c r="E152" s="340"/>
      <c r="F152" s="340"/>
      <c r="G152" s="340"/>
      <c r="H152" s="340"/>
      <c r="I152" s="340"/>
      <c r="J152" s="340"/>
      <c r="K152" s="340"/>
      <c r="L152" s="340"/>
      <c r="M152" s="340"/>
      <c r="N152" s="340"/>
      <c r="O152" s="340"/>
    </row>
    <row r="153" spans="1:15">
      <c r="A153" s="308" t="s">
        <v>352</v>
      </c>
      <c r="B153" s="302">
        <f>$O$102</f>
        <v>2024</v>
      </c>
      <c r="C153" s="404">
        <v>0</v>
      </c>
      <c r="D153" s="404">
        <v>0</v>
      </c>
      <c r="E153" s="340">
        <f t="shared" ref="E153:O153" si="81">IF(E102&lt;$B$153,0,(-$O$96/Deprec._Fiscal_Inmuebles)*E5/Mes_año)</f>
        <v>0</v>
      </c>
      <c r="F153" s="340">
        <f t="shared" si="81"/>
        <v>0</v>
      </c>
      <c r="G153" s="340">
        <f t="shared" si="81"/>
        <v>0</v>
      </c>
      <c r="H153" s="340">
        <f t="shared" si="81"/>
        <v>0</v>
      </c>
      <c r="I153" s="340">
        <f t="shared" si="81"/>
        <v>0</v>
      </c>
      <c r="J153" s="340">
        <f t="shared" si="81"/>
        <v>0</v>
      </c>
      <c r="K153" s="340">
        <f t="shared" si="81"/>
        <v>0</v>
      </c>
      <c r="L153" s="340">
        <f t="shared" si="81"/>
        <v>0</v>
      </c>
      <c r="M153" s="340">
        <f t="shared" si="81"/>
        <v>0</v>
      </c>
      <c r="N153" s="340">
        <f t="shared" si="81"/>
        <v>0</v>
      </c>
      <c r="O153" s="340">
        <f t="shared" si="81"/>
        <v>0</v>
      </c>
    </row>
    <row r="154" spans="1:15">
      <c r="A154" s="308" t="s">
        <v>437</v>
      </c>
      <c r="B154" s="302">
        <f>$O$102</f>
        <v>2024</v>
      </c>
      <c r="C154" s="404">
        <v>0</v>
      </c>
      <c r="D154" s="404">
        <v>0</v>
      </c>
      <c r="E154" s="340">
        <f t="shared" ref="E154:O154" si="82">IF(E102&lt;$B$154,0,(-$O$97/Deprec_Fiscal_Plantas_Generacion)*E5/Mes_año)</f>
        <v>0</v>
      </c>
      <c r="F154" s="340">
        <f t="shared" si="82"/>
        <v>0</v>
      </c>
      <c r="G154" s="340">
        <f t="shared" si="82"/>
        <v>0</v>
      </c>
      <c r="H154" s="340">
        <f t="shared" si="82"/>
        <v>0</v>
      </c>
      <c r="I154" s="340">
        <f t="shared" si="82"/>
        <v>0</v>
      </c>
      <c r="J154" s="340">
        <f t="shared" si="82"/>
        <v>0</v>
      </c>
      <c r="K154" s="340">
        <f t="shared" si="82"/>
        <v>0</v>
      </c>
      <c r="L154" s="340">
        <f t="shared" si="82"/>
        <v>0</v>
      </c>
      <c r="M154" s="340">
        <f t="shared" si="82"/>
        <v>0</v>
      </c>
      <c r="N154" s="340">
        <f t="shared" si="82"/>
        <v>0</v>
      </c>
      <c r="O154" s="340">
        <f t="shared" si="82"/>
        <v>-2347358443.9507356</v>
      </c>
    </row>
    <row r="155" spans="1:15">
      <c r="A155" s="308" t="s">
        <v>609</v>
      </c>
      <c r="B155" s="302">
        <f>$O$102</f>
        <v>2024</v>
      </c>
      <c r="C155" s="404">
        <v>0</v>
      </c>
      <c r="D155" s="404">
        <v>0</v>
      </c>
      <c r="E155" s="340">
        <f t="shared" ref="E155:O155" si="83">IF(E102&lt;$B$155,0,(-$O$98/Deprec_Fiscal_Equipos)*E5/Mes_año)</f>
        <v>0</v>
      </c>
      <c r="F155" s="340">
        <f t="shared" si="83"/>
        <v>0</v>
      </c>
      <c r="G155" s="340">
        <f t="shared" si="83"/>
        <v>0</v>
      </c>
      <c r="H155" s="340">
        <f t="shared" si="83"/>
        <v>0</v>
      </c>
      <c r="I155" s="340">
        <f t="shared" si="83"/>
        <v>0</v>
      </c>
      <c r="J155" s="340">
        <f t="shared" si="83"/>
        <v>0</v>
      </c>
      <c r="K155" s="340">
        <f t="shared" si="83"/>
        <v>0</v>
      </c>
      <c r="L155" s="340">
        <f t="shared" si="83"/>
        <v>0</v>
      </c>
      <c r="M155" s="340">
        <f t="shared" si="83"/>
        <v>0</v>
      </c>
      <c r="N155" s="340">
        <f t="shared" si="83"/>
        <v>0</v>
      </c>
      <c r="O155" s="340">
        <f t="shared" si="83"/>
        <v>0</v>
      </c>
    </row>
    <row r="156" spans="1:15">
      <c r="A156" s="317" t="s">
        <v>596</v>
      </c>
      <c r="B156" s="319">
        <v>-159247000000.00009</v>
      </c>
      <c r="C156" s="318">
        <f>SUM(C105:C155)</f>
        <v>-181922000000.00009</v>
      </c>
      <c r="D156" s="318">
        <f t="shared" ref="D156:O156" si="84">SUM(D105:D155)</f>
        <v>-90961000000.000046</v>
      </c>
      <c r="E156" s="318">
        <f t="shared" si="84"/>
        <v>-91224685989.850174</v>
      </c>
      <c r="F156" s="318">
        <f t="shared" si="84"/>
        <v>-389358144608.42407</v>
      </c>
      <c r="G156" s="318">
        <f t="shared" si="84"/>
        <v>-391036826544.00354</v>
      </c>
      <c r="H156" s="318">
        <f t="shared" si="84"/>
        <v>-392808008988.71069</v>
      </c>
      <c r="I156" s="318">
        <f t="shared" si="84"/>
        <v>-394652956506.63428</v>
      </c>
      <c r="J156" s="318">
        <f t="shared" si="84"/>
        <v>-396569370707.34332</v>
      </c>
      <c r="K156" s="318">
        <f t="shared" si="84"/>
        <v>-398565538474.93701</v>
      </c>
      <c r="L156" s="318">
        <f t="shared" si="84"/>
        <v>-400643868160.89203</v>
      </c>
      <c r="M156" s="318">
        <f t="shared" si="84"/>
        <v>-402808368297.26007</v>
      </c>
      <c r="N156" s="318">
        <f t="shared" si="84"/>
        <v>-395104323519.995</v>
      </c>
      <c r="O156" s="318">
        <f t="shared" si="84"/>
        <v>-397451681963.94574</v>
      </c>
    </row>
    <row r="157" spans="1:15">
      <c r="A157" s="317" t="s">
        <v>597</v>
      </c>
      <c r="B157" s="319">
        <v>-2776823100000</v>
      </c>
      <c r="C157" s="319">
        <f>C156+B157</f>
        <v>-2958745100000</v>
      </c>
      <c r="D157" s="319">
        <f t="shared" ref="D157:O157" si="85">D156+C157</f>
        <v>-3049706100000</v>
      </c>
      <c r="E157" s="319">
        <f t="shared" si="85"/>
        <v>-3140930785989.8501</v>
      </c>
      <c r="F157" s="319">
        <f t="shared" si="85"/>
        <v>-3530288930598.2744</v>
      </c>
      <c r="G157" s="319">
        <f t="shared" si="85"/>
        <v>-3921325757142.2778</v>
      </c>
      <c r="H157" s="319">
        <f t="shared" si="85"/>
        <v>-4314133766130.9883</v>
      </c>
      <c r="I157" s="319">
        <f t="shared" si="85"/>
        <v>-4708786722637.623</v>
      </c>
      <c r="J157" s="319">
        <f t="shared" si="85"/>
        <v>-5105356093344.9668</v>
      </c>
      <c r="K157" s="319">
        <f t="shared" si="85"/>
        <v>-5503921631819.9043</v>
      </c>
      <c r="L157" s="319">
        <f t="shared" si="85"/>
        <v>-5904565499980.7959</v>
      </c>
      <c r="M157" s="319">
        <f t="shared" si="85"/>
        <v>-6307373868278.0557</v>
      </c>
      <c r="N157" s="319">
        <f t="shared" si="85"/>
        <v>-6702478191798.0508</v>
      </c>
      <c r="O157" s="319">
        <f t="shared" si="85"/>
        <v>-7099929873761.9961</v>
      </c>
    </row>
    <row r="158" spans="1:15">
      <c r="A158" s="317" t="s">
        <v>598</v>
      </c>
      <c r="B158" s="319">
        <v>3085359000000</v>
      </c>
      <c r="C158" s="319">
        <f>C99</f>
        <v>3538858000000.002</v>
      </c>
      <c r="D158" s="319">
        <f t="shared" ref="D158:O158" si="86">D99+C158</f>
        <v>3538858000000.002</v>
      </c>
      <c r="E158" s="319">
        <f t="shared" si="86"/>
        <v>3549405439594.0068</v>
      </c>
      <c r="F158" s="319">
        <f t="shared" si="86"/>
        <v>7687580892168.4824</v>
      </c>
      <c r="G158" s="319">
        <f t="shared" si="86"/>
        <v>7721154530880.0723</v>
      </c>
      <c r="H158" s="319">
        <f t="shared" si="86"/>
        <v>7756578179774.2148</v>
      </c>
      <c r="I158" s="319">
        <f t="shared" si="86"/>
        <v>7793477130132.6875</v>
      </c>
      <c r="J158" s="319">
        <f t="shared" si="86"/>
        <v>7831805414146.8682</v>
      </c>
      <c r="K158" s="319">
        <f t="shared" si="86"/>
        <v>7871728769498.7412</v>
      </c>
      <c r="L158" s="319">
        <f t="shared" si="86"/>
        <v>7913295363217.8418</v>
      </c>
      <c r="M158" s="319">
        <f t="shared" si="86"/>
        <v>7956585365945.2031</v>
      </c>
      <c r="N158" s="319">
        <f t="shared" si="86"/>
        <v>8001668470399.9014</v>
      </c>
      <c r="O158" s="319">
        <f t="shared" si="86"/>
        <v>8048615639278.916</v>
      </c>
    </row>
    <row r="159" spans="1:15">
      <c r="A159" s="317" t="s">
        <v>599</v>
      </c>
      <c r="B159" s="319">
        <f>B158+B157</f>
        <v>308535900000</v>
      </c>
      <c r="C159" s="319">
        <f>C158+C157</f>
        <v>580112900000.00195</v>
      </c>
      <c r="D159" s="319">
        <f t="shared" ref="D159:O159" si="87">D158+D157</f>
        <v>489151900000.00195</v>
      </c>
      <c r="E159" s="319">
        <f t="shared" si="87"/>
        <v>408474653604.15674</v>
      </c>
      <c r="F159" s="319">
        <f t="shared" si="87"/>
        <v>4157291961570.208</v>
      </c>
      <c r="G159" s="319">
        <f t="shared" si="87"/>
        <v>3799828773737.7944</v>
      </c>
      <c r="H159" s="319">
        <f t="shared" si="87"/>
        <v>3442444413643.2266</v>
      </c>
      <c r="I159" s="319">
        <f t="shared" si="87"/>
        <v>3084690407495.0645</v>
      </c>
      <c r="J159" s="319">
        <f t="shared" si="87"/>
        <v>2726449320801.9014</v>
      </c>
      <c r="K159" s="319">
        <f t="shared" si="87"/>
        <v>2367807137678.8369</v>
      </c>
      <c r="L159" s="319">
        <f t="shared" si="87"/>
        <v>2008729863237.0459</v>
      </c>
      <c r="M159" s="319">
        <f t="shared" si="87"/>
        <v>1649211497667.1475</v>
      </c>
      <c r="N159" s="319">
        <f t="shared" si="87"/>
        <v>1299190278601.8506</v>
      </c>
      <c r="O159" s="319">
        <f t="shared" si="87"/>
        <v>948685765516.91992</v>
      </c>
    </row>
    <row r="161" spans="3:3">
      <c r="C161" s="340"/>
    </row>
  </sheetData>
  <mergeCells count="1">
    <mergeCell ref="A99:B99"/>
  </mergeCells>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dimension ref="A1:O56"/>
  <sheetViews>
    <sheetView showGridLines="0" topLeftCell="A10" workbookViewId="0">
      <selection activeCell="D24" sqref="D24"/>
    </sheetView>
  </sheetViews>
  <sheetFormatPr baseColWidth="10" defaultRowHeight="15.75"/>
  <cols>
    <col min="1" max="1" width="58.140625" style="302" customWidth="1"/>
    <col min="2" max="2" width="5.140625" style="302" bestFit="1" customWidth="1"/>
    <col min="3" max="3" width="20.85546875" style="302" bestFit="1" customWidth="1"/>
    <col min="4" max="12" width="18.5703125" style="302" bestFit="1" customWidth="1"/>
    <col min="13" max="14" width="19.7109375" style="302" bestFit="1" customWidth="1"/>
    <col min="15" max="15" width="18.5703125" style="302" bestFit="1" customWidth="1"/>
    <col min="16" max="16384" width="11.42578125" style="302"/>
  </cols>
  <sheetData>
    <row r="1" spans="1:15">
      <c r="C1" s="309"/>
      <c r="D1" s="309"/>
      <c r="E1" s="309"/>
      <c r="F1" s="309"/>
    </row>
    <row r="2" spans="1:15" ht="21">
      <c r="A2" s="300" t="str">
        <f>Nombre_Empresa</f>
        <v>ISAGEN</v>
      </c>
      <c r="B2" s="407"/>
      <c r="C2" s="407"/>
      <c r="E2" s="309"/>
    </row>
    <row r="3" spans="1:15">
      <c r="C3" s="303">
        <v>1</v>
      </c>
      <c r="D3" s="303">
        <v>2</v>
      </c>
      <c r="E3" s="303">
        <v>3</v>
      </c>
      <c r="F3" s="303">
        <v>4</v>
      </c>
      <c r="G3" s="303">
        <v>5</v>
      </c>
      <c r="H3" s="303">
        <v>6</v>
      </c>
      <c r="I3" s="303">
        <v>7</v>
      </c>
      <c r="J3" s="303">
        <v>8</v>
      </c>
      <c r="K3" s="303">
        <v>9</v>
      </c>
      <c r="L3" s="303">
        <v>10</v>
      </c>
      <c r="M3" s="303">
        <v>11</v>
      </c>
      <c r="N3" s="303">
        <v>12</v>
      </c>
      <c r="O3" s="303">
        <v>13</v>
      </c>
    </row>
    <row r="4" spans="1:15" ht="16.5" thickBot="1">
      <c r="A4" s="304" t="s">
        <v>714</v>
      </c>
      <c r="B4" s="353"/>
      <c r="C4" s="345">
        <f>'Datos Generales'!D21</f>
        <v>2013</v>
      </c>
      <c r="D4" s="322">
        <f>'Datos Generales'!E21</f>
        <v>41820</v>
      </c>
      <c r="E4" s="305">
        <f>YEAR('Datos Generales'!F21)</f>
        <v>2014</v>
      </c>
      <c r="F4" s="305">
        <f>'Datos Generales'!G21</f>
        <v>2015</v>
      </c>
      <c r="G4" s="305">
        <f>'Datos Generales'!H21</f>
        <v>2016</v>
      </c>
      <c r="H4" s="305">
        <f>'Datos Generales'!I21</f>
        <v>2017</v>
      </c>
      <c r="I4" s="305">
        <f>'Datos Generales'!J21</f>
        <v>2018</v>
      </c>
      <c r="J4" s="305">
        <f>'Datos Generales'!K21</f>
        <v>2019</v>
      </c>
      <c r="K4" s="305">
        <f>'Datos Generales'!L21</f>
        <v>2020</v>
      </c>
      <c r="L4" s="305">
        <f>'Datos Generales'!M21</f>
        <v>2021</v>
      </c>
      <c r="M4" s="305">
        <f>'Datos Generales'!N21</f>
        <v>2022</v>
      </c>
      <c r="N4" s="305">
        <f>'Datos Generales'!O21</f>
        <v>2023</v>
      </c>
      <c r="O4" s="305">
        <f>'Datos Generales'!P21</f>
        <v>2024</v>
      </c>
    </row>
    <row r="5" spans="1:15" ht="17.25" thickTop="1" thickBot="1">
      <c r="A5" s="304" t="s">
        <v>600</v>
      </c>
      <c r="B5" s="323"/>
      <c r="C5" s="328">
        <f>Mes_año</f>
        <v>12</v>
      </c>
      <c r="D5" s="328">
        <f>Meses_Proyectados_Año_Base</f>
        <v>6</v>
      </c>
      <c r="E5" s="305">
        <f>Meses_Proyectados_Año_Base</f>
        <v>6</v>
      </c>
      <c r="F5" s="305">
        <f t="shared" ref="F5:O5" si="0">Mes_año</f>
        <v>12</v>
      </c>
      <c r="G5" s="305">
        <f t="shared" si="0"/>
        <v>12</v>
      </c>
      <c r="H5" s="305">
        <f t="shared" si="0"/>
        <v>12</v>
      </c>
      <c r="I5" s="305">
        <f t="shared" si="0"/>
        <v>12</v>
      </c>
      <c r="J5" s="305">
        <f t="shared" si="0"/>
        <v>12</v>
      </c>
      <c r="K5" s="305">
        <f t="shared" si="0"/>
        <v>12</v>
      </c>
      <c r="L5" s="305">
        <f t="shared" si="0"/>
        <v>12</v>
      </c>
      <c r="M5" s="305">
        <f t="shared" si="0"/>
        <v>12</v>
      </c>
      <c r="N5" s="305">
        <f t="shared" si="0"/>
        <v>12</v>
      </c>
      <c r="O5" s="305">
        <f t="shared" si="0"/>
        <v>12</v>
      </c>
    </row>
    <row r="6" spans="1:15" ht="16.5" thickTop="1"/>
    <row r="7" spans="1:15" ht="16.5" thickBot="1">
      <c r="A7" s="366" t="s">
        <v>732</v>
      </c>
      <c r="B7" s="366"/>
      <c r="C7" s="367">
        <f>Renta!C7</f>
        <v>2002814000000</v>
      </c>
      <c r="D7" s="367">
        <f>Renta!D7</f>
        <v>1138609000000</v>
      </c>
      <c r="E7" s="415">
        <f>'Operacion Comercial'!E16</f>
        <v>1185854965002.488</v>
      </c>
      <c r="F7" s="367">
        <f>'Operacion Comercial'!F16</f>
        <v>3131134669100.2407</v>
      </c>
      <c r="G7" s="367">
        <f>'Operacion Comercial'!G16</f>
        <v>3005144243528.46</v>
      </c>
      <c r="H7" s="367">
        <f>'Operacion Comercial'!H16</f>
        <v>3309738963865.5879</v>
      </c>
      <c r="I7" s="367">
        <f>'Operacion Comercial'!I16</f>
        <v>3482925517593.0908</v>
      </c>
      <c r="J7" s="367">
        <f>'Operacion Comercial'!J16</f>
        <v>1816336692658.2222</v>
      </c>
      <c r="K7" s="367">
        <f>'Operacion Comercial'!K16</f>
        <v>1872237014684.7351</v>
      </c>
      <c r="L7" s="367">
        <f>'Operacion Comercial'!L16</f>
        <v>2954408989737.668</v>
      </c>
      <c r="M7" s="367">
        <f>'Operacion Comercial'!M16</f>
        <v>1840005307845.595</v>
      </c>
      <c r="N7" s="367">
        <f>'Operacion Comercial'!N16</f>
        <v>2101963368050.6211</v>
      </c>
      <c r="O7" s="367">
        <f>'Operacion Comercial'!O16</f>
        <v>3643003529659.8726</v>
      </c>
    </row>
    <row r="8" spans="1:15" ht="16.5" thickTop="1">
      <c r="A8" s="302" t="s">
        <v>715</v>
      </c>
      <c r="C8" s="340">
        <f>Renta!C9</f>
        <v>-1001061000000</v>
      </c>
      <c r="D8" s="340">
        <f>Renta!D9</f>
        <v>-629886000000</v>
      </c>
      <c r="E8" s="351">
        <f>-'Operacion Comercial'!E29-'Operacion Comercial'!E38</f>
        <v>-419873231839.73352</v>
      </c>
      <c r="F8" s="340">
        <f>-'Operacion Comercial'!F29-'Operacion Comercial'!F38</f>
        <v>-996422416279.38074</v>
      </c>
      <c r="G8" s="340">
        <f>-'Operacion Comercial'!G29-'Operacion Comercial'!G38</f>
        <v>-856597813002.24475</v>
      </c>
      <c r="H8" s="340">
        <f>-'Operacion Comercial'!H29-'Operacion Comercial'!H38</f>
        <v>-912423407059.14343</v>
      </c>
      <c r="I8" s="340">
        <f>-'Operacion Comercial'!I29-'Operacion Comercial'!I38</f>
        <v>-1018937415775.1667</v>
      </c>
      <c r="J8" s="340">
        <f>-'Operacion Comercial'!J29-'Operacion Comercial'!J38</f>
        <v>-899748041132.64014</v>
      </c>
      <c r="K8" s="340">
        <f>-'Operacion Comercial'!K29-'Operacion Comercial'!K38</f>
        <v>-908255745950.39075</v>
      </c>
      <c r="L8" s="340">
        <f>-'Operacion Comercial'!L29-'Operacion Comercial'!L38</f>
        <v>-953986559302.24243</v>
      </c>
      <c r="M8" s="340">
        <f>-'Operacion Comercial'!M29-'Operacion Comercial'!M38</f>
        <v>-951442987869.75122</v>
      </c>
      <c r="N8" s="340">
        <f>-'Operacion Comercial'!N29-'Operacion Comercial'!N38</f>
        <v>-1014504487596.5115</v>
      </c>
      <c r="O8" s="340">
        <f>-'Operacion Comercial'!O29-'Operacion Comercial'!O38</f>
        <v>-1073276830718.3838</v>
      </c>
    </row>
    <row r="9" spans="1:15">
      <c r="A9" s="302" t="s">
        <v>716</v>
      </c>
      <c r="C9" s="340">
        <f>Renta!C10</f>
        <v>-200409000000</v>
      </c>
      <c r="D9" s="340">
        <f>Renta!D10</f>
        <v>-93681000000</v>
      </c>
      <c r="E9" s="351">
        <f>-'Otros Costos y Gastos'!E10-'Otros Costos y Gastos'!E17</f>
        <v>-119164093682.6954</v>
      </c>
      <c r="F9" s="340">
        <f>-'Otros Costos y Gastos'!F10-'Otros Costos y Gastos'!F17</f>
        <v>-316419920557.94641</v>
      </c>
      <c r="G9" s="340">
        <f>-'Otros Costos y Gastos'!G10-'Otros Costos y Gastos'!G17</f>
        <v>-317089602251.57959</v>
      </c>
      <c r="H9" s="340">
        <f>-'Otros Costos y Gastos'!H10-'Otros Costos y Gastos'!H17</f>
        <v>-330582611117.65479</v>
      </c>
      <c r="I9" s="340">
        <f>-'Otros Costos y Gastos'!I10-'Otros Costos y Gastos'!I17</f>
        <v>-351874982662.2561</v>
      </c>
      <c r="J9" s="340">
        <f>-'Otros Costos y Gastos'!J10-'Otros Costos y Gastos'!J17</f>
        <v>-360815015781.36084</v>
      </c>
      <c r="K9" s="340">
        <f>-'Otros Costos y Gastos'!K10-'Otros Costos y Gastos'!K17</f>
        <v>-371090886609.26514</v>
      </c>
      <c r="L9" s="340">
        <f>-'Otros Costos y Gastos'!L10-'Otros Costos y Gastos'!L17</f>
        <v>-385783498268.22083</v>
      </c>
      <c r="M9" s="340">
        <f>-'Otros Costos y Gastos'!M10-'Otros Costos y Gastos'!M17</f>
        <v>-406717734280.77631</v>
      </c>
      <c r="N9" s="340">
        <f>-'Otros Costos y Gastos'!N10-'Otros Costos y Gastos'!N17</f>
        <v>-420789943340.01373</v>
      </c>
      <c r="O9" s="340">
        <f>-'Otros Costos y Gastos'!O10-'Otros Costos y Gastos'!O17</f>
        <v>-430258754223.3689</v>
      </c>
    </row>
    <row r="10" spans="1:15">
      <c r="A10" s="302" t="s">
        <v>731</v>
      </c>
      <c r="C10" s="340">
        <f>'Activos fijos'!C84</f>
        <v>-94018000000</v>
      </c>
      <c r="D10" s="340">
        <f>'Activos fijos'!D84</f>
        <v>-55955000000</v>
      </c>
      <c r="E10" s="340">
        <f>'Activos fijos'!E84</f>
        <v>-55784717994.925064</v>
      </c>
      <c r="F10" s="340">
        <f>'Activos fijos'!F84</f>
        <v>-215023822304.21201</v>
      </c>
      <c r="G10" s="340">
        <f>'Activos fijos'!G84</f>
        <v>-215863163272.00174</v>
      </c>
      <c r="H10" s="340">
        <f>'Activos fijos'!H84</f>
        <v>-216748754494.35532</v>
      </c>
      <c r="I10" s="340">
        <f>'Activos fijos'!I84</f>
        <v>-217671228253.31711</v>
      </c>
      <c r="J10" s="340">
        <f>'Activos fijos'!J84</f>
        <v>-218629435353.67163</v>
      </c>
      <c r="K10" s="340">
        <f>'Activos fijos'!K84</f>
        <v>-219627519237.46848</v>
      </c>
      <c r="L10" s="340">
        <f>'Activos fijos'!L84</f>
        <v>-220666684080.44598</v>
      </c>
      <c r="M10" s="340">
        <f>'Activos fijos'!M84</f>
        <v>-221748934148.63</v>
      </c>
      <c r="N10" s="340">
        <f>'Activos fijos'!N84</f>
        <v>-222876011759.99747</v>
      </c>
      <c r="O10" s="340">
        <f>'Activos fijos'!O84</f>
        <v>-224049690981.97284</v>
      </c>
    </row>
    <row r="11" spans="1:15" ht="16.5" thickBot="1">
      <c r="A11" s="366" t="s">
        <v>717</v>
      </c>
      <c r="B11" s="366"/>
      <c r="C11" s="367">
        <f>SUM(C7:C10)</f>
        <v>707326000000</v>
      </c>
      <c r="D11" s="367">
        <f t="shared" ref="D11:O11" si="1">SUM(D7:D10)</f>
        <v>359087000000</v>
      </c>
      <c r="E11" s="367">
        <f t="shared" si="1"/>
        <v>591032921485.13403</v>
      </c>
      <c r="F11" s="367">
        <f t="shared" si="1"/>
        <v>1603268509958.7017</v>
      </c>
      <c r="G11" s="367">
        <f t="shared" si="1"/>
        <v>1615593665002.634</v>
      </c>
      <c r="H11" s="367">
        <f t="shared" si="1"/>
        <v>1849984191194.4343</v>
      </c>
      <c r="I11" s="367">
        <f t="shared" si="1"/>
        <v>1894441890902.3506</v>
      </c>
      <c r="J11" s="367">
        <f t="shared" si="1"/>
        <v>337144200390.54956</v>
      </c>
      <c r="K11" s="367">
        <f t="shared" si="1"/>
        <v>373262862887.61072</v>
      </c>
      <c r="L11" s="367">
        <f t="shared" si="1"/>
        <v>1393972248086.7585</v>
      </c>
      <c r="M11" s="367">
        <f t="shared" si="1"/>
        <v>260095651546.43744</v>
      </c>
      <c r="N11" s="367">
        <f t="shared" si="1"/>
        <v>443792925354.09851</v>
      </c>
      <c r="O11" s="367">
        <f t="shared" si="1"/>
        <v>1915418253736.147</v>
      </c>
    </row>
    <row r="12" spans="1:15" ht="16.5" thickTop="1">
      <c r="A12" s="302" t="s">
        <v>718</v>
      </c>
      <c r="C12" s="340">
        <f>Renta!C14</f>
        <v>-100709000000</v>
      </c>
      <c r="D12" s="340">
        <f>Renta!D14</f>
        <v>-51870000000</v>
      </c>
      <c r="E12" s="351">
        <f>-'Otros Costos y Gastos'!E29</f>
        <v>-60281372905.037354</v>
      </c>
      <c r="F12" s="340">
        <f>-'Otros Costos y Gastos'!F29</f>
        <v>-131461104296.15611</v>
      </c>
      <c r="G12" s="340">
        <f>-'Otros Costos y Gastos'!G29</f>
        <v>-137063443582.86346</v>
      </c>
      <c r="H12" s="340">
        <f>-'Otros Costos y Gastos'!H29</f>
        <v>-142706147071.90283</v>
      </c>
      <c r="I12" s="340">
        <f>-'Otros Costos y Gastos'!I29</f>
        <v>-148374627625.24023</v>
      </c>
      <c r="J12" s="340">
        <f>-'Otros Costos y Gastos'!J29</f>
        <v>-154068404573.16565</v>
      </c>
      <c r="K12" s="340">
        <f>-'Otros Costos y Gastos'!K29</f>
        <v>-159988866380.45117</v>
      </c>
      <c r="L12" s="340">
        <f>-'Otros Costos y Gastos'!L29</f>
        <v>-166145357297.38483</v>
      </c>
      <c r="M12" s="340">
        <f>-'Otros Costos y Gastos'!M29</f>
        <v>-172547618755.69244</v>
      </c>
      <c r="N12" s="340">
        <f>-'Otros Costos y Gastos'!N29</f>
        <v>-179205806686.40848</v>
      </c>
      <c r="O12" s="340">
        <f>-'Otros Costos y Gastos'!O29</f>
        <v>-186130509608.16833</v>
      </c>
    </row>
    <row r="13" spans="1:15">
      <c r="A13" s="408" t="s">
        <v>719</v>
      </c>
      <c r="C13" s="340">
        <f>Renta!C15</f>
        <v>0</v>
      </c>
      <c r="D13" s="340">
        <f>Renta!D15</f>
        <v>0</v>
      </c>
      <c r="E13" s="340">
        <f>Renta!E15</f>
        <v>0</v>
      </c>
      <c r="F13" s="340">
        <f>Renta!F15</f>
        <v>0</v>
      </c>
      <c r="G13" s="340">
        <f>Renta!G15</f>
        <v>0</v>
      </c>
      <c r="H13" s="340">
        <f>Renta!H15</f>
        <v>0</v>
      </c>
      <c r="I13" s="340">
        <f>Renta!I15</f>
        <v>0</v>
      </c>
      <c r="J13" s="340">
        <f>Renta!J15</f>
        <v>0</v>
      </c>
      <c r="K13" s="340">
        <f>Renta!K15</f>
        <v>0</v>
      </c>
      <c r="L13" s="340">
        <f>Renta!L15</f>
        <v>0</v>
      </c>
      <c r="M13" s="340">
        <f>Renta!M15</f>
        <v>0</v>
      </c>
      <c r="N13" s="340">
        <f>Renta!N15</f>
        <v>0</v>
      </c>
      <c r="O13" s="340">
        <f>Renta!O15</f>
        <v>0</v>
      </c>
    </row>
    <row r="14" spans="1:15">
      <c r="A14" s="302" t="s">
        <v>733</v>
      </c>
      <c r="C14" s="340">
        <f>(-103904-7539)*M-C10</f>
        <v>-17425000000</v>
      </c>
      <c r="D14" s="340">
        <v>0</v>
      </c>
      <c r="E14" s="340">
        <f>-(Amortizaciones!E7+Amortizaciones!E13+Amortizaciones!E19)</f>
        <v>-21500274323</v>
      </c>
      <c r="F14" s="340">
        <f>-(Amortizaciones!F7+Amortizaciones!F13+Amortizaciones!F19)</f>
        <v>-3948274323</v>
      </c>
      <c r="G14" s="340">
        <f>-(Amortizaciones!G7+Amortizaciones!G13+Amortizaciones!G19)</f>
        <v>-3948274323</v>
      </c>
      <c r="H14" s="340">
        <f>-(Amortizaciones!H7+Amortizaciones!H13+Amortizaciones!H19)</f>
        <v>-3948274323</v>
      </c>
      <c r="I14" s="340">
        <f>-(Amortizaciones!I7+Amortizaciones!I13+Amortizaciones!I19)</f>
        <v>-3948274323</v>
      </c>
      <c r="J14" s="340">
        <f>-(Amortizaciones!J7+Amortizaciones!J13+Amortizaciones!J19)</f>
        <v>-3948274323</v>
      </c>
      <c r="K14" s="340">
        <f>-(Amortizaciones!K7+Amortizaciones!K13+Amortizaciones!K19)</f>
        <v>-3948274323</v>
      </c>
      <c r="L14" s="340">
        <f>-(Amortizaciones!L7+Amortizaciones!L13+Amortizaciones!L19)</f>
        <v>-3948274323</v>
      </c>
      <c r="M14" s="340">
        <f>-(Amortizaciones!M7+Amortizaciones!M13+Amortizaciones!M19)</f>
        <v>-3948274323</v>
      </c>
      <c r="N14" s="340">
        <f>-(Amortizaciones!N7+Amortizaciones!N13+Amortizaciones!N19)</f>
        <v>-3948274323</v>
      </c>
      <c r="O14" s="340">
        <f>-(Amortizaciones!O7+Amortizaciones!O13+Amortizaciones!O19)</f>
        <v>-2019607656</v>
      </c>
    </row>
    <row r="15" spans="1:15">
      <c r="A15" s="302" t="s">
        <v>721</v>
      </c>
      <c r="C15" s="340">
        <f>Renta!C17</f>
        <v>-8178000000</v>
      </c>
      <c r="D15" s="340">
        <f>Renta!D17</f>
        <v>-7877000000</v>
      </c>
      <c r="E15" s="340">
        <f>-'Otros Costos y Gastos'!E33-'Otros Costos y Gastos'!E34</f>
        <v>-6790037125.806406</v>
      </c>
      <c r="F15" s="340">
        <f ca="1">-'Otros Costos y Gastos'!F33-'Otros Costos y Gastos'!F34</f>
        <v>-10080392073.764914</v>
      </c>
      <c r="G15" s="340">
        <f ca="1">-'Otros Costos y Gastos'!G33-'Otros Costos y Gastos'!G34</f>
        <v>-13378941832.642994</v>
      </c>
      <c r="H15" s="340">
        <f ca="1">-'Otros Costos y Gastos'!H33-'Otros Costos y Gastos'!H34</f>
        <v>-12911368330.022572</v>
      </c>
      <c r="I15" s="340">
        <f ca="1">-'Otros Costos y Gastos'!I33-'Otros Costos y Gastos'!I34</f>
        <v>-14520960565.602266</v>
      </c>
      <c r="J15" s="340">
        <f ca="1">-'Otros Costos y Gastos'!J33-'Otros Costos y Gastos'!J34</f>
        <v>-10673931184.785488</v>
      </c>
      <c r="K15" s="340">
        <f ca="1">-'Otros Costos y Gastos'!K33-'Otros Costos y Gastos'!K34</f>
        <v>-5341444681.4936628</v>
      </c>
      <c r="L15" s="340">
        <f ca="1">-'Otros Costos y Gastos'!L33-'Otros Costos y Gastos'!L34</f>
        <v>-2847780443.0515537</v>
      </c>
      <c r="M15" s="340">
        <f ca="1">-'Otros Costos y Gastos'!M33-'Otros Costos y Gastos'!M34</f>
        <v>0</v>
      </c>
      <c r="N15" s="340">
        <f ca="1">-'Otros Costos y Gastos'!N33-'Otros Costos y Gastos'!N34</f>
        <v>0</v>
      </c>
      <c r="O15" s="340">
        <f ca="1">-'Otros Costos y Gastos'!O33-'Otros Costos y Gastos'!O34</f>
        <v>0</v>
      </c>
    </row>
    <row r="16" spans="1:15">
      <c r="A16" s="302" t="s">
        <v>722</v>
      </c>
      <c r="C16" s="340">
        <v>0</v>
      </c>
      <c r="D16" s="340">
        <v>0</v>
      </c>
      <c r="E16" s="340">
        <f>-'Otros Costos y Gastos'!E43</f>
        <v>0</v>
      </c>
      <c r="F16" s="340">
        <f ca="1">-'Otros Costos y Gastos'!F43</f>
        <v>0</v>
      </c>
      <c r="G16" s="340">
        <f ca="1">-'Otros Costos y Gastos'!G43</f>
        <v>0</v>
      </c>
      <c r="H16" s="340">
        <f ca="1">-'Otros Costos y Gastos'!H43</f>
        <v>0</v>
      </c>
      <c r="I16" s="340">
        <f ca="1">-'Otros Costos y Gastos'!I43</f>
        <v>0</v>
      </c>
      <c r="J16" s="340">
        <f ca="1">-'Otros Costos y Gastos'!J43</f>
        <v>0</v>
      </c>
      <c r="K16" s="340">
        <f ca="1">-'Otros Costos y Gastos'!K43</f>
        <v>0</v>
      </c>
      <c r="L16" s="340">
        <f ca="1">-'Otros Costos y Gastos'!L43</f>
        <v>0</v>
      </c>
      <c r="M16" s="340">
        <f ca="1">-'Otros Costos y Gastos'!M43</f>
        <v>0</v>
      </c>
      <c r="N16" s="340">
        <f ca="1">-'Otros Costos y Gastos'!N43</f>
        <v>0</v>
      </c>
      <c r="O16" s="340">
        <f ca="1">-'Otros Costos y Gastos'!O43</f>
        <v>0</v>
      </c>
    </row>
    <row r="17" spans="1:15" s="375" customFormat="1" ht="16.5" thickBot="1">
      <c r="A17" s="372" t="s">
        <v>720</v>
      </c>
      <c r="B17" s="373"/>
      <c r="C17" s="374">
        <f t="shared" ref="C17:O17" si="2">SUM(C11:C16)</f>
        <v>581014000000</v>
      </c>
      <c r="D17" s="374">
        <f t="shared" si="2"/>
        <v>299340000000</v>
      </c>
      <c r="E17" s="374">
        <f t="shared" si="2"/>
        <v>502461237131.29028</v>
      </c>
      <c r="F17" s="374">
        <f t="shared" ca="1" si="2"/>
        <v>1457778739265.7808</v>
      </c>
      <c r="G17" s="374">
        <f t="shared" ca="1" si="2"/>
        <v>1461203005264.1274</v>
      </c>
      <c r="H17" s="374">
        <f t="shared" ca="1" si="2"/>
        <v>1690418401469.509</v>
      </c>
      <c r="I17" s="374">
        <f t="shared" ca="1" si="2"/>
        <v>1727598028388.5081</v>
      </c>
      <c r="J17" s="374">
        <f t="shared" ca="1" si="2"/>
        <v>168453590309.59842</v>
      </c>
      <c r="K17" s="374">
        <f t="shared" ca="1" si="2"/>
        <v>203984277502.66589</v>
      </c>
      <c r="L17" s="374">
        <f t="shared" ca="1" si="2"/>
        <v>1221030836023.3223</v>
      </c>
      <c r="M17" s="374">
        <f t="shared" ca="1" si="2"/>
        <v>83599758467.744995</v>
      </c>
      <c r="N17" s="374">
        <f t="shared" ca="1" si="2"/>
        <v>260638844344.69003</v>
      </c>
      <c r="O17" s="374">
        <f t="shared" ca="1" si="2"/>
        <v>1727268136471.9785</v>
      </c>
    </row>
    <row r="18" spans="1:15" ht="16.5" thickTop="1">
      <c r="A18" s="302" t="s">
        <v>682</v>
      </c>
      <c r="C18" s="340">
        <f>Renta!C19</f>
        <v>-60735000000</v>
      </c>
      <c r="D18" s="340">
        <f>Renta!D19</f>
        <v>-18195000000</v>
      </c>
      <c r="E18" s="351">
        <f>(Financiacion!E26+'Activos fijos'!E13)+Financiacion!E38+Financiacion!E46</f>
        <v>-48609488959.657982</v>
      </c>
      <c r="F18" s="340">
        <f>(Financiacion!F26+'Activos fijos'!F13)+Financiacion!F38+Financiacion!F46</f>
        <v>-315621613260.50494</v>
      </c>
      <c r="G18" s="340">
        <f>(Financiacion!G26+'Activos fijos'!G13)+Financiacion!G38+Financiacion!G46</f>
        <v>-281071925850.31396</v>
      </c>
      <c r="H18" s="340">
        <f>(Financiacion!H26+'Activos fijos'!H13)+Financiacion!H38+Financiacion!H46</f>
        <v>-246522238440.12286</v>
      </c>
      <c r="I18" s="340">
        <f>(Financiacion!I26+'Activos fijos'!I13)+Financiacion!I38+Financiacion!I46</f>
        <v>-211972551029.93179</v>
      </c>
      <c r="J18" s="340">
        <f>(Financiacion!J26+'Activos fijos'!J13)+Financiacion!J38+Financiacion!J46</f>
        <v>-216559355652.22128</v>
      </c>
      <c r="K18" s="340">
        <f>(Financiacion!K26+'Activos fijos'!K13)+Financiacion!K38+Financiacion!K46</f>
        <v>-211751924818.68359</v>
      </c>
      <c r="L18" s="340">
        <f>(Financiacion!L26+'Activos fijos'!L13)+Financiacion!L38+Financiacion!L46</f>
        <v>-138065745376.01196</v>
      </c>
      <c r="M18" s="340">
        <f>(Financiacion!M26+'Activos fijos'!M13)+Financiacion!M38+Financiacion!M46</f>
        <v>-112210277931.97762</v>
      </c>
      <c r="N18" s="340">
        <f>(Financiacion!N26+'Activos fijos'!N13)+Financiacion!N38+Financiacion!N46</f>
        <v>-114508989076.49409</v>
      </c>
      <c r="O18" s="340">
        <f>(Financiacion!O26+'Activos fijos'!O13)+Financiacion!O38+Financiacion!O46</f>
        <v>-47823033691.648033</v>
      </c>
    </row>
    <row r="19" spans="1:15">
      <c r="A19" s="302" t="s">
        <v>851</v>
      </c>
      <c r="C19" s="340"/>
      <c r="D19" s="340"/>
      <c r="E19" s="351">
        <f>'Balance General'!D48-'Balance General'!E48</f>
        <v>6308000000</v>
      </c>
      <c r="F19" s="340">
        <f>'Balance General'!E48-'Balance General'!F48</f>
        <v>6308000000</v>
      </c>
      <c r="G19" s="340">
        <f>'Balance General'!F48-'Balance General'!G48</f>
        <v>6308000000</v>
      </c>
      <c r="H19" s="340">
        <f>'Balance General'!G48-'Balance General'!H48</f>
        <v>6308000000</v>
      </c>
      <c r="I19" s="340">
        <f>'Balance General'!H48-'Balance General'!I48</f>
        <v>6308000000</v>
      </c>
      <c r="J19" s="340">
        <f>'Balance General'!I48-'Balance General'!J48</f>
        <v>6308000000</v>
      </c>
      <c r="K19" s="340">
        <f>'Balance General'!J48-'Balance General'!K48</f>
        <v>1405960000</v>
      </c>
      <c r="L19" s="340">
        <f>'Balance General'!K48-'Balance General'!L48</f>
        <v>0</v>
      </c>
      <c r="M19" s="340">
        <f>'Balance General'!L48-'Balance General'!M48</f>
        <v>0</v>
      </c>
      <c r="N19" s="340">
        <f>'Balance General'!M48-'Balance General'!N48</f>
        <v>0</v>
      </c>
      <c r="O19" s="340">
        <f>'Balance General'!N48-'Balance General'!O48</f>
        <v>0</v>
      </c>
    </row>
    <row r="20" spans="1:15">
      <c r="A20" s="302" t="s">
        <v>850</v>
      </c>
      <c r="C20" s="340">
        <f>Renta!C20</f>
        <v>43874000000</v>
      </c>
      <c r="D20" s="340">
        <f>Renta!D20</f>
        <v>19777000000</v>
      </c>
      <c r="E20" s="351">
        <f>'Flujo de efectivo'!E37</f>
        <v>6014220875.2537498</v>
      </c>
      <c r="F20" s="340">
        <f>'Flujo de efectivo'!F37</f>
        <v>17640586289.398102</v>
      </c>
      <c r="G20" s="340">
        <f ca="1">'Flujo de efectivo'!G37</f>
        <v>41455170628.683563</v>
      </c>
      <c r="H20" s="340">
        <f ca="1">'Flujo de efectivo'!H37</f>
        <v>27406396359.511684</v>
      </c>
      <c r="I20" s="340">
        <f ca="1">'Flujo de efectivo'!I37</f>
        <v>29565274501.615566</v>
      </c>
      <c r="J20" s="340">
        <f ca="1">'Flujo de efectivo'!J37</f>
        <v>22942089481.174812</v>
      </c>
      <c r="K20" s="340">
        <f ca="1">'Flujo de efectivo'!K37</f>
        <v>-1.272336959838868E-5</v>
      </c>
      <c r="L20" s="340">
        <f ca="1">'Flujo de efectivo'!L37</f>
        <v>1.0744178771972663E-5</v>
      </c>
      <c r="M20" s="340">
        <f ca="1">'Flujo de efectivo'!M37</f>
        <v>1728137971.7137475</v>
      </c>
      <c r="N20" s="340">
        <f ca="1">'Flujo de efectivo'!N37</f>
        <v>3.6756401062011742E-6</v>
      </c>
      <c r="O20" s="340">
        <f ca="1">'Flujo de efectivo'!O37</f>
        <v>-1.7529975891113292E-5</v>
      </c>
    </row>
    <row r="21" spans="1:15" ht="16.5" thickBot="1">
      <c r="A21" s="366" t="s">
        <v>723</v>
      </c>
      <c r="B21" s="366"/>
      <c r="C21" s="367">
        <f>SUM(C17:C20)</f>
        <v>564153000000</v>
      </c>
      <c r="D21" s="367">
        <f t="shared" ref="D21:O21" si="3">SUM(D17:D20)</f>
        <v>300922000000</v>
      </c>
      <c r="E21" s="367">
        <f t="shared" si="3"/>
        <v>466173969046.88605</v>
      </c>
      <c r="F21" s="367">
        <f t="shared" ca="1" si="3"/>
        <v>1166105712294.6741</v>
      </c>
      <c r="G21" s="367">
        <f t="shared" ca="1" si="3"/>
        <v>1227894250042.4971</v>
      </c>
      <c r="H21" s="367">
        <f t="shared" ca="1" si="3"/>
        <v>1477610559388.8979</v>
      </c>
      <c r="I21" s="367">
        <f t="shared" ca="1" si="3"/>
        <v>1551498751860.1917</v>
      </c>
      <c r="J21" s="367">
        <f t="shared" ca="1" si="3"/>
        <v>-18855675861.448051</v>
      </c>
      <c r="K21" s="367">
        <f t="shared" ca="1" si="3"/>
        <v>-6361687316.0177126</v>
      </c>
      <c r="L21" s="367">
        <f t="shared" ca="1" si="3"/>
        <v>1082965090647.3103</v>
      </c>
      <c r="M21" s="367">
        <f t="shared" ca="1" si="3"/>
        <v>-26882381492.518871</v>
      </c>
      <c r="N21" s="367">
        <f t="shared" ca="1" si="3"/>
        <v>146129855268.19592</v>
      </c>
      <c r="O21" s="367">
        <f t="shared" ca="1" si="3"/>
        <v>1679445102780.3306</v>
      </c>
    </row>
    <row r="22" spans="1:15" ht="16.5" thickTop="1">
      <c r="A22" s="302" t="s">
        <v>736</v>
      </c>
      <c r="C22" s="340">
        <f>Renta!C26+CREE!C27</f>
        <v>-107104999999.99995</v>
      </c>
      <c r="D22" s="340">
        <f>Renta!D26+CREE!D27</f>
        <v>-57983054999.999992</v>
      </c>
      <c r="E22" s="340">
        <f ca="1">Renta!E26+CREE!E27</f>
        <v>-94426416957.389496</v>
      </c>
      <c r="F22" s="340">
        <f ca="1">Renta!F26+CREE!F27</f>
        <v>-383930336349.69244</v>
      </c>
      <c r="G22" s="340">
        <f ca="1">Renta!G26+CREE!G27</f>
        <v>-418722800171.35754</v>
      </c>
      <c r="H22" s="340">
        <f ca="1">Renta!H26+CREE!H27</f>
        <v>-544056801737.95178</v>
      </c>
      <c r="I22" s="340">
        <f ca="1">Renta!I26+CREE!I27</f>
        <v>-588684465395.67517</v>
      </c>
      <c r="J22" s="340">
        <f ca="1">Renta!J26+CREE!J27</f>
        <v>-5035109620.0989494</v>
      </c>
      <c r="K22" s="340">
        <f ca="1">Renta!K26+CREE!K27</f>
        <v>-1962491342.0666425</v>
      </c>
      <c r="L22" s="340">
        <f ca="1">Renta!L26+CREE!L27</f>
        <v>-162064838323.2327</v>
      </c>
      <c r="M22" s="340">
        <f ca="1">Renta!M26+CREE!M27</f>
        <v>-3127891535.3606067</v>
      </c>
      <c r="N22" s="340">
        <f ca="1">Renta!N26+CREE!N27</f>
        <v>-766942627.03317678</v>
      </c>
      <c r="O22" s="340">
        <f ca="1">Renta!O26+CREE!O27</f>
        <v>-417147953893.58105</v>
      </c>
    </row>
    <row r="23" spans="1:15">
      <c r="A23" s="302" t="s">
        <v>737</v>
      </c>
      <c r="C23" s="340">
        <f>Renta!C27+CREE!C28</f>
        <v>-23082000000.000031</v>
      </c>
      <c r="D23" s="340">
        <f>Renta!D27+CREE!D28</f>
        <v>-12189945000.000015</v>
      </c>
      <c r="E23" s="340">
        <f>Renta!E27+CREE!E28</f>
        <v>-12049589118.274536</v>
      </c>
      <c r="F23" s="340">
        <f>Renta!F27+CREE!F28</f>
        <v>-67990385698.642708</v>
      </c>
      <c r="G23" s="340">
        <f>Renta!G27+CREE!G28</f>
        <v>-70069465308.80072</v>
      </c>
      <c r="H23" s="340">
        <f>Renta!H27+CREE!H28</f>
        <v>-73944886887.629257</v>
      </c>
      <c r="I23" s="340">
        <f>Renta!I27+CREE!I28</f>
        <v>-76102143148.926376</v>
      </c>
      <c r="J23" s="340">
        <f>Renta!J27+CREE!J28</f>
        <v>-60499578020.248375</v>
      </c>
      <c r="K23" s="340">
        <f>Renta!K27+CREE!K28</f>
        <v>-60838926540.739304</v>
      </c>
      <c r="L23" s="340">
        <f>Renta!L27+CREE!L28</f>
        <v>-61192242587.351654</v>
      </c>
      <c r="M23" s="340">
        <f>Renta!M27+CREE!M28</f>
        <v>-61560207610.534225</v>
      </c>
      <c r="N23" s="340">
        <f>Renta!N27+CREE!N28</f>
        <v>-58557625998.399155</v>
      </c>
      <c r="O23" s="340">
        <f>Renta!O27+CREE!O28</f>
        <v>-58956676933.870789</v>
      </c>
    </row>
    <row r="24" spans="1:15" s="375" customFormat="1" ht="16.5" thickBot="1">
      <c r="A24" s="372" t="s">
        <v>724</v>
      </c>
      <c r="B24" s="373"/>
      <c r="C24" s="374">
        <f>SUM(C21:C23)</f>
        <v>433966000000</v>
      </c>
      <c r="D24" s="374">
        <f t="shared" ref="D24:O24" si="4">SUM(D21:D23)</f>
        <v>230749000000</v>
      </c>
      <c r="E24" s="374">
        <f t="shared" ca="1" si="4"/>
        <v>359697962971.22205</v>
      </c>
      <c r="F24" s="374">
        <f t="shared" ca="1" si="4"/>
        <v>714184990246.33899</v>
      </c>
      <c r="G24" s="374">
        <f t="shared" ca="1" si="4"/>
        <v>739101984562.33887</v>
      </c>
      <c r="H24" s="374">
        <f t="shared" ca="1" si="4"/>
        <v>859608870763.31689</v>
      </c>
      <c r="I24" s="374">
        <f t="shared" ca="1" si="4"/>
        <v>886712143315.59009</v>
      </c>
      <c r="J24" s="374">
        <f t="shared" ca="1" si="4"/>
        <v>-84390363501.79538</v>
      </c>
      <c r="K24" s="374">
        <f t="shared" ca="1" si="4"/>
        <v>-69163105198.823654</v>
      </c>
      <c r="L24" s="374">
        <f t="shared" ca="1" si="4"/>
        <v>859708009736.72595</v>
      </c>
      <c r="M24" s="374">
        <f t="shared" ca="1" si="4"/>
        <v>-91570480638.413696</v>
      </c>
      <c r="N24" s="374">
        <f t="shared" ca="1" si="4"/>
        <v>86805286642.763596</v>
      </c>
      <c r="O24" s="374">
        <f t="shared" ca="1" si="4"/>
        <v>1203340471952.8787</v>
      </c>
    </row>
    <row r="25" spans="1:15" ht="16.5" thickTop="1">
      <c r="C25" s="409"/>
      <c r="D25" s="409"/>
      <c r="E25" s="409"/>
      <c r="F25" s="409"/>
      <c r="G25" s="409"/>
      <c r="H25" s="409"/>
      <c r="I25" s="409"/>
      <c r="J25" s="409"/>
      <c r="K25" s="409"/>
      <c r="L25" s="409"/>
      <c r="M25" s="409"/>
      <c r="N25" s="409"/>
      <c r="O25" s="409"/>
    </row>
    <row r="26" spans="1:15">
      <c r="O26" s="309"/>
    </row>
    <row r="27" spans="1:15">
      <c r="A27" s="466" t="s">
        <v>725</v>
      </c>
      <c r="E27" s="309"/>
      <c r="F27" s="309"/>
      <c r="G27" s="309"/>
      <c r="H27" s="309"/>
      <c r="I27" s="309"/>
      <c r="J27" s="309"/>
      <c r="K27" s="309"/>
      <c r="L27" s="309"/>
      <c r="M27" s="309"/>
      <c r="N27" s="309"/>
      <c r="O27" s="309"/>
    </row>
    <row r="28" spans="1:15">
      <c r="A28" s="467" t="s">
        <v>726</v>
      </c>
      <c r="B28" s="468">
        <v>0.5</v>
      </c>
      <c r="C28" s="410"/>
      <c r="D28" s="354"/>
      <c r="E28" s="309"/>
      <c r="F28" s="309"/>
      <c r="G28" s="309"/>
      <c r="H28" s="309"/>
      <c r="I28" s="309"/>
      <c r="J28" s="309"/>
      <c r="K28" s="309"/>
      <c r="L28" s="309"/>
      <c r="M28" s="309"/>
      <c r="N28" s="309"/>
      <c r="O28" s="309"/>
    </row>
    <row r="29" spans="1:15">
      <c r="A29" s="469" t="s">
        <v>727</v>
      </c>
      <c r="B29" s="468">
        <v>0.1</v>
      </c>
      <c r="C29" s="410"/>
      <c r="E29" s="309"/>
      <c r="F29" s="309"/>
      <c r="G29" s="309"/>
      <c r="H29" s="309"/>
      <c r="I29" s="309"/>
      <c r="J29" s="309"/>
      <c r="K29" s="309"/>
      <c r="L29" s="309"/>
      <c r="M29" s="309"/>
      <c r="N29" s="309"/>
      <c r="O29" s="309"/>
    </row>
    <row r="30" spans="1:15">
      <c r="A30" s="470" t="s">
        <v>728</v>
      </c>
      <c r="B30" s="307"/>
      <c r="C30" s="307"/>
      <c r="D30" s="411"/>
      <c r="E30" s="471">
        <f>D24</f>
        <v>230749000000</v>
      </c>
      <c r="F30" s="471">
        <f t="shared" ref="F30:O30" ca="1" si="5">E24</f>
        <v>359697962971.22205</v>
      </c>
      <c r="G30" s="471">
        <f t="shared" ca="1" si="5"/>
        <v>714184990246.33899</v>
      </c>
      <c r="H30" s="471">
        <f t="shared" ca="1" si="5"/>
        <v>739101984562.33887</v>
      </c>
      <c r="I30" s="471">
        <f t="shared" ca="1" si="5"/>
        <v>859608870763.31689</v>
      </c>
      <c r="J30" s="471">
        <f t="shared" ca="1" si="5"/>
        <v>886712143315.59009</v>
      </c>
      <c r="K30" s="471">
        <f t="shared" ca="1" si="5"/>
        <v>-84390363501.79538</v>
      </c>
      <c r="L30" s="471">
        <f t="shared" ca="1" si="5"/>
        <v>-69163105198.823654</v>
      </c>
      <c r="M30" s="471">
        <f t="shared" ca="1" si="5"/>
        <v>859708009736.72595</v>
      </c>
      <c r="N30" s="471">
        <f t="shared" ca="1" si="5"/>
        <v>-91570480638.413696</v>
      </c>
      <c r="O30" s="471">
        <f t="shared" ca="1" si="5"/>
        <v>86805286642.763596</v>
      </c>
    </row>
    <row r="31" spans="1:15">
      <c r="A31" s="307"/>
      <c r="B31" s="307"/>
      <c r="C31" s="307"/>
      <c r="D31" s="411"/>
      <c r="E31" s="411"/>
      <c r="F31" s="411"/>
      <c r="G31" s="411"/>
      <c r="H31" s="411"/>
      <c r="I31" s="411"/>
      <c r="J31" s="411"/>
      <c r="K31" s="411"/>
      <c r="L31" s="411"/>
      <c r="M31" s="411"/>
      <c r="N31" s="411"/>
      <c r="O31" s="411"/>
    </row>
    <row r="32" spans="1:15">
      <c r="A32" s="467" t="s">
        <v>729</v>
      </c>
      <c r="D32" s="359"/>
      <c r="E32" s="472">
        <f>IF('Balance General'!D56/'Balance General'!D54&gt;=$B$28,0,MIN(D24*$B$29,'Balance General'!E54*$B$28-'Balance General'!D56))</f>
        <v>0</v>
      </c>
      <c r="F32" s="472">
        <f>IF('Balance General'!E56/'Balance General'!E54&gt;=$B$28,0,MIN(E24*$B$29,'Balance General'!F54*$B$28-'Balance General'!E56))</f>
        <v>0</v>
      </c>
      <c r="G32" s="472">
        <f>IF('Balance General'!F56/'Balance General'!F54&gt;=$B$28,0,MIN(F24*$B$29,'Balance General'!G54*$B$28-'Balance General'!F56))</f>
        <v>0</v>
      </c>
      <c r="H32" s="472">
        <f>IF('Balance General'!G56/'Balance General'!G54&gt;=$B$28,0,MIN(G24*$B$29,'Balance General'!H54*$B$28-'Balance General'!G56))</f>
        <v>0</v>
      </c>
      <c r="I32" s="472">
        <f>IF('Balance General'!H56/'Balance General'!H54&gt;=$B$28,0,MIN(H24*$B$29,'Balance General'!I54*$B$28-'Balance General'!H56))</f>
        <v>0</v>
      </c>
      <c r="J32" s="472">
        <f>IF('Balance General'!I56/'Balance General'!I54&gt;=$B$28,0,MIN(I24*$B$29,'Balance General'!J54*$B$28-'Balance General'!I56))</f>
        <v>0</v>
      </c>
      <c r="K32" s="472">
        <f>IF('Balance General'!J56/'Balance General'!J54&gt;=$B$28,0,MIN(J24*$B$29,'Balance General'!K54*$B$28-'Balance General'!J56))</f>
        <v>0</v>
      </c>
      <c r="L32" s="472">
        <f>IF('Balance General'!K56/'Balance General'!K54&gt;=$B$28,0,MIN(K24*$B$29,'Balance General'!L54*$B$28-'Balance General'!K56))</f>
        <v>0</v>
      </c>
      <c r="M32" s="472">
        <f>IF('Balance General'!L56/'Balance General'!L54&gt;=$B$28,0,MIN(L24*$B$29,'Balance General'!M54*$B$28-'Balance General'!L56))</f>
        <v>0</v>
      </c>
      <c r="N32" s="472">
        <f>IF('Balance General'!M56/'Balance General'!M54&gt;=$B$28,0,MIN(M24*$B$29,'Balance General'!N54*$B$28-'Balance General'!M56))</f>
        <v>0</v>
      </c>
      <c r="O32" s="472">
        <f>IF('Balance General'!N56/'Balance General'!N54&gt;=$B$28,0,MIN(N24*$B$29,'Balance General'!O54*$B$28-'Balance General'!N56))</f>
        <v>0</v>
      </c>
    </row>
    <row r="33" spans="1:15">
      <c r="A33" s="467" t="s">
        <v>738</v>
      </c>
      <c r="B33" s="468">
        <v>0.7</v>
      </c>
      <c r="D33" s="359"/>
      <c r="E33" s="472">
        <f>Renta!E36*$B$33</f>
        <v>24807977596.447575</v>
      </c>
      <c r="F33" s="472">
        <f>Renta!F36*$B$33</f>
        <v>122034025612.94844</v>
      </c>
      <c r="G33" s="472">
        <f>Renta!G36*$B$33</f>
        <v>122621564290.40125</v>
      </c>
      <c r="H33" s="472">
        <f>Renta!H36*$B$33</f>
        <v>123241478146.04875</v>
      </c>
      <c r="I33" s="472">
        <f>Renta!I36*$B$33</f>
        <v>123887209777.32201</v>
      </c>
      <c r="J33" s="472">
        <f>Renta!J36*$B$33</f>
        <v>124557954747.57018</v>
      </c>
      <c r="K33" s="472">
        <f>Renta!K36*$B$33</f>
        <v>125256613466.22797</v>
      </c>
      <c r="L33" s="472">
        <f>Renta!L36*$B$33</f>
        <v>125984028856.31223</v>
      </c>
      <c r="M33" s="472">
        <f>Renta!M36*$B$33</f>
        <v>126741603904.04103</v>
      </c>
      <c r="N33" s="472">
        <f>Renta!N36*$B$33</f>
        <v>120559818231.99826</v>
      </c>
      <c r="O33" s="472">
        <f>Renta!O36*$B$33</f>
        <v>121381393687.38103</v>
      </c>
    </row>
    <row r="34" spans="1:15">
      <c r="A34" s="467" t="s">
        <v>849</v>
      </c>
      <c r="B34" s="468">
        <v>0.3</v>
      </c>
      <c r="D34" s="359"/>
      <c r="E34" s="472">
        <f>(('Balance General'!D35+'Balance General'!D44)*$B$34)-'Balance General'!D58</f>
        <v>39508600000</v>
      </c>
      <c r="F34" s="472">
        <f>(('Balance General'!E35+'Balance General'!E44)*$B$34)-'Balance General'!E58</f>
        <v>105122165681.07324</v>
      </c>
      <c r="G34" s="472">
        <f>(('Balance General'!F35+'Balance General'!F44)*$B$34)-'Balance General'!F58</f>
        <v>-113522282218.10718</v>
      </c>
      <c r="H34" s="472">
        <f>(('Balance General'!G35+'Balance General'!G44)*$B$34)-'Balance General'!G58</f>
        <v>-113522282218.10742</v>
      </c>
      <c r="I34" s="472">
        <f>(('Balance General'!H35+'Balance General'!H44)*$B$34)-'Balance General'!H58</f>
        <v>-113522282218.1073</v>
      </c>
      <c r="J34" s="472">
        <f>(('Balance General'!I35+'Balance General'!I44)*$B$34)-'Balance General'!I58</f>
        <v>-113522282218.1073</v>
      </c>
      <c r="K34" s="472">
        <f>(('Balance General'!J35+'Balance General'!J44)*$B$34)-'Balance General'!J58</f>
        <v>-113522282218.10742</v>
      </c>
      <c r="L34" s="472">
        <f>(('Balance General'!K35+'Balance General'!K44)*$B$34)-'Balance General'!K58</f>
        <v>-113522282218.1073</v>
      </c>
      <c r="M34" s="472">
        <f>(('Balance General'!L35+'Balance General'!L44)*$B$34)-'Balance General'!L58</f>
        <v>-113522282218.10736</v>
      </c>
      <c r="N34" s="472">
        <f>(('Balance General'!M35+'Balance General'!M44)*$B$34)-'Balance General'!M58</f>
        <v>-113522282218.10733</v>
      </c>
      <c r="O34" s="472">
        <f>(('Balance General'!N35+'Balance General'!N44)*$B$34)-'Balance General'!N58</f>
        <v>-107324238718.10732</v>
      </c>
    </row>
    <row r="35" spans="1:15">
      <c r="A35" s="467" t="s">
        <v>730</v>
      </c>
      <c r="B35" s="410"/>
      <c r="D35" s="359"/>
      <c r="E35" s="472">
        <f>D45</f>
        <v>0</v>
      </c>
      <c r="F35" s="472">
        <f>E45</f>
        <v>0</v>
      </c>
      <c r="G35" s="472">
        <f ca="1">F45</f>
        <v>0</v>
      </c>
      <c r="H35" s="472">
        <f t="shared" ref="H35:O35" ca="1" si="6">G45</f>
        <v>0</v>
      </c>
      <c r="I35" s="472">
        <f t="shared" ca="1" si="6"/>
        <v>0</v>
      </c>
      <c r="J35" s="472">
        <f t="shared" ca="1" si="6"/>
        <v>0</v>
      </c>
      <c r="K35" s="472">
        <f t="shared" ca="1" si="6"/>
        <v>0</v>
      </c>
      <c r="L35" s="472">
        <f t="shared" ca="1" si="6"/>
        <v>-96124694749.915924</v>
      </c>
      <c r="M35" s="472">
        <f t="shared" ca="1" si="6"/>
        <v>-177749546586.94449</v>
      </c>
      <c r="N35" s="472">
        <f t="shared" ca="1" si="6"/>
        <v>66943534648.139618</v>
      </c>
      <c r="O35" s="472">
        <f t="shared" ca="1" si="6"/>
        <v>-31664482004.165009</v>
      </c>
    </row>
    <row r="36" spans="1:15" s="307" customFormat="1">
      <c r="A36" s="470" t="s">
        <v>740</v>
      </c>
      <c r="D36" s="357"/>
      <c r="E36" s="473">
        <f>E30-SUM(E32:E34)+E35</f>
        <v>166432422403.55243</v>
      </c>
      <c r="F36" s="473">
        <f ca="1">F30-SUM(F32:F34)+F35</f>
        <v>132541771677.20038</v>
      </c>
      <c r="G36" s="473">
        <f t="shared" ref="G36:O36" ca="1" si="7">G30-SUM(G32:G34)+G35</f>
        <v>705085708174.04492</v>
      </c>
      <c r="H36" s="473">
        <f t="shared" ca="1" si="7"/>
        <v>729382788634.39758</v>
      </c>
      <c r="I36" s="473">
        <f t="shared" ca="1" si="7"/>
        <v>849243943204.10217</v>
      </c>
      <c r="J36" s="473">
        <f t="shared" ca="1" si="7"/>
        <v>875676470786.1272</v>
      </c>
      <c r="K36" s="473">
        <f t="shared" ca="1" si="7"/>
        <v>-96124694749.915924</v>
      </c>
      <c r="L36" s="473">
        <f t="shared" ca="1" si="7"/>
        <v>-177749546586.94452</v>
      </c>
      <c r="M36" s="473">
        <f t="shared" ca="1" si="7"/>
        <v>668739141463.84778</v>
      </c>
      <c r="N36" s="473">
        <f t="shared" ca="1" si="7"/>
        <v>-31664482004.165009</v>
      </c>
      <c r="O36" s="473">
        <f t="shared" ca="1" si="7"/>
        <v>41083649669.324875</v>
      </c>
    </row>
    <row r="37" spans="1:15" s="314" customFormat="1">
      <c r="D37" s="359"/>
      <c r="E37" s="359"/>
      <c r="F37" s="359"/>
      <c r="G37" s="359"/>
      <c r="H37" s="359"/>
      <c r="I37" s="359"/>
      <c r="J37" s="359"/>
      <c r="K37" s="359"/>
      <c r="L37" s="359"/>
      <c r="M37" s="359"/>
      <c r="N37" s="359"/>
      <c r="O37" s="359"/>
    </row>
    <row r="38" spans="1:15" s="314" customFormat="1">
      <c r="A38" s="469" t="s">
        <v>742</v>
      </c>
      <c r="D38" s="359"/>
      <c r="E38" s="472">
        <f>E36</f>
        <v>166432422403.55243</v>
      </c>
      <c r="F38" s="472">
        <f t="shared" ref="F38:O38" ca="1" si="8">F36</f>
        <v>132541771677.20038</v>
      </c>
      <c r="G38" s="472">
        <f t="shared" ca="1" si="8"/>
        <v>705085708174.04492</v>
      </c>
      <c r="H38" s="472">
        <f t="shared" ca="1" si="8"/>
        <v>729382788634.39758</v>
      </c>
      <c r="I38" s="472">
        <f t="shared" ca="1" si="8"/>
        <v>849243943204.10217</v>
      </c>
      <c r="J38" s="472">
        <f t="shared" ca="1" si="8"/>
        <v>875676470786.1272</v>
      </c>
      <c r="K38" s="472">
        <f t="shared" ca="1" si="8"/>
        <v>-96124694749.915924</v>
      </c>
      <c r="L38" s="472">
        <f t="shared" ca="1" si="8"/>
        <v>-177749546586.94452</v>
      </c>
      <c r="M38" s="472">
        <f t="shared" ca="1" si="8"/>
        <v>668739141463.84778</v>
      </c>
      <c r="N38" s="472">
        <f t="shared" ca="1" si="8"/>
        <v>-31664482004.165009</v>
      </c>
      <c r="O38" s="472">
        <f t="shared" ca="1" si="8"/>
        <v>41083649669.324875</v>
      </c>
    </row>
    <row r="39" spans="1:15" s="314" customFormat="1">
      <c r="A39" s="469" t="s">
        <v>741</v>
      </c>
      <c r="D39" s="359"/>
      <c r="E39" s="472">
        <f t="shared" ref="E39:O39" si="9">E30*Payout_ratio</f>
        <v>161524300000</v>
      </c>
      <c r="F39" s="472">
        <f ca="1">F30*Payout_ratio</f>
        <v>251788574079.85541</v>
      </c>
      <c r="G39" s="472">
        <f t="shared" ca="1" si="9"/>
        <v>499929493172.43726</v>
      </c>
      <c r="H39" s="472">
        <f t="shared" ca="1" si="9"/>
        <v>517371389193.63715</v>
      </c>
      <c r="I39" s="472">
        <f t="shared" ca="1" si="9"/>
        <v>601726209534.32178</v>
      </c>
      <c r="J39" s="472">
        <f ca="1">J30*Payout_ratio</f>
        <v>620698500320.91296</v>
      </c>
      <c r="K39" s="472">
        <f t="shared" ca="1" si="9"/>
        <v>-59073254451.25676</v>
      </c>
      <c r="L39" s="472">
        <f t="shared" ca="1" si="9"/>
        <v>-48414173639.176552</v>
      </c>
      <c r="M39" s="472">
        <f t="shared" ca="1" si="9"/>
        <v>601795606815.70813</v>
      </c>
      <c r="N39" s="472">
        <f t="shared" ca="1" si="9"/>
        <v>-64099336446.88958</v>
      </c>
      <c r="O39" s="472">
        <f t="shared" ca="1" si="9"/>
        <v>60763700649.934509</v>
      </c>
    </row>
    <row r="40" spans="1:15">
      <c r="A40" s="467" t="s">
        <v>860</v>
      </c>
      <c r="C40" s="474">
        <v>188918000000</v>
      </c>
      <c r="D40" s="474">
        <v>217267938400</v>
      </c>
      <c r="E40" s="474">
        <f t="shared" ref="E40:O40" si="10">IF(E38&lt;0,0,IF(E39&gt;E38+D45,MIN(E38,E39),MAX(E38+D45,E39)))</f>
        <v>166432422403.55243</v>
      </c>
      <c r="F40" s="474">
        <f t="shared" ca="1" si="10"/>
        <v>132541771677.20038</v>
      </c>
      <c r="G40" s="474">
        <f t="shared" ca="1" si="10"/>
        <v>705085708174.04492</v>
      </c>
      <c r="H40" s="474">
        <f t="shared" ca="1" si="10"/>
        <v>729382788634.39758</v>
      </c>
      <c r="I40" s="474">
        <f t="shared" ca="1" si="10"/>
        <v>849243943204.10217</v>
      </c>
      <c r="J40" s="474">
        <f t="shared" ca="1" si="10"/>
        <v>875676470786.1272</v>
      </c>
      <c r="K40" s="474">
        <f t="shared" ca="1" si="10"/>
        <v>0</v>
      </c>
      <c r="L40" s="474">
        <f t="shared" ca="1" si="10"/>
        <v>0</v>
      </c>
      <c r="M40" s="474">
        <f t="shared" ca="1" si="10"/>
        <v>601795606815.70813</v>
      </c>
      <c r="N40" s="474">
        <f t="shared" ca="1" si="10"/>
        <v>0</v>
      </c>
      <c r="O40" s="474">
        <f t="shared" ca="1" si="10"/>
        <v>41083649669.324875</v>
      </c>
    </row>
    <row r="41" spans="1:15">
      <c r="D41" s="309"/>
      <c r="E41" s="309"/>
      <c r="F41" s="309"/>
      <c r="G41" s="309"/>
      <c r="H41" s="309"/>
      <c r="I41" s="309"/>
      <c r="J41" s="309"/>
      <c r="K41" s="309"/>
      <c r="L41" s="309"/>
      <c r="M41" s="309"/>
      <c r="N41" s="309"/>
      <c r="O41" s="309"/>
    </row>
    <row r="42" spans="1:15">
      <c r="D42" s="309"/>
      <c r="E42" s="309"/>
      <c r="F42" s="309"/>
      <c r="G42" s="309"/>
      <c r="H42" s="309"/>
      <c r="I42" s="309"/>
      <c r="J42" s="309"/>
      <c r="K42" s="309"/>
      <c r="L42" s="309"/>
      <c r="M42" s="309"/>
      <c r="N42" s="309"/>
      <c r="O42" s="309"/>
    </row>
    <row r="43" spans="1:15">
      <c r="D43" s="309"/>
      <c r="E43" s="309"/>
      <c r="F43" s="309"/>
      <c r="G43" s="309"/>
      <c r="H43" s="309"/>
      <c r="I43" s="309"/>
      <c r="J43" s="309"/>
      <c r="K43" s="309"/>
      <c r="L43" s="309"/>
      <c r="M43" s="309"/>
      <c r="N43" s="309"/>
      <c r="O43" s="309"/>
    </row>
    <row r="44" spans="1:15">
      <c r="A44" s="467" t="s">
        <v>730</v>
      </c>
      <c r="D44" s="309"/>
      <c r="E44" s="475">
        <f>E30-E33-E34-E40</f>
        <v>0</v>
      </c>
      <c r="F44" s="475">
        <f ca="1">F30-F33-F34-F40</f>
        <v>0</v>
      </c>
      <c r="G44" s="475">
        <f t="shared" ref="G44:O44" ca="1" si="11">G30-G33-G34-G40</f>
        <v>0</v>
      </c>
      <c r="H44" s="475">
        <f t="shared" ca="1" si="11"/>
        <v>0</v>
      </c>
      <c r="I44" s="475">
        <f t="shared" ca="1" si="11"/>
        <v>0</v>
      </c>
      <c r="J44" s="475">
        <f t="shared" ca="1" si="11"/>
        <v>0</v>
      </c>
      <c r="K44" s="475">
        <f t="shared" ca="1" si="11"/>
        <v>-96124694749.915924</v>
      </c>
      <c r="L44" s="475">
        <f t="shared" ca="1" si="11"/>
        <v>-81624851837.028564</v>
      </c>
      <c r="M44" s="475">
        <f t="shared" ca="1" si="11"/>
        <v>244693081235.08411</v>
      </c>
      <c r="N44" s="475">
        <f t="shared" ca="1" si="11"/>
        <v>-98608016652.304626</v>
      </c>
      <c r="O44" s="475">
        <f t="shared" ca="1" si="11"/>
        <v>31664482004.165009</v>
      </c>
    </row>
    <row r="45" spans="1:15">
      <c r="A45" s="467" t="s">
        <v>861</v>
      </c>
      <c r="E45" s="475">
        <f t="shared" ref="E45:O45" si="12">D45+E44</f>
        <v>0</v>
      </c>
      <c r="F45" s="475">
        <f t="shared" ca="1" si="12"/>
        <v>0</v>
      </c>
      <c r="G45" s="475">
        <f t="shared" ca="1" si="12"/>
        <v>0</v>
      </c>
      <c r="H45" s="475">
        <f t="shared" ca="1" si="12"/>
        <v>0</v>
      </c>
      <c r="I45" s="475">
        <f t="shared" ca="1" si="12"/>
        <v>0</v>
      </c>
      <c r="J45" s="475">
        <f t="shared" ca="1" si="12"/>
        <v>0</v>
      </c>
      <c r="K45" s="475">
        <f t="shared" ca="1" si="12"/>
        <v>-96124694749.915924</v>
      </c>
      <c r="L45" s="475">
        <f t="shared" ca="1" si="12"/>
        <v>-177749546586.94449</v>
      </c>
      <c r="M45" s="475">
        <f t="shared" ca="1" si="12"/>
        <v>66943534648.139618</v>
      </c>
      <c r="N45" s="475">
        <f t="shared" ca="1" si="12"/>
        <v>-31664482004.165009</v>
      </c>
      <c r="O45" s="475">
        <f t="shared" ca="1" si="12"/>
        <v>0</v>
      </c>
    </row>
    <row r="47" spans="1:15">
      <c r="J47" s="309"/>
    </row>
    <row r="48" spans="1:15">
      <c r="E48" s="309"/>
      <c r="F48" s="309"/>
      <c r="G48" s="309"/>
      <c r="H48" s="309"/>
      <c r="I48" s="309"/>
      <c r="J48" s="309"/>
      <c r="K48" s="309"/>
      <c r="L48" s="309"/>
      <c r="M48" s="309"/>
      <c r="N48" s="309"/>
      <c r="O48" s="309"/>
    </row>
    <row r="49" spans="5:15">
      <c r="E49" s="309"/>
      <c r="F49" s="309"/>
      <c r="G49" s="309"/>
      <c r="H49" s="309"/>
      <c r="I49" s="309"/>
      <c r="J49" s="309"/>
      <c r="K49" s="309"/>
      <c r="L49" s="309"/>
      <c r="M49" s="309"/>
      <c r="N49" s="309"/>
      <c r="O49" s="309"/>
    </row>
    <row r="50" spans="5:15">
      <c r="E50" s="309"/>
      <c r="F50" s="309"/>
      <c r="G50" s="309"/>
      <c r="H50" s="309"/>
      <c r="I50" s="309"/>
      <c r="J50" s="309"/>
      <c r="K50" s="309"/>
      <c r="L50" s="309"/>
      <c r="M50" s="309"/>
      <c r="N50" s="309"/>
      <c r="O50" s="309"/>
    </row>
    <row r="51" spans="5:15">
      <c r="E51" s="309"/>
      <c r="F51" s="309"/>
      <c r="G51" s="309"/>
      <c r="H51" s="309"/>
      <c r="I51" s="309"/>
      <c r="J51" s="309"/>
      <c r="K51" s="309"/>
      <c r="L51" s="309"/>
      <c r="M51" s="309"/>
      <c r="N51" s="309"/>
      <c r="O51" s="309"/>
    </row>
    <row r="52" spans="5:15">
      <c r="E52" s="309"/>
      <c r="F52" s="309"/>
      <c r="G52" s="309"/>
      <c r="H52" s="309"/>
      <c r="I52" s="309"/>
      <c r="J52" s="309"/>
      <c r="K52" s="309"/>
      <c r="L52" s="309"/>
      <c r="M52" s="309"/>
      <c r="N52" s="309"/>
      <c r="O52" s="309"/>
    </row>
    <row r="53" spans="5:15">
      <c r="E53" s="309"/>
      <c r="F53" s="309"/>
      <c r="G53" s="309"/>
      <c r="H53" s="309"/>
      <c r="I53" s="309"/>
      <c r="J53" s="309"/>
      <c r="K53" s="309"/>
      <c r="L53" s="309"/>
      <c r="M53" s="309"/>
      <c r="N53" s="309"/>
      <c r="O53" s="309"/>
    </row>
    <row r="55" spans="5:15">
      <c r="E55" s="309"/>
      <c r="F55" s="309"/>
      <c r="G55" s="309"/>
      <c r="H55" s="309"/>
      <c r="I55" s="309"/>
      <c r="J55" s="309"/>
      <c r="K55" s="309"/>
      <c r="L55" s="309"/>
      <c r="M55" s="309"/>
      <c r="N55" s="309"/>
      <c r="O55" s="309"/>
    </row>
    <row r="56" spans="5:15">
      <c r="E56" s="320"/>
      <c r="F56" s="320"/>
      <c r="G56" s="320"/>
      <c r="H56" s="320"/>
      <c r="I56" s="320"/>
      <c r="J56" s="320"/>
      <c r="K56" s="320"/>
      <c r="L56" s="320"/>
      <c r="M56" s="320"/>
      <c r="N56" s="320"/>
      <c r="O56" s="320"/>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8"/>
  <dimension ref="A2:O77"/>
  <sheetViews>
    <sheetView showGridLines="0" topLeftCell="H46" workbookViewId="0">
      <selection activeCell="L71" sqref="L71"/>
    </sheetView>
  </sheetViews>
  <sheetFormatPr baseColWidth="10" defaultColWidth="5" defaultRowHeight="15.75"/>
  <cols>
    <col min="1" max="1" width="32.7109375" style="302" bestFit="1" customWidth="1"/>
    <col min="2" max="2" width="20" style="302" bestFit="1" customWidth="1"/>
    <col min="3" max="3" width="22.7109375" style="302" bestFit="1" customWidth="1"/>
    <col min="4" max="15" width="20.7109375" style="302" customWidth="1"/>
    <col min="16" max="16384" width="5" style="302"/>
  </cols>
  <sheetData>
    <row r="2" spans="1:15" ht="21">
      <c r="A2" s="300" t="str">
        <f>Nombre_Empresa</f>
        <v>ISAGEN</v>
      </c>
      <c r="B2" s="412"/>
      <c r="D2" s="309"/>
    </row>
    <row r="3" spans="1:15">
      <c r="B3" s="303"/>
      <c r="C3" s="303"/>
      <c r="D3" s="303"/>
      <c r="E3" s="303"/>
      <c r="F3" s="303"/>
      <c r="G3" s="303"/>
      <c r="H3" s="303"/>
      <c r="I3" s="303"/>
      <c r="J3" s="303"/>
      <c r="K3" s="303"/>
      <c r="L3" s="303"/>
      <c r="M3" s="303"/>
      <c r="N3" s="303"/>
      <c r="O3" s="303"/>
    </row>
    <row r="4" spans="1:15" ht="16.5" thickBot="1">
      <c r="A4" s="304" t="s">
        <v>743</v>
      </c>
      <c r="B4" s="353"/>
      <c r="C4" s="345">
        <f>'Datos Generales'!D21</f>
        <v>2013</v>
      </c>
      <c r="D4" s="322">
        <f>'Datos Generales'!E21</f>
        <v>41820</v>
      </c>
      <c r="E4" s="305">
        <f>YEAR('Datos Generales'!F21)</f>
        <v>2014</v>
      </c>
      <c r="F4" s="305">
        <f>'Datos Generales'!G21</f>
        <v>2015</v>
      </c>
      <c r="G4" s="305">
        <f>'Datos Generales'!H21</f>
        <v>2016</v>
      </c>
      <c r="H4" s="305">
        <f>'Datos Generales'!I21</f>
        <v>2017</v>
      </c>
      <c r="I4" s="305">
        <f>'Datos Generales'!J21</f>
        <v>2018</v>
      </c>
      <c r="J4" s="305">
        <f>'Datos Generales'!K21</f>
        <v>2019</v>
      </c>
      <c r="K4" s="305">
        <f>'Datos Generales'!L21</f>
        <v>2020</v>
      </c>
      <c r="L4" s="305">
        <f>'Datos Generales'!M21</f>
        <v>2021</v>
      </c>
      <c r="M4" s="305">
        <f>'Datos Generales'!N21</f>
        <v>2022</v>
      </c>
      <c r="N4" s="305">
        <f>'Datos Generales'!O21</f>
        <v>2023</v>
      </c>
      <c r="O4" s="305">
        <f>'Datos Generales'!P21</f>
        <v>2024</v>
      </c>
    </row>
    <row r="5" spans="1:15" ht="16.5" thickTop="1">
      <c r="C5" s="413"/>
      <c r="D5" s="413"/>
      <c r="E5" s="413"/>
      <c r="F5" s="413"/>
      <c r="G5" s="413"/>
      <c r="H5" s="413"/>
      <c r="I5" s="413"/>
      <c r="J5" s="413"/>
      <c r="K5" s="413"/>
      <c r="L5" s="413"/>
      <c r="M5" s="413"/>
      <c r="N5" s="413"/>
      <c r="O5" s="413"/>
    </row>
    <row r="6" spans="1:15">
      <c r="A6" s="306" t="s">
        <v>744</v>
      </c>
      <c r="B6" s="306"/>
    </row>
    <row r="7" spans="1:15" s="314" customFormat="1">
      <c r="A7" s="314" t="s">
        <v>745</v>
      </c>
      <c r="B7" s="359"/>
      <c r="C7" s="359">
        <f>'Flujo de efectivo'!C31</f>
        <v>49772090410.958862</v>
      </c>
      <c r="D7" s="359">
        <f>'Flujo de efectivo'!D31</f>
        <v>32358953380.273968</v>
      </c>
      <c r="E7" s="359">
        <f>'Flujo de efectivo'!E31</f>
        <v>32685192411.073578</v>
      </c>
      <c r="F7" s="359">
        <f ca="1">'Flujo de efectivo'!F31</f>
        <v>48523969516.725891</v>
      </c>
      <c r="G7" s="359">
        <f ca="1">'Flujo de efectivo'!G31</f>
        <v>64402193972.475998</v>
      </c>
      <c r="H7" s="359">
        <f ca="1">'Flujo de efectivo'!H31</f>
        <v>62151436043.423729</v>
      </c>
      <c r="I7" s="359">
        <f ca="1">'Flujo de efectivo'!I31</f>
        <v>69899527982.912827</v>
      </c>
      <c r="J7" s="359">
        <f ca="1">'Flujo de efectivo'!J31</f>
        <v>68439882053.314064</v>
      </c>
      <c r="K7" s="359">
        <f ca="1">'Flujo de efectivo'!K31</f>
        <v>51321771227.392532</v>
      </c>
      <c r="L7" s="359">
        <f ca="1">'Flujo de efectivo'!L31</f>
        <v>54669582368.389702</v>
      </c>
      <c r="M7" s="359">
        <f ca="1">'Flujo de efectivo'!M31</f>
        <v>56647965825.276024</v>
      </c>
      <c r="N7" s="359">
        <f ca="1">'Flujo de efectivo'!N31</f>
        <v>58062058935.702377</v>
      </c>
      <c r="O7" s="359">
        <f ca="1">'Flujo de efectivo'!O31</f>
        <v>58108344458.406044</v>
      </c>
    </row>
    <row r="8" spans="1:15" s="314" customFormat="1">
      <c r="A8" s="314" t="s">
        <v>746</v>
      </c>
      <c r="B8" s="359"/>
      <c r="C8" s="359">
        <f>'Flujo de efectivo'!C34-'Flujo de efectivo'!C33</f>
        <v>200230909589.04309</v>
      </c>
      <c r="D8" s="359">
        <f>'Flujo de efectivo'!D34-'Flujo de efectivo'!D33</f>
        <v>495589046619.72821</v>
      </c>
      <c r="E8" s="359">
        <f>'Flujo de efectivo'!E34-'Flujo de efectivo'!E33</f>
        <v>446919582214.96912</v>
      </c>
      <c r="F8" s="359">
        <f ca="1">'Flujo de efectivo'!F34-'Flujo de efectivo'!F33</f>
        <v>999365274367.69678</v>
      </c>
      <c r="G8" s="359">
        <f ca="1">'Flujo de efectivo'!G34-'Flujo de efectivo'!G33</f>
        <v>685605552596.98474</v>
      </c>
      <c r="H8" s="359">
        <f ca="1">'Flujo de efectivo'!H34-'Flujo de efectivo'!H33</f>
        <v>768597987901.56628</v>
      </c>
      <c r="I8" s="359">
        <f ca="1">'Flujo de efectivo'!I34-'Flujo de efectivo'!I33</f>
        <v>619060955522.19531</v>
      </c>
      <c r="J8" s="359">
        <f ca="1">'Flujo de efectivo'!J34-'Flujo de efectivo'!J33</f>
        <v>-3.4332275390625E-4</v>
      </c>
      <c r="K8" s="359">
        <f ca="1">'Flujo de efectivo'!K34-'Flujo de efectivo'!K33</f>
        <v>2.899169921875E-4</v>
      </c>
      <c r="L8" s="359">
        <f ca="1">'Flujo de efectivo'!L34-'Flujo de efectivo'!L33</f>
        <v>46631443265.930367</v>
      </c>
      <c r="M8" s="359">
        <f ca="1">'Flujo de efectivo'!M34-'Flujo de efectivo'!M33</f>
        <v>9.918212890625E-5</v>
      </c>
      <c r="N8" s="359">
        <f ca="1">'Flujo de efectivo'!N34-'Flujo de efectivo'!N33</f>
        <v>-4.730224609375E-4</v>
      </c>
      <c r="O8" s="359">
        <f ca="1">'Flujo de efectivo'!O34-'Flujo de efectivo'!O33</f>
        <v>543440379528.62103</v>
      </c>
    </row>
    <row r="9" spans="1:15" s="314" customFormat="1">
      <c r="A9" s="408" t="s">
        <v>781</v>
      </c>
      <c r="B9" s="359"/>
      <c r="C9" s="359">
        <v>262328000000</v>
      </c>
      <c r="D9" s="359">
        <v>224748301370</v>
      </c>
      <c r="E9" s="359">
        <f>'P&amp;G'!E7*Mes_año/'Operacion Comercial'!E4*Dias_CxC/Dias_año</f>
        <v>194935062740.13501</v>
      </c>
      <c r="F9" s="359">
        <f>'P&amp;G'!F7*Mes_año/'Operacion Comercial'!F4*Dias_CxC/Dias_año</f>
        <v>257353534446.59512</v>
      </c>
      <c r="G9" s="359">
        <f>'P&amp;G'!G7*Mes_año/'Operacion Comercial'!G4*Dias_CxC/Dias_año</f>
        <v>246998157002.33914</v>
      </c>
      <c r="H9" s="359">
        <f>'P&amp;G'!H7*Mes_año/'Operacion Comercial'!H4*Dias_CxC/Dias_año</f>
        <v>272033339495.80176</v>
      </c>
      <c r="I9" s="359">
        <f>'P&amp;G'!I7*Mes_año/'Operacion Comercial'!I4*Dias_CxC/Dias_año</f>
        <v>286267850761.07599</v>
      </c>
      <c r="J9" s="359">
        <f>'P&amp;G'!J7*Mes_año/'Operacion Comercial'!J4*Dias_CxC/Dias_año</f>
        <v>149287947341.77167</v>
      </c>
      <c r="K9" s="359">
        <f>'P&amp;G'!K7*Mes_año/'Operacion Comercial'!K4*Dias_CxC/Dias_año</f>
        <v>153882494357.64948</v>
      </c>
      <c r="L9" s="359">
        <f>'P&amp;G'!L7*Mes_año/'Operacion Comercial'!L4*Dias_CxC/Dias_año</f>
        <v>242828136142.82199</v>
      </c>
      <c r="M9" s="359">
        <f>'P&amp;G'!M7*Mes_año/'Operacion Comercial'!M4*Dias_CxC/Dias_año</f>
        <v>151233312973.61057</v>
      </c>
      <c r="N9" s="359">
        <f>'P&amp;G'!N7*Mes_año/'Operacion Comercial'!N4*Dias_CxC/Dias_año</f>
        <v>172764112442.51682</v>
      </c>
      <c r="O9" s="359">
        <f>'P&amp;G'!O7*Mes_año/'Operacion Comercial'!O4*Dias_CxC/Dias_año</f>
        <v>299424947643.27716</v>
      </c>
    </row>
    <row r="10" spans="1:15" s="314" customFormat="1">
      <c r="A10" s="408" t="s">
        <v>719</v>
      </c>
      <c r="B10" s="359"/>
      <c r="C10" s="359">
        <v>-1976000000</v>
      </c>
      <c r="D10" s="359">
        <v>0</v>
      </c>
      <c r="E10" s="359">
        <v>0</v>
      </c>
      <c r="F10" s="359">
        <v>0</v>
      </c>
      <c r="G10" s="359">
        <v>0</v>
      </c>
      <c r="H10" s="359">
        <v>0</v>
      </c>
      <c r="I10" s="359">
        <v>0</v>
      </c>
      <c r="J10" s="359">
        <v>0</v>
      </c>
      <c r="K10" s="359">
        <v>0</v>
      </c>
      <c r="L10" s="359">
        <v>0</v>
      </c>
      <c r="M10" s="359">
        <v>0</v>
      </c>
      <c r="N10" s="359">
        <v>0</v>
      </c>
      <c r="O10" s="359">
        <v>0</v>
      </c>
    </row>
    <row r="11" spans="1:15" s="314" customFormat="1">
      <c r="A11" s="408" t="s">
        <v>747</v>
      </c>
      <c r="B11" s="359"/>
      <c r="C11" s="359">
        <v>89434000000</v>
      </c>
      <c r="D11" s="359">
        <v>93216000000</v>
      </c>
      <c r="E11" s="359">
        <f>('Activos fijos'!E17+'Otros Costos y Gastos'!E8)*Mes_año/'Activos fijos'!E5*Inventario_minimo</f>
        <v>64605332212.655693</v>
      </c>
      <c r="F11" s="359">
        <f>('Activos fijos'!F17+'Otros Costos y Gastos'!F8)*Mes_año/'Activos fijos'!F5*Inventario_minimo</f>
        <v>85899837099.989059</v>
      </c>
      <c r="G11" s="359">
        <f>('Activos fijos'!G17+'Otros Costos y Gastos'!G8)*Mes_año/'Activos fijos'!G5*Inventario_minimo</f>
        <v>86003242235.447479</v>
      </c>
      <c r="H11" s="359">
        <f>('Activos fijos'!H17+'Otros Costos y Gastos'!H8)*Mes_año/'Activos fijos'!H5*Inventario_minimo</f>
        <v>90018187923.994324</v>
      </c>
      <c r="I11" s="359">
        <f>('Activos fijos'!I17+'Otros Costos y Gastos'!I8)*Mes_año/'Activos fijos'!I5*Inventario_minimo</f>
        <v>95972484868.060013</v>
      </c>
      <c r="J11" s="359">
        <f>('Activos fijos'!J17+'Otros Costos y Gastos'!J8)*Mes_año/'Activos fijos'!J5*Inventario_minimo</f>
        <v>98108545943.566711</v>
      </c>
      <c r="K11" s="359">
        <f>('Activos fijos'!K17+'Otros Costos y Gastos'!K8)*Mes_año/'Activos fijos'!K5*Inventario_minimo</f>
        <v>100748393937.3166</v>
      </c>
      <c r="L11" s="359">
        <f>('Activos fijos'!L17+'Otros Costos y Gastos'!L8)*Mes_año/'Activos fijos'!L5*Inventario_minimo</f>
        <v>104688036910.46893</v>
      </c>
      <c r="M11" s="359">
        <f>('Activos fijos'!M17+'Otros Costos y Gastos'!M8)*Mes_año/'Activos fijos'!M5*Inventario_minimo</f>
        <v>110470166780.10529</v>
      </c>
      <c r="N11" s="359">
        <f>('Activos fijos'!N17+'Otros Costos y Gastos'!N8)*Mes_año/'Activos fijos'!N5*Inventario_minimo</f>
        <v>114174588869.36377</v>
      </c>
      <c r="O11" s="359">
        <f>('Activos fijos'!O17+'Otros Costos y Gastos'!O8)*Mes_año/'Activos fijos'!O5*Inventario_minimo</f>
        <v>116512377278.05132</v>
      </c>
    </row>
    <row r="12" spans="1:15" s="314" customFormat="1">
      <c r="A12" s="408" t="s">
        <v>748</v>
      </c>
      <c r="B12" s="359"/>
      <c r="C12" s="359">
        <v>11186000000</v>
      </c>
      <c r="D12" s="359">
        <f>-Renta!D69-CREE!D71</f>
        <v>80328749999.999969</v>
      </c>
      <c r="E12" s="359">
        <f>-Renta!E69-CREE!E71</f>
        <v>43487291249.999992</v>
      </c>
      <c r="F12" s="359">
        <f ca="1">-Renta!F69-CREE!F71</f>
        <v>70819812718.042114</v>
      </c>
      <c r="G12" s="359">
        <f ca="1">-Renta!G69-CREE!G71</f>
        <v>287947752262.26935</v>
      </c>
      <c r="H12" s="359">
        <f ca="1">-Renta!H69-CREE!H71</f>
        <v>314042100128.51819</v>
      </c>
      <c r="I12" s="359">
        <f ca="1">-Renta!I69-CREE!I71</f>
        <v>408042601303.46387</v>
      </c>
      <c r="J12" s="359">
        <f ca="1">-Renta!J69-CREE!J71</f>
        <v>441513349046.75641</v>
      </c>
      <c r="K12" s="359">
        <f ca="1">-Renta!K69-CREE!K71</f>
        <v>3776332215.0742121</v>
      </c>
      <c r="L12" s="359">
        <f ca="1">-Renta!L69-CREE!L71</f>
        <v>1471868506.5499818</v>
      </c>
      <c r="M12" s="359">
        <f ca="1">-Renta!M69-CREE!M71</f>
        <v>121548628742.42451</v>
      </c>
      <c r="N12" s="359">
        <f ca="1">-Renta!N69-CREE!N71</f>
        <v>2345918651.5204549</v>
      </c>
      <c r="O12" s="359">
        <f ca="1">-Renta!O69-CREE!O71</f>
        <v>575206970.27488256</v>
      </c>
    </row>
    <row r="13" spans="1:15" s="314" customFormat="1">
      <c r="A13" s="408" t="s">
        <v>766</v>
      </c>
      <c r="B13" s="359"/>
      <c r="C13" s="359">
        <v>4191000000</v>
      </c>
      <c r="D13" s="359">
        <v>100277000000</v>
      </c>
      <c r="E13" s="359">
        <f>'Proyecto Sogamoso'!I12*M*Dias_CxP/Dias_año</f>
        <v>46504135268.281029</v>
      </c>
      <c r="F13" s="359">
        <f>'Proyecto Sogamoso'!J12*M*Dias_CxP/Dias_año</f>
        <v>0</v>
      </c>
      <c r="G13" s="359">
        <f>'Proyecto Sogamoso'!K12*M*Dias_CxP/Dias_año</f>
        <v>0</v>
      </c>
      <c r="H13" s="359">
        <f>'Proyecto Sogamoso'!L12*M*Dias_CxP/Dias_año</f>
        <v>0</v>
      </c>
      <c r="I13" s="359">
        <f>'Proyecto Sogamoso'!M12*M*Dias_CxP/Dias_año</f>
        <v>0</v>
      </c>
      <c r="J13" s="359">
        <f>'Proyecto Sogamoso'!N12*M*Dias_CxP/Dias_año</f>
        <v>0</v>
      </c>
      <c r="K13" s="359">
        <f>'Proyecto Sogamoso'!O12*M*Dias_CxP/Dias_año</f>
        <v>0</v>
      </c>
      <c r="L13" s="359">
        <f>'Proyecto Sogamoso'!P12*M*Dias_CxP/Dias_año</f>
        <v>0</v>
      </c>
      <c r="M13" s="359">
        <f>'Proyecto Sogamoso'!Q12*M*Dias_CxP/Dias_año</f>
        <v>0</v>
      </c>
      <c r="N13" s="359">
        <f>'Proyecto Sogamoso'!R12*M*Dias_CxP/Dias_año</f>
        <v>0</v>
      </c>
      <c r="O13" s="359">
        <f>'Proyecto Sogamoso'!S12*M*Dias_CxP/Dias_año</f>
        <v>0</v>
      </c>
    </row>
    <row r="14" spans="1:15" s="314" customFormat="1">
      <c r="A14" s="408" t="s">
        <v>782</v>
      </c>
      <c r="B14" s="359"/>
      <c r="C14" s="359">
        <v>21113000000</v>
      </c>
      <c r="D14" s="359">
        <v>13151000000</v>
      </c>
      <c r="E14" s="359">
        <f>D14-Amortizaciones!E7</f>
        <v>0</v>
      </c>
      <c r="F14" s="359">
        <f>E14-Amortizaciones!F7</f>
        <v>0</v>
      </c>
      <c r="G14" s="359">
        <f>F14-Amortizaciones!G7</f>
        <v>0</v>
      </c>
      <c r="H14" s="359">
        <f>G14-Amortizaciones!H7</f>
        <v>0</v>
      </c>
      <c r="I14" s="359">
        <f>H14-Amortizaciones!I7</f>
        <v>0</v>
      </c>
      <c r="J14" s="359">
        <f>I14-Amortizaciones!J7</f>
        <v>0</v>
      </c>
      <c r="K14" s="359">
        <f>J14-Amortizaciones!K7</f>
        <v>0</v>
      </c>
      <c r="L14" s="359">
        <f>K14-Amortizaciones!L7</f>
        <v>0</v>
      </c>
      <c r="M14" s="359">
        <f>L14-Amortizaciones!M7</f>
        <v>0</v>
      </c>
      <c r="N14" s="359">
        <f>M14-Amortizaciones!N7</f>
        <v>0</v>
      </c>
      <c r="O14" s="359">
        <f>N14-Amortizaciones!O7</f>
        <v>0</v>
      </c>
    </row>
    <row r="15" spans="1:15" s="314" customFormat="1">
      <c r="A15" s="408" t="s">
        <v>767</v>
      </c>
      <c r="B15" s="359"/>
      <c r="C15" s="359">
        <f>6287000000+189000000+31502000000-21113000000</f>
        <v>16865000000</v>
      </c>
      <c r="D15" s="359">
        <v>4374948630</v>
      </c>
      <c r="E15" s="359">
        <f>D15</f>
        <v>4374948630</v>
      </c>
      <c r="F15" s="359">
        <f t="shared" ref="F15:O15" si="0">E15</f>
        <v>4374948630</v>
      </c>
      <c r="G15" s="359">
        <f t="shared" si="0"/>
        <v>4374948630</v>
      </c>
      <c r="H15" s="359">
        <f t="shared" si="0"/>
        <v>4374948630</v>
      </c>
      <c r="I15" s="359">
        <f t="shared" si="0"/>
        <v>4374948630</v>
      </c>
      <c r="J15" s="359">
        <f t="shared" si="0"/>
        <v>4374948630</v>
      </c>
      <c r="K15" s="359">
        <f t="shared" si="0"/>
        <v>4374948630</v>
      </c>
      <c r="L15" s="359">
        <f t="shared" si="0"/>
        <v>4374948630</v>
      </c>
      <c r="M15" s="359">
        <f t="shared" si="0"/>
        <v>4374948630</v>
      </c>
      <c r="N15" s="359">
        <f t="shared" si="0"/>
        <v>4374948630</v>
      </c>
      <c r="O15" s="359">
        <f t="shared" si="0"/>
        <v>4374948630</v>
      </c>
    </row>
    <row r="16" spans="1:15" ht="16.5" thickBot="1">
      <c r="A16" s="366" t="s">
        <v>749</v>
      </c>
      <c r="B16" s="367"/>
      <c r="C16" s="437">
        <f>SUM(C7:C15)</f>
        <v>653144000000.00195</v>
      </c>
      <c r="D16" s="437">
        <f>SUM(D7:D15)</f>
        <v>1044044000000.0022</v>
      </c>
      <c r="E16" s="367">
        <f t="shared" ref="E16:O16" si="1">SUM(E7:E15)</f>
        <v>833511544727.11438</v>
      </c>
      <c r="F16" s="367">
        <f t="shared" ca="1" si="1"/>
        <v>1466337376779.0488</v>
      </c>
      <c r="G16" s="367">
        <f t="shared" ca="1" si="1"/>
        <v>1375331846699.5166</v>
      </c>
      <c r="H16" s="367">
        <f t="shared" ca="1" si="1"/>
        <v>1511218000123.3042</v>
      </c>
      <c r="I16" s="367">
        <f t="shared" ca="1" si="1"/>
        <v>1483618369067.708</v>
      </c>
      <c r="J16" s="367">
        <f t="shared" ca="1" si="1"/>
        <v>761724673015.40845</v>
      </c>
      <c r="K16" s="367">
        <f t="shared" ca="1" si="1"/>
        <v>314103940367.43311</v>
      </c>
      <c r="L16" s="367">
        <f t="shared" ca="1" si="1"/>
        <v>454664015824.16101</v>
      </c>
      <c r="M16" s="367">
        <f t="shared" ca="1" si="1"/>
        <v>444275022951.41644</v>
      </c>
      <c r="N16" s="367">
        <f t="shared" ca="1" si="1"/>
        <v>351721627529.10297</v>
      </c>
      <c r="O16" s="367">
        <f t="shared" ca="1" si="1"/>
        <v>1022436204508.6304</v>
      </c>
    </row>
    <row r="17" spans="1:15" ht="16.5" thickTop="1">
      <c r="C17" s="309"/>
      <c r="D17" s="309"/>
    </row>
    <row r="18" spans="1:15">
      <c r="A18" s="391" t="s">
        <v>750</v>
      </c>
      <c r="B18" s="391"/>
      <c r="C18" s="309"/>
      <c r="D18" s="309"/>
    </row>
    <row r="19" spans="1:15">
      <c r="A19" s="314" t="s">
        <v>770</v>
      </c>
      <c r="B19" s="391"/>
      <c r="C19" s="359">
        <f>'Activos fijos'!C15</f>
        <v>3194321000000</v>
      </c>
      <c r="D19" s="359">
        <f>'Activos fijos'!D15</f>
        <v>3669214000000</v>
      </c>
      <c r="E19" s="359">
        <f>'Activos fijos'!E15</f>
        <v>4351014956561.5186</v>
      </c>
      <c r="F19" s="359">
        <f>'Activos fijos'!F15</f>
        <v>0</v>
      </c>
      <c r="G19" s="359">
        <f>'Activos fijos'!G15</f>
        <v>0</v>
      </c>
      <c r="H19" s="359">
        <f>'Activos fijos'!H15</f>
        <v>0</v>
      </c>
      <c r="I19" s="359">
        <f>'Activos fijos'!I15</f>
        <v>0</v>
      </c>
      <c r="J19" s="359">
        <f>'Activos fijos'!J15</f>
        <v>0</v>
      </c>
      <c r="K19" s="359">
        <f>'Activos fijos'!K15</f>
        <v>0</v>
      </c>
      <c r="L19" s="359">
        <f>'Activos fijos'!L15</f>
        <v>0</v>
      </c>
      <c r="M19" s="359">
        <f>'Activos fijos'!M15</f>
        <v>0</v>
      </c>
      <c r="N19" s="359">
        <f>'Activos fijos'!N15</f>
        <v>0</v>
      </c>
      <c r="O19" s="359">
        <f>'Activos fijos'!O15</f>
        <v>0</v>
      </c>
    </row>
    <row r="20" spans="1:15" s="314" customFormat="1">
      <c r="A20" s="314" t="s">
        <v>769</v>
      </c>
      <c r="B20" s="359"/>
      <c r="C20" s="359">
        <f>'Activos fijos'!C90</f>
        <v>4507724000000</v>
      </c>
      <c r="D20" s="359">
        <f>'Activos fijos'!D90</f>
        <v>4507724000000</v>
      </c>
      <c r="E20" s="359">
        <f>'Activos fijos'!E90</f>
        <v>4518271439594.0049</v>
      </c>
      <c r="F20" s="359">
        <f>'Activos fijos'!F90</f>
        <v>8900833892168.4805</v>
      </c>
      <c r="G20" s="359">
        <f>'Activos fijos'!G90</f>
        <v>8934407530880.0703</v>
      </c>
      <c r="H20" s="359">
        <f>'Activos fijos'!H90</f>
        <v>8969831179774.2129</v>
      </c>
      <c r="I20" s="359">
        <f>'Activos fijos'!I90</f>
        <v>9006730130132.6855</v>
      </c>
      <c r="J20" s="359">
        <f>'Activos fijos'!J90</f>
        <v>9045058414146.8672</v>
      </c>
      <c r="K20" s="359">
        <f>'Activos fijos'!K90</f>
        <v>9084981769498.7402</v>
      </c>
      <c r="L20" s="359">
        <f>'Activos fijos'!L90</f>
        <v>9126548363217.8418</v>
      </c>
      <c r="M20" s="359">
        <f>'Activos fijos'!M90</f>
        <v>9169838365945.2031</v>
      </c>
      <c r="N20" s="359">
        <f>'Activos fijos'!N90</f>
        <v>9214921470399.9023</v>
      </c>
      <c r="O20" s="359">
        <f>'Activos fijos'!O90</f>
        <v>9261868639278.918</v>
      </c>
    </row>
    <row r="21" spans="1:15" s="314" customFormat="1">
      <c r="A21" s="314" t="s">
        <v>597</v>
      </c>
      <c r="B21" s="359"/>
      <c r="C21" s="359">
        <f>'Activos fijos'!C88+'Activos fijos'!C89</f>
        <v>-1863504000000</v>
      </c>
      <c r="D21" s="359">
        <f>'Activos fijos'!D88+'Activos fijos'!D89</f>
        <v>-1919459000000</v>
      </c>
      <c r="E21" s="359">
        <f>'Activos fijos'!E88+'Activos fijos'!E89</f>
        <v>-1975243717994.925</v>
      </c>
      <c r="F21" s="359">
        <f>'Activos fijos'!F88+'Activos fijos'!F89</f>
        <v>-2190267540299.137</v>
      </c>
      <c r="G21" s="359">
        <f>'Activos fijos'!G88+'Activos fijos'!G89</f>
        <v>-2406130703571.1387</v>
      </c>
      <c r="H21" s="359">
        <f>'Activos fijos'!H88+'Activos fijos'!H89</f>
        <v>-2622879458065.4941</v>
      </c>
      <c r="I21" s="359">
        <f>'Activos fijos'!I88+'Activos fijos'!I89</f>
        <v>-2840550686318.811</v>
      </c>
      <c r="J21" s="359">
        <f>'Activos fijos'!J88+'Activos fijos'!J89</f>
        <v>-3059180121672.4824</v>
      </c>
      <c r="K21" s="359">
        <f>'Activos fijos'!K88+'Activos fijos'!K89</f>
        <v>-3278807640909.9507</v>
      </c>
      <c r="L21" s="359">
        <f>'Activos fijos'!L88+'Activos fijos'!L89</f>
        <v>-3499474324990.3965</v>
      </c>
      <c r="M21" s="359">
        <f>'Activos fijos'!M88+'Activos fijos'!M89</f>
        <v>-3721223259139.0264</v>
      </c>
      <c r="N21" s="359">
        <f>'Activos fijos'!N88+'Activos fijos'!N89</f>
        <v>-3944099270899.0239</v>
      </c>
      <c r="O21" s="359">
        <f>'Activos fijos'!O88+'Activos fijos'!O89</f>
        <v>-4168148961880.9966</v>
      </c>
    </row>
    <row r="22" spans="1:15" s="314" customFormat="1">
      <c r="A22" s="314" t="s">
        <v>751</v>
      </c>
      <c r="B22" s="359"/>
      <c r="C22" s="359">
        <f>SUM(C19:C21)</f>
        <v>5838541000000</v>
      </c>
      <c r="D22" s="359">
        <f>SUM(D19:D21)</f>
        <v>6257479000000</v>
      </c>
      <c r="E22" s="359">
        <f t="shared" ref="E22:O22" si="2">SUM(E19:E21)</f>
        <v>6894042678160.5986</v>
      </c>
      <c r="F22" s="359">
        <f t="shared" si="2"/>
        <v>6710566351869.3437</v>
      </c>
      <c r="G22" s="359">
        <f t="shared" si="2"/>
        <v>6528276827308.9316</v>
      </c>
      <c r="H22" s="359">
        <f t="shared" si="2"/>
        <v>6346951721708.7187</v>
      </c>
      <c r="I22" s="359">
        <f t="shared" si="2"/>
        <v>6166179443813.875</v>
      </c>
      <c r="J22" s="359">
        <f t="shared" si="2"/>
        <v>5985878292474.3848</v>
      </c>
      <c r="K22" s="359">
        <f t="shared" si="2"/>
        <v>5806174128588.7891</v>
      </c>
      <c r="L22" s="359">
        <f t="shared" si="2"/>
        <v>5627074038227.4453</v>
      </c>
      <c r="M22" s="359">
        <f t="shared" si="2"/>
        <v>5448615106806.1768</v>
      </c>
      <c r="N22" s="359">
        <f t="shared" si="2"/>
        <v>5270822199500.8789</v>
      </c>
      <c r="O22" s="359">
        <f t="shared" si="2"/>
        <v>5093719677397.9219</v>
      </c>
    </row>
    <row r="23" spans="1:15" s="314" customFormat="1">
      <c r="B23" s="359"/>
      <c r="C23" s="359"/>
      <c r="D23" s="359"/>
      <c r="E23" s="359"/>
      <c r="F23" s="359"/>
      <c r="G23" s="359"/>
      <c r="H23" s="359"/>
      <c r="I23" s="359"/>
      <c r="J23" s="359"/>
      <c r="K23" s="359"/>
      <c r="L23" s="359"/>
      <c r="M23" s="359"/>
      <c r="N23" s="359"/>
      <c r="O23" s="359"/>
    </row>
    <row r="24" spans="1:15" s="314" customFormat="1">
      <c r="A24" s="314" t="s">
        <v>766</v>
      </c>
      <c r="B24" s="359"/>
      <c r="C24" s="359">
        <v>53805000000</v>
      </c>
      <c r="D24" s="359">
        <v>39772000000</v>
      </c>
      <c r="E24" s="359">
        <v>0</v>
      </c>
      <c r="F24" s="359">
        <v>0</v>
      </c>
      <c r="G24" s="359">
        <v>0</v>
      </c>
      <c r="H24" s="359">
        <v>0</v>
      </c>
      <c r="I24" s="359">
        <v>0</v>
      </c>
      <c r="J24" s="359">
        <v>0</v>
      </c>
      <c r="K24" s="359">
        <v>0</v>
      </c>
      <c r="L24" s="359">
        <v>0</v>
      </c>
      <c r="M24" s="359">
        <v>0</v>
      </c>
      <c r="N24" s="359">
        <v>0</v>
      </c>
      <c r="O24" s="359">
        <v>0</v>
      </c>
    </row>
    <row r="25" spans="1:15" s="314" customFormat="1">
      <c r="A25" s="314" t="s">
        <v>783</v>
      </c>
      <c r="B25" s="359"/>
      <c r="C25" s="359">
        <v>33978000000</v>
      </c>
      <c r="D25" s="359">
        <v>31603000000</v>
      </c>
      <c r="E25" s="359">
        <f>D25-Amortizaciones!E13</f>
        <v>27125210526</v>
      </c>
      <c r="F25" s="359">
        <f>E25-Amortizaciones!F13</f>
        <v>25501421052</v>
      </c>
      <c r="G25" s="359">
        <f>F25-Amortizaciones!G13</f>
        <v>23877631578</v>
      </c>
      <c r="H25" s="359">
        <f>G25-Amortizaciones!H13</f>
        <v>22253842104</v>
      </c>
      <c r="I25" s="359">
        <f>H25-Amortizaciones!I13</f>
        <v>20630052630</v>
      </c>
      <c r="J25" s="359">
        <f>I25-Amortizaciones!J13</f>
        <v>19006263156</v>
      </c>
      <c r="K25" s="359">
        <f>J25-Amortizaciones!K13</f>
        <v>17382473682</v>
      </c>
      <c r="L25" s="359">
        <f>K25-Amortizaciones!L13</f>
        <v>15758684208</v>
      </c>
      <c r="M25" s="359">
        <f>L25-Amortizaciones!M13</f>
        <v>14134894734</v>
      </c>
      <c r="N25" s="359">
        <f>M25-Amortizaciones!N13</f>
        <v>12511105260</v>
      </c>
      <c r="O25" s="359">
        <f>N25-Amortizaciones!O13</f>
        <v>10887315786</v>
      </c>
    </row>
    <row r="26" spans="1:15" s="314" customFormat="1">
      <c r="A26" s="314" t="s">
        <v>784</v>
      </c>
      <c r="B26" s="359"/>
      <c r="C26" s="359">
        <v>76103000000</v>
      </c>
      <c r="D26" s="359">
        <v>76821000000</v>
      </c>
      <c r="E26" s="359">
        <f>D26</f>
        <v>76821000000</v>
      </c>
      <c r="F26" s="359">
        <f t="shared" ref="F26:O26" si="3">E26</f>
        <v>76821000000</v>
      </c>
      <c r="G26" s="359">
        <f t="shared" si="3"/>
        <v>76821000000</v>
      </c>
      <c r="H26" s="359">
        <f t="shared" si="3"/>
        <v>76821000000</v>
      </c>
      <c r="I26" s="359">
        <f t="shared" si="3"/>
        <v>76821000000</v>
      </c>
      <c r="J26" s="359">
        <f t="shared" si="3"/>
        <v>76821000000</v>
      </c>
      <c r="K26" s="359">
        <f t="shared" si="3"/>
        <v>76821000000</v>
      </c>
      <c r="L26" s="359">
        <f t="shared" si="3"/>
        <v>76821000000</v>
      </c>
      <c r="M26" s="359">
        <f t="shared" si="3"/>
        <v>76821000000</v>
      </c>
      <c r="N26" s="359">
        <f t="shared" si="3"/>
        <v>76821000000</v>
      </c>
      <c r="O26" s="359">
        <f t="shared" si="3"/>
        <v>76821000000</v>
      </c>
    </row>
    <row r="27" spans="1:15" s="314" customFormat="1">
      <c r="A27" s="314" t="s">
        <v>768</v>
      </c>
      <c r="B27" s="359"/>
      <c r="C27" s="359">
        <f>22135000000+1070000000+193562000000-33978000000-76103000000</f>
        <v>106686000000</v>
      </c>
      <c r="D27" s="359">
        <f>28169000000+80086000000</f>
        <v>108255000000</v>
      </c>
      <c r="E27" s="359">
        <f>D27-Amortizaciones!E19</f>
        <v>104383515151</v>
      </c>
      <c r="F27" s="359">
        <f>E27-Amortizaciones!F19</f>
        <v>102059030302</v>
      </c>
      <c r="G27" s="359">
        <f>F27-Amortizaciones!G19</f>
        <v>99734545453</v>
      </c>
      <c r="H27" s="359">
        <f>G27-Amortizaciones!H19</f>
        <v>97410060604</v>
      </c>
      <c r="I27" s="359">
        <f>H27-Amortizaciones!I19</f>
        <v>95085575755</v>
      </c>
      <c r="J27" s="359">
        <f>I27-Amortizaciones!J19</f>
        <v>92761090906</v>
      </c>
      <c r="K27" s="359">
        <f>J27-Amortizaciones!K19</f>
        <v>90436606057</v>
      </c>
      <c r="L27" s="359">
        <f>K27-Amortizaciones!L19</f>
        <v>88112121208</v>
      </c>
      <c r="M27" s="359">
        <f>L27-Amortizaciones!M19</f>
        <v>85787636359</v>
      </c>
      <c r="N27" s="359">
        <f>M27-Amortizaciones!N19</f>
        <v>83463151510</v>
      </c>
      <c r="O27" s="359">
        <f>N27-Amortizaciones!O19</f>
        <v>83067333328</v>
      </c>
    </row>
    <row r="28" spans="1:15" ht="16.5" thickBot="1">
      <c r="A28" s="366" t="s">
        <v>752</v>
      </c>
      <c r="B28" s="367"/>
      <c r="C28" s="437">
        <f t="shared" ref="C28:O28" si="4">SUM(C22:C27)</f>
        <v>6109113000000</v>
      </c>
      <c r="D28" s="437">
        <f t="shared" si="4"/>
        <v>6513930000000</v>
      </c>
      <c r="E28" s="367">
        <f t="shared" si="4"/>
        <v>7102372403837.5986</v>
      </c>
      <c r="F28" s="367">
        <f t="shared" si="4"/>
        <v>6914947803223.3437</v>
      </c>
      <c r="G28" s="367">
        <f t="shared" si="4"/>
        <v>6728710004339.9316</v>
      </c>
      <c r="H28" s="367">
        <f t="shared" si="4"/>
        <v>6543436624416.7187</v>
      </c>
      <c r="I28" s="367">
        <f t="shared" si="4"/>
        <v>6358716072198.875</v>
      </c>
      <c r="J28" s="367">
        <f t="shared" si="4"/>
        <v>6174466646536.3848</v>
      </c>
      <c r="K28" s="367">
        <f t="shared" si="4"/>
        <v>5990814208327.7891</v>
      </c>
      <c r="L28" s="367">
        <f t="shared" si="4"/>
        <v>5807765843643.4453</v>
      </c>
      <c r="M28" s="367">
        <f t="shared" si="4"/>
        <v>5625358637899.1768</v>
      </c>
      <c r="N28" s="367">
        <f t="shared" si="4"/>
        <v>5443617456270.8789</v>
      </c>
      <c r="O28" s="367">
        <f t="shared" si="4"/>
        <v>5264495326511.9219</v>
      </c>
    </row>
    <row r="29" spans="1:15" ht="16.5" thickTop="1">
      <c r="A29" s="368"/>
      <c r="B29" s="369"/>
      <c r="C29" s="438"/>
      <c r="D29" s="438"/>
      <c r="E29" s="369"/>
      <c r="F29" s="369"/>
      <c r="G29" s="369"/>
      <c r="H29" s="369"/>
      <c r="I29" s="369"/>
      <c r="J29" s="369"/>
      <c r="K29" s="369"/>
      <c r="L29" s="369"/>
      <c r="M29" s="369"/>
      <c r="N29" s="369"/>
      <c r="O29" s="369"/>
    </row>
    <row r="30" spans="1:15">
      <c r="A30" s="368" t="s">
        <v>771</v>
      </c>
      <c r="B30" s="369"/>
      <c r="C30" s="438">
        <v>793084000000</v>
      </c>
      <c r="D30" s="438">
        <f>C30</f>
        <v>793084000000</v>
      </c>
      <c r="E30" s="438">
        <f t="shared" ref="E30:O30" si="5">D30</f>
        <v>793084000000</v>
      </c>
      <c r="F30" s="438">
        <f t="shared" si="5"/>
        <v>793084000000</v>
      </c>
      <c r="G30" s="438">
        <f t="shared" si="5"/>
        <v>793084000000</v>
      </c>
      <c r="H30" s="438">
        <f t="shared" si="5"/>
        <v>793084000000</v>
      </c>
      <c r="I30" s="438">
        <f t="shared" si="5"/>
        <v>793084000000</v>
      </c>
      <c r="J30" s="438">
        <f t="shared" si="5"/>
        <v>793084000000</v>
      </c>
      <c r="K30" s="438">
        <f t="shared" si="5"/>
        <v>793084000000</v>
      </c>
      <c r="L30" s="438">
        <f t="shared" si="5"/>
        <v>793084000000</v>
      </c>
      <c r="M30" s="438">
        <f t="shared" si="5"/>
        <v>793084000000</v>
      </c>
      <c r="N30" s="438">
        <f t="shared" si="5"/>
        <v>793084000000</v>
      </c>
      <c r="O30" s="438">
        <f t="shared" si="5"/>
        <v>793084000000</v>
      </c>
    </row>
    <row r="31" spans="1:15">
      <c r="C31" s="309"/>
      <c r="D31" s="309"/>
    </row>
    <row r="32" spans="1:15" s="375" customFormat="1" ht="16.5" thickBot="1">
      <c r="A32" s="372" t="s">
        <v>753</v>
      </c>
      <c r="B32" s="374"/>
      <c r="C32" s="374">
        <f>C16+C28+C30</f>
        <v>7555341000000.002</v>
      </c>
      <c r="D32" s="374">
        <f>D16+D28+D30</f>
        <v>8351058000000.002</v>
      </c>
      <c r="E32" s="374">
        <f t="shared" ref="E32:O32" si="6">E16+E28+E30</f>
        <v>8728967948564.7129</v>
      </c>
      <c r="F32" s="374">
        <f t="shared" ca="1" si="6"/>
        <v>9174369180002.3926</v>
      </c>
      <c r="G32" s="374">
        <f t="shared" ca="1" si="6"/>
        <v>8897125851039.4492</v>
      </c>
      <c r="H32" s="374">
        <f t="shared" ca="1" si="6"/>
        <v>8847738624540.0234</v>
      </c>
      <c r="I32" s="374">
        <f t="shared" ca="1" si="6"/>
        <v>8635418441266.583</v>
      </c>
      <c r="J32" s="374">
        <f t="shared" ca="1" si="6"/>
        <v>7729275319551.793</v>
      </c>
      <c r="K32" s="374">
        <f t="shared" ca="1" si="6"/>
        <v>7098002148695.2227</v>
      </c>
      <c r="L32" s="374">
        <f t="shared" ca="1" si="6"/>
        <v>7055513859467.6064</v>
      </c>
      <c r="M32" s="374">
        <f t="shared" ca="1" si="6"/>
        <v>6862717660850.5928</v>
      </c>
      <c r="N32" s="374">
        <f t="shared" ca="1" si="6"/>
        <v>6588423083799.9814</v>
      </c>
      <c r="O32" s="374">
        <f t="shared" ca="1" si="6"/>
        <v>7080015531020.5527</v>
      </c>
    </row>
    <row r="33" spans="1:15" ht="16.5" thickTop="1">
      <c r="C33" s="359"/>
      <c r="D33" s="309"/>
    </row>
    <row r="34" spans="1:15">
      <c r="A34" s="306" t="s">
        <v>754</v>
      </c>
      <c r="B34" s="306"/>
      <c r="C34" s="309"/>
      <c r="D34" s="309"/>
    </row>
    <row r="35" spans="1:15" s="314" customFormat="1">
      <c r="A35" s="314" t="s">
        <v>864</v>
      </c>
      <c r="B35" s="359"/>
      <c r="C35" s="359">
        <f>Financiacion!C22+Financiacion!C34</f>
        <v>26444500000</v>
      </c>
      <c r="D35" s="359">
        <f>Financiacion!D22+Financiacion!D34</f>
        <v>58673355000</v>
      </c>
      <c r="E35" s="359">
        <f>Financiacion!E22+Financiacion!E34</f>
        <v>378407607393.6911</v>
      </c>
      <c r="F35" s="359">
        <f>Financiacion!F22+Financiacion!F34</f>
        <v>378407607393.6911</v>
      </c>
      <c r="G35" s="359">
        <f>Financiacion!G22+Financiacion!G34</f>
        <v>378407607393.6911</v>
      </c>
      <c r="H35" s="359">
        <f>Financiacion!H22+Financiacion!H34</f>
        <v>378407607393.6911</v>
      </c>
      <c r="I35" s="359">
        <f>Financiacion!I22+Financiacion!I34</f>
        <v>378407607393.6911</v>
      </c>
      <c r="J35" s="359">
        <f>Financiacion!J22+Financiacion!J34</f>
        <v>378407607393.6911</v>
      </c>
      <c r="K35" s="359">
        <f>Financiacion!K22+Financiacion!K34</f>
        <v>378407607393.6911</v>
      </c>
      <c r="L35" s="359">
        <f>Financiacion!L22+Financiacion!L34</f>
        <v>378407607393.6911</v>
      </c>
      <c r="M35" s="359">
        <f>Financiacion!M22+Financiacion!M34</f>
        <v>357747462393.6911</v>
      </c>
      <c r="N35" s="359">
        <f>Financiacion!N22+Financiacion!N34</f>
        <v>261060897393.69104</v>
      </c>
      <c r="O35" s="359">
        <f>Financiacion!O22+Financiacion!O34</f>
        <v>0</v>
      </c>
    </row>
    <row r="36" spans="1:15" s="314" customFormat="1">
      <c r="A36" s="314" t="s">
        <v>865</v>
      </c>
      <c r="B36" s="359"/>
      <c r="C36" s="359">
        <f>+Financiacion!C44</f>
        <v>0</v>
      </c>
      <c r="D36" s="359">
        <f>+Financiacion!D44</f>
        <v>0</v>
      </c>
      <c r="E36" s="359">
        <f>+Financiacion!E44</f>
        <v>0</v>
      </c>
      <c r="F36" s="359">
        <f>+Financiacion!F44</f>
        <v>0</v>
      </c>
      <c r="G36" s="359">
        <f>+Financiacion!G44</f>
        <v>0</v>
      </c>
      <c r="H36" s="359">
        <f>+Financiacion!H44</f>
        <v>0</v>
      </c>
      <c r="I36" s="359">
        <f>+Financiacion!I44</f>
        <v>0</v>
      </c>
      <c r="J36" s="359">
        <f>+Financiacion!J44</f>
        <v>1031907482292.0579</v>
      </c>
      <c r="K36" s="359">
        <f>+Financiacion!K44</f>
        <v>784210732945.28162</v>
      </c>
      <c r="L36" s="359">
        <f>+Financiacion!L44</f>
        <v>0</v>
      </c>
      <c r="M36" s="359">
        <f>+Financiacion!M44</f>
        <v>1013450252632.5413</v>
      </c>
      <c r="N36" s="359">
        <f>+Financiacion!N44</f>
        <v>946709256002.36133</v>
      </c>
      <c r="O36" s="359">
        <f>+Financiacion!O44</f>
        <v>0</v>
      </c>
    </row>
    <row r="37" spans="1:15" s="314" customFormat="1">
      <c r="A37" s="314" t="s">
        <v>772</v>
      </c>
      <c r="B37" s="359"/>
      <c r="C37" s="359">
        <f>143293000000+12208000000+41009000000</f>
        <v>196510000000</v>
      </c>
      <c r="D37" s="359">
        <f>320856000000+35038000000+6946000000-121153000000</f>
        <v>241687000000</v>
      </c>
      <c r="E37" s="359">
        <f>(('Operacion Comercial'!E29+'Operacion Comercial'!E38+'Otros Costos y Gastos'!E10+'Otros Costos y Gastos'!E17+'Otros Costos y Gastos'!E29)*Mes_año/'Operacion Comercial'!E4)*Dias_CxP/Dias_año</f>
        <v>98518142207.25473</v>
      </c>
      <c r="F37" s="359">
        <f>(('Operacion Comercial'!F29+'Operacion Comercial'!F38+'Otros Costos y Gastos'!F10+'Otros Costos y Gastos'!F17+'Otros Costos y Gastos'!F29)*Mes_año/'Operacion Comercial'!F4)*Dias_CxP/Dias_año</f>
        <v>118709871873.98491</v>
      </c>
      <c r="G37" s="359">
        <f>(('Operacion Comercial'!G29+'Operacion Comercial'!G38+'Otros Costos y Gastos'!G10+'Otros Costos y Gastos'!G17+'Otros Costos y Gastos'!G29)*Mes_año/'Operacion Comercial'!G4)*Dias_CxP/Dias_año</f>
        <v>107732947301.64557</v>
      </c>
      <c r="H37" s="359">
        <f>(('Operacion Comercial'!H29+'Operacion Comercial'!H38+'Otros Costos y Gastos'!H10+'Otros Costos y Gastos'!H17+'Otros Costos y Gastos'!H29)*Mes_año/'Operacion Comercial'!H4)*Dias_CxP/Dias_año</f>
        <v>113894150568.38638</v>
      </c>
      <c r="I37" s="359">
        <f>(('Operacion Comercial'!I29+'Operacion Comercial'!I38+'Otros Costos y Gastos'!I10+'Otros Costos y Gastos'!I17+'Otros Costos y Gastos'!I29)*Mes_año/'Operacion Comercial'!I4)*Dias_CxP/Dias_año</f>
        <v>124864687073.64354</v>
      </c>
      <c r="J37" s="359">
        <f>(('Operacion Comercial'!J29+'Operacion Comercial'!J38+'Otros Costos y Gastos'!J10+'Otros Costos y Gastos'!J17+'Otros Costos y Gastos'!J29)*Mes_año/'Operacion Comercial'!J4)*Dias_CxP/Dias_año</f>
        <v>116271079026.34244</v>
      </c>
      <c r="K37" s="359">
        <f>(('Operacion Comercial'!K29+'Operacion Comercial'!K38+'Otros Costos y Gastos'!K10+'Otros Costos y Gastos'!K17+'Otros Costos y Gastos'!K29)*Mes_año/'Operacion Comercial'!K4)*Dias_CxP/Dias_año</f>
        <v>118301547858.091</v>
      </c>
      <c r="L37" s="359">
        <f>(('Operacion Comercial'!L29+'Operacion Comercial'!L38+'Otros Costos y Gastos'!L10+'Otros Costos y Gastos'!L17+'Otros Costos y Gastos'!L29)*Mes_año/'Operacion Comercial'!L4)*Dias_CxP/Dias_año</f>
        <v>123773869715.16559</v>
      </c>
      <c r="M37" s="359">
        <f>(('Operacion Comercial'!M29+'Operacion Comercial'!M38+'Otros Costos y Gastos'!M10+'Otros Costos y Gastos'!M17+'Otros Costos y Gastos'!M29)*Mes_año/'Operacion Comercial'!M4)*Dias_CxP/Dias_año</f>
        <v>125811644458.04549</v>
      </c>
      <c r="N37" s="359">
        <f>(('Operacion Comercial'!N29+'Operacion Comercial'!N38+'Otros Costos y Gastos'!N10+'Otros Costos y Gastos'!N17+'Otros Costos y Gastos'!N29)*Mes_año/'Operacion Comercial'!N4)*Dias_CxP/Dias_año</f>
        <v>132698649667.63838</v>
      </c>
      <c r="O37" s="359">
        <f>(('Operacion Comercial'!O29+'Operacion Comercial'!O38+'Otros Costos y Gastos'!O10+'Otros Costos y Gastos'!O17+'Otros Costos y Gastos'!O29)*Mes_año/'Operacion Comercial'!O4)*Dias_CxP/Dias_año</f>
        <v>138876665305.47293</v>
      </c>
    </row>
    <row r="38" spans="1:15" s="314" customFormat="1">
      <c r="A38" s="314" t="s">
        <v>775</v>
      </c>
      <c r="B38" s="359"/>
      <c r="C38" s="359">
        <v>50171000000</v>
      </c>
      <c r="D38" s="359">
        <v>121153000000</v>
      </c>
      <c r="E38" s="359">
        <f>D45+'Proyecto Sogamoso'!I12*M*Dias_CxP/Dias_año</f>
        <v>111654135268.28104</v>
      </c>
      <c r="F38" s="359">
        <f>E45+'Proyecto Sogamoso'!J12*M*Dias_CxP/Dias_año</f>
        <v>0</v>
      </c>
      <c r="G38" s="359">
        <f>F45+'Proyecto Sogamoso'!K12*M*Dias_CxP/Dias_año</f>
        <v>0</v>
      </c>
      <c r="H38" s="359">
        <f>G45+'Proyecto Sogamoso'!L12*M*Dias_CxP/Dias_año</f>
        <v>0</v>
      </c>
      <c r="I38" s="359">
        <f>H45+'Proyecto Sogamoso'!M12*M*Dias_CxP/Dias_año</f>
        <v>0</v>
      </c>
      <c r="J38" s="359">
        <f>I45+'Proyecto Sogamoso'!N12*M*Dias_CxP/Dias_año</f>
        <v>0</v>
      </c>
      <c r="K38" s="359">
        <f>J45+'Proyecto Sogamoso'!O12*M*Dias_CxP/Dias_año</f>
        <v>0</v>
      </c>
      <c r="L38" s="359">
        <f>K45+'Proyecto Sogamoso'!P12*M*Dias_CxP/Dias_año</f>
        <v>0</v>
      </c>
      <c r="M38" s="359">
        <f>L45+'Proyecto Sogamoso'!Q12*M*Dias_CxP/Dias_año</f>
        <v>0</v>
      </c>
      <c r="N38" s="359">
        <f>M45+'Proyecto Sogamoso'!R12*M*Dias_CxP/Dias_año</f>
        <v>0</v>
      </c>
      <c r="O38" s="359">
        <f>N45+'Proyecto Sogamoso'!S12*M*Dias_CxP/Dias_año</f>
        <v>0</v>
      </c>
    </row>
    <row r="39" spans="1:15" s="314" customFormat="1">
      <c r="A39" s="314" t="s">
        <v>773</v>
      </c>
      <c r="B39" s="359"/>
      <c r="C39" s="359">
        <v>51591000000</v>
      </c>
      <c r="D39" s="359">
        <f>-Renta!D70-CREE!D72</f>
        <v>57983054999.999992</v>
      </c>
      <c r="E39" s="359">
        <f ca="1">-Renta!E70-CREE!E72</f>
        <v>94426416957.389496</v>
      </c>
      <c r="F39" s="359">
        <f ca="1">-Renta!F70-CREE!F72</f>
        <v>383930336349.69244</v>
      </c>
      <c r="G39" s="359">
        <f ca="1">-Renta!G70-CREE!G72</f>
        <v>418722800171.35754</v>
      </c>
      <c r="H39" s="359">
        <f ca="1">-Renta!H70-CREE!H72</f>
        <v>544056801737.95178</v>
      </c>
      <c r="I39" s="359">
        <f ca="1">-Renta!I70-CREE!I72</f>
        <v>588684465395.67517</v>
      </c>
      <c r="J39" s="359">
        <f ca="1">-Renta!J70-CREE!J72</f>
        <v>5035109620.0989494</v>
      </c>
      <c r="K39" s="359">
        <f ca="1">-Renta!K70-CREE!K72</f>
        <v>1962491342.0666425</v>
      </c>
      <c r="L39" s="359">
        <f ca="1">-Renta!L70-CREE!L72</f>
        <v>162064838323.2327</v>
      </c>
      <c r="M39" s="359">
        <f ca="1">-Renta!M70-CREE!M72</f>
        <v>3127891535.3606067</v>
      </c>
      <c r="N39" s="359">
        <f ca="1">-Renta!N70-CREE!N72</f>
        <v>766942627.03317678</v>
      </c>
      <c r="O39" s="359">
        <f ca="1">-Renta!O70-CREE!O72</f>
        <v>417147953893.58105</v>
      </c>
    </row>
    <row r="40" spans="1:15" s="314" customFormat="1">
      <c r="A40" s="314" t="s">
        <v>847</v>
      </c>
      <c r="B40" s="359"/>
      <c r="C40" s="359">
        <f>15462000000+49752000000</f>
        <v>65214000000</v>
      </c>
      <c r="D40" s="359">
        <f>6232000000+71286000000+26892000000-D39</f>
        <v>46426945000.000008</v>
      </c>
      <c r="E40" s="359">
        <f>'Operacion Comercial'!E8*'Datos Generales'!$I$5/Dias_año*Mes_año/'Operacion Comercial'!E4</f>
        <v>71620039758.930771</v>
      </c>
      <c r="F40" s="359">
        <f>'Operacion Comercial'!F8*'Datos Generales'!$I$5/Dias_año*Mes_año/'Operacion Comercial'!F4</f>
        <v>83726135849.124664</v>
      </c>
      <c r="G40" s="359">
        <f>'Operacion Comercial'!G8*'Datos Generales'!$I$5/Dias_año*Mes_año/'Operacion Comercial'!G4</f>
        <v>87004246926.15451</v>
      </c>
      <c r="H40" s="359">
        <f>'Operacion Comercial'!H8*'Datos Generales'!$I$5/Dias_año*Mes_año/'Operacion Comercial'!H4</f>
        <v>96389197405.711853</v>
      </c>
      <c r="I40" s="359">
        <f>'Operacion Comercial'!I8*'Datos Generales'!$I$5/Dias_año*Mes_año/'Operacion Comercial'!I4</f>
        <v>101105078102.56659</v>
      </c>
      <c r="J40" s="359">
        <f>'Operacion Comercial'!J8*'Datos Generales'!$I$5/Dias_año*Mes_año/'Operacion Comercial'!J4</f>
        <v>41069301579.960892</v>
      </c>
      <c r="K40" s="359">
        <f>'Operacion Comercial'!K8*'Datos Generales'!$I$5/Dias_año*Mes_año/'Operacion Comercial'!K4</f>
        <v>48161775568.225639</v>
      </c>
      <c r="L40" s="359">
        <f>'Operacion Comercial'!L8*'Datos Generales'!$I$5/Dias_año*Mes_año/'Operacion Comercial'!L4</f>
        <v>83305905517.263275</v>
      </c>
      <c r="M40" s="359">
        <f>'Operacion Comercial'!M8*'Datos Generales'!$I$5/Dias_año*Mes_año/'Operacion Comercial'!M4</f>
        <v>45661113549.979225</v>
      </c>
      <c r="N40" s="359">
        <f>'Operacion Comercial'!N8*'Datos Generales'!$I$5/Dias_año*Mes_año/'Operacion Comercial'!N4</f>
        <v>47455026580.81002</v>
      </c>
      <c r="O40" s="359">
        <f>'Operacion Comercial'!O8*'Datos Generales'!$I$5/Dias_año*Mes_año/'Operacion Comercial'!O4</f>
        <v>104534101075.62474</v>
      </c>
    </row>
    <row r="41" spans="1:15" s="314" customFormat="1" ht="16.5" thickBot="1">
      <c r="A41" s="414" t="s">
        <v>755</v>
      </c>
      <c r="B41" s="415"/>
      <c r="C41" s="439">
        <f>SUM(C35:C40)</f>
        <v>389930500000</v>
      </c>
      <c r="D41" s="439">
        <f>SUM(D35:D40)</f>
        <v>525923355000</v>
      </c>
      <c r="E41" s="415">
        <f t="shared" ref="E41:O41" ca="1" si="7">SUM(E35:E40)</f>
        <v>754626341585.54712</v>
      </c>
      <c r="F41" s="415">
        <f t="shared" ca="1" si="7"/>
        <v>964773951466.49304</v>
      </c>
      <c r="G41" s="415">
        <f t="shared" ca="1" si="7"/>
        <v>991867601792.84875</v>
      </c>
      <c r="H41" s="415">
        <f t="shared" ca="1" si="7"/>
        <v>1132747757105.7412</v>
      </c>
      <c r="I41" s="415">
        <f t="shared" ca="1" si="7"/>
        <v>1193061837965.5764</v>
      </c>
      <c r="J41" s="415">
        <f t="shared" ca="1" si="7"/>
        <v>1572690579912.1514</v>
      </c>
      <c r="K41" s="415">
        <f t="shared" ca="1" si="7"/>
        <v>1331044155107.356</v>
      </c>
      <c r="L41" s="415">
        <f t="shared" ca="1" si="7"/>
        <v>747552220949.35266</v>
      </c>
      <c r="M41" s="415">
        <f t="shared" ca="1" si="7"/>
        <v>1545798364569.6177</v>
      </c>
      <c r="N41" s="415">
        <f t="shared" ca="1" si="7"/>
        <v>1388690772271.5339</v>
      </c>
      <c r="O41" s="415">
        <f t="shared" ca="1" si="7"/>
        <v>660558720274.67871</v>
      </c>
    </row>
    <row r="42" spans="1:15" s="314" customFormat="1" ht="16.5" thickTop="1">
      <c r="C42" s="359"/>
      <c r="D42" s="359"/>
    </row>
    <row r="43" spans="1:15" s="314" customFormat="1">
      <c r="A43" s="416" t="s">
        <v>756</v>
      </c>
      <c r="B43" s="416"/>
      <c r="C43" s="359"/>
      <c r="D43" s="359"/>
      <c r="E43" s="359"/>
    </row>
    <row r="44" spans="1:15" s="314" customFormat="1">
      <c r="A44" s="314" t="s">
        <v>757</v>
      </c>
      <c r="B44" s="359"/>
      <c r="C44" s="359">
        <f>Financiacion!C23+Financiacion!C35</f>
        <v>2612088500000</v>
      </c>
      <c r="D44" s="359">
        <f>Financiacion!D23+Financiacion!D35</f>
        <v>3236988645000</v>
      </c>
      <c r="E44" s="359">
        <f>Financiacion!E23+Financiacion!E35</f>
        <v>3267661611543.2202</v>
      </c>
      <c r="F44" s="359">
        <f>Financiacion!F23+Financiacion!F35</f>
        <v>2889254004149.5293</v>
      </c>
      <c r="G44" s="359">
        <f>Financiacion!G23+Financiacion!G35</f>
        <v>2510846396755.8379</v>
      </c>
      <c r="H44" s="359">
        <f>Financiacion!H23+Financiacion!H35</f>
        <v>2132438789362.1467</v>
      </c>
      <c r="I44" s="359">
        <f>Financiacion!I23+Financiacion!I35</f>
        <v>1754031181968.4556</v>
      </c>
      <c r="J44" s="359">
        <f>Financiacion!J23+Financiacion!J35</f>
        <v>1375623574574.7644</v>
      </c>
      <c r="K44" s="359">
        <f>Financiacion!K23+Financiacion!K35</f>
        <v>997215967181.07324</v>
      </c>
      <c r="L44" s="359">
        <f>Financiacion!L23+Financiacion!L35</f>
        <v>618808359787.38208</v>
      </c>
      <c r="M44" s="359">
        <f>Financiacion!M23+Financiacion!M35</f>
        <v>261060897393.69104</v>
      </c>
      <c r="N44" s="359">
        <f>Financiacion!N23+Financiacion!N35</f>
        <v>0</v>
      </c>
      <c r="O44" s="359">
        <f>Financiacion!O23+Financiacion!O35</f>
        <v>0</v>
      </c>
    </row>
    <row r="45" spans="1:15" s="314" customFormat="1">
      <c r="A45" s="314" t="s">
        <v>776</v>
      </c>
      <c r="B45" s="359"/>
      <c r="C45" s="359">
        <v>57322000000</v>
      </c>
      <c r="D45" s="359">
        <v>65150000000</v>
      </c>
      <c r="E45" s="359">
        <v>0</v>
      </c>
      <c r="F45" s="359">
        <f>E45</f>
        <v>0</v>
      </c>
      <c r="G45" s="359">
        <f t="shared" ref="G45:O45" si="8">F45</f>
        <v>0</v>
      </c>
      <c r="H45" s="359">
        <f t="shared" si="8"/>
        <v>0</v>
      </c>
      <c r="I45" s="359">
        <f t="shared" si="8"/>
        <v>0</v>
      </c>
      <c r="J45" s="359">
        <f t="shared" si="8"/>
        <v>0</v>
      </c>
      <c r="K45" s="359">
        <f t="shared" si="8"/>
        <v>0</v>
      </c>
      <c r="L45" s="359">
        <f t="shared" si="8"/>
        <v>0</v>
      </c>
      <c r="M45" s="359">
        <f t="shared" si="8"/>
        <v>0</v>
      </c>
      <c r="N45" s="359">
        <f t="shared" si="8"/>
        <v>0</v>
      </c>
      <c r="O45" s="359">
        <f t="shared" si="8"/>
        <v>0</v>
      </c>
    </row>
    <row r="46" spans="1:15" s="314" customFormat="1">
      <c r="A46" s="314" t="s">
        <v>758</v>
      </c>
      <c r="B46" s="359"/>
      <c r="C46" s="359">
        <f>-Renta!C38-CREE!C39</f>
        <v>366858000000</v>
      </c>
      <c r="D46" s="359">
        <f>-Renta!D38-CREE!D39</f>
        <v>378760040000</v>
      </c>
      <c r="E46" s="359">
        <f>-Renta!E38-CREE!E39</f>
        <v>390809629118.27454</v>
      </c>
      <c r="F46" s="359">
        <f>-Renta!F38-CREE!F39</f>
        <v>458800014816.91724</v>
      </c>
      <c r="G46" s="359">
        <f>-Renta!G38-CREE!G39</f>
        <v>528869480125.71796</v>
      </c>
      <c r="H46" s="359">
        <f>-Renta!H38-CREE!H39</f>
        <v>602814367013.34729</v>
      </c>
      <c r="I46" s="359">
        <f>-Renta!I38-CREE!I39</f>
        <v>678916510162.27368</v>
      </c>
      <c r="J46" s="359">
        <f>-Renta!J38-CREE!J39</f>
        <v>739416088182.52197</v>
      </c>
      <c r="K46" s="359">
        <f>-Renta!K38-CREE!K39</f>
        <v>800255014723.26135</v>
      </c>
      <c r="L46" s="359">
        <f>-Renta!L38-CREE!L39</f>
        <v>861447257310.61304</v>
      </c>
      <c r="M46" s="359">
        <f>-Renta!M38-CREE!M39</f>
        <v>923007464921.14722</v>
      </c>
      <c r="N46" s="359">
        <f>-Renta!N38-CREE!N39</f>
        <v>981565090919.54639</v>
      </c>
      <c r="O46" s="359">
        <f>-Renta!O38-CREE!O39</f>
        <v>1040521767853.4172</v>
      </c>
    </row>
    <row r="47" spans="1:15" s="314" customFormat="1">
      <c r="A47" s="314" t="s">
        <v>774</v>
      </c>
      <c r="B47" s="359"/>
      <c r="C47" s="359">
        <v>64980000000</v>
      </c>
      <c r="D47" s="359">
        <v>62051000000</v>
      </c>
      <c r="E47" s="359">
        <f>D47-((6908-5419)*M*'Otros Costos y Gastos'!E4/Mes_año)</f>
        <v>61306500000</v>
      </c>
      <c r="F47" s="359">
        <f>E47-((6908-5419)*M*'Otros Costos y Gastos'!F4/Mes_año)</f>
        <v>59817500000</v>
      </c>
      <c r="G47" s="359">
        <f>F47-((6908-5419)*M*'Otros Costos y Gastos'!G4/Mes_año)</f>
        <v>58328500000</v>
      </c>
      <c r="H47" s="359">
        <f>G47-((6908-5419)*M*'Otros Costos y Gastos'!H4/Mes_año)</f>
        <v>56839500000</v>
      </c>
      <c r="I47" s="359">
        <f>H47-((6908-5419)*M*'Otros Costos y Gastos'!I4/Mes_año)</f>
        <v>55350500000</v>
      </c>
      <c r="J47" s="359">
        <f>I47-((6908-5419)*M*'Otros Costos y Gastos'!J4/Mes_año)</f>
        <v>53861500000</v>
      </c>
      <c r="K47" s="359">
        <f>J47-((6908-5419)*M*'Otros Costos y Gastos'!K4/Mes_año)</f>
        <v>52372500000</v>
      </c>
      <c r="L47" s="359">
        <f>K47-((6908-5419)*M*'Otros Costos y Gastos'!L4/Mes_año)</f>
        <v>50883500000</v>
      </c>
      <c r="M47" s="359">
        <f>L47-((6908-5419)*M*'Otros Costos y Gastos'!M4/Mes_año)</f>
        <v>49394500000</v>
      </c>
      <c r="N47" s="359">
        <f>M47-((6908-5419)*M*'Otros Costos y Gastos'!N4/Mes_año)</f>
        <v>47905500000</v>
      </c>
      <c r="O47" s="359">
        <f>N47-((6908-5419)*M*'Otros Costos y Gastos'!O4/Mes_año)</f>
        <v>46416500000</v>
      </c>
    </row>
    <row r="48" spans="1:15" s="314" customFormat="1">
      <c r="A48" s="314" t="s">
        <v>848</v>
      </c>
      <c r="C48" s="359">
        <f>401570000000-C46</f>
        <v>34712000000</v>
      </c>
      <c r="D48" s="359">
        <f>31557000000+3077000000+1089000000+3530960000</f>
        <v>39253960000</v>
      </c>
      <c r="E48" s="359">
        <f t="shared" ref="E48:O48" si="9">IF(D48&gt;6308000000,D48-6308000000,0)</f>
        <v>32945960000</v>
      </c>
      <c r="F48" s="359">
        <f t="shared" si="9"/>
        <v>26637960000</v>
      </c>
      <c r="G48" s="359">
        <f t="shared" si="9"/>
        <v>20329960000</v>
      </c>
      <c r="H48" s="359">
        <f t="shared" si="9"/>
        <v>14021960000</v>
      </c>
      <c r="I48" s="359">
        <f t="shared" si="9"/>
        <v>7713960000</v>
      </c>
      <c r="J48" s="359">
        <f t="shared" si="9"/>
        <v>1405960000</v>
      </c>
      <c r="K48" s="359">
        <f t="shared" si="9"/>
        <v>0</v>
      </c>
      <c r="L48" s="359">
        <f t="shared" si="9"/>
        <v>0</v>
      </c>
      <c r="M48" s="359">
        <f t="shared" si="9"/>
        <v>0</v>
      </c>
      <c r="N48" s="359">
        <f t="shared" si="9"/>
        <v>0</v>
      </c>
      <c r="O48" s="359">
        <f t="shared" si="9"/>
        <v>0</v>
      </c>
    </row>
    <row r="49" spans="1:15" s="314" customFormat="1" ht="16.5" thickBot="1">
      <c r="A49" s="414" t="s">
        <v>759</v>
      </c>
      <c r="B49" s="415"/>
      <c r="C49" s="439">
        <f>SUM(C44:C48)</f>
        <v>3135960500000</v>
      </c>
      <c r="D49" s="439">
        <f t="shared" ref="D49:O49" si="10">SUM(D44:D48)</f>
        <v>3782203645000</v>
      </c>
      <c r="E49" s="415">
        <f t="shared" si="10"/>
        <v>3752723700661.4946</v>
      </c>
      <c r="F49" s="415">
        <f t="shared" si="10"/>
        <v>3434509478966.4463</v>
      </c>
      <c r="G49" s="415">
        <f t="shared" si="10"/>
        <v>3118374336881.5557</v>
      </c>
      <c r="H49" s="415">
        <f t="shared" si="10"/>
        <v>2806114616375.4941</v>
      </c>
      <c r="I49" s="415">
        <f t="shared" si="10"/>
        <v>2496012152130.7295</v>
      </c>
      <c r="J49" s="415">
        <f t="shared" si="10"/>
        <v>2170307122757.2864</v>
      </c>
      <c r="K49" s="415">
        <f t="shared" si="10"/>
        <v>1849843481904.3345</v>
      </c>
      <c r="L49" s="415">
        <f t="shared" si="10"/>
        <v>1531139117097.9951</v>
      </c>
      <c r="M49" s="415">
        <f t="shared" si="10"/>
        <v>1233462862314.8384</v>
      </c>
      <c r="N49" s="415">
        <f t="shared" si="10"/>
        <v>1029470590919.5464</v>
      </c>
      <c r="O49" s="415">
        <f t="shared" si="10"/>
        <v>1086938267853.4172</v>
      </c>
    </row>
    <row r="50" spans="1:15" ht="16.5" thickTop="1">
      <c r="C50" s="309"/>
      <c r="D50" s="309"/>
    </row>
    <row r="51" spans="1:15" s="375" customFormat="1" ht="16.5" thickBot="1">
      <c r="A51" s="372" t="s">
        <v>760</v>
      </c>
      <c r="B51" s="374"/>
      <c r="C51" s="374">
        <f>C41+C49</f>
        <v>3525891000000</v>
      </c>
      <c r="D51" s="374">
        <f t="shared" ref="D51:O51" si="11">D41+D49</f>
        <v>4308127000000</v>
      </c>
      <c r="E51" s="374">
        <f t="shared" ca="1" si="11"/>
        <v>4507350042247.042</v>
      </c>
      <c r="F51" s="374">
        <f t="shared" ca="1" si="11"/>
        <v>4399283430432.9395</v>
      </c>
      <c r="G51" s="374">
        <f t="shared" ca="1" si="11"/>
        <v>4110241938674.4043</v>
      </c>
      <c r="H51" s="374">
        <f t="shared" ca="1" si="11"/>
        <v>3938862373481.2354</v>
      </c>
      <c r="I51" s="374">
        <f t="shared" ca="1" si="11"/>
        <v>3689073990096.3057</v>
      </c>
      <c r="J51" s="374">
        <f t="shared" ca="1" si="11"/>
        <v>3742997702669.4375</v>
      </c>
      <c r="K51" s="374">
        <f t="shared" ca="1" si="11"/>
        <v>3180887637011.6904</v>
      </c>
      <c r="L51" s="374">
        <f t="shared" ca="1" si="11"/>
        <v>2278691338047.3477</v>
      </c>
      <c r="M51" s="374">
        <f t="shared" ca="1" si="11"/>
        <v>2779261226884.4561</v>
      </c>
      <c r="N51" s="374">
        <f t="shared" ca="1" si="11"/>
        <v>2418161363191.0801</v>
      </c>
      <c r="O51" s="374">
        <f t="shared" ca="1" si="11"/>
        <v>1747496988128.0959</v>
      </c>
    </row>
    <row r="52" spans="1:15" ht="16.5" thickTop="1">
      <c r="C52" s="309"/>
      <c r="D52" s="309"/>
    </row>
    <row r="53" spans="1:15">
      <c r="A53" s="417" t="s">
        <v>124</v>
      </c>
      <c r="B53" s="417"/>
      <c r="C53" s="309"/>
      <c r="D53" s="309"/>
    </row>
    <row r="54" spans="1:15" s="314" customFormat="1">
      <c r="A54" s="314" t="s">
        <v>862</v>
      </c>
      <c r="B54" s="359"/>
      <c r="C54" s="440">
        <f>MROUND((2726072000*25),1000000)</f>
        <v>68152000000</v>
      </c>
      <c r="D54" s="440">
        <f>C54</f>
        <v>68152000000</v>
      </c>
      <c r="E54" s="440">
        <f t="shared" ref="E54:O54" si="12">D54</f>
        <v>68152000000</v>
      </c>
      <c r="F54" s="440">
        <f t="shared" si="12"/>
        <v>68152000000</v>
      </c>
      <c r="G54" s="440">
        <f t="shared" si="12"/>
        <v>68152000000</v>
      </c>
      <c r="H54" s="440">
        <f t="shared" si="12"/>
        <v>68152000000</v>
      </c>
      <c r="I54" s="440">
        <f t="shared" si="12"/>
        <v>68152000000</v>
      </c>
      <c r="J54" s="440">
        <f t="shared" si="12"/>
        <v>68152000000</v>
      </c>
      <c r="K54" s="440">
        <f t="shared" si="12"/>
        <v>68152000000</v>
      </c>
      <c r="L54" s="440">
        <f t="shared" si="12"/>
        <v>68152000000</v>
      </c>
      <c r="M54" s="440">
        <f t="shared" si="12"/>
        <v>68152000000</v>
      </c>
      <c r="N54" s="440">
        <f t="shared" si="12"/>
        <v>68152000000</v>
      </c>
      <c r="O54" s="440">
        <f t="shared" si="12"/>
        <v>68152000000</v>
      </c>
    </row>
    <row r="55" spans="1:15" s="314" customFormat="1">
      <c r="A55" s="314" t="s">
        <v>863</v>
      </c>
      <c r="B55" s="359"/>
      <c r="C55" s="440">
        <f>'Flujo de efectivo'!C11+B55</f>
        <v>0</v>
      </c>
      <c r="D55" s="440">
        <f>'Flujo de efectivo'!D11+C55</f>
        <v>0</v>
      </c>
      <c r="E55" s="440">
        <f>'Flujo de efectivo'!E11+D55</f>
        <v>0</v>
      </c>
      <c r="F55" s="440">
        <f>'Flujo de efectivo'!F11+E55</f>
        <v>0</v>
      </c>
      <c r="G55" s="440">
        <f>'Flujo de efectivo'!G11+F55</f>
        <v>0</v>
      </c>
      <c r="H55" s="440">
        <f>'Flujo de efectivo'!H11+G55</f>
        <v>0</v>
      </c>
      <c r="I55" s="440">
        <f>'Flujo de efectivo'!I11+H55</f>
        <v>0</v>
      </c>
      <c r="J55" s="440">
        <f>'Flujo de efectivo'!J11+I55</f>
        <v>0</v>
      </c>
      <c r="K55" s="440">
        <f>'Flujo de efectivo'!K11+J55</f>
        <v>0</v>
      </c>
      <c r="L55" s="440">
        <f>'Flujo de efectivo'!L11+K55</f>
        <v>0</v>
      </c>
      <c r="M55" s="440">
        <f>'Flujo de efectivo'!M11+L55</f>
        <v>0</v>
      </c>
      <c r="N55" s="440">
        <f>'Flujo de efectivo'!N11+M55</f>
        <v>0</v>
      </c>
      <c r="O55" s="440">
        <f>'Flujo de efectivo'!O11+N55</f>
        <v>0</v>
      </c>
    </row>
    <row r="56" spans="1:15" s="314" customFormat="1">
      <c r="A56" s="314" t="s">
        <v>761</v>
      </c>
      <c r="B56" s="359"/>
      <c r="C56" s="440">
        <v>51134000000</v>
      </c>
      <c r="D56" s="440">
        <f>C56+'P&amp;G'!D32</f>
        <v>51134000000</v>
      </c>
      <c r="E56" s="440">
        <f>D56+'P&amp;G'!E32</f>
        <v>51134000000</v>
      </c>
      <c r="F56" s="440">
        <f>E56+'P&amp;G'!F32</f>
        <v>51134000000</v>
      </c>
      <c r="G56" s="440">
        <f>F56+'P&amp;G'!G32</f>
        <v>51134000000</v>
      </c>
      <c r="H56" s="440">
        <f>G56+'P&amp;G'!H32</f>
        <v>51134000000</v>
      </c>
      <c r="I56" s="440">
        <f>H56+'P&amp;G'!I32</f>
        <v>51134000000</v>
      </c>
      <c r="J56" s="440">
        <f>I56+'P&amp;G'!J32</f>
        <v>51134000000</v>
      </c>
      <c r="K56" s="440">
        <f>J56+'P&amp;G'!K32</f>
        <v>51134000000</v>
      </c>
      <c r="L56" s="440">
        <f>K56+'P&amp;G'!L32</f>
        <v>51134000000</v>
      </c>
      <c r="M56" s="440">
        <f>L56+'P&amp;G'!M32</f>
        <v>51134000000</v>
      </c>
      <c r="N56" s="440">
        <f>M56+'P&amp;G'!N32</f>
        <v>51134000000</v>
      </c>
      <c r="O56" s="440">
        <f>N56+'P&amp;G'!O32</f>
        <v>51134000000</v>
      </c>
    </row>
    <row r="57" spans="1:15" s="314" customFormat="1">
      <c r="A57" s="314" t="s">
        <v>777</v>
      </c>
      <c r="B57" s="359"/>
      <c r="C57" s="440">
        <v>755188000000</v>
      </c>
      <c r="D57" s="440">
        <v>806884000000</v>
      </c>
      <c r="E57" s="359">
        <f>D57+'P&amp;G'!E33</f>
        <v>831691977596.44763</v>
      </c>
      <c r="F57" s="359">
        <f>E57+'P&amp;G'!F33</f>
        <v>953726003209.39612</v>
      </c>
      <c r="G57" s="359">
        <f>F57+'P&amp;G'!G33</f>
        <v>1076347567499.7974</v>
      </c>
      <c r="H57" s="359">
        <f>G57+'P&amp;G'!H33</f>
        <v>1199589045645.8462</v>
      </c>
      <c r="I57" s="359">
        <f>H57+'P&amp;G'!I33</f>
        <v>1323476255423.1682</v>
      </c>
      <c r="J57" s="359">
        <f>I57+'P&amp;G'!J33</f>
        <v>1448034210170.7383</v>
      </c>
      <c r="K57" s="359">
        <f>J57+'P&amp;G'!K33</f>
        <v>1573290823636.9663</v>
      </c>
      <c r="L57" s="359">
        <f>K57+'P&amp;G'!L33</f>
        <v>1699274852493.2786</v>
      </c>
      <c r="M57" s="359">
        <f>L57+'P&amp;G'!M33</f>
        <v>1826016456397.3196</v>
      </c>
      <c r="N57" s="359">
        <f>M57+'P&amp;G'!N33</f>
        <v>1946576274629.3179</v>
      </c>
      <c r="O57" s="359">
        <f>N57+'P&amp;G'!O33</f>
        <v>2067957668316.699</v>
      </c>
    </row>
    <row r="58" spans="1:15" s="314" customFormat="1">
      <c r="A58" s="314" t="s">
        <v>778</v>
      </c>
      <c r="B58" s="359"/>
      <c r="C58" s="440">
        <v>784187000000</v>
      </c>
      <c r="D58" s="440">
        <v>949190000000</v>
      </c>
      <c r="E58" s="359">
        <f>D58+'P&amp;G'!E34</f>
        <v>988698600000</v>
      </c>
      <c r="F58" s="359">
        <f>E58+'P&amp;G'!F34</f>
        <v>1093820765681.0732</v>
      </c>
      <c r="G58" s="359">
        <f>F58+'P&amp;G'!G34</f>
        <v>980298483462.96606</v>
      </c>
      <c r="H58" s="359">
        <f>G58+'P&amp;G'!H34</f>
        <v>866776201244.85864</v>
      </c>
      <c r="I58" s="359">
        <f>H58+'P&amp;G'!I34</f>
        <v>753253919026.75134</v>
      </c>
      <c r="J58" s="359">
        <f>I58+'P&amp;G'!J34</f>
        <v>639731636808.64404</v>
      </c>
      <c r="K58" s="359">
        <f>J58+'P&amp;G'!K34</f>
        <v>526209354590.53662</v>
      </c>
      <c r="L58" s="359">
        <f>K58+'P&amp;G'!L34</f>
        <v>412687072372.42932</v>
      </c>
      <c r="M58" s="359">
        <f>L58+'P&amp;G'!M34</f>
        <v>299164790154.32196</v>
      </c>
      <c r="N58" s="359">
        <f>M58+'P&amp;G'!N34</f>
        <v>185642507936.21463</v>
      </c>
      <c r="O58" s="359">
        <f>N58+'P&amp;G'!O34</f>
        <v>78318269218.107315</v>
      </c>
    </row>
    <row r="59" spans="1:15" s="314" customFormat="1">
      <c r="A59" s="314" t="s">
        <v>779</v>
      </c>
      <c r="B59" s="359"/>
      <c r="C59" s="440">
        <v>49344000000</v>
      </c>
      <c r="D59" s="440">
        <v>49344000000</v>
      </c>
      <c r="E59" s="359">
        <f>D59</f>
        <v>49344000000</v>
      </c>
      <c r="F59" s="359">
        <f t="shared" ref="F59:O59" si="13">E59</f>
        <v>49344000000</v>
      </c>
      <c r="G59" s="359">
        <f t="shared" si="13"/>
        <v>49344000000</v>
      </c>
      <c r="H59" s="359">
        <f t="shared" si="13"/>
        <v>49344000000</v>
      </c>
      <c r="I59" s="359">
        <f t="shared" si="13"/>
        <v>49344000000</v>
      </c>
      <c r="J59" s="359">
        <f t="shared" si="13"/>
        <v>49344000000</v>
      </c>
      <c r="K59" s="359">
        <f t="shared" si="13"/>
        <v>49344000000</v>
      </c>
      <c r="L59" s="359">
        <f t="shared" si="13"/>
        <v>49344000000</v>
      </c>
      <c r="M59" s="359">
        <f t="shared" si="13"/>
        <v>49344000000</v>
      </c>
      <c r="N59" s="359">
        <f t="shared" si="13"/>
        <v>49344000000</v>
      </c>
      <c r="O59" s="359">
        <f t="shared" si="13"/>
        <v>49344000000</v>
      </c>
    </row>
    <row r="60" spans="1:15" s="314" customFormat="1">
      <c r="A60" s="314" t="s">
        <v>780</v>
      </c>
      <c r="B60" s="359"/>
      <c r="C60" s="440">
        <f>1113794000000-19399000000</f>
        <v>1094395000000</v>
      </c>
      <c r="D60" s="440">
        <f>1113793000000-19399000000</f>
        <v>1094394000000</v>
      </c>
      <c r="E60" s="359">
        <f>'Otros Costos y Gastos'!E41</f>
        <v>1079815365750</v>
      </c>
      <c r="F60" s="359">
        <f ca="1">'Otros Costos y Gastos'!F41</f>
        <v>1051639990432.6429</v>
      </c>
      <c r="G60" s="359">
        <f ca="1">'Otros Costos y Gastos'!G41</f>
        <v>1029421876839.9398</v>
      </c>
      <c r="H60" s="359">
        <f ca="1">'Otros Costos y Gastos'!H41</f>
        <v>1021188133404.7642</v>
      </c>
      <c r="I60" s="359">
        <f ca="1">'Otros Costos y Gastos'!I41</f>
        <v>1021188133404.7642</v>
      </c>
      <c r="J60" s="359">
        <f ca="1">'Otros Costos y Gastos'!J41</f>
        <v>1021188133404.7642</v>
      </c>
      <c r="K60" s="359">
        <f ca="1">'Otros Costos y Gastos'!K41</f>
        <v>1021188133404.7642</v>
      </c>
      <c r="L60" s="359">
        <f ca="1">'Otros Costos y Gastos'!L41</f>
        <v>1021188133404.7642</v>
      </c>
      <c r="M60" s="359">
        <f ca="1">'Otros Costos y Gastos'!M41</f>
        <v>1021188133404.7642</v>
      </c>
      <c r="N60" s="359">
        <f ca="1">'Otros Costos y Gastos'!N41</f>
        <v>1021188133404.7642</v>
      </c>
      <c r="O60" s="359">
        <f ca="1">'Otros Costos y Gastos'!O41</f>
        <v>1021188133404.7642</v>
      </c>
    </row>
    <row r="61" spans="1:15" s="314" customFormat="1">
      <c r="A61" s="314" t="s">
        <v>762</v>
      </c>
      <c r="B61" s="359"/>
      <c r="C61" s="440">
        <f>'P&amp;G'!C24</f>
        <v>433966000000</v>
      </c>
      <c r="D61" s="440">
        <f>'P&amp;G'!D24</f>
        <v>230749000000</v>
      </c>
      <c r="E61" s="440">
        <f ca="1">'P&amp;G'!E24</f>
        <v>359697962971.22205</v>
      </c>
      <c r="F61" s="440">
        <f ca="1">'P&amp;G'!F24</f>
        <v>714184990246.33899</v>
      </c>
      <c r="G61" s="440">
        <f ca="1">'P&amp;G'!G24</f>
        <v>739101984562.33887</v>
      </c>
      <c r="H61" s="440">
        <f ca="1">'P&amp;G'!H24</f>
        <v>859608870763.31689</v>
      </c>
      <c r="I61" s="440">
        <f ca="1">'P&amp;G'!I24</f>
        <v>886712143315.59009</v>
      </c>
      <c r="J61" s="440">
        <f ca="1">'P&amp;G'!J24</f>
        <v>-84390363501.79538</v>
      </c>
      <c r="K61" s="440">
        <f ca="1">'P&amp;G'!K24</f>
        <v>-69163105198.823654</v>
      </c>
      <c r="L61" s="440">
        <f ca="1">'P&amp;G'!L24</f>
        <v>859708009736.72595</v>
      </c>
      <c r="M61" s="440">
        <f ca="1">'P&amp;G'!M24</f>
        <v>-91570480638.413696</v>
      </c>
      <c r="N61" s="440">
        <f ca="1">'P&amp;G'!N24</f>
        <v>86805286642.763596</v>
      </c>
      <c r="O61" s="440">
        <f ca="1">'P&amp;G'!O24</f>
        <v>1203340471952.8787</v>
      </c>
    </row>
    <row r="62" spans="1:15" s="314" customFormat="1">
      <c r="A62" s="314" t="s">
        <v>730</v>
      </c>
      <c r="B62" s="359"/>
      <c r="C62" s="440">
        <v>0</v>
      </c>
      <c r="D62" s="440">
        <v>0</v>
      </c>
      <c r="E62" s="440">
        <f>'P&amp;G'!E45</f>
        <v>0</v>
      </c>
      <c r="F62" s="440">
        <f ca="1">'P&amp;G'!F45</f>
        <v>0</v>
      </c>
      <c r="G62" s="440">
        <f ca="1">'P&amp;G'!G45</f>
        <v>0</v>
      </c>
      <c r="H62" s="440">
        <f ca="1">'P&amp;G'!H45</f>
        <v>0</v>
      </c>
      <c r="I62" s="440">
        <f ca="1">'P&amp;G'!I45</f>
        <v>0</v>
      </c>
      <c r="J62" s="440">
        <f ca="1">'P&amp;G'!J45</f>
        <v>0</v>
      </c>
      <c r="K62" s="440">
        <f ca="1">'P&amp;G'!K45</f>
        <v>-96124694749.915924</v>
      </c>
      <c r="L62" s="440">
        <f ca="1">'P&amp;G'!L45</f>
        <v>-177749546586.94449</v>
      </c>
      <c r="M62" s="440">
        <f ca="1">'P&amp;G'!M45</f>
        <v>66943534648.139618</v>
      </c>
      <c r="N62" s="440">
        <f ca="1">'P&amp;G'!N45</f>
        <v>-31664482004.165009</v>
      </c>
      <c r="O62" s="440">
        <f ca="1">'P&amp;G'!O45</f>
        <v>0</v>
      </c>
    </row>
    <row r="63" spans="1:15" s="314" customFormat="1">
      <c r="A63" s="314" t="s">
        <v>1043</v>
      </c>
      <c r="B63" s="359"/>
      <c r="C63" s="440">
        <f>C30</f>
        <v>793084000000</v>
      </c>
      <c r="D63" s="440">
        <v>793084000000</v>
      </c>
      <c r="E63" s="440">
        <v>793084000000</v>
      </c>
      <c r="F63" s="440">
        <v>793084000000</v>
      </c>
      <c r="G63" s="440">
        <v>793084000000</v>
      </c>
      <c r="H63" s="440">
        <v>793084000000</v>
      </c>
      <c r="I63" s="440">
        <v>793084000000</v>
      </c>
      <c r="J63" s="440">
        <v>793084000000</v>
      </c>
      <c r="K63" s="440">
        <v>793084000000</v>
      </c>
      <c r="L63" s="440">
        <v>793084000000</v>
      </c>
      <c r="M63" s="440">
        <v>793084000000</v>
      </c>
      <c r="N63" s="440">
        <v>793084000000</v>
      </c>
      <c r="O63" s="440">
        <v>793084000000</v>
      </c>
    </row>
    <row r="64" spans="1:15" s="375" customFormat="1" ht="16.5" thickBot="1">
      <c r="A64" s="372" t="s">
        <v>763</v>
      </c>
      <c r="B64" s="374"/>
      <c r="C64" s="374">
        <f>SUM(C54:C63)</f>
        <v>4029450000000</v>
      </c>
      <c r="D64" s="374">
        <f>SUM(D54:D63)</f>
        <v>4042931000000</v>
      </c>
      <c r="E64" s="374">
        <f ca="1">SUM(E54:E63)</f>
        <v>4221617906317.6699</v>
      </c>
      <c r="F64" s="374">
        <f t="shared" ref="F64:O64" ca="1" si="14">SUM(F54:F63)</f>
        <v>4775085749569.4512</v>
      </c>
      <c r="G64" s="374">
        <f t="shared" ca="1" si="14"/>
        <v>4786883912365.043</v>
      </c>
      <c r="H64" s="374">
        <f t="shared" ca="1" si="14"/>
        <v>4908876251058.7861</v>
      </c>
      <c r="I64" s="374">
        <f t="shared" ca="1" si="14"/>
        <v>4946344451170.2734</v>
      </c>
      <c r="J64" s="374">
        <f t="shared" ca="1" si="14"/>
        <v>3986277616882.3511</v>
      </c>
      <c r="K64" s="374">
        <f t="shared" ca="1" si="14"/>
        <v>3917114511683.5273</v>
      </c>
      <c r="L64" s="374">
        <f t="shared" ca="1" si="14"/>
        <v>4776822521420.2539</v>
      </c>
      <c r="M64" s="374">
        <f t="shared" ca="1" si="14"/>
        <v>4083456433966.1318</v>
      </c>
      <c r="N64" s="374">
        <f t="shared" ca="1" si="14"/>
        <v>4170261720608.8955</v>
      </c>
      <c r="O64" s="374">
        <f t="shared" ca="1" si="14"/>
        <v>5332518542892.4492</v>
      </c>
    </row>
    <row r="65" spans="1:15" ht="16.5" thickTop="1">
      <c r="D65" s="309"/>
    </row>
    <row r="66" spans="1:15" s="375" customFormat="1" ht="16.5" thickBot="1">
      <c r="A66" s="372" t="s">
        <v>764</v>
      </c>
      <c r="B66" s="374"/>
      <c r="C66" s="374">
        <f t="shared" ref="C66:O66" si="15">C51+C64</f>
        <v>7555341000000</v>
      </c>
      <c r="D66" s="374">
        <f t="shared" si="15"/>
        <v>8351058000000</v>
      </c>
      <c r="E66" s="374">
        <f t="shared" ca="1" si="15"/>
        <v>8728967948564.7119</v>
      </c>
      <c r="F66" s="374">
        <f t="shared" ca="1" si="15"/>
        <v>9174369180002.3906</v>
      </c>
      <c r="G66" s="374">
        <f t="shared" ca="1" si="15"/>
        <v>8897125851039.4473</v>
      </c>
      <c r="H66" s="374">
        <f t="shared" ca="1" si="15"/>
        <v>8847738624540.0215</v>
      </c>
      <c r="I66" s="374">
        <f t="shared" ca="1" si="15"/>
        <v>8635418441266.5791</v>
      </c>
      <c r="J66" s="374">
        <f t="shared" ca="1" si="15"/>
        <v>7729275319551.7891</v>
      </c>
      <c r="K66" s="374">
        <f t="shared" ca="1" si="15"/>
        <v>7098002148695.2178</v>
      </c>
      <c r="L66" s="374">
        <f t="shared" ca="1" si="15"/>
        <v>7055513859467.6016</v>
      </c>
      <c r="M66" s="374">
        <f t="shared" ca="1" si="15"/>
        <v>6862717660850.5879</v>
      </c>
      <c r="N66" s="374">
        <f t="shared" ca="1" si="15"/>
        <v>6588423083799.9756</v>
      </c>
      <c r="O66" s="374">
        <f t="shared" ca="1" si="15"/>
        <v>7080015531020.5449</v>
      </c>
    </row>
    <row r="67" spans="1:15" ht="16.5" thickTop="1">
      <c r="D67" s="309"/>
    </row>
    <row r="68" spans="1:15" ht="16.5" thickBot="1">
      <c r="A68" s="418" t="s">
        <v>765</v>
      </c>
      <c r="B68" s="419"/>
      <c r="C68" s="626">
        <f t="shared" ref="C68:O68" si="16">C32-C66</f>
        <v>0</v>
      </c>
      <c r="D68" s="626">
        <f t="shared" si="16"/>
        <v>0</v>
      </c>
      <c r="E68" s="625">
        <f t="shared" ca="1" si="16"/>
        <v>0</v>
      </c>
      <c r="F68" s="625">
        <f t="shared" ca="1" si="16"/>
        <v>0</v>
      </c>
      <c r="G68" s="625">
        <f t="shared" ca="1" si="16"/>
        <v>0</v>
      </c>
      <c r="H68" s="625">
        <f t="shared" ca="1" si="16"/>
        <v>0</v>
      </c>
      <c r="I68" s="625">
        <f t="shared" ca="1" si="16"/>
        <v>0</v>
      </c>
      <c r="J68" s="625">
        <f t="shared" ca="1" si="16"/>
        <v>0</v>
      </c>
      <c r="K68" s="625">
        <f t="shared" ca="1" si="16"/>
        <v>0</v>
      </c>
      <c r="L68" s="625">
        <f t="shared" ca="1" si="16"/>
        <v>0</v>
      </c>
      <c r="M68" s="625">
        <f t="shared" ca="1" si="16"/>
        <v>0</v>
      </c>
      <c r="N68" s="625">
        <f t="shared" ca="1" si="16"/>
        <v>0</v>
      </c>
      <c r="O68" s="625">
        <f t="shared" ca="1" si="16"/>
        <v>7.8125E-3</v>
      </c>
    </row>
    <row r="69" spans="1:15" ht="16.5" thickTop="1">
      <c r="E69" s="420"/>
      <c r="F69" s="420"/>
      <c r="G69" s="420"/>
      <c r="H69" s="420"/>
      <c r="I69" s="420"/>
      <c r="J69" s="420"/>
      <c r="K69" s="420"/>
      <c r="L69" s="420"/>
      <c r="M69" s="420"/>
      <c r="N69" s="420"/>
      <c r="O69" s="420"/>
    </row>
    <row r="70" spans="1:15" s="421" customFormat="1"/>
    <row r="71" spans="1:15">
      <c r="C71" s="309"/>
      <c r="D71" s="309"/>
      <c r="E71" s="309"/>
      <c r="F71" s="309"/>
      <c r="G71" s="309"/>
      <c r="H71" s="309"/>
      <c r="I71" s="309"/>
      <c r="J71" s="309"/>
      <c r="K71" s="309"/>
      <c r="L71" s="309"/>
      <c r="M71" s="309"/>
      <c r="N71" s="309"/>
      <c r="O71" s="309"/>
    </row>
    <row r="72" spans="1:15">
      <c r="C72" s="309"/>
      <c r="D72" s="309"/>
      <c r="E72" s="309"/>
      <c r="F72" s="309"/>
      <c r="G72" s="309"/>
      <c r="H72" s="309"/>
      <c r="I72" s="309"/>
      <c r="J72" s="309"/>
      <c r="K72" s="309"/>
      <c r="L72" s="309"/>
      <c r="M72" s="309"/>
      <c r="N72" s="309"/>
      <c r="O72" s="309"/>
    </row>
    <row r="73" spans="1:15">
      <c r="C73" s="309"/>
      <c r="D73" s="309"/>
      <c r="E73" s="309"/>
      <c r="F73" s="309"/>
      <c r="G73" s="309"/>
      <c r="H73" s="309"/>
      <c r="I73" s="309"/>
      <c r="J73" s="309"/>
      <c r="K73" s="309"/>
      <c r="L73" s="309"/>
      <c r="M73" s="309"/>
      <c r="N73" s="309"/>
      <c r="O73" s="309"/>
    </row>
    <row r="74" spans="1:15">
      <c r="C74" s="309"/>
      <c r="D74" s="309"/>
      <c r="E74" s="309"/>
      <c r="F74" s="309"/>
      <c r="G74" s="309"/>
      <c r="H74" s="309"/>
      <c r="I74" s="309"/>
      <c r="J74" s="309"/>
      <c r="K74" s="309"/>
      <c r="L74" s="309"/>
      <c r="M74" s="309"/>
      <c r="N74" s="309"/>
      <c r="O74" s="309"/>
    </row>
    <row r="75" spans="1:15">
      <c r="D75" s="309"/>
      <c r="E75" s="309"/>
      <c r="F75" s="309"/>
      <c r="G75" s="309"/>
      <c r="H75" s="309"/>
      <c r="I75" s="309"/>
      <c r="J75" s="309"/>
      <c r="K75" s="309"/>
      <c r="L75" s="309"/>
      <c r="M75" s="309"/>
      <c r="N75" s="309"/>
      <c r="O75" s="309"/>
    </row>
    <row r="76" spans="1:15">
      <c r="E76" s="309"/>
      <c r="F76" s="309"/>
    </row>
    <row r="77" spans="1:15">
      <c r="D77" s="309"/>
      <c r="E77" s="309"/>
      <c r="F77" s="309"/>
      <c r="G77" s="309"/>
      <c r="H77" s="309"/>
      <c r="I77" s="309"/>
      <c r="J77" s="309"/>
      <c r="K77" s="309"/>
      <c r="L77" s="309"/>
      <c r="M77" s="309"/>
      <c r="N77" s="309"/>
      <c r="O77" s="309"/>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
  <dimension ref="A2:O44"/>
  <sheetViews>
    <sheetView showGridLines="0" topLeftCell="A25" workbookViewId="0">
      <selection activeCell="N29" sqref="N29"/>
    </sheetView>
  </sheetViews>
  <sheetFormatPr baseColWidth="10" defaultRowHeight="15.75"/>
  <cols>
    <col min="1" max="1" width="39.7109375" style="302" customWidth="1"/>
    <col min="2" max="2" width="10.5703125" style="302" bestFit="1" customWidth="1"/>
    <col min="3" max="3" width="21.28515625" style="302" bestFit="1" customWidth="1"/>
    <col min="4" max="4" width="20.7109375" style="355" customWidth="1"/>
    <col min="5" max="9" width="20" style="302" bestFit="1" customWidth="1"/>
    <col min="10" max="10" width="21.5703125" style="302" bestFit="1" customWidth="1"/>
    <col min="11" max="12" width="20.85546875" style="302" bestFit="1" customWidth="1"/>
    <col min="13" max="15" width="20" style="302" bestFit="1" customWidth="1"/>
    <col min="16" max="16384" width="11.42578125" style="302"/>
  </cols>
  <sheetData>
    <row r="2" spans="1:15" ht="21">
      <c r="A2" s="300" t="str">
        <f>Nombre_Empresa</f>
        <v>ISAGEN</v>
      </c>
      <c r="B2" s="423"/>
      <c r="C2" s="309"/>
      <c r="E2" s="309"/>
      <c r="F2" s="309"/>
      <c r="G2" s="309"/>
      <c r="H2" s="309"/>
      <c r="I2" s="309"/>
      <c r="J2" s="309"/>
      <c r="K2" s="309"/>
      <c r="L2" s="309"/>
      <c r="M2" s="309"/>
      <c r="N2" s="309"/>
    </row>
    <row r="3" spans="1:15">
      <c r="C3" s="303"/>
      <c r="D3" s="434"/>
      <c r="E3" s="303"/>
      <c r="F3" s="303"/>
      <c r="G3" s="303"/>
      <c r="H3" s="303"/>
      <c r="I3" s="303"/>
      <c r="J3" s="303"/>
      <c r="K3" s="303"/>
      <c r="L3" s="303"/>
      <c r="M3" s="303"/>
      <c r="N3" s="303"/>
      <c r="O3" s="303"/>
    </row>
    <row r="4" spans="1:15" ht="16.5" thickBot="1">
      <c r="A4" s="304" t="s">
        <v>785</v>
      </c>
      <c r="B4" s="305"/>
      <c r="C4" s="345">
        <f>'Datos Generales'!D21</f>
        <v>2013</v>
      </c>
      <c r="D4" s="322">
        <f>'Datos Generales'!E21</f>
        <v>41820</v>
      </c>
      <c r="E4" s="305">
        <f>YEAR('Datos Generales'!F21)</f>
        <v>2014</v>
      </c>
      <c r="F4" s="305">
        <f>'Datos Generales'!G21</f>
        <v>2015</v>
      </c>
      <c r="G4" s="305">
        <f>'Datos Generales'!H21</f>
        <v>2016</v>
      </c>
      <c r="H4" s="305">
        <f>'Datos Generales'!I21</f>
        <v>2017</v>
      </c>
      <c r="I4" s="305">
        <f>'Datos Generales'!J21</f>
        <v>2018</v>
      </c>
      <c r="J4" s="305">
        <f>'Datos Generales'!K21</f>
        <v>2019</v>
      </c>
      <c r="K4" s="305">
        <f>'Datos Generales'!L21</f>
        <v>2020</v>
      </c>
      <c r="L4" s="305">
        <f>'Datos Generales'!M21</f>
        <v>2021</v>
      </c>
      <c r="M4" s="305">
        <f>'Datos Generales'!N21</f>
        <v>2022</v>
      </c>
      <c r="N4" s="305">
        <f>'Datos Generales'!O21</f>
        <v>2023</v>
      </c>
      <c r="O4" s="305">
        <f>'Datos Generales'!P21</f>
        <v>2024</v>
      </c>
    </row>
    <row r="5" spans="1:15" ht="16.5" thickTop="1"/>
    <row r="6" spans="1:15">
      <c r="A6" s="306" t="s">
        <v>470</v>
      </c>
      <c r="B6" s="306"/>
    </row>
    <row r="7" spans="1:15">
      <c r="A7" s="302" t="s">
        <v>786</v>
      </c>
      <c r="B7" s="309"/>
      <c r="C7" s="309">
        <f>2002814000000-417000000</f>
        <v>2002397000000</v>
      </c>
      <c r="D7" s="309">
        <f>'P&amp;G'!D7+'Balance General'!C9-'Balance General'!D9</f>
        <v>1176188698630</v>
      </c>
      <c r="E7" s="309">
        <f>'P&amp;G'!E7+'Balance General'!D9-'Balance General'!E9+'Balance General'!E40-'Balance General'!D40</f>
        <v>1240861298391.2837</v>
      </c>
      <c r="F7" s="309">
        <f>'P&amp;G'!F7+'Balance General'!E9-'Balance General'!F9+'Balance General'!F40-'Balance General'!E40</f>
        <v>3080822293483.9746</v>
      </c>
      <c r="G7" s="309">
        <f>'P&amp;G'!G7+'Balance General'!F9-'Balance General'!G9+'Balance General'!G40-'Balance General'!F40</f>
        <v>3018777732049.7456</v>
      </c>
      <c r="H7" s="309">
        <f>'P&amp;G'!H7+'Balance General'!G9-'Balance General'!H9+'Balance General'!H40-'Balance General'!G40</f>
        <v>3294088731851.6831</v>
      </c>
      <c r="I7" s="309">
        <f>'P&amp;G'!I7+'Balance General'!H9-'Balance General'!I9+'Balance General'!I40-'Balance General'!H40</f>
        <v>3473406887024.6709</v>
      </c>
      <c r="J7" s="309">
        <f>'P&amp;G'!J7+'Balance General'!I9-'Balance General'!J9+'Balance General'!J40-'Balance General'!I40</f>
        <v>1893280819554.9207</v>
      </c>
      <c r="K7" s="309">
        <f>'P&amp;G'!K7+'Balance General'!J9-'Balance General'!K9+'Balance General'!K40-'Balance General'!J40</f>
        <v>1874734941657.1221</v>
      </c>
      <c r="L7" s="309">
        <f>'P&amp;G'!L7+'Balance General'!K9-'Balance General'!L9+'Balance General'!L40-'Balance General'!K40</f>
        <v>2900607477901.5332</v>
      </c>
      <c r="M7" s="309">
        <f>'P&amp;G'!M7+'Balance General'!L9-'Balance General'!M9+'Balance General'!M40-'Balance General'!L40</f>
        <v>1893955339047.5225</v>
      </c>
      <c r="N7" s="309">
        <f>'P&amp;G'!N7+'Balance General'!M9-'Balance General'!N9+'Balance General'!N40-'Balance General'!M40</f>
        <v>2082226481612.5454</v>
      </c>
      <c r="O7" s="309">
        <f>'P&amp;G'!O7+'Balance General'!N9-'Balance General'!O9+'Balance General'!O40-'Balance General'!N40</f>
        <v>3573421768953.9263</v>
      </c>
    </row>
    <row r="8" spans="1:15">
      <c r="A8" s="302" t="s">
        <v>807</v>
      </c>
      <c r="B8" s="309"/>
      <c r="C8" s="309">
        <v>91498000000</v>
      </c>
      <c r="D8" s="309">
        <f>(189899-57996-57129.9666)*M+'Balance General'!C15-'Balance General'!D15+'Balance General'!C27-'Balance General'!D27</f>
        <v>85694084770</v>
      </c>
      <c r="E8" s="309"/>
      <c r="F8" s="309"/>
      <c r="G8" s="309"/>
      <c r="H8" s="309"/>
      <c r="I8" s="309"/>
      <c r="J8" s="309"/>
      <c r="K8" s="309"/>
      <c r="L8" s="309"/>
      <c r="M8" s="309"/>
      <c r="N8" s="309"/>
      <c r="O8" s="309"/>
    </row>
    <row r="9" spans="1:15">
      <c r="A9" s="302" t="s">
        <v>787</v>
      </c>
      <c r="B9" s="309"/>
      <c r="C9" s="309">
        <v>0</v>
      </c>
      <c r="D9" s="309">
        <f>'Balance General'!D54-'Balance General'!C54</f>
        <v>0</v>
      </c>
      <c r="E9" s="309">
        <f>'Balance General'!E54-'Balance General'!D54</f>
        <v>0</v>
      </c>
      <c r="F9" s="309">
        <f>'Balance General'!F54-'Balance General'!E54</f>
        <v>0</v>
      </c>
      <c r="G9" s="309">
        <f>'Balance General'!G54-'Balance General'!F54</f>
        <v>0</v>
      </c>
      <c r="H9" s="309">
        <f>'Balance General'!H54-'Balance General'!G54</f>
        <v>0</v>
      </c>
      <c r="I9" s="309">
        <f>'Balance General'!I54-'Balance General'!H54</f>
        <v>0</v>
      </c>
      <c r="J9" s="309">
        <f>'Balance General'!J54-'Balance General'!I54</f>
        <v>0</v>
      </c>
      <c r="K9" s="309">
        <f>'Balance General'!K54-'Balance General'!J54</f>
        <v>0</v>
      </c>
      <c r="L9" s="309">
        <f>'Balance General'!L54-'Balance General'!K54</f>
        <v>0</v>
      </c>
      <c r="M9" s="309">
        <f>'Balance General'!M54-'Balance General'!L54</f>
        <v>0</v>
      </c>
      <c r="N9" s="309">
        <f>'Balance General'!N54-'Balance General'!M54</f>
        <v>0</v>
      </c>
      <c r="O9" s="309">
        <f>'Balance General'!O54-'Balance General'!N54</f>
        <v>0</v>
      </c>
    </row>
    <row r="10" spans="1:15">
      <c r="A10" s="302" t="s">
        <v>788</v>
      </c>
      <c r="B10" s="309"/>
      <c r="C10" s="309">
        <f>389000000000+106716000000+659000000+19635000000+13092000000</f>
        <v>529102000000</v>
      </c>
      <c r="D10" s="309">
        <f>Financiacion!D21+Financiacion!D33</f>
        <v>683573500000</v>
      </c>
      <c r="E10" s="309">
        <f>Financiacion!E21+Financiacion!E33</f>
        <v>409080573936.91125</v>
      </c>
      <c r="F10" s="309">
        <f>Financiacion!F21+Financiacion!F33</f>
        <v>0</v>
      </c>
      <c r="G10" s="309">
        <f>Financiacion!G21+Financiacion!G33</f>
        <v>0</v>
      </c>
      <c r="H10" s="309">
        <f>Financiacion!H21+Financiacion!H33</f>
        <v>0</v>
      </c>
      <c r="I10" s="309">
        <f>Financiacion!I21+Financiacion!I33</f>
        <v>0</v>
      </c>
      <c r="J10" s="309">
        <f>Financiacion!J21+Financiacion!J33</f>
        <v>0</v>
      </c>
      <c r="K10" s="309">
        <f>Financiacion!K21+Financiacion!K33</f>
        <v>0</v>
      </c>
      <c r="L10" s="309">
        <f>Financiacion!L21+Financiacion!L33</f>
        <v>0</v>
      </c>
      <c r="M10" s="309">
        <f>Financiacion!M21+Financiacion!M33</f>
        <v>0</v>
      </c>
      <c r="N10" s="309">
        <f>Financiacion!N21+Financiacion!N33</f>
        <v>0</v>
      </c>
      <c r="O10" s="309">
        <f>Financiacion!O21+Financiacion!O33</f>
        <v>0</v>
      </c>
    </row>
    <row r="11" spans="1:15">
      <c r="A11" s="424" t="s">
        <v>789</v>
      </c>
      <c r="B11" s="424"/>
      <c r="C11" s="359"/>
      <c r="D11" s="452"/>
      <c r="E11" s="425"/>
      <c r="F11" s="425"/>
      <c r="G11" s="425"/>
      <c r="H11" s="425"/>
      <c r="I11" s="425"/>
      <c r="J11" s="425"/>
      <c r="K11" s="425"/>
      <c r="L11" s="425"/>
      <c r="M11" s="425"/>
      <c r="N11" s="425"/>
      <c r="O11" s="425"/>
    </row>
    <row r="12" spans="1:15" ht="15.75" customHeight="1">
      <c r="A12" s="424" t="s">
        <v>639</v>
      </c>
      <c r="B12" s="424"/>
      <c r="C12" s="359"/>
      <c r="D12" s="452"/>
      <c r="E12" s="425">
        <v>0</v>
      </c>
      <c r="F12" s="425">
        <v>0</v>
      </c>
      <c r="G12" s="425">
        <v>0</v>
      </c>
      <c r="H12" s="425">
        <v>0</v>
      </c>
      <c r="I12" s="425">
        <v>0</v>
      </c>
      <c r="J12" s="425">
        <v>1031907482292.0579</v>
      </c>
      <c r="K12" s="425">
        <v>784210732945.28162</v>
      </c>
      <c r="L12" s="425">
        <v>0</v>
      </c>
      <c r="M12" s="425">
        <v>1013450252632.5413</v>
      </c>
      <c r="N12" s="425">
        <v>946709256002.36133</v>
      </c>
      <c r="O12" s="425">
        <v>0</v>
      </c>
    </row>
    <row r="13" spans="1:15">
      <c r="A13" s="302" t="s">
        <v>790</v>
      </c>
      <c r="B13" s="309"/>
      <c r="C13" s="309">
        <f>C37</f>
        <v>43874000000</v>
      </c>
      <c r="D13" s="309">
        <f>D37</f>
        <v>19777000000</v>
      </c>
      <c r="E13" s="309">
        <f>E37</f>
        <v>6014220875.2537498</v>
      </c>
      <c r="F13" s="309">
        <f t="shared" ref="F13:O13" si="0">F37</f>
        <v>17640586289.398102</v>
      </c>
      <c r="G13" s="309">
        <f t="shared" ca="1" si="0"/>
        <v>41455170628.683563</v>
      </c>
      <c r="H13" s="309">
        <f t="shared" ca="1" si="0"/>
        <v>27406396359.511684</v>
      </c>
      <c r="I13" s="309">
        <f t="shared" ca="1" si="0"/>
        <v>29565274501.615566</v>
      </c>
      <c r="J13" s="309">
        <f t="shared" ca="1" si="0"/>
        <v>22942089481.174812</v>
      </c>
      <c r="K13" s="309">
        <f t="shared" ca="1" si="0"/>
        <v>-1.272336959838868E-5</v>
      </c>
      <c r="L13" s="309">
        <f t="shared" ca="1" si="0"/>
        <v>1.0744178771972663E-5</v>
      </c>
      <c r="M13" s="309">
        <f t="shared" ca="1" si="0"/>
        <v>1728137971.7137475</v>
      </c>
      <c r="N13" s="309">
        <f t="shared" ca="1" si="0"/>
        <v>3.6756401062011742E-6</v>
      </c>
      <c r="O13" s="309">
        <f t="shared" ca="1" si="0"/>
        <v>-1.7529975891113292E-5</v>
      </c>
    </row>
    <row r="14" spans="1:15" s="375" customFormat="1" ht="16.5" thickBot="1">
      <c r="A14" s="372" t="s">
        <v>791</v>
      </c>
      <c r="B14" s="374"/>
      <c r="C14" s="374">
        <f>SUM(C7:C13)</f>
        <v>2666871000000</v>
      </c>
      <c r="D14" s="374">
        <f t="shared" ref="D14:O14" si="1">SUM(D7:D13)</f>
        <v>1965233283400</v>
      </c>
      <c r="E14" s="374">
        <f t="shared" si="1"/>
        <v>1655956093203.4485</v>
      </c>
      <c r="F14" s="374">
        <f t="shared" si="1"/>
        <v>3098462879773.3726</v>
      </c>
      <c r="G14" s="374">
        <f t="shared" ca="1" si="1"/>
        <v>3060232902678.4292</v>
      </c>
      <c r="H14" s="374">
        <f t="shared" ca="1" si="1"/>
        <v>3321495128211.1948</v>
      </c>
      <c r="I14" s="374">
        <f t="shared" ca="1" si="1"/>
        <v>3502972161526.2866</v>
      </c>
      <c r="J14" s="374">
        <f t="shared" ca="1" si="1"/>
        <v>2948130391328.1533</v>
      </c>
      <c r="K14" s="374">
        <f t="shared" ca="1" si="1"/>
        <v>2658945674602.4038</v>
      </c>
      <c r="L14" s="374">
        <f t="shared" ca="1" si="1"/>
        <v>2900607477901.5332</v>
      </c>
      <c r="M14" s="374">
        <f t="shared" ca="1" si="1"/>
        <v>2909133729651.7773</v>
      </c>
      <c r="N14" s="374">
        <f t="shared" ca="1" si="1"/>
        <v>3028935737614.9067</v>
      </c>
      <c r="O14" s="374">
        <f t="shared" ca="1" si="1"/>
        <v>3573421768953.9263</v>
      </c>
    </row>
    <row r="15" spans="1:15" ht="16.5" thickTop="1">
      <c r="C15" s="448"/>
    </row>
    <row r="16" spans="1:15">
      <c r="A16" s="306" t="s">
        <v>792</v>
      </c>
      <c r="B16" s="306"/>
      <c r="C16" s="309"/>
    </row>
    <row r="17" spans="1:15">
      <c r="A17" s="302" t="s">
        <v>793</v>
      </c>
      <c r="B17" s="309"/>
      <c r="C17" s="309">
        <f>((350575+10633+12582+69167-52897)*M)-('P&amp;G'!C8+'P&amp;G'!C9+'P&amp;G'!C12+'P&amp;G'!C16)-((234473+12208+67053+49752-50171)*M)+(6908+11636-306+2214.733634)*M</f>
        <v>1399376733634</v>
      </c>
      <c r="D17" s="309">
        <f>-('P&amp;G'!D8+'P&amp;G'!D9+'P&amp;G'!D12)+'Balance General'!C37-'Balance General'!D37+'Balance General'!C40+'Balance General'!C47+'Balance General'!C48-'Balance General'!D40-'Balance General'!D47-'Balance General'!D48-'Balance General'!C11+'Balance General'!D11</f>
        <v>751216095000</v>
      </c>
      <c r="E17" s="309">
        <f>-('P&amp;G'!E8+'P&amp;G'!E9+'P&amp;G'!E12)+'Balance General'!D37-'Balance General'!E37+'Balance General'!D47-'Balance General'!E47-'Balance General'!D11+'Balance General'!E11</f>
        <v>714621388432.86719</v>
      </c>
      <c r="F17" s="309">
        <f>-('P&amp;G'!F8+'P&amp;G'!F9+'P&amp;G'!F12)+'Balance General'!E37-'Balance General'!F37+'Balance General'!E47-'Balance General'!F47-'Balance General'!E11+'Balance General'!F11</f>
        <v>1446895216354.0862</v>
      </c>
      <c r="G17" s="309">
        <f>-('P&amp;G'!G8+'P&amp;G'!G9+'P&amp;G'!G12)+'Balance General'!F37-'Balance General'!G37+'Balance General'!F47-'Balance General'!G47-'Balance General'!F11+'Balance General'!G11</f>
        <v>1323320188544.4856</v>
      </c>
      <c r="H17" s="309">
        <f>-('P&amp;G'!H8+'P&amp;G'!H9+'P&amp;G'!H12)+'Balance General'!G37-'Balance General'!H37+'Balance General'!G47-'Balance General'!H47-'Balance General'!G11+'Balance General'!H11</f>
        <v>1385054907670.5071</v>
      </c>
      <c r="I17" s="309">
        <f>-('P&amp;G'!I8+'P&amp;G'!I9+'P&amp;G'!I12)+'Balance General'!H37-'Balance General'!I37+'Balance General'!H47-'Balance General'!I47-'Balance General'!H11+'Balance General'!I11</f>
        <v>1515659786501.4717</v>
      </c>
      <c r="J17" s="309">
        <f>-('P&amp;G'!J8+'P&amp;G'!J9+'P&amp;G'!J12)+'Balance General'!I37-'Balance General'!J37+'Balance General'!I47-'Balance General'!J47-'Balance General'!I11+'Balance General'!J11</f>
        <v>1426850130609.9741</v>
      </c>
      <c r="K17" s="309">
        <f>-('P&amp;G'!K8+'P&amp;G'!K9+'P&amp;G'!K12)+'Balance General'!J37-'Balance General'!K37+'Balance General'!J47-'Balance General'!K47-'Balance General'!J11+'Balance General'!K11</f>
        <v>1441433878102.1084</v>
      </c>
      <c r="L17" s="309">
        <f>-('P&amp;G'!L8+'P&amp;G'!L9+'P&amp;G'!L12)+'Balance General'!K37-'Balance General'!L37+'Balance General'!K47-'Balance General'!L47-'Balance General'!K11+'Balance General'!L11</f>
        <v>1505871735983.926</v>
      </c>
      <c r="M17" s="309">
        <f>-('P&amp;G'!M8+'P&amp;G'!M9+'P&amp;G'!M12)+'Balance General'!L37-'Balance General'!M37+'Balance General'!L47-'Balance General'!M47-'Balance General'!L11+'Balance General'!M11</f>
        <v>1535941696032.9763</v>
      </c>
      <c r="N17" s="309">
        <f>-('P&amp;G'!N8+'P&amp;G'!N9+'P&amp;G'!N12)+'Balance General'!M37-'Balance General'!N37+'Balance General'!M47-'Balance General'!N47-'Balance General'!M11+'Balance General'!N11</f>
        <v>1612806654502.5991</v>
      </c>
      <c r="O17" s="309">
        <f>-('P&amp;G'!O8+'P&amp;G'!O9+'P&amp;G'!O12)+'Balance General'!N37-'Balance General'!O37+'Balance General'!N47-'Balance General'!O47-'Balance General'!N11+'Balance General'!O11</f>
        <v>1687314867320.7739</v>
      </c>
    </row>
    <row r="18" spans="1:15">
      <c r="A18" s="302" t="s">
        <v>794</v>
      </c>
      <c r="B18" s="309"/>
      <c r="C18" s="359">
        <f>(52897+'Proyecto Sogamoso'!G12-50171)*M+0.26</f>
        <v>827461096877.99683</v>
      </c>
      <c r="D18" s="355">
        <f>('Proyecto Sogamoso'!H12*M)+'Balance General'!C45-'Balance General'!D45+'Balance General'!C38-'Balance General'!D38-'Balance General'!C13+'Balance General'!D13-'Balance General'!C24+'Balance General'!D24-'Balance General'!C26+'Balance General'!D26</f>
        <v>381030574499.75989</v>
      </c>
      <c r="E18" s="309">
        <f>('Proyecto Sogamoso'!I12*M)+'Activos fijos'!E17+'Balance General'!D45-'Balance General'!E45+'Balance General'!D38-'Balance General'!E38-'Balance General'!D13+'Balance General'!E13-'Balance General'!D24+'Balance General'!E24-'Balance General'!D26+'Balance General'!E26</f>
        <v>557451752024.75757</v>
      </c>
      <c r="F18" s="309">
        <f>('Proyecto Sogamoso'!J12*M)+'Activos fijos'!F17+'Balance General'!E45-'Balance General'!F45+'Balance General'!E38-'Balance General'!F38-'Balance General'!E13+'Balance General'!F13-'Balance General'!E24+'Balance General'!F24-'Balance General'!E26+'Balance General'!F26</f>
        <v>96697496012.956848</v>
      </c>
      <c r="G18" s="309">
        <f>('Proyecto Sogamoso'!K12*M)+'Activos fijos'!G17+'Balance General'!F45-'Balance General'!G45+'Balance General'!F38-'Balance General'!G38-'Balance General'!F13+'Balance General'!G13-'Balance General'!F24+'Balance General'!G24-'Balance General'!F26+'Balance General'!G26</f>
        <v>33573638711.589737</v>
      </c>
      <c r="H18" s="309">
        <f>('Proyecto Sogamoso'!L12*M)+'Activos fijos'!H17+'Balance General'!G45-'Balance General'!H45+'Balance General'!G38-'Balance General'!H38-'Balance General'!G13+'Balance General'!H13-'Balance General'!G24+'Balance General'!H24-'Balance General'!G26+'Balance General'!H26</f>
        <v>35423648894.14267</v>
      </c>
      <c r="I18" s="309">
        <f>('Proyecto Sogamoso'!M12*M)+'Activos fijos'!I17+'Balance General'!H45-'Balance General'!I45+'Balance General'!H38-'Balance General'!I38-'Balance General'!H13+'Balance General'!I13-'Balance General'!H24+'Balance General'!I24-'Balance General'!H26+'Balance General'!I26</f>
        <v>36898950358.472214</v>
      </c>
      <c r="J18" s="309">
        <f>('Proyecto Sogamoso'!N12*M)+'Activos fijos'!J17+'Balance General'!I45-'Balance General'!J45+'Balance General'!I38-'Balance General'!J38-'Balance General'!I13+'Balance General'!J13-'Balance General'!I24+'Balance General'!J24-'Balance General'!I26+'Balance General'!J26</f>
        <v>38328284014.180855</v>
      </c>
      <c r="K18" s="309">
        <f>('Proyecto Sogamoso'!O12*M)+'Activos fijos'!K17+'Balance General'!J45-'Balance General'!K45+'Balance General'!J38-'Balance General'!K38-'Balance General'!J13+'Balance General'!K13-'Balance General'!J24+'Balance General'!K24-'Balance General'!J26+'Balance General'!K26</f>
        <v>39923355351.873466</v>
      </c>
      <c r="L18" s="309">
        <f>('Proyecto Sogamoso'!P12*M)+'Activos fijos'!L17+'Balance General'!K45-'Balance General'!L45+'Balance General'!K38-'Balance General'!L38-'Balance General'!K13+'Balance General'!L13-'Balance General'!K24+'Balance General'!L24-'Balance General'!K26+'Balance General'!L26</f>
        <v>41566593719.100731</v>
      </c>
      <c r="M18" s="309">
        <f>('Proyecto Sogamoso'!Q12*M)+'Activos fijos'!M17+'Balance General'!L45-'Balance General'!M45+'Balance General'!L38-'Balance General'!M38-'Balance General'!L13+'Balance General'!M13-'Balance General'!L24+'Balance General'!M24-'Balance General'!L26+'Balance General'!M26</f>
        <v>43290002727.361076</v>
      </c>
      <c r="N18" s="309">
        <f>('Proyecto Sogamoso'!R12*M)+'Activos fijos'!N17+'Balance General'!M45-'Balance General'!N45+'Balance General'!M38-'Balance General'!N38-'Balance General'!M13+'Balance General'!N13-'Balance General'!M24+'Balance General'!N24-'Balance General'!M26+'Balance General'!N26</f>
        <v>45083104454.698402</v>
      </c>
      <c r="O18" s="309">
        <f>('Proyecto Sogamoso'!S12*M)+'Activos fijos'!O17+'Balance General'!N45-'Balance General'!O45+'Balance General'!N38-'Balance General'!O38-'Balance General'!N13+'Balance General'!O13-'Balance General'!N24+'Balance General'!O24-'Balance General'!N26+'Balance General'!O26</f>
        <v>46947168879.014709</v>
      </c>
    </row>
    <row r="19" spans="1:15">
      <c r="A19" s="302" t="s">
        <v>795</v>
      </c>
      <c r="B19" s="309"/>
      <c r="C19" s="359">
        <f>'Proyecto Sogamoso'!G13+(-'P&amp;G'!C18)+0.15</f>
        <v>60735169488.001091</v>
      </c>
      <c r="D19" s="309">
        <f>-'P&amp;G'!D18+'Proyecto Sogamoso'!H13*M</f>
        <v>116018425500.23999</v>
      </c>
      <c r="E19" s="309">
        <f>-'P&amp;G'!E18+'Proyecto Sogamoso'!I13*M</f>
        <v>164610133090.42432</v>
      </c>
      <c r="F19" s="309">
        <f>-'P&amp;G'!F18+'Proyecto Sogamoso'!J13*M</f>
        <v>315621613260.50494</v>
      </c>
      <c r="G19" s="309">
        <f>-'P&amp;G'!G18+'Proyecto Sogamoso'!K13*M</f>
        <v>281071925850.31396</v>
      </c>
      <c r="H19" s="309">
        <f>-'P&amp;G'!H18+'Proyecto Sogamoso'!L13*M</f>
        <v>246522238440.12286</v>
      </c>
      <c r="I19" s="309">
        <f>-'P&amp;G'!I18+'Proyecto Sogamoso'!M13*M</f>
        <v>211972551029.93179</v>
      </c>
      <c r="J19" s="309">
        <f>-'P&amp;G'!J18+'Proyecto Sogamoso'!N13*M</f>
        <v>216559355652.22128</v>
      </c>
      <c r="K19" s="309">
        <f>-'P&amp;G'!K18+'Proyecto Sogamoso'!O13*M</f>
        <v>211751924818.68359</v>
      </c>
      <c r="L19" s="309">
        <f>-'P&amp;G'!L18+'Proyecto Sogamoso'!P13*M</f>
        <v>138065745376.01196</v>
      </c>
      <c r="M19" s="309">
        <f>-'P&amp;G'!M18+'Proyecto Sogamoso'!Q13*M</f>
        <v>112210277931.97762</v>
      </c>
      <c r="N19" s="309">
        <f>-'P&amp;G'!N18+'Proyecto Sogamoso'!R13*M</f>
        <v>114508989076.49409</v>
      </c>
      <c r="O19" s="309">
        <f>-'P&amp;G'!O18+'Proyecto Sogamoso'!S13*M</f>
        <v>47823033691.648033</v>
      </c>
    </row>
    <row r="20" spans="1:15">
      <c r="A20" s="302" t="s">
        <v>796</v>
      </c>
      <c r="B20" s="309"/>
      <c r="C20" s="309">
        <v>23812000000</v>
      </c>
      <c r="D20" s="309">
        <f>-Financiacion!D25-Financiacion!D37</f>
        <v>26444500000</v>
      </c>
      <c r="E20" s="309">
        <f>-Financiacion!E25-Financiacion!E37-Financiacion!E45</f>
        <v>58673355000</v>
      </c>
      <c r="F20" s="309">
        <f>-Financiacion!F25-Financiacion!F37-Financiacion!F45</f>
        <v>378407607393.6911</v>
      </c>
      <c r="G20" s="309">
        <f>-Financiacion!G25-Financiacion!G37-Financiacion!G45</f>
        <v>378407607393.6911</v>
      </c>
      <c r="H20" s="309">
        <f>-Financiacion!H25-Financiacion!H37-Financiacion!H45</f>
        <v>378407607393.6911</v>
      </c>
      <c r="I20" s="309">
        <f>-Financiacion!I25-Financiacion!I37-Financiacion!I45</f>
        <v>378407607393.6911</v>
      </c>
      <c r="J20" s="309">
        <f>-Financiacion!J25-Financiacion!J37-Financiacion!J45</f>
        <v>378407607393.6911</v>
      </c>
      <c r="K20" s="309">
        <f>-Financiacion!K25-Financiacion!K37-Financiacion!K45</f>
        <v>1410315089685.749</v>
      </c>
      <c r="L20" s="309">
        <f>-Financiacion!L25-Financiacion!L37-Financiacion!L45</f>
        <v>1162618340338.9727</v>
      </c>
      <c r="M20" s="309">
        <f>-Financiacion!M25-Financiacion!M37-Financiacion!M45</f>
        <v>378407607393.6911</v>
      </c>
      <c r="N20" s="309">
        <f>-Financiacion!N25-Financiacion!N37-Financiacion!N45</f>
        <v>1371197715026.2324</v>
      </c>
      <c r="O20" s="309">
        <f>-Financiacion!O25-Financiacion!O37-Financiacion!O45</f>
        <v>1207770153396.0522</v>
      </c>
    </row>
    <row r="21" spans="1:15">
      <c r="A21" s="302" t="s">
        <v>797</v>
      </c>
      <c r="B21" s="309"/>
      <c r="C21" s="309">
        <f>(59459+27319)*M</f>
        <v>86778000000</v>
      </c>
      <c r="D21" s="309">
        <f>-Renta!D71-CREE!D73</f>
        <v>187433749999.99991</v>
      </c>
      <c r="E21" s="309">
        <f>-Renta!E71-CREE!E73</f>
        <v>21141596250.000019</v>
      </c>
      <c r="F21" s="309">
        <f ca="1">-Renta!F71-CREE!F73</f>
        <v>121758938425.43161</v>
      </c>
      <c r="G21" s="309">
        <f ca="1">-Renta!G71-CREE!G73</f>
        <v>601058275893.91968</v>
      </c>
      <c r="H21" s="309">
        <f ca="1">-Renta!H71-CREE!H73</f>
        <v>444817148037.60638</v>
      </c>
      <c r="I21" s="309">
        <f ca="1">-Renta!I71-CREE!I73</f>
        <v>638057302912.89746</v>
      </c>
      <c r="J21" s="309">
        <f ca="1">-Renta!J71-CREE!J73</f>
        <v>622155213138.96777</v>
      </c>
      <c r="K21" s="309">
        <f ca="1">-Renta!K71-CREE!K73</f>
        <v>-432701907211.58325</v>
      </c>
      <c r="L21" s="309">
        <f ca="1">-Renta!L71-CREE!L73</f>
        <v>-341972366.45758772</v>
      </c>
      <c r="M21" s="309">
        <f ca="1">-Renta!M71-CREE!M73</f>
        <v>282141598559.10718</v>
      </c>
      <c r="N21" s="309">
        <f ca="1">-Renta!N71-CREE!N73</f>
        <v>-116074818555.54346</v>
      </c>
      <c r="O21" s="309">
        <f ca="1">-Renta!O71-CREE!O73</f>
        <v>-1003769054.2123957</v>
      </c>
    </row>
    <row r="22" spans="1:15">
      <c r="A22" s="302" t="s">
        <v>739</v>
      </c>
      <c r="B22" s="309"/>
      <c r="C22" s="309">
        <f>'P&amp;G'!C40</f>
        <v>188918000000</v>
      </c>
      <c r="D22" s="309">
        <f>'P&amp;G'!D40</f>
        <v>217267938400</v>
      </c>
      <c r="E22" s="309">
        <f>'P&amp;G'!E40</f>
        <v>166432422403.55243</v>
      </c>
      <c r="F22" s="309">
        <f ca="1">'P&amp;G'!F40</f>
        <v>132541771677.20038</v>
      </c>
      <c r="G22" s="309">
        <f ca="1">'P&amp;G'!G40</f>
        <v>705085708174.04492</v>
      </c>
      <c r="H22" s="309">
        <f ca="1">'P&amp;G'!H40</f>
        <v>729382788634.39758</v>
      </c>
      <c r="I22" s="309">
        <f ca="1">'P&amp;G'!I40</f>
        <v>849243943204.10217</v>
      </c>
      <c r="J22" s="309">
        <f ca="1">'P&amp;G'!J40</f>
        <v>875676470786.1272</v>
      </c>
      <c r="K22" s="309">
        <f ca="1">'P&amp;G'!K40</f>
        <v>0</v>
      </c>
      <c r="L22" s="309">
        <f ca="1">'P&amp;G'!L40</f>
        <v>0</v>
      </c>
      <c r="M22" s="309">
        <f ca="1">'P&amp;G'!M40</f>
        <v>601795606815.70813</v>
      </c>
      <c r="N22" s="309">
        <f ca="1">'P&amp;G'!N40</f>
        <v>0</v>
      </c>
      <c r="O22" s="309">
        <f ca="1">'P&amp;G'!O40</f>
        <v>41083649669.324875</v>
      </c>
    </row>
    <row r="23" spans="1:15">
      <c r="A23" s="302" t="s">
        <v>657</v>
      </c>
      <c r="B23" s="309"/>
      <c r="C23" s="309">
        <f>-'P&amp;G'!C15</f>
        <v>8178000000</v>
      </c>
      <c r="D23" s="355">
        <f>-'P&amp;G'!D15</f>
        <v>7877000000</v>
      </c>
      <c r="E23" s="309">
        <f>-'P&amp;G'!E15</f>
        <v>6790037125.806406</v>
      </c>
      <c r="F23" s="309">
        <f ca="1">-'P&amp;G'!F15</f>
        <v>10080392073.764914</v>
      </c>
      <c r="G23" s="309">
        <f ca="1">-'P&amp;G'!G15</f>
        <v>13378941832.642994</v>
      </c>
      <c r="H23" s="309">
        <f ca="1">-'P&amp;G'!H15</f>
        <v>12911368330.022572</v>
      </c>
      <c r="I23" s="309">
        <f ca="1">-'P&amp;G'!I15</f>
        <v>14520960565.602266</v>
      </c>
      <c r="J23" s="309">
        <f ca="1">-'P&amp;G'!J15</f>
        <v>10673931184.785488</v>
      </c>
      <c r="K23" s="309">
        <f ca="1">-'P&amp;G'!K15</f>
        <v>5341444681.4936628</v>
      </c>
      <c r="L23" s="309">
        <f ca="1">-'P&amp;G'!L15</f>
        <v>2847780443.0515537</v>
      </c>
      <c r="M23" s="309">
        <f ca="1">-'P&amp;G'!M15</f>
        <v>0</v>
      </c>
      <c r="N23" s="309">
        <f ca="1">-'P&amp;G'!N15</f>
        <v>0</v>
      </c>
      <c r="O23" s="309">
        <f ca="1">-'P&amp;G'!O15</f>
        <v>0</v>
      </c>
    </row>
    <row r="24" spans="1:15">
      <c r="A24" s="302" t="s">
        <v>722</v>
      </c>
      <c r="B24" s="309"/>
      <c r="C24" s="309">
        <f>-'P&amp;G'!C16</f>
        <v>0</v>
      </c>
      <c r="D24" s="309">
        <f>-'P&amp;G'!D16</f>
        <v>0</v>
      </c>
      <c r="E24" s="309">
        <f>'Otros Costos y Gastos'!E35</f>
        <v>14578634250.000013</v>
      </c>
      <c r="F24" s="309">
        <f ca="1">'Otros Costos y Gastos'!F35</f>
        <v>28175375317.357086</v>
      </c>
      <c r="G24" s="309">
        <f ca="1">'Otros Costos y Gastos'!G35</f>
        <v>22218113592.703156</v>
      </c>
      <c r="H24" s="309">
        <f ca="1">'Otros Costos y Gastos'!H35</f>
        <v>8233743435.1756239</v>
      </c>
      <c r="I24" s="309">
        <f ca="1">'Otros Costos y Gastos'!I35</f>
        <v>0</v>
      </c>
      <c r="J24" s="309">
        <f ca="1">'Otros Costos y Gastos'!J35</f>
        <v>0</v>
      </c>
      <c r="K24" s="309">
        <f ca="1">'Otros Costos y Gastos'!K35</f>
        <v>0</v>
      </c>
      <c r="L24" s="309">
        <f ca="1">'Otros Costos y Gastos'!L35</f>
        <v>0</v>
      </c>
      <c r="M24" s="309">
        <f ca="1">'Otros Costos y Gastos'!M35</f>
        <v>0</v>
      </c>
      <c r="N24" s="309">
        <f ca="1">'Otros Costos y Gastos'!N35</f>
        <v>0</v>
      </c>
      <c r="O24" s="309">
        <f ca="1">'Otros Costos y Gastos'!O35</f>
        <v>0</v>
      </c>
    </row>
    <row r="25" spans="1:15" s="375" customFormat="1" ht="16.5" thickBot="1">
      <c r="A25" s="372" t="s">
        <v>798</v>
      </c>
      <c r="B25" s="374"/>
      <c r="C25" s="374">
        <f>SUM(C17:C24)</f>
        <v>2595258999999.998</v>
      </c>
      <c r="D25" s="433">
        <f t="shared" ref="D25:O25" si="2">SUM(D17:D24)</f>
        <v>1687288283399.9998</v>
      </c>
      <c r="E25" s="374">
        <f t="shared" si="2"/>
        <v>1704299318577.408</v>
      </c>
      <c r="F25" s="374">
        <f t="shared" ca="1" si="2"/>
        <v>2530178410514.9927</v>
      </c>
      <c r="G25" s="374">
        <f t="shared" ca="1" si="2"/>
        <v>3358114399993.3911</v>
      </c>
      <c r="H25" s="374">
        <f t="shared" ca="1" si="2"/>
        <v>3240753450835.6655</v>
      </c>
      <c r="I25" s="374">
        <f t="shared" ca="1" si="2"/>
        <v>3644761101966.1685</v>
      </c>
      <c r="J25" s="374">
        <f t="shared" ca="1" si="2"/>
        <v>3568650992779.9478</v>
      </c>
      <c r="K25" s="374">
        <f t="shared" ca="1" si="2"/>
        <v>2676063785428.3247</v>
      </c>
      <c r="L25" s="374">
        <f t="shared" ca="1" si="2"/>
        <v>2850628223494.606</v>
      </c>
      <c r="M25" s="374">
        <f t="shared" ca="1" si="2"/>
        <v>2953786789460.8213</v>
      </c>
      <c r="N25" s="374">
        <f t="shared" ca="1" si="2"/>
        <v>3027521644504.481</v>
      </c>
      <c r="O25" s="374">
        <f t="shared" ca="1" si="2"/>
        <v>3029935103902.6011</v>
      </c>
    </row>
    <row r="26" spans="1:15" ht="16.5" thickTop="1">
      <c r="C26" s="309"/>
    </row>
    <row r="27" spans="1:15" s="375" customFormat="1" ht="16.5" thickBot="1">
      <c r="A27" s="372" t="s">
        <v>799</v>
      </c>
      <c r="B27" s="374"/>
      <c r="C27" s="374">
        <f>C14-C25</f>
        <v>71612000000.001953</v>
      </c>
      <c r="D27" s="433">
        <f>D14-D25</f>
        <v>277945000000.00024</v>
      </c>
      <c r="E27" s="374">
        <f t="shared" ref="E27:O27" si="3">E14-E25</f>
        <v>-48343225373.959473</v>
      </c>
      <c r="F27" s="374">
        <f t="shared" ca="1" si="3"/>
        <v>568284469258.37988</v>
      </c>
      <c r="G27" s="374">
        <f t="shared" ca="1" si="3"/>
        <v>-297881497314.96191</v>
      </c>
      <c r="H27" s="374">
        <f t="shared" ca="1" si="3"/>
        <v>80741677375.529297</v>
      </c>
      <c r="I27" s="374">
        <f t="shared" ca="1" si="3"/>
        <v>-141788940439.88184</v>
      </c>
      <c r="J27" s="374">
        <f t="shared" ca="1" si="3"/>
        <v>-620520601451.79443</v>
      </c>
      <c r="K27" s="374">
        <f t="shared" ca="1" si="3"/>
        <v>-17118110825.920898</v>
      </c>
      <c r="L27" s="374">
        <f t="shared" ca="1" si="3"/>
        <v>49979254406.927246</v>
      </c>
      <c r="M27" s="374">
        <f t="shared" ca="1" si="3"/>
        <v>-44653059809.043945</v>
      </c>
      <c r="N27" s="374">
        <f t="shared" ca="1" si="3"/>
        <v>1414093110.4257812</v>
      </c>
      <c r="O27" s="374">
        <f t="shared" ca="1" si="3"/>
        <v>543486665051.3252</v>
      </c>
    </row>
    <row r="28" spans="1:15" ht="16.5" thickTop="1">
      <c r="A28" s="302" t="s">
        <v>800</v>
      </c>
      <c r="B28" s="309"/>
      <c r="C28" s="309">
        <f>178326000000+65000000</f>
        <v>178391000000</v>
      </c>
      <c r="D28" s="355">
        <f>C29</f>
        <v>250003000000.00195</v>
      </c>
      <c r="E28" s="309">
        <f t="shared" ref="E28:O28" si="4">D29</f>
        <v>527948000000.0022</v>
      </c>
      <c r="F28" s="309">
        <f t="shared" si="4"/>
        <v>479604774626.04272</v>
      </c>
      <c r="G28" s="309">
        <f t="shared" ca="1" si="4"/>
        <v>1047889243884.4226</v>
      </c>
      <c r="H28" s="309">
        <f t="shared" ca="1" si="4"/>
        <v>750007746569.46069</v>
      </c>
      <c r="I28" s="309">
        <f t="shared" ca="1" si="4"/>
        <v>830749423944.98999</v>
      </c>
      <c r="J28" s="309">
        <f t="shared" ca="1" si="4"/>
        <v>688960483505.10815</v>
      </c>
      <c r="K28" s="309">
        <f t="shared" ca="1" si="4"/>
        <v>68439882053.313721</v>
      </c>
      <c r="L28" s="309">
        <f t="shared" ca="1" si="4"/>
        <v>51321771227.392822</v>
      </c>
      <c r="M28" s="309">
        <f t="shared" ca="1" si="4"/>
        <v>101301025634.32007</v>
      </c>
      <c r="N28" s="309">
        <f t="shared" ca="1" si="4"/>
        <v>56647965825.276123</v>
      </c>
      <c r="O28" s="309">
        <f t="shared" ca="1" si="4"/>
        <v>58062058935.701904</v>
      </c>
    </row>
    <row r="29" spans="1:15" s="375" customFormat="1" ht="16.5" thickBot="1">
      <c r="A29" s="372" t="s">
        <v>801</v>
      </c>
      <c r="B29" s="374"/>
      <c r="C29" s="374">
        <f>C27+C28</f>
        <v>250003000000.00195</v>
      </c>
      <c r="D29" s="433">
        <f t="shared" ref="D29:O29" si="5">D27+D28</f>
        <v>527948000000.0022</v>
      </c>
      <c r="E29" s="374">
        <f t="shared" si="5"/>
        <v>479604774626.04272</v>
      </c>
      <c r="F29" s="374">
        <f t="shared" ca="1" si="5"/>
        <v>1047889243884.4226</v>
      </c>
      <c r="G29" s="374">
        <f t="shared" ca="1" si="5"/>
        <v>750007746569.46069</v>
      </c>
      <c r="H29" s="374">
        <f t="shared" ca="1" si="5"/>
        <v>830749423944.98999</v>
      </c>
      <c r="I29" s="374">
        <f t="shared" ca="1" si="5"/>
        <v>688960483505.10815</v>
      </c>
      <c r="J29" s="374">
        <f t="shared" ca="1" si="5"/>
        <v>68439882053.313721</v>
      </c>
      <c r="K29" s="374">
        <f t="shared" ca="1" si="5"/>
        <v>51321771227.392822</v>
      </c>
      <c r="L29" s="374">
        <f t="shared" ca="1" si="5"/>
        <v>101301025634.32007</v>
      </c>
      <c r="M29" s="374">
        <f t="shared" ca="1" si="5"/>
        <v>56647965825.276123</v>
      </c>
      <c r="N29" s="374">
        <f t="shared" ca="1" si="5"/>
        <v>58062058935.701904</v>
      </c>
      <c r="O29" s="374">
        <f t="shared" ca="1" si="5"/>
        <v>601548723987.0271</v>
      </c>
    </row>
    <row r="30" spans="1:15" ht="16.5" thickTop="1">
      <c r="C30" s="309"/>
      <c r="E30" s="309"/>
    </row>
    <row r="31" spans="1:15" ht="16.5" thickBot="1">
      <c r="A31" s="366" t="s">
        <v>802</v>
      </c>
      <c r="B31" s="367"/>
      <c r="C31" s="437">
        <f>C25*Dias_Caja/Dias_año</f>
        <v>49772090410.958862</v>
      </c>
      <c r="D31" s="437">
        <f t="shared" ref="D31:O31" si="6">D25*Dias_Caja/Dias_año</f>
        <v>32358953380.273968</v>
      </c>
      <c r="E31" s="437">
        <f t="shared" si="6"/>
        <v>32685192411.073578</v>
      </c>
      <c r="F31" s="437">
        <f t="shared" ca="1" si="6"/>
        <v>48523969516.725891</v>
      </c>
      <c r="G31" s="437">
        <f t="shared" ca="1" si="6"/>
        <v>64402193972.475998</v>
      </c>
      <c r="H31" s="437">
        <f t="shared" ca="1" si="6"/>
        <v>62151436043.423729</v>
      </c>
      <c r="I31" s="437">
        <f t="shared" ca="1" si="6"/>
        <v>69899527982.912827</v>
      </c>
      <c r="J31" s="437">
        <f t="shared" ca="1" si="6"/>
        <v>68439882053.314064</v>
      </c>
      <c r="K31" s="437">
        <f t="shared" ca="1" si="6"/>
        <v>51321771227.392532</v>
      </c>
      <c r="L31" s="437">
        <f t="shared" ca="1" si="6"/>
        <v>54669582368.389702</v>
      </c>
      <c r="M31" s="437">
        <f t="shared" ca="1" si="6"/>
        <v>56647965825.276024</v>
      </c>
      <c r="N31" s="437">
        <f t="shared" ca="1" si="6"/>
        <v>58062058935.702377</v>
      </c>
      <c r="O31" s="437">
        <f t="shared" ca="1" si="6"/>
        <v>58108344458.406044</v>
      </c>
    </row>
    <row r="32" spans="1:15" ht="16.5" thickTop="1">
      <c r="C32" s="309"/>
    </row>
    <row r="33" spans="1:15">
      <c r="A33" s="382" t="s">
        <v>803</v>
      </c>
      <c r="B33" s="426"/>
      <c r="C33" s="451">
        <f t="shared" ref="C33:O33" si="7">IF(C29&gt;=C31,0,C31-C29)</f>
        <v>0</v>
      </c>
      <c r="D33" s="451">
        <f t="shared" si="7"/>
        <v>0</v>
      </c>
      <c r="E33" s="451">
        <f t="shared" si="7"/>
        <v>0</v>
      </c>
      <c r="F33" s="451">
        <f t="shared" ca="1" si="7"/>
        <v>0</v>
      </c>
      <c r="G33" s="451">
        <f t="shared" ca="1" si="7"/>
        <v>0</v>
      </c>
      <c r="H33" s="451">
        <f t="shared" ca="1" si="7"/>
        <v>0</v>
      </c>
      <c r="I33" s="451">
        <f t="shared" ca="1" si="7"/>
        <v>0</v>
      </c>
      <c r="J33" s="451">
        <f t="shared" ca="1" si="7"/>
        <v>3.4332275390625E-4</v>
      </c>
      <c r="K33" s="451">
        <f t="shared" ca="1" si="7"/>
        <v>0</v>
      </c>
      <c r="L33" s="451">
        <f t="shared" ca="1" si="7"/>
        <v>0</v>
      </c>
      <c r="M33" s="451">
        <f t="shared" ca="1" si="7"/>
        <v>0</v>
      </c>
      <c r="N33" s="451">
        <f t="shared" ca="1" si="7"/>
        <v>4.730224609375E-4</v>
      </c>
      <c r="O33" s="451">
        <f t="shared" ca="1" si="7"/>
        <v>0</v>
      </c>
    </row>
    <row r="34" spans="1:15" ht="16.5" thickBot="1">
      <c r="A34" s="366" t="s">
        <v>804</v>
      </c>
      <c r="B34" s="367"/>
      <c r="C34" s="437">
        <f>IF(C31&gt;C29,0,C29-C31)</f>
        <v>200230909589.04309</v>
      </c>
      <c r="D34" s="432">
        <f t="shared" ref="D34:O34" si="8">IF(D31&gt;D29,0,D29-D31)</f>
        <v>495589046619.72821</v>
      </c>
      <c r="E34" s="367">
        <f t="shared" si="8"/>
        <v>446919582214.96912</v>
      </c>
      <c r="F34" s="367">
        <f t="shared" ca="1" si="8"/>
        <v>999365274367.69678</v>
      </c>
      <c r="G34" s="367">
        <f t="shared" ca="1" si="8"/>
        <v>685605552596.98474</v>
      </c>
      <c r="H34" s="367">
        <f t="shared" ca="1" si="8"/>
        <v>768597987901.56628</v>
      </c>
      <c r="I34" s="367">
        <f t="shared" ca="1" si="8"/>
        <v>619060955522.19531</v>
      </c>
      <c r="J34" s="367">
        <f t="shared" ca="1" si="8"/>
        <v>0</v>
      </c>
      <c r="K34" s="367">
        <f t="shared" ca="1" si="8"/>
        <v>2.899169921875E-4</v>
      </c>
      <c r="L34" s="367">
        <f t="shared" ca="1" si="8"/>
        <v>46631443265.930367</v>
      </c>
      <c r="M34" s="367">
        <f t="shared" ca="1" si="8"/>
        <v>9.918212890625E-5</v>
      </c>
      <c r="N34" s="367">
        <f t="shared" ca="1" si="8"/>
        <v>0</v>
      </c>
      <c r="O34" s="367">
        <f t="shared" ca="1" si="8"/>
        <v>543440379528.62103</v>
      </c>
    </row>
    <row r="35" spans="1:15" ht="16.5" thickTop="1">
      <c r="C35" s="309"/>
    </row>
    <row r="36" spans="1:15" s="375" customFormat="1" ht="16.5" thickBot="1">
      <c r="A36" s="372" t="s">
        <v>805</v>
      </c>
      <c r="B36" s="427"/>
      <c r="C36" s="449">
        <f>C29-C31</f>
        <v>200230909589.04309</v>
      </c>
      <c r="D36" s="435">
        <f t="shared" ref="D36:O36" si="9">D29-D31</f>
        <v>495589046619.72821</v>
      </c>
      <c r="E36" s="427">
        <f t="shared" si="9"/>
        <v>446919582214.96912</v>
      </c>
      <c r="F36" s="427">
        <f t="shared" ca="1" si="9"/>
        <v>999365274367.69678</v>
      </c>
      <c r="G36" s="427">
        <f t="shared" ca="1" si="9"/>
        <v>685605552596.98474</v>
      </c>
      <c r="H36" s="427">
        <f t="shared" ca="1" si="9"/>
        <v>768597987901.56628</v>
      </c>
      <c r="I36" s="427">
        <f t="shared" ca="1" si="9"/>
        <v>619060955522.19531</v>
      </c>
      <c r="J36" s="427">
        <f t="shared" ca="1" si="9"/>
        <v>-3.4332275390625E-4</v>
      </c>
      <c r="K36" s="427">
        <f t="shared" ca="1" si="9"/>
        <v>2.899169921875E-4</v>
      </c>
      <c r="L36" s="427">
        <f t="shared" ca="1" si="9"/>
        <v>46631443265.930367</v>
      </c>
      <c r="M36" s="427">
        <f t="shared" ca="1" si="9"/>
        <v>9.918212890625E-5</v>
      </c>
      <c r="N36" s="427">
        <f t="shared" ca="1" si="9"/>
        <v>-4.730224609375E-4</v>
      </c>
      <c r="O36" s="427">
        <f t="shared" ca="1" si="9"/>
        <v>543440379528.62103</v>
      </c>
    </row>
    <row r="37" spans="1:15" ht="16.5" thickTop="1">
      <c r="A37" s="302" t="s">
        <v>806</v>
      </c>
      <c r="C37" s="450">
        <f>'P&amp;G'!C20</f>
        <v>43874000000</v>
      </c>
      <c r="D37" s="428">
        <f>'P&amp;G'!D20</f>
        <v>19777000000</v>
      </c>
      <c r="E37" s="428">
        <f>D36*'Datos Generales'!F47</f>
        <v>6014220875.2537498</v>
      </c>
      <c r="F37" s="428">
        <f>E36*'Datos Generales'!G47</f>
        <v>17640586289.398102</v>
      </c>
      <c r="G37" s="428">
        <f ca="1">F36*'Datos Generales'!H47</f>
        <v>41455170628.683563</v>
      </c>
      <c r="H37" s="428">
        <f ca="1">G36*'Datos Generales'!I47</f>
        <v>27406396359.511684</v>
      </c>
      <c r="I37" s="428">
        <f ca="1">H36*'Datos Generales'!J47</f>
        <v>29565274501.615566</v>
      </c>
      <c r="J37" s="428">
        <f ca="1">I36*'Datos Generales'!K47</f>
        <v>22942089481.174812</v>
      </c>
      <c r="K37" s="428">
        <f ca="1">J36*'Datos Generales'!L47</f>
        <v>-1.272336959838868E-5</v>
      </c>
      <c r="L37" s="428">
        <f ca="1">K36*'Datos Generales'!M47</f>
        <v>1.0744178771972663E-5</v>
      </c>
      <c r="M37" s="428">
        <f ca="1">L36*'Datos Generales'!N47</f>
        <v>1728137971.7137475</v>
      </c>
      <c r="N37" s="428">
        <f ca="1">M36*'Datos Generales'!O47</f>
        <v>3.6756401062011742E-6</v>
      </c>
      <c r="O37" s="428">
        <f ca="1">N36*'Datos Generales'!P47</f>
        <v>-1.7529975891113292E-5</v>
      </c>
    </row>
    <row r="39" spans="1:15">
      <c r="A39" s="302" t="b">
        <v>0</v>
      </c>
      <c r="C39" s="309"/>
      <c r="E39" s="309"/>
      <c r="F39" s="309"/>
      <c r="G39" s="309"/>
      <c r="H39" s="309"/>
      <c r="I39" s="309"/>
      <c r="J39" s="309"/>
      <c r="K39" s="309"/>
      <c r="L39" s="309"/>
      <c r="M39" s="309"/>
      <c r="N39" s="309"/>
    </row>
    <row r="40" spans="1:15">
      <c r="D40" s="355" t="s">
        <v>868</v>
      </c>
    </row>
    <row r="42" spans="1:15">
      <c r="D42" s="436"/>
      <c r="E42" s="420"/>
      <c r="F42" s="420"/>
      <c r="G42" s="420"/>
    </row>
    <row r="43" spans="1:15">
      <c r="E43" s="340"/>
      <c r="F43" s="340"/>
      <c r="G43" s="340"/>
    </row>
    <row r="44" spans="1:15">
      <c r="D44" s="436"/>
      <c r="E44" s="429"/>
      <c r="F44" s="429"/>
      <c r="G44" s="429"/>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8129" r:id="rId4" name="Check Box 1">
              <controlPr defaultSize="0" autoFill="0" autoLine="0" autoPict="0">
                <anchor moveWithCells="1">
                  <from>
                    <xdr:col>0</xdr:col>
                    <xdr:colOff>152400</xdr:colOff>
                    <xdr:row>38</xdr:row>
                    <xdr:rowOff>0</xdr:rowOff>
                  </from>
                  <to>
                    <xdr:col>1</xdr:col>
                    <xdr:colOff>95250</xdr:colOff>
                    <xdr:row>39</xdr:row>
                    <xdr:rowOff>142875</xdr:rowOff>
                  </to>
                </anchor>
              </controlPr>
            </control>
          </mc:Choice>
        </mc:AlternateContent>
        <mc:AlternateContent xmlns:mc="http://schemas.openxmlformats.org/markup-compatibility/2006">
          <mc:Choice Requires="x14">
            <control shapeId="48130" r:id="rId5" name="Button 2">
              <controlPr defaultSize="0" print="0" autoFill="0" autoPict="0" macro="[0]!Ajuste_Deficit_Caja">
                <anchor moveWithCells="1" sizeWithCells="1">
                  <from>
                    <xdr:col>0</xdr:col>
                    <xdr:colOff>133350</xdr:colOff>
                    <xdr:row>39</xdr:row>
                    <xdr:rowOff>161925</xdr:rowOff>
                  </from>
                  <to>
                    <xdr:col>1</xdr:col>
                    <xdr:colOff>104775</xdr:colOff>
                    <xdr:row>41</xdr:row>
                    <xdr:rowOff>57150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1"/>
  <dimension ref="A2:O40"/>
  <sheetViews>
    <sheetView showGridLines="0" topLeftCell="A16" workbookViewId="0">
      <selection activeCell="E16" sqref="E16"/>
    </sheetView>
  </sheetViews>
  <sheetFormatPr baseColWidth="10" defaultColWidth="32.42578125" defaultRowHeight="15.75"/>
  <cols>
    <col min="1" max="1" width="34.7109375" style="302" bestFit="1" customWidth="1"/>
    <col min="2" max="2" width="17.28515625" style="302" bestFit="1" customWidth="1"/>
    <col min="3" max="3" width="20.140625" style="302" bestFit="1" customWidth="1"/>
    <col min="4" max="4" width="20.7109375" style="302" customWidth="1"/>
    <col min="5" max="14" width="19.28515625" style="302" bestFit="1" customWidth="1"/>
    <col min="15" max="15" width="21.28515625" style="302" bestFit="1" customWidth="1"/>
    <col min="16" max="16384" width="32.42578125" style="302"/>
  </cols>
  <sheetData>
    <row r="2" spans="1:15" ht="21">
      <c r="A2" s="300" t="str">
        <f>Nombre_Empresa</f>
        <v>ISAGEN</v>
      </c>
    </row>
    <row r="3" spans="1:15">
      <c r="C3" s="303"/>
      <c r="D3" s="431"/>
      <c r="E3" s="303"/>
      <c r="F3" s="303"/>
      <c r="G3" s="303"/>
      <c r="H3" s="303"/>
      <c r="I3" s="303"/>
      <c r="J3" s="303"/>
      <c r="K3" s="303"/>
      <c r="L3" s="303"/>
      <c r="M3" s="303"/>
      <c r="N3" s="303"/>
      <c r="O3" s="303"/>
    </row>
    <row r="4" spans="1:15" ht="16.5" thickBot="1">
      <c r="A4" s="304" t="s">
        <v>809</v>
      </c>
      <c r="B4" s="305"/>
      <c r="C4" s="345">
        <f>'Datos Generales'!D21</f>
        <v>2013</v>
      </c>
      <c r="D4" s="322">
        <f>'Datos Generales'!E21</f>
        <v>41820</v>
      </c>
      <c r="E4" s="305">
        <f>YEAR('Datos Generales'!F21)</f>
        <v>2014</v>
      </c>
      <c r="F4" s="305">
        <f>'Datos Generales'!G21</f>
        <v>2015</v>
      </c>
      <c r="G4" s="305">
        <f>'Datos Generales'!H21</f>
        <v>2016</v>
      </c>
      <c r="H4" s="305">
        <f>'Datos Generales'!I21</f>
        <v>2017</v>
      </c>
      <c r="I4" s="305">
        <f>'Datos Generales'!J21</f>
        <v>2018</v>
      </c>
      <c r="J4" s="305">
        <f>'Datos Generales'!K21</f>
        <v>2019</v>
      </c>
      <c r="K4" s="305">
        <f>'Datos Generales'!L21</f>
        <v>2020</v>
      </c>
      <c r="L4" s="305">
        <f>'Datos Generales'!M21</f>
        <v>2021</v>
      </c>
      <c r="M4" s="305">
        <f>'Datos Generales'!N21</f>
        <v>2022</v>
      </c>
      <c r="N4" s="305">
        <f>'Datos Generales'!O21</f>
        <v>2023</v>
      </c>
      <c r="O4" s="305">
        <f>'Datos Generales'!P21</f>
        <v>2024</v>
      </c>
    </row>
    <row r="5" spans="1:15" ht="16.5" thickTop="1"/>
    <row r="6" spans="1:15">
      <c r="A6" s="306" t="s">
        <v>810</v>
      </c>
      <c r="B6" s="306"/>
    </row>
    <row r="7" spans="1:15">
      <c r="A7" s="302" t="s">
        <v>811</v>
      </c>
      <c r="B7" s="309"/>
      <c r="C7" s="309">
        <f>'Balance General'!C9</f>
        <v>262328000000</v>
      </c>
      <c r="D7" s="309">
        <f>'Balance General'!D9</f>
        <v>224748301370</v>
      </c>
      <c r="E7" s="309">
        <f>'Balance General'!E9</f>
        <v>194935062740.13501</v>
      </c>
      <c r="F7" s="309">
        <f>'Balance General'!F9</f>
        <v>257353534446.59512</v>
      </c>
      <c r="G7" s="309">
        <f>'Balance General'!G9</f>
        <v>246998157002.33914</v>
      </c>
      <c r="H7" s="309">
        <f>'Balance General'!H9</f>
        <v>272033339495.80176</v>
      </c>
      <c r="I7" s="309">
        <f>'Balance General'!I9</f>
        <v>286267850761.07599</v>
      </c>
      <c r="J7" s="309">
        <f>'Balance General'!J9</f>
        <v>149287947341.77167</v>
      </c>
      <c r="K7" s="309">
        <f>'Balance General'!K9</f>
        <v>153882494357.64948</v>
      </c>
      <c r="L7" s="309">
        <f>'Balance General'!L9</f>
        <v>242828136142.82199</v>
      </c>
      <c r="M7" s="309">
        <f>'Balance General'!M9</f>
        <v>151233312973.61057</v>
      </c>
      <c r="N7" s="309">
        <f>'Balance General'!N9</f>
        <v>172764112442.51682</v>
      </c>
      <c r="O7" s="340">
        <f>'Balance General'!O9</f>
        <v>299424947643.27716</v>
      </c>
    </row>
    <row r="8" spans="1:15">
      <c r="A8" s="302" t="s">
        <v>719</v>
      </c>
      <c r="B8" s="309"/>
      <c r="C8" s="309">
        <f>'Balance General'!C10</f>
        <v>-1976000000</v>
      </c>
      <c r="D8" s="309">
        <f>'Balance General'!D10</f>
        <v>0</v>
      </c>
      <c r="E8" s="309">
        <f>'Balance General'!E10</f>
        <v>0</v>
      </c>
      <c r="F8" s="309">
        <f>'Balance General'!F10</f>
        <v>0</v>
      </c>
      <c r="G8" s="309">
        <f>'Balance General'!G10</f>
        <v>0</v>
      </c>
      <c r="H8" s="309">
        <f>'Balance General'!H10</f>
        <v>0</v>
      </c>
      <c r="I8" s="309">
        <f>'Balance General'!I10</f>
        <v>0</v>
      </c>
      <c r="J8" s="309">
        <f>'Balance General'!J10</f>
        <v>0</v>
      </c>
      <c r="K8" s="309">
        <f>'Balance General'!K10</f>
        <v>0</v>
      </c>
      <c r="L8" s="309">
        <f>'Balance General'!L10</f>
        <v>0</v>
      </c>
      <c r="M8" s="309">
        <f>'Balance General'!M10</f>
        <v>0</v>
      </c>
      <c r="N8" s="309">
        <f>'Balance General'!N10</f>
        <v>0</v>
      </c>
      <c r="O8" s="340">
        <f>'Balance General'!O10</f>
        <v>0</v>
      </c>
    </row>
    <row r="9" spans="1:15">
      <c r="A9" s="302" t="s">
        <v>747</v>
      </c>
      <c r="B9" s="309"/>
      <c r="C9" s="309">
        <f>'Balance General'!C11</f>
        <v>89434000000</v>
      </c>
      <c r="D9" s="309">
        <f>'Balance General'!D11</f>
        <v>93216000000</v>
      </c>
      <c r="E9" s="309">
        <f>'Balance General'!E11</f>
        <v>64605332212.655693</v>
      </c>
      <c r="F9" s="309">
        <f>'Balance General'!F11</f>
        <v>85899837099.989059</v>
      </c>
      <c r="G9" s="309">
        <f>'Balance General'!G11</f>
        <v>86003242235.447479</v>
      </c>
      <c r="H9" s="309">
        <f>'Balance General'!H11</f>
        <v>90018187923.994324</v>
      </c>
      <c r="I9" s="309">
        <f>'Balance General'!I11</f>
        <v>95972484868.060013</v>
      </c>
      <c r="J9" s="309">
        <f>'Balance General'!J11</f>
        <v>98108545943.566711</v>
      </c>
      <c r="K9" s="309">
        <f>'Balance General'!K11</f>
        <v>100748393937.3166</v>
      </c>
      <c r="L9" s="309">
        <f>'Balance General'!L11</f>
        <v>104688036910.46893</v>
      </c>
      <c r="M9" s="309">
        <f>'Balance General'!M11</f>
        <v>110470166780.10529</v>
      </c>
      <c r="N9" s="309">
        <f>'Balance General'!N11</f>
        <v>114174588869.36377</v>
      </c>
      <c r="O9" s="340">
        <f>'Balance General'!O11</f>
        <v>116512377278.05132</v>
      </c>
    </row>
    <row r="10" spans="1:15">
      <c r="A10" s="302" t="s">
        <v>812</v>
      </c>
      <c r="B10" s="309"/>
      <c r="C10" s="340">
        <f>'Balance General'!C12</f>
        <v>11186000000</v>
      </c>
      <c r="D10" s="340">
        <f>-(Renta!D75+CREE!D77)</f>
        <v>83761814999.999969</v>
      </c>
      <c r="E10" s="340">
        <f>-(Renta!E75+CREE!E77)</f>
        <v>44088198749.999985</v>
      </c>
      <c r="F10" s="340">
        <f ca="1">-(Renta!F75+CREE!F77)</f>
        <v>82547335813.105515</v>
      </c>
      <c r="G10" s="340">
        <f ca="1">-(Renta!G75+CREE!G77)</f>
        <v>376581459992.10626</v>
      </c>
      <c r="H10" s="340">
        <f ca="1">-(Renta!H75+CREE!H77)</f>
        <v>387933967969.90369</v>
      </c>
      <c r="I10" s="340">
        <f ca="1">-(Renta!I75+CREE!I77)</f>
        <v>479097632070.83484</v>
      </c>
      <c r="J10" s="340">
        <f ca="1">-(Renta!J75+CREE!J77)</f>
        <v>502681200618.34167</v>
      </c>
      <c r="K10" s="340">
        <f ca="1">-(Renta!K75+CREE!K77)</f>
        <v>3776332215.0742121</v>
      </c>
      <c r="L10" s="340">
        <f ca="1">-(Renta!L75+CREE!L77)</f>
        <v>4923874070.5116692</v>
      </c>
      <c r="M10" s="340">
        <f ca="1">-(Renta!M75+CREE!M77)</f>
        <v>184151632765.53802</v>
      </c>
      <c r="N10" s="340">
        <f ca="1">-(Renta!N75+CREE!N77)</f>
        <v>2345918651.5204549</v>
      </c>
      <c r="O10" s="340">
        <f ca="1">-(Renta!O75+CREE!O77)</f>
        <v>14616257204.327938</v>
      </c>
    </row>
    <row r="11" spans="1:15">
      <c r="A11" s="302" t="s">
        <v>813</v>
      </c>
      <c r="B11" s="309"/>
      <c r="C11" s="309">
        <f>-'Balance General'!C37</f>
        <v>-196510000000</v>
      </c>
      <c r="D11" s="309">
        <f>-'Balance General'!D37</f>
        <v>-241687000000</v>
      </c>
      <c r="E11" s="309">
        <f>-'Balance General'!E37</f>
        <v>-98518142207.25473</v>
      </c>
      <c r="F11" s="309">
        <f>-'Balance General'!F37</f>
        <v>-118709871873.98491</v>
      </c>
      <c r="G11" s="309">
        <f>-'Balance General'!G37</f>
        <v>-107732947301.64557</v>
      </c>
      <c r="H11" s="309">
        <f>-'Balance General'!H37</f>
        <v>-113894150568.38638</v>
      </c>
      <c r="I11" s="309">
        <f>-'Balance General'!I37</f>
        <v>-124864687073.64354</v>
      </c>
      <c r="J11" s="309">
        <f>-'Balance General'!J37</f>
        <v>-116271079026.34244</v>
      </c>
      <c r="K11" s="309">
        <f>-'Balance General'!K37</f>
        <v>-118301547858.091</v>
      </c>
      <c r="L11" s="309">
        <f>-'Balance General'!L37</f>
        <v>-123773869715.16559</v>
      </c>
      <c r="M11" s="309">
        <f>-'Balance General'!M37</f>
        <v>-125811644458.04549</v>
      </c>
      <c r="N11" s="309">
        <f>-'Balance General'!N37</f>
        <v>-132698649667.63838</v>
      </c>
      <c r="O11" s="340">
        <f>-'Balance General'!O37</f>
        <v>-138876665305.47293</v>
      </c>
    </row>
    <row r="12" spans="1:15">
      <c r="A12" s="302" t="s">
        <v>827</v>
      </c>
      <c r="B12" s="309"/>
      <c r="C12" s="309">
        <f>(-'Balance General'!C38-'Balance General'!C45)+('Balance General'!C13+'Balance General'!C24)</f>
        <v>-49497000000</v>
      </c>
      <c r="D12" s="309">
        <f>(-'Balance General'!D38-'Balance General'!D45)+('Balance General'!D13+'Balance General'!D24)</f>
        <v>-46254000000</v>
      </c>
      <c r="E12" s="309">
        <f>(-'Balance General'!E38-'Balance General'!E45)+('Balance General'!E13+'Balance General'!E24)</f>
        <v>-65150000000.000008</v>
      </c>
      <c r="F12" s="309">
        <f>(-'Balance General'!F38-'Balance General'!F45)+('Balance General'!F13+'Balance General'!F24)</f>
        <v>0</v>
      </c>
      <c r="G12" s="309">
        <f>(-'Balance General'!G38-'Balance General'!G45)+('Balance General'!G13+'Balance General'!G24)</f>
        <v>0</v>
      </c>
      <c r="H12" s="309">
        <f>(-'Balance General'!H38-'Balance General'!H45)+('Balance General'!H13+'Balance General'!H24)</f>
        <v>0</v>
      </c>
      <c r="I12" s="309">
        <f>(-'Balance General'!I38-'Balance General'!I45)+('Balance General'!I13+'Balance General'!I24)</f>
        <v>0</v>
      </c>
      <c r="J12" s="309">
        <f>(-'Balance General'!J38-'Balance General'!J45)+('Balance General'!J13+'Balance General'!J24)</f>
        <v>0</v>
      </c>
      <c r="K12" s="309">
        <f>(-'Balance General'!K38-'Balance General'!K45)+('Balance General'!K13+'Balance General'!K24)</f>
        <v>0</v>
      </c>
      <c r="L12" s="309">
        <f>(-'Balance General'!L38-'Balance General'!L45)+('Balance General'!L13+'Balance General'!L24)</f>
        <v>0</v>
      </c>
      <c r="M12" s="309">
        <f>(-'Balance General'!M38-'Balance General'!M45)+('Balance General'!M13+'Balance General'!M24)</f>
        <v>0</v>
      </c>
      <c r="N12" s="309">
        <f>(-'Balance General'!N38-'Balance General'!N45)+('Balance General'!N13+'Balance General'!N24)</f>
        <v>0</v>
      </c>
      <c r="O12" s="340">
        <f>(-'Balance General'!O38-'Balance General'!O45)+('Balance General'!O13+'Balance General'!O24)</f>
        <v>0</v>
      </c>
    </row>
    <row r="13" spans="1:15">
      <c r="A13" s="302" t="s">
        <v>696</v>
      </c>
      <c r="B13" s="309"/>
      <c r="C13" s="359">
        <f>-'Balance General'!C39</f>
        <v>-51591000000</v>
      </c>
      <c r="D13" s="359">
        <f>Renta!D76+CREE!D78</f>
        <v>-58784264999.999985</v>
      </c>
      <c r="E13" s="359">
        <f ca="1">Renta!E76+CREE!E78</f>
        <v>-110063114417.47403</v>
      </c>
      <c r="F13" s="359">
        <f ca="1">Renta!F76+CREE!F78</f>
        <v>-502108613322.80835</v>
      </c>
      <c r="G13" s="359">
        <f ca="1">Renta!G76+CREE!G78</f>
        <v>-517245290626.53833</v>
      </c>
      <c r="H13" s="359">
        <f ca="1">Renta!H76+CREE!H78</f>
        <v>-638796842761.11316</v>
      </c>
      <c r="I13" s="359">
        <f ca="1">Renta!I76+CREE!I78</f>
        <v>-670241600824.45557</v>
      </c>
      <c r="J13" s="359">
        <f ca="1">Renta!J76+CREE!J78</f>
        <v>-5035109620.0989494</v>
      </c>
      <c r="K13" s="359">
        <f ca="1">Renta!K76+CREE!K78</f>
        <v>-6565165427.3488922</v>
      </c>
      <c r="L13" s="359">
        <f ca="1">Renta!L76+CREE!L78</f>
        <v>-245535510354.05069</v>
      </c>
      <c r="M13" s="359">
        <f ca="1">Renta!M76+CREE!M78</f>
        <v>-3127891535.3606067</v>
      </c>
      <c r="N13" s="359">
        <f ca="1">Renta!N76+CREE!N78</f>
        <v>-19488342939.103916</v>
      </c>
      <c r="O13" s="351">
        <f ca="1">Renta!O76+CREE!O78</f>
        <v>-455759384745.09778</v>
      </c>
    </row>
    <row r="14" spans="1:15">
      <c r="A14" s="302" t="s">
        <v>758</v>
      </c>
      <c r="B14" s="340"/>
      <c r="C14" s="340">
        <f>-'Balance General'!C46</f>
        <v>-366858000000</v>
      </c>
      <c r="D14" s="340">
        <f>-'Balance General'!D46</f>
        <v>-378760040000</v>
      </c>
      <c r="E14" s="340">
        <f>-'Balance General'!E46</f>
        <v>-390809629118.27454</v>
      </c>
      <c r="F14" s="340">
        <f>-'Balance General'!F46</f>
        <v>-458800014816.91724</v>
      </c>
      <c r="G14" s="340">
        <f>-'Balance General'!G46</f>
        <v>-528869480125.71796</v>
      </c>
      <c r="H14" s="340">
        <f>-'Balance General'!H46</f>
        <v>-602814367013.34729</v>
      </c>
      <c r="I14" s="340">
        <f>-'Balance General'!I46</f>
        <v>-678916510162.27368</v>
      </c>
      <c r="J14" s="340">
        <f>-'Balance General'!J46</f>
        <v>-739416088182.52197</v>
      </c>
      <c r="K14" s="340">
        <f>-'Balance General'!K46</f>
        <v>-800255014723.26135</v>
      </c>
      <c r="L14" s="340">
        <f>-'Balance General'!L46</f>
        <v>-861447257310.61304</v>
      </c>
      <c r="M14" s="340">
        <f>-'Balance General'!M46</f>
        <v>-923007464921.14722</v>
      </c>
      <c r="N14" s="340">
        <f>-'Balance General'!N46</f>
        <v>-981565090919.54639</v>
      </c>
      <c r="O14" s="340">
        <f>-'Balance General'!O46</f>
        <v>-1040521767853.4172</v>
      </c>
    </row>
    <row r="15" spans="1:15">
      <c r="A15" s="302" t="s">
        <v>826</v>
      </c>
      <c r="B15" s="309"/>
      <c r="C15" s="309">
        <f>'Balance General'!C14-'Balance General'!C40</f>
        <v>-44101000000</v>
      </c>
      <c r="D15" s="309">
        <f>'Balance General'!D14-'Balance General'!D40</f>
        <v>-33275945000.000008</v>
      </c>
      <c r="E15" s="309">
        <f>'Balance General'!E14-'Balance General'!E40</f>
        <v>-71620039758.930771</v>
      </c>
      <c r="F15" s="309">
        <f>'Balance General'!F14-'Balance General'!F40</f>
        <v>-83726135849.124664</v>
      </c>
      <c r="G15" s="309">
        <f>'Balance General'!G14-'Balance General'!G40</f>
        <v>-87004246926.15451</v>
      </c>
      <c r="H15" s="309">
        <f>'Balance General'!H14-'Balance General'!H40</f>
        <v>-96389197405.711853</v>
      </c>
      <c r="I15" s="309">
        <f>'Balance General'!I14-'Balance General'!I40</f>
        <v>-101105078102.56659</v>
      </c>
      <c r="J15" s="309">
        <f>'Balance General'!J14-'Balance General'!J40</f>
        <v>-41069301579.960892</v>
      </c>
      <c r="K15" s="309">
        <f>'Balance General'!K14-'Balance General'!K40</f>
        <v>-48161775568.225639</v>
      </c>
      <c r="L15" s="309">
        <f>'Balance General'!L14-'Balance General'!L40</f>
        <v>-83305905517.263275</v>
      </c>
      <c r="M15" s="309">
        <f>'Balance General'!M14-'Balance General'!M40</f>
        <v>-45661113549.979225</v>
      </c>
      <c r="N15" s="309">
        <f>'Balance General'!N14-'Balance General'!N40</f>
        <v>-47455026580.81002</v>
      </c>
      <c r="O15" s="340">
        <f>'Balance General'!O14-'Balance General'!O40</f>
        <v>-104534101075.62474</v>
      </c>
    </row>
    <row r="16" spans="1:15" s="375" customFormat="1" ht="16.5" thickBot="1">
      <c r="A16" s="372" t="s">
        <v>814</v>
      </c>
      <c r="B16" s="374"/>
      <c r="C16" s="374">
        <f t="shared" ref="C16:O16" si="0">SUM(C7:C15)</f>
        <v>-347585000000</v>
      </c>
      <c r="D16" s="374">
        <f t="shared" si="0"/>
        <v>-357035133630</v>
      </c>
      <c r="E16" s="374">
        <f t="shared" ca="1" si="0"/>
        <v>-432532331799.14337</v>
      </c>
      <c r="F16" s="374">
        <f t="shared" ca="1" si="0"/>
        <v>-737543928503.14539</v>
      </c>
      <c r="G16" s="374">
        <f t="shared" ca="1" si="0"/>
        <v>-531269105750.16345</v>
      </c>
      <c r="H16" s="374">
        <f t="shared" ca="1" si="0"/>
        <v>-701909062358.85889</v>
      </c>
      <c r="I16" s="374">
        <f t="shared" ca="1" si="0"/>
        <v>-713789908462.96851</v>
      </c>
      <c r="J16" s="374">
        <f t="shared" ca="1" si="0"/>
        <v>-151713884505.2442</v>
      </c>
      <c r="K16" s="374">
        <f t="shared" ca="1" si="0"/>
        <v>-714876283066.8866</v>
      </c>
      <c r="L16" s="374">
        <f t="shared" ca="1" si="0"/>
        <v>-961622495773.29004</v>
      </c>
      <c r="M16" s="374">
        <f t="shared" ca="1" si="0"/>
        <v>-651753001945.27856</v>
      </c>
      <c r="N16" s="374">
        <f t="shared" ca="1" si="0"/>
        <v>-891922490143.69763</v>
      </c>
      <c r="O16" s="441">
        <f t="shared" ca="1" si="0"/>
        <v>-1309138336853.9563</v>
      </c>
    </row>
    <row r="17" spans="1:15" ht="16.5" thickTop="1">
      <c r="A17" s="302" t="s">
        <v>815</v>
      </c>
      <c r="B17" s="309"/>
      <c r="C17" s="309">
        <f>'Balance General'!C22+'Balance General'!C26</f>
        <v>5914644000000</v>
      </c>
      <c r="D17" s="309">
        <f>'Balance General'!D22+'Balance General'!D26</f>
        <v>6334300000000</v>
      </c>
      <c r="E17" s="309">
        <f>'Balance General'!E22+'Balance General'!E26</f>
        <v>6970863678160.5986</v>
      </c>
      <c r="F17" s="309">
        <f>'Balance General'!F22+'Balance General'!F26</f>
        <v>6787387351869.3437</v>
      </c>
      <c r="G17" s="309">
        <f>'Balance General'!G22+'Balance General'!G26</f>
        <v>6605097827308.9316</v>
      </c>
      <c r="H17" s="309">
        <f>'Balance General'!H22+'Balance General'!H26</f>
        <v>6423772721708.7187</v>
      </c>
      <c r="I17" s="309">
        <f>'Balance General'!I22+'Balance General'!I26</f>
        <v>6243000443813.875</v>
      </c>
      <c r="J17" s="309">
        <f>'Balance General'!J22+'Balance General'!J26</f>
        <v>6062699292474.3848</v>
      </c>
      <c r="K17" s="309">
        <f>'Balance General'!K22+'Balance General'!K26</f>
        <v>5882995128588.7891</v>
      </c>
      <c r="L17" s="309">
        <f>'Balance General'!L22+'Balance General'!L26</f>
        <v>5703895038227.4453</v>
      </c>
      <c r="M17" s="309">
        <f>'Balance General'!M22+'Balance General'!M26</f>
        <v>5525436106806.1768</v>
      </c>
      <c r="N17" s="309">
        <f>'Balance General'!N22+'Balance General'!N26</f>
        <v>5347643199500.8789</v>
      </c>
      <c r="O17" s="340">
        <f>'Balance General'!O22+'Balance General'!O26</f>
        <v>5170540677397.9219</v>
      </c>
    </row>
    <row r="18" spans="1:15" s="375" customFormat="1" ht="16.5" thickBot="1">
      <c r="A18" s="372" t="s">
        <v>816</v>
      </c>
      <c r="B18" s="374"/>
      <c r="C18" s="374">
        <f>SUM(C16:C17)</f>
        <v>5567059000000</v>
      </c>
      <c r="D18" s="374">
        <f t="shared" ref="D18:O18" si="1">SUM(D16:D17)</f>
        <v>5977264866370</v>
      </c>
      <c r="E18" s="374">
        <f t="shared" ca="1" si="1"/>
        <v>6538331346361.4551</v>
      </c>
      <c r="F18" s="374">
        <f t="shared" ca="1" si="1"/>
        <v>6049843423366.1982</v>
      </c>
      <c r="G18" s="374">
        <f t="shared" ca="1" si="1"/>
        <v>6073828721558.7686</v>
      </c>
      <c r="H18" s="374">
        <f t="shared" ca="1" si="1"/>
        <v>5721863659349.8594</v>
      </c>
      <c r="I18" s="374">
        <f t="shared" ca="1" si="1"/>
        <v>5529210535350.9062</v>
      </c>
      <c r="J18" s="374">
        <f t="shared" ca="1" si="1"/>
        <v>5910985407969.1406</v>
      </c>
      <c r="K18" s="374">
        <f t="shared" ca="1" si="1"/>
        <v>5168118845521.9023</v>
      </c>
      <c r="L18" s="374">
        <f t="shared" ca="1" si="1"/>
        <v>4742272542454.1553</v>
      </c>
      <c r="M18" s="374">
        <f t="shared" ca="1" si="1"/>
        <v>4873683104860.8984</v>
      </c>
      <c r="N18" s="374">
        <f t="shared" ca="1" si="1"/>
        <v>4455720709357.1816</v>
      </c>
      <c r="O18" s="441">
        <f t="shared" ca="1" si="1"/>
        <v>3861402340543.9658</v>
      </c>
    </row>
    <row r="19" spans="1:15" ht="16.5" thickTop="1">
      <c r="O19" s="340"/>
    </row>
    <row r="20" spans="1:15">
      <c r="A20" s="389" t="s">
        <v>745</v>
      </c>
      <c r="B20" s="340"/>
      <c r="C20" s="340">
        <f>'Flujo de efectivo'!C31</f>
        <v>49772090410.958862</v>
      </c>
      <c r="D20" s="340">
        <f>'Flujo de efectivo'!D31</f>
        <v>32358953380.273968</v>
      </c>
      <c r="E20" s="340">
        <f>'Flujo de efectivo'!E31</f>
        <v>32685192411.073578</v>
      </c>
      <c r="F20" s="340">
        <f ca="1">'Flujo de efectivo'!F31</f>
        <v>48523969516.725891</v>
      </c>
      <c r="G20" s="340">
        <f ca="1">'Flujo de efectivo'!G31</f>
        <v>64402193972.475998</v>
      </c>
      <c r="H20" s="340">
        <f ca="1">'Flujo de efectivo'!H31</f>
        <v>62151436043.423729</v>
      </c>
      <c r="I20" s="340">
        <f ca="1">'Flujo de efectivo'!I31</f>
        <v>69899527982.912827</v>
      </c>
      <c r="J20" s="340">
        <f ca="1">'Flujo de efectivo'!J31</f>
        <v>68439882053.314064</v>
      </c>
      <c r="K20" s="340">
        <f ca="1">'Flujo de efectivo'!K31</f>
        <v>51321771227.392532</v>
      </c>
      <c r="L20" s="340">
        <f ca="1">'Flujo de efectivo'!L31</f>
        <v>54669582368.389702</v>
      </c>
      <c r="M20" s="340">
        <f ca="1">'Flujo de efectivo'!M31</f>
        <v>56647965825.276024</v>
      </c>
      <c r="N20" s="340">
        <f ca="1">'Flujo de efectivo'!N31</f>
        <v>58062058935.702377</v>
      </c>
      <c r="O20" s="340">
        <f ca="1">'Flujo de efectivo'!O31</f>
        <v>58108344458.406044</v>
      </c>
    </row>
    <row r="21" spans="1:15">
      <c r="A21" s="302" t="s">
        <v>746</v>
      </c>
      <c r="B21" s="340"/>
      <c r="C21" s="340">
        <f>'Balance General'!C8</f>
        <v>200230909589.04309</v>
      </c>
      <c r="D21" s="340">
        <f>'Balance General'!D8</f>
        <v>495589046619.72821</v>
      </c>
      <c r="E21" s="340">
        <f>'Balance General'!E8</f>
        <v>446919582214.96912</v>
      </c>
      <c r="F21" s="340">
        <f ca="1">'Balance General'!F8</f>
        <v>999365274367.69678</v>
      </c>
      <c r="G21" s="340">
        <f ca="1">'Balance General'!G8</f>
        <v>685605552596.98474</v>
      </c>
      <c r="H21" s="340">
        <f ca="1">'Balance General'!H8</f>
        <v>768597987901.56628</v>
      </c>
      <c r="I21" s="340">
        <f ca="1">'Balance General'!I8</f>
        <v>619060955522.19531</v>
      </c>
      <c r="J21" s="340">
        <f ca="1">'Balance General'!J8</f>
        <v>-3.4332275390625E-4</v>
      </c>
      <c r="K21" s="340">
        <f ca="1">'Balance General'!K8</f>
        <v>2.899169921875E-4</v>
      </c>
      <c r="L21" s="340">
        <f ca="1">'Balance General'!L8</f>
        <v>46631443265.930367</v>
      </c>
      <c r="M21" s="340">
        <f ca="1">'Balance General'!M8</f>
        <v>9.918212890625E-5</v>
      </c>
      <c r="N21" s="340">
        <f ca="1">'Balance General'!N8</f>
        <v>-4.730224609375E-4</v>
      </c>
      <c r="O21" s="340">
        <f ca="1">'Balance General'!O8</f>
        <v>543440379528.62103</v>
      </c>
    </row>
    <row r="22" spans="1:15">
      <c r="A22" s="302" t="s">
        <v>817</v>
      </c>
      <c r="B22" s="340"/>
      <c r="C22" s="351">
        <v>0</v>
      </c>
      <c r="D22" s="351">
        <f>-(Renta!D81+CREE!D83)</f>
        <v>-3433065000</v>
      </c>
      <c r="E22" s="351">
        <f>-(Renta!E81+CREE!E83)</f>
        <v>-600907500</v>
      </c>
      <c r="F22" s="351">
        <f ca="1">-(Renta!F81+CREE!F83)</f>
        <v>-11727523095.063396</v>
      </c>
      <c r="G22" s="351">
        <f ca="1">-(Renta!G81+CREE!G83)</f>
        <v>-88633707729.836884</v>
      </c>
      <c r="H22" s="351">
        <f ca="1">-(Renta!H81+CREE!H83)</f>
        <v>-73891867841.385574</v>
      </c>
      <c r="I22" s="351">
        <f ca="1">-(Renta!I81+CREE!I83)</f>
        <v>-71055030767.371078</v>
      </c>
      <c r="J22" s="351">
        <f ca="1">-(Renta!J81+CREE!J83)</f>
        <v>-61167851571.585342</v>
      </c>
      <c r="K22" s="351">
        <f ca="1">-(Renta!K81+CREE!K83)</f>
        <v>0</v>
      </c>
      <c r="L22" s="351">
        <f ca="1">-(Renta!L81+CREE!L83)</f>
        <v>-3452005563.9616871</v>
      </c>
      <c r="M22" s="351">
        <f ca="1">-(Renta!M81+CREE!M83)</f>
        <v>-62603004023.113472</v>
      </c>
      <c r="N22" s="351">
        <f ca="1">-(Renta!N81+CREE!N83)</f>
        <v>0</v>
      </c>
      <c r="O22" s="351">
        <f ca="1">-(Renta!O81+CREE!O83)</f>
        <v>-14041050234.053055</v>
      </c>
    </row>
    <row r="23" spans="1:15">
      <c r="A23" s="302" t="s">
        <v>818</v>
      </c>
      <c r="B23" s="340"/>
      <c r="C23" s="351">
        <v>0</v>
      </c>
      <c r="D23" s="351">
        <f>Renta!D82+CREE!D84</f>
        <v>801210000</v>
      </c>
      <c r="E23" s="351">
        <f ca="1">Renta!E82+CREE!E84</f>
        <v>15636697460.084528</v>
      </c>
      <c r="F23" s="351">
        <f ca="1">Renta!F82+CREE!F84</f>
        <v>118178276973.11584</v>
      </c>
      <c r="G23" s="351">
        <f ca="1">Renta!G82+CREE!G84</f>
        <v>98522490455.180756</v>
      </c>
      <c r="H23" s="351">
        <f ca="1">Renta!H82+CREE!H84</f>
        <v>94740041023.161438</v>
      </c>
      <c r="I23" s="351">
        <f ca="1">Renta!I82+CREE!I84</f>
        <v>81557135428.780457</v>
      </c>
      <c r="J23" s="351">
        <f ca="1">Renta!J82+CREE!J84</f>
        <v>0</v>
      </c>
      <c r="K23" s="351">
        <f ca="1">Renta!K82+CREE!K84</f>
        <v>4602674085.2822495</v>
      </c>
      <c r="L23" s="351">
        <f ca="1">Renta!L82+CREE!L84</f>
        <v>83470672030.817963</v>
      </c>
      <c r="M23" s="351">
        <f ca="1">Renta!M82+CREE!M84</f>
        <v>0</v>
      </c>
      <c r="N23" s="351">
        <f ca="1">Renta!N82+CREE!N84</f>
        <v>18721400312.07074</v>
      </c>
      <c r="O23" s="351">
        <f ca="1">Renta!O82+CREE!O84</f>
        <v>38611430851.51664</v>
      </c>
    </row>
    <row r="24" spans="1:15">
      <c r="A24" s="302" t="s">
        <v>828</v>
      </c>
      <c r="B24" s="340"/>
      <c r="C24" s="340">
        <f>'Balance General'!C15+'Balance General'!C25+'Balance General'!C27-'Balance General'!C47-'Balance General'!C48</f>
        <v>57837000000</v>
      </c>
      <c r="D24" s="340">
        <f>'Balance General'!D15+'Balance General'!D25+'Balance General'!D27-'Balance General'!D47-'Balance General'!D48</f>
        <v>42927988630</v>
      </c>
      <c r="E24" s="340">
        <f>'Balance General'!E15+'Balance General'!E25+'Balance General'!E27-'Balance General'!E47-'Balance General'!E48</f>
        <v>41631214307</v>
      </c>
      <c r="F24" s="340">
        <f>'Balance General'!F15+'Balance General'!F25+'Balance General'!F27-'Balance General'!F47-'Balance General'!F48</f>
        <v>45479939984</v>
      </c>
      <c r="G24" s="340">
        <f>'Balance General'!G15+'Balance General'!G25+'Balance General'!G27-'Balance General'!G47-'Balance General'!G48</f>
        <v>49328665661</v>
      </c>
      <c r="H24" s="340">
        <f>'Balance General'!H15+'Balance General'!H25+'Balance General'!H27-'Balance General'!H47-'Balance General'!H48</f>
        <v>53177391338</v>
      </c>
      <c r="I24" s="340">
        <f>'Balance General'!I15+'Balance General'!I25+'Balance General'!I27-'Balance General'!I47-'Balance General'!I48</f>
        <v>57026117015</v>
      </c>
      <c r="J24" s="340">
        <f>'Balance General'!J15+'Balance General'!J25+'Balance General'!J27-'Balance General'!J47-'Balance General'!J48</f>
        <v>60874842692</v>
      </c>
      <c r="K24" s="340">
        <f>'Balance General'!K15+'Balance General'!K25+'Balance General'!K27-'Balance General'!K47-'Balance General'!K48</f>
        <v>59821528369</v>
      </c>
      <c r="L24" s="340">
        <f>'Balance General'!L15+'Balance General'!L25+'Balance General'!L27-'Balance General'!L47-'Balance General'!L48</f>
        <v>57362254046</v>
      </c>
      <c r="M24" s="340">
        <f>'Balance General'!M15+'Balance General'!M25+'Balance General'!M27-'Balance General'!M47-'Balance General'!M48</f>
        <v>54902979723</v>
      </c>
      <c r="N24" s="340">
        <f>'Balance General'!N15+'Balance General'!N25+'Balance General'!N27-'Balance General'!N47-'Balance General'!N48</f>
        <v>52443705400</v>
      </c>
      <c r="O24" s="340">
        <f>'Balance General'!O15+'Balance General'!O25+'Balance General'!O27-'Balance General'!O47-'Balance General'!O48</f>
        <v>51913097744</v>
      </c>
    </row>
    <row r="25" spans="1:15" s="375" customFormat="1" ht="16.5" thickBot="1">
      <c r="A25" s="372" t="s">
        <v>819</v>
      </c>
      <c r="B25" s="374"/>
      <c r="C25" s="374">
        <f>SUM(C20:C24)</f>
        <v>307840000000.00195</v>
      </c>
      <c r="D25" s="374">
        <f t="shared" ref="D25:O25" si="2">SUM(D20:D24)</f>
        <v>568244133630.0022</v>
      </c>
      <c r="E25" s="374">
        <f t="shared" ca="1" si="2"/>
        <v>536271778893.12726</v>
      </c>
      <c r="F25" s="374">
        <f t="shared" ca="1" si="2"/>
        <v>1199819937746.4751</v>
      </c>
      <c r="G25" s="374">
        <f t="shared" ca="1" si="2"/>
        <v>809225194955.80457</v>
      </c>
      <c r="H25" s="374">
        <f t="shared" ca="1" si="2"/>
        <v>904774988464.76587</v>
      </c>
      <c r="I25" s="374">
        <f t="shared" ca="1" si="2"/>
        <v>756488705181.51758</v>
      </c>
      <c r="J25" s="374">
        <f t="shared" ca="1" si="2"/>
        <v>68146873173.728378</v>
      </c>
      <c r="K25" s="374">
        <f t="shared" ca="1" si="2"/>
        <v>115745973681.67508</v>
      </c>
      <c r="L25" s="374">
        <f t="shared" ca="1" si="2"/>
        <v>238681946147.17633</v>
      </c>
      <c r="M25" s="374">
        <f t="shared" ca="1" si="2"/>
        <v>48947941525.162651</v>
      </c>
      <c r="N25" s="374">
        <f t="shared" ca="1" si="2"/>
        <v>129227164647.77264</v>
      </c>
      <c r="O25" s="374">
        <f t="shared" ca="1" si="2"/>
        <v>678032202348.4906</v>
      </c>
    </row>
    <row r="26" spans="1:15" ht="16.5" thickTop="1">
      <c r="O26" s="340"/>
    </row>
    <row r="27" spans="1:15" s="375" customFormat="1" ht="16.5" thickBot="1">
      <c r="A27" s="372" t="s">
        <v>820</v>
      </c>
      <c r="B27" s="374"/>
      <c r="C27" s="374">
        <f t="shared" ref="C27:O27" si="3">C18+C25</f>
        <v>5874899000000.002</v>
      </c>
      <c r="D27" s="374">
        <f t="shared" si="3"/>
        <v>6545509000000.002</v>
      </c>
      <c r="E27" s="374">
        <f t="shared" ca="1" si="3"/>
        <v>7074603125254.582</v>
      </c>
      <c r="F27" s="374">
        <f t="shared" ca="1" si="3"/>
        <v>7249663361112.6738</v>
      </c>
      <c r="G27" s="374">
        <f t="shared" ca="1" si="3"/>
        <v>6883053916514.5732</v>
      </c>
      <c r="H27" s="374">
        <f t="shared" ca="1" si="3"/>
        <v>6626638647814.625</v>
      </c>
      <c r="I27" s="374">
        <f t="shared" ca="1" si="3"/>
        <v>6285699240532.4238</v>
      </c>
      <c r="J27" s="374">
        <f t="shared" ca="1" si="3"/>
        <v>5979132281142.8691</v>
      </c>
      <c r="K27" s="374">
        <f t="shared" ca="1" si="3"/>
        <v>5283864819203.5771</v>
      </c>
      <c r="L27" s="374">
        <f t="shared" ca="1" si="3"/>
        <v>4980954488601.332</v>
      </c>
      <c r="M27" s="374">
        <f t="shared" ca="1" si="3"/>
        <v>4922631046386.0615</v>
      </c>
      <c r="N27" s="374">
        <f t="shared" ca="1" si="3"/>
        <v>4584947874004.9541</v>
      </c>
      <c r="O27" s="441">
        <f t="shared" ca="1" si="3"/>
        <v>4539434542892.4561</v>
      </c>
    </row>
    <row r="28" spans="1:15" ht="16.5" thickTop="1">
      <c r="O28" s="340"/>
    </row>
    <row r="29" spans="1:15">
      <c r="A29" s="302" t="s">
        <v>821</v>
      </c>
      <c r="B29" s="309"/>
      <c r="C29" s="309">
        <f>'Balance General'!C35+'Balance General'!C36</f>
        <v>26444500000</v>
      </c>
      <c r="D29" s="309">
        <f>'Balance General'!D35+'Balance General'!D36</f>
        <v>58673355000</v>
      </c>
      <c r="E29" s="309">
        <f>'Balance General'!E35+'Balance General'!E36</f>
        <v>378407607393.6911</v>
      </c>
      <c r="F29" s="309">
        <f>'Balance General'!F35+'Balance General'!F36</f>
        <v>378407607393.6911</v>
      </c>
      <c r="G29" s="309">
        <f>'Balance General'!G35+'Balance General'!G36</f>
        <v>378407607393.6911</v>
      </c>
      <c r="H29" s="309">
        <f>'Balance General'!H35+'Balance General'!H36</f>
        <v>378407607393.6911</v>
      </c>
      <c r="I29" s="309">
        <f>'Balance General'!I35+'Balance General'!I36</f>
        <v>378407607393.6911</v>
      </c>
      <c r="J29" s="309">
        <f>'Balance General'!J35+'Balance General'!J36</f>
        <v>1410315089685.749</v>
      </c>
      <c r="K29" s="309">
        <f>'Balance General'!K35+'Balance General'!K36</f>
        <v>1162618340338.9727</v>
      </c>
      <c r="L29" s="309">
        <f>'Balance General'!L35+'Balance General'!L36</f>
        <v>378407607393.6911</v>
      </c>
      <c r="M29" s="309">
        <f>'Balance General'!M35+'Balance General'!M36</f>
        <v>1371197715026.2324</v>
      </c>
      <c r="N29" s="309">
        <f>'Balance General'!N35+'Balance General'!N36</f>
        <v>1207770153396.0522</v>
      </c>
      <c r="O29" s="309">
        <f>'Balance General'!O35+'Balance General'!O36</f>
        <v>0</v>
      </c>
    </row>
    <row r="30" spans="1:15">
      <c r="A30" s="302" t="s">
        <v>822</v>
      </c>
      <c r="B30" s="309"/>
      <c r="C30" s="309">
        <f>'Balance General'!C44</f>
        <v>2612088500000</v>
      </c>
      <c r="D30" s="309">
        <f>'Balance General'!D44</f>
        <v>3236988645000</v>
      </c>
      <c r="E30" s="309">
        <f>'Balance General'!E44</f>
        <v>3267661611543.2202</v>
      </c>
      <c r="F30" s="309">
        <f>'Balance General'!F44</f>
        <v>2889254004149.5293</v>
      </c>
      <c r="G30" s="309">
        <f>'Balance General'!G44</f>
        <v>2510846396755.8379</v>
      </c>
      <c r="H30" s="309">
        <f>'Balance General'!H44</f>
        <v>2132438789362.1467</v>
      </c>
      <c r="I30" s="309">
        <f>'Balance General'!I44</f>
        <v>1754031181968.4556</v>
      </c>
      <c r="J30" s="309">
        <f>'Balance General'!J44</f>
        <v>1375623574574.7644</v>
      </c>
      <c r="K30" s="309">
        <f>'Balance General'!K44</f>
        <v>997215967181.07324</v>
      </c>
      <c r="L30" s="309">
        <f>'Balance General'!L44</f>
        <v>618808359787.38208</v>
      </c>
      <c r="M30" s="309">
        <f>'Balance General'!M44</f>
        <v>261060897393.69104</v>
      </c>
      <c r="N30" s="309">
        <f>'Balance General'!N44</f>
        <v>0</v>
      </c>
      <c r="O30" s="340">
        <f>'Balance General'!O44</f>
        <v>0</v>
      </c>
    </row>
    <row r="31" spans="1:15">
      <c r="A31" s="302" t="s">
        <v>823</v>
      </c>
      <c r="B31" s="309"/>
      <c r="C31" s="309">
        <f>C29+C30</f>
        <v>2638533000000</v>
      </c>
      <c r="D31" s="309">
        <f t="shared" ref="D31:O31" si="4">D29+D30</f>
        <v>3295662000000</v>
      </c>
      <c r="E31" s="309">
        <f t="shared" si="4"/>
        <v>3646069218936.9111</v>
      </c>
      <c r="F31" s="309">
        <f t="shared" si="4"/>
        <v>3267661611543.2202</v>
      </c>
      <c r="G31" s="309">
        <f t="shared" si="4"/>
        <v>2889254004149.5288</v>
      </c>
      <c r="H31" s="309">
        <f t="shared" si="4"/>
        <v>2510846396755.8379</v>
      </c>
      <c r="I31" s="309">
        <f t="shared" si="4"/>
        <v>2132438789362.1467</v>
      </c>
      <c r="J31" s="309">
        <f t="shared" si="4"/>
        <v>2785938664260.5137</v>
      </c>
      <c r="K31" s="309">
        <f t="shared" si="4"/>
        <v>2159834307520.0459</v>
      </c>
      <c r="L31" s="309">
        <f t="shared" si="4"/>
        <v>997215967181.07324</v>
      </c>
      <c r="M31" s="309">
        <f t="shared" si="4"/>
        <v>1632258612419.9233</v>
      </c>
      <c r="N31" s="309">
        <f t="shared" si="4"/>
        <v>1207770153396.0522</v>
      </c>
      <c r="O31" s="340">
        <f t="shared" si="4"/>
        <v>0</v>
      </c>
    </row>
    <row r="32" spans="1:15">
      <c r="A32" s="302" t="s">
        <v>124</v>
      </c>
      <c r="B32" s="309"/>
      <c r="C32" s="309">
        <f>'Balance General'!C64-'Balance General'!C63</f>
        <v>3236366000000</v>
      </c>
      <c r="D32" s="309">
        <f>'Balance General'!D64-'Balance General'!D63</f>
        <v>3249847000000</v>
      </c>
      <c r="E32" s="309">
        <f ca="1">'Balance General'!E64-'Balance General'!E63</f>
        <v>3428533906317.6699</v>
      </c>
      <c r="F32" s="309">
        <f ca="1">'Balance General'!F64-'Balance General'!F63</f>
        <v>3982001749569.4512</v>
      </c>
      <c r="G32" s="309">
        <f ca="1">'Balance General'!G64-'Balance General'!G63</f>
        <v>3993799912365.043</v>
      </c>
      <c r="H32" s="309">
        <f ca="1">'Balance General'!H64-'Balance General'!H63</f>
        <v>4115792251058.7861</v>
      </c>
      <c r="I32" s="309">
        <f ca="1">'Balance General'!I64-'Balance General'!I63</f>
        <v>4153260451170.2734</v>
      </c>
      <c r="J32" s="309">
        <f ca="1">'Balance General'!J64-'Balance General'!J63</f>
        <v>3193193616882.3511</v>
      </c>
      <c r="K32" s="309">
        <f ca="1">'Balance General'!K64-'Balance General'!K63</f>
        <v>3124030511683.5273</v>
      </c>
      <c r="L32" s="309">
        <f ca="1">'Balance General'!L64-'Balance General'!L63</f>
        <v>3983738521420.2539</v>
      </c>
      <c r="M32" s="309">
        <f ca="1">'Balance General'!M64-'Balance General'!M63</f>
        <v>3290372433966.1318</v>
      </c>
      <c r="N32" s="309">
        <f ca="1">'Balance General'!N64-'Balance General'!N63</f>
        <v>3377177720608.8955</v>
      </c>
      <c r="O32" s="340">
        <f ca="1">'Balance General'!O64-'Balance General'!O63</f>
        <v>4539434542892.4492</v>
      </c>
    </row>
    <row r="33" spans="1:15" s="375" customFormat="1" ht="16.5" thickBot="1">
      <c r="A33" s="372" t="s">
        <v>820</v>
      </c>
      <c r="B33" s="374"/>
      <c r="C33" s="374">
        <f>SUM(C31:C32)</f>
        <v>5874899000000</v>
      </c>
      <c r="D33" s="374">
        <f t="shared" ref="D33:O33" si="5">SUM(D31:D32)</f>
        <v>6545509000000</v>
      </c>
      <c r="E33" s="374">
        <f t="shared" ca="1" si="5"/>
        <v>7074603125254.5811</v>
      </c>
      <c r="F33" s="374">
        <f t="shared" ca="1" si="5"/>
        <v>7249663361112.6719</v>
      </c>
      <c r="G33" s="374">
        <f t="shared" ca="1" si="5"/>
        <v>6883053916514.5723</v>
      </c>
      <c r="H33" s="374">
        <f t="shared" ca="1" si="5"/>
        <v>6626638647814.624</v>
      </c>
      <c r="I33" s="374">
        <f t="shared" ca="1" si="5"/>
        <v>6285699240532.4199</v>
      </c>
      <c r="J33" s="374">
        <f t="shared" ca="1" si="5"/>
        <v>5979132281142.8652</v>
      </c>
      <c r="K33" s="374">
        <f t="shared" ca="1" si="5"/>
        <v>5283864819203.5732</v>
      </c>
      <c r="L33" s="374">
        <f t="shared" ca="1" si="5"/>
        <v>4980954488601.3271</v>
      </c>
      <c r="M33" s="374">
        <f t="shared" ca="1" si="5"/>
        <v>4922631046386.0547</v>
      </c>
      <c r="N33" s="374">
        <f t="shared" ca="1" si="5"/>
        <v>4584947874004.9473</v>
      </c>
      <c r="O33" s="441">
        <f t="shared" ca="1" si="5"/>
        <v>4539434542892.4492</v>
      </c>
    </row>
    <row r="34" spans="1:15" ht="16.5" thickTop="1">
      <c r="O34" s="340"/>
    </row>
    <row r="35" spans="1:15">
      <c r="A35" s="382" t="s">
        <v>824</v>
      </c>
      <c r="B35" s="430"/>
      <c r="C35" s="444">
        <f>C27-C33</f>
        <v>0</v>
      </c>
      <c r="D35" s="444">
        <f t="shared" ref="D35:O35" si="6">D27-D33</f>
        <v>0</v>
      </c>
      <c r="E35" s="444">
        <f t="shared" ca="1" si="6"/>
        <v>0</v>
      </c>
      <c r="F35" s="444">
        <f t="shared" ca="1" si="6"/>
        <v>0</v>
      </c>
      <c r="G35" s="444">
        <f t="shared" ca="1" si="6"/>
        <v>0</v>
      </c>
      <c r="H35" s="444">
        <f t="shared" ca="1" si="6"/>
        <v>0</v>
      </c>
      <c r="I35" s="444">
        <f t="shared" ca="1" si="6"/>
        <v>0</v>
      </c>
      <c r="J35" s="444">
        <f t="shared" ca="1" si="6"/>
        <v>0</v>
      </c>
      <c r="K35" s="444">
        <f t="shared" ca="1" si="6"/>
        <v>0</v>
      </c>
      <c r="L35" s="444">
        <f t="shared" ca="1" si="6"/>
        <v>0</v>
      </c>
      <c r="M35" s="444">
        <f t="shared" ca="1" si="6"/>
        <v>0</v>
      </c>
      <c r="N35" s="444">
        <f t="shared" ca="1" si="6"/>
        <v>0</v>
      </c>
      <c r="O35" s="444">
        <f t="shared" ca="1" si="6"/>
        <v>0</v>
      </c>
    </row>
    <row r="37" spans="1:15" s="375" customFormat="1" ht="16.5" thickBot="1">
      <c r="A37" s="372" t="s">
        <v>825</v>
      </c>
      <c r="B37" s="374"/>
      <c r="C37" s="374">
        <f>C16-B16</f>
        <v>-347585000000</v>
      </c>
      <c r="D37" s="374">
        <f>D16-C16</f>
        <v>-9450133630</v>
      </c>
      <c r="E37" s="374">
        <f t="shared" ref="E37:O37" ca="1" si="7">E16-D16</f>
        <v>-75497198169.143372</v>
      </c>
      <c r="F37" s="374">
        <f t="shared" ca="1" si="7"/>
        <v>-305011596704.00201</v>
      </c>
      <c r="G37" s="374">
        <f t="shared" ca="1" si="7"/>
        <v>206274822752.98193</v>
      </c>
      <c r="H37" s="374">
        <f t="shared" ca="1" si="7"/>
        <v>-170639956608.69543</v>
      </c>
      <c r="I37" s="374">
        <f t="shared" ca="1" si="7"/>
        <v>-11880846104.109619</v>
      </c>
      <c r="J37" s="374">
        <f t="shared" ca="1" si="7"/>
        <v>562076023957.72437</v>
      </c>
      <c r="K37" s="374">
        <f t="shared" ca="1" si="7"/>
        <v>-563162398561.64233</v>
      </c>
      <c r="L37" s="374">
        <f t="shared" ca="1" si="7"/>
        <v>-246746212706.40344</v>
      </c>
      <c r="M37" s="374">
        <f t="shared" ca="1" si="7"/>
        <v>309869493828.01147</v>
      </c>
      <c r="N37" s="374">
        <f t="shared" ca="1" si="7"/>
        <v>-240169488198.41907</v>
      </c>
      <c r="O37" s="374">
        <f t="shared" ca="1" si="7"/>
        <v>-417215846710.25867</v>
      </c>
    </row>
    <row r="38" spans="1:15" ht="16.5" thickTop="1">
      <c r="D38" s="340"/>
    </row>
    <row r="39" spans="1:15">
      <c r="D39" s="340"/>
    </row>
    <row r="40" spans="1:15">
      <c r="D40" s="340"/>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3:O70"/>
  <sheetViews>
    <sheetView showGridLines="0" workbookViewId="0">
      <selection activeCell="B10" sqref="B10:B11"/>
    </sheetView>
  </sheetViews>
  <sheetFormatPr baseColWidth="10" defaultRowHeight="15"/>
  <cols>
    <col min="3" max="3" width="41.42578125" bestFit="1" customWidth="1"/>
    <col min="4" max="15" width="14.7109375" customWidth="1"/>
  </cols>
  <sheetData>
    <row r="3" spans="2:15" ht="16.5" thickBot="1">
      <c r="C3" s="47" t="s">
        <v>152</v>
      </c>
      <c r="D3" s="48"/>
      <c r="E3" s="49">
        <v>2014</v>
      </c>
      <c r="F3" s="49">
        <f t="shared" ref="F3:O3" si="0">E3+1</f>
        <v>2015</v>
      </c>
      <c r="G3" s="49">
        <f t="shared" si="0"/>
        <v>2016</v>
      </c>
      <c r="H3" s="49">
        <f t="shared" si="0"/>
        <v>2017</v>
      </c>
      <c r="I3" s="49">
        <f t="shared" si="0"/>
        <v>2018</v>
      </c>
      <c r="J3" s="49">
        <f t="shared" si="0"/>
        <v>2019</v>
      </c>
      <c r="K3" s="49">
        <f t="shared" si="0"/>
        <v>2020</v>
      </c>
      <c r="L3" s="49">
        <f t="shared" si="0"/>
        <v>2021</v>
      </c>
      <c r="M3" s="49">
        <f t="shared" si="0"/>
        <v>2022</v>
      </c>
      <c r="N3" s="49">
        <f t="shared" si="0"/>
        <v>2023</v>
      </c>
      <c r="O3" s="49">
        <f t="shared" si="0"/>
        <v>2024</v>
      </c>
    </row>
    <row r="4" spans="2:15" ht="16.5" thickTop="1">
      <c r="E4" s="50"/>
      <c r="F4" s="50"/>
      <c r="G4" s="50"/>
      <c r="H4" s="50"/>
      <c r="I4" s="50"/>
      <c r="J4" s="50"/>
      <c r="K4" s="50"/>
      <c r="L4" s="50"/>
      <c r="M4" s="50"/>
      <c r="N4" s="50"/>
      <c r="O4" s="50"/>
    </row>
    <row r="5" spans="2:15">
      <c r="B5" s="56" t="s">
        <v>160</v>
      </c>
      <c r="C5" s="51" t="s">
        <v>159</v>
      </c>
      <c r="E5" s="52">
        <v>2.5399999999999999E-2</v>
      </c>
      <c r="F5" s="52">
        <f>E5</f>
        <v>2.5399999999999999E-2</v>
      </c>
      <c r="G5" s="52">
        <f t="shared" ref="G5:O5" si="1">F5</f>
        <v>2.5399999999999999E-2</v>
      </c>
      <c r="H5" s="52">
        <f t="shared" si="1"/>
        <v>2.5399999999999999E-2</v>
      </c>
      <c r="I5" s="52">
        <f t="shared" si="1"/>
        <v>2.5399999999999999E-2</v>
      </c>
      <c r="J5" s="52">
        <f t="shared" si="1"/>
        <v>2.5399999999999999E-2</v>
      </c>
      <c r="K5" s="52">
        <f t="shared" si="1"/>
        <v>2.5399999999999999E-2</v>
      </c>
      <c r="L5" s="52">
        <f t="shared" si="1"/>
        <v>2.5399999999999999E-2</v>
      </c>
      <c r="M5" s="52">
        <f t="shared" si="1"/>
        <v>2.5399999999999999E-2</v>
      </c>
      <c r="N5" s="52">
        <f t="shared" si="1"/>
        <v>2.5399999999999999E-2</v>
      </c>
      <c r="O5" s="52">
        <f t="shared" si="1"/>
        <v>2.5399999999999999E-2</v>
      </c>
    </row>
    <row r="6" spans="2:15">
      <c r="B6" s="56" t="s">
        <v>163</v>
      </c>
      <c r="C6" s="51" t="s">
        <v>165</v>
      </c>
      <c r="E6" s="53">
        <f>1.6493%</f>
        <v>1.6493000000000001E-2</v>
      </c>
      <c r="F6" s="53">
        <f>E6</f>
        <v>1.6493000000000001E-2</v>
      </c>
      <c r="G6" s="53">
        <f t="shared" ref="G6:O6" si="2">F6</f>
        <v>1.6493000000000001E-2</v>
      </c>
      <c r="H6" s="53">
        <f t="shared" si="2"/>
        <v>1.6493000000000001E-2</v>
      </c>
      <c r="I6" s="53">
        <f t="shared" si="2"/>
        <v>1.6493000000000001E-2</v>
      </c>
      <c r="J6" s="53">
        <f t="shared" si="2"/>
        <v>1.6493000000000001E-2</v>
      </c>
      <c r="K6" s="53">
        <f t="shared" si="2"/>
        <v>1.6493000000000001E-2</v>
      </c>
      <c r="L6" s="53">
        <f t="shared" si="2"/>
        <v>1.6493000000000001E-2</v>
      </c>
      <c r="M6" s="53">
        <f t="shared" si="2"/>
        <v>1.6493000000000001E-2</v>
      </c>
      <c r="N6" s="53">
        <f t="shared" si="2"/>
        <v>1.6493000000000001E-2</v>
      </c>
      <c r="O6" s="53">
        <f t="shared" si="2"/>
        <v>1.6493000000000001E-2</v>
      </c>
    </row>
    <row r="7" spans="2:15">
      <c r="B7" s="56" t="s">
        <v>168</v>
      </c>
      <c r="C7" s="51" t="s">
        <v>166</v>
      </c>
      <c r="E7" s="64">
        <f>IF(Opcion_Beta="Damodaran 5 años",$N$69,IF(Opcion_Beta="Damodaran 1 año",$M$69,IF(Opcion_Beta="Calculado COLCAP",'Calculo Beta'!$K$3,IF(Opcion_Beta="Calculado IGBC",'Calculo Beta'!$O$3,'Calculo Beta'!$Q$3))))</f>
        <v>0.50206463195691209</v>
      </c>
      <c r="F7" s="64">
        <f>E7</f>
        <v>0.50206463195691209</v>
      </c>
      <c r="G7" s="64">
        <f t="shared" ref="G7:O7" si="3">F7</f>
        <v>0.50206463195691209</v>
      </c>
      <c r="H7" s="64">
        <f t="shared" si="3"/>
        <v>0.50206463195691209</v>
      </c>
      <c r="I7" s="64">
        <f t="shared" si="3"/>
        <v>0.50206463195691209</v>
      </c>
      <c r="J7" s="64">
        <f t="shared" si="3"/>
        <v>0.50206463195691209</v>
      </c>
      <c r="K7" s="64">
        <f t="shared" si="3"/>
        <v>0.50206463195691209</v>
      </c>
      <c r="L7" s="64">
        <f t="shared" si="3"/>
        <v>0.50206463195691209</v>
      </c>
      <c r="M7" s="64">
        <f t="shared" si="3"/>
        <v>0.50206463195691209</v>
      </c>
      <c r="N7" s="64">
        <f t="shared" si="3"/>
        <v>0.50206463195691209</v>
      </c>
      <c r="O7" s="64">
        <f t="shared" si="3"/>
        <v>0.50206463195691209</v>
      </c>
    </row>
    <row r="8" spans="2:15">
      <c r="C8" s="51" t="s">
        <v>125</v>
      </c>
      <c r="E8" s="64">
        <f>E7*(1+(1-E12)*E10)</f>
        <v>0.65800000000000003</v>
      </c>
      <c r="F8" s="64">
        <f t="shared" ref="F8:O8" si="4">F7*(1+(1-F12)*F10)</f>
        <v>0.64618671454219045</v>
      </c>
      <c r="G8" s="64">
        <f t="shared" si="4"/>
        <v>0.64382405745062843</v>
      </c>
      <c r="H8" s="64">
        <f t="shared" si="4"/>
        <v>0.6390987432675046</v>
      </c>
      <c r="I8" s="64">
        <f t="shared" si="4"/>
        <v>0.63673608617594268</v>
      </c>
      <c r="J8" s="64">
        <f t="shared" si="4"/>
        <v>0.65800000000000003</v>
      </c>
      <c r="K8" s="64">
        <f t="shared" si="4"/>
        <v>0.65800000000000003</v>
      </c>
      <c r="L8" s="64">
        <f t="shared" si="4"/>
        <v>0.65800000000000003</v>
      </c>
      <c r="M8" s="64">
        <f t="shared" si="4"/>
        <v>0.65800000000000003</v>
      </c>
      <c r="N8" s="64">
        <f t="shared" si="4"/>
        <v>0.65800000000000003</v>
      </c>
      <c r="O8" s="64">
        <f t="shared" si="4"/>
        <v>0.65800000000000003</v>
      </c>
    </row>
    <row r="9" spans="2:15">
      <c r="B9" s="56" t="s">
        <v>170</v>
      </c>
      <c r="C9" s="51" t="s">
        <v>153</v>
      </c>
      <c r="E9" s="54">
        <v>6.2899999999999998E-2</v>
      </c>
      <c r="F9" s="54">
        <f>E9</f>
        <v>6.2899999999999998E-2</v>
      </c>
      <c r="G9" s="54">
        <f t="shared" ref="G9:O9" si="5">F9</f>
        <v>6.2899999999999998E-2</v>
      </c>
      <c r="H9" s="54">
        <f t="shared" si="5"/>
        <v>6.2899999999999998E-2</v>
      </c>
      <c r="I9" s="54">
        <f t="shared" si="5"/>
        <v>6.2899999999999998E-2</v>
      </c>
      <c r="J9" s="54">
        <f t="shared" si="5"/>
        <v>6.2899999999999998E-2</v>
      </c>
      <c r="K9" s="54">
        <f t="shared" si="5"/>
        <v>6.2899999999999998E-2</v>
      </c>
      <c r="L9" s="54">
        <f t="shared" si="5"/>
        <v>6.2899999999999998E-2</v>
      </c>
      <c r="M9" s="54">
        <f t="shared" si="5"/>
        <v>6.2899999999999998E-2</v>
      </c>
      <c r="N9" s="54">
        <f t="shared" si="5"/>
        <v>6.2899999999999998E-2</v>
      </c>
      <c r="O9" s="54">
        <f t="shared" si="5"/>
        <v>6.2899999999999998E-2</v>
      </c>
    </row>
    <row r="10" spans="2:15">
      <c r="B10" s="668" t="s">
        <v>173</v>
      </c>
      <c r="C10" s="51" t="s">
        <v>197</v>
      </c>
      <c r="E10" s="54">
        <f t="shared" ref="E10:O10" si="6">IF(Estructura_Fra_Wacc="Contable",E32/(1-E32),IF(Estructura_Fra_Wacc="Objetivo",E33/(1-E33),E34/(1-E34)))</f>
        <v>0.4705882352941177</v>
      </c>
      <c r="F10" s="54">
        <f t="shared" si="6"/>
        <v>0.4705882352941177</v>
      </c>
      <c r="G10" s="54">
        <f t="shared" si="6"/>
        <v>0.4705882352941177</v>
      </c>
      <c r="H10" s="54">
        <f t="shared" si="6"/>
        <v>0.4705882352941177</v>
      </c>
      <c r="I10" s="54">
        <f t="shared" si="6"/>
        <v>0.4705882352941177</v>
      </c>
      <c r="J10" s="54">
        <f t="shared" si="6"/>
        <v>0.4705882352941177</v>
      </c>
      <c r="K10" s="54">
        <f t="shared" si="6"/>
        <v>0.4705882352941177</v>
      </c>
      <c r="L10" s="54">
        <f t="shared" si="6"/>
        <v>0.4705882352941177</v>
      </c>
      <c r="M10" s="54">
        <f t="shared" si="6"/>
        <v>0.4705882352941177</v>
      </c>
      <c r="N10" s="54">
        <f t="shared" si="6"/>
        <v>0.4705882352941177</v>
      </c>
      <c r="O10" s="54">
        <f t="shared" si="6"/>
        <v>0.4705882352941177</v>
      </c>
    </row>
    <row r="11" spans="2:15">
      <c r="B11" s="668"/>
      <c r="C11" s="51" t="s">
        <v>195</v>
      </c>
      <c r="E11" s="54">
        <f>IF(Estructura_Fra_Wacc="Contable",WACC!E32,IF(Estructura_Fra_Wacc="Objetivo",WACC!E33,WACC!E34))</f>
        <v>0.32</v>
      </c>
      <c r="F11" s="54">
        <f>IF(Estructura_Fra_Wacc="Contable",WACC!F32,IF(Estructura_Fra_Wacc="Objetivo",WACC!F33,WACC!F34))</f>
        <v>0.32</v>
      </c>
      <c r="G11" s="54">
        <f>IF(Estructura_Fra_Wacc="Contable",WACC!G32,IF(Estructura_Fra_Wacc="Objetivo",WACC!G33,WACC!G34))</f>
        <v>0.32</v>
      </c>
      <c r="H11" s="54">
        <f>IF(Estructura_Fra_Wacc="Contable",WACC!H32,IF(Estructura_Fra_Wacc="Objetivo",WACC!H33,WACC!H34))</f>
        <v>0.32</v>
      </c>
      <c r="I11" s="54">
        <f>IF(Estructura_Fra_Wacc="Contable",WACC!I32,IF(Estructura_Fra_Wacc="Objetivo",WACC!I33,WACC!I34))</f>
        <v>0.32</v>
      </c>
      <c r="J11" s="54">
        <f>IF(Estructura_Fra_Wacc="Contable",WACC!J32,IF(Estructura_Fra_Wacc="Objetivo",WACC!J33,WACC!J34))</f>
        <v>0.32</v>
      </c>
      <c r="K11" s="54">
        <f>IF(Estructura_Fra_Wacc="Contable",WACC!K32,IF(Estructura_Fra_Wacc="Objetivo",WACC!K33,WACC!K34))</f>
        <v>0.32</v>
      </c>
      <c r="L11" s="54">
        <f>IF(Estructura_Fra_Wacc="Contable",WACC!L32,IF(Estructura_Fra_Wacc="Objetivo",WACC!L33,WACC!L34))</f>
        <v>0.32</v>
      </c>
      <c r="M11" s="54">
        <f>IF(Estructura_Fra_Wacc="Contable",WACC!M32,IF(Estructura_Fra_Wacc="Objetivo",WACC!M33,WACC!M34))</f>
        <v>0.32</v>
      </c>
      <c r="N11" s="54">
        <f>IF(Estructura_Fra_Wacc="Contable",WACC!N32,IF(Estructura_Fra_Wacc="Objetivo",WACC!N33,WACC!N34))</f>
        <v>0.32</v>
      </c>
      <c r="O11" s="54">
        <f>IF(Estructura_Fra_Wacc="Contable",WACC!O32,IF(Estructura_Fra_Wacc="Objetivo",WACC!O33,WACC!O34))</f>
        <v>0.32</v>
      </c>
    </row>
    <row r="12" spans="2:15">
      <c r="C12" s="51" t="s">
        <v>154</v>
      </c>
      <c r="E12" s="54">
        <f>'Datos Generales'!F54+'Datos Generales'!F55</f>
        <v>0.33999999999999997</v>
      </c>
      <c r="F12" s="54">
        <f>'Datos Generales'!G54+'Datos Generales'!G55</f>
        <v>0.39</v>
      </c>
      <c r="G12" s="54">
        <f>'Datos Generales'!H54+'Datos Generales'!H55</f>
        <v>0.4</v>
      </c>
      <c r="H12" s="54">
        <f>'Datos Generales'!I54+'Datos Generales'!I55</f>
        <v>0.42</v>
      </c>
      <c r="I12" s="54">
        <f>'Datos Generales'!J54+'Datos Generales'!J55</f>
        <v>0.43</v>
      </c>
      <c r="J12" s="54">
        <f>'Datos Generales'!K54+'Datos Generales'!K55</f>
        <v>0.33999999999999997</v>
      </c>
      <c r="K12" s="54">
        <f>'Datos Generales'!L54+'Datos Generales'!L55</f>
        <v>0.33999999999999997</v>
      </c>
      <c r="L12" s="54">
        <f>'Datos Generales'!M54+'Datos Generales'!M55</f>
        <v>0.33999999999999997</v>
      </c>
      <c r="M12" s="54">
        <f>'Datos Generales'!N54+'Datos Generales'!N55</f>
        <v>0.33999999999999997</v>
      </c>
      <c r="N12" s="54">
        <f>'Datos Generales'!O54+'Datos Generales'!O55</f>
        <v>0.33999999999999997</v>
      </c>
      <c r="O12" s="54">
        <f>'Datos Generales'!P54+'Datos Generales'!P55</f>
        <v>0.33999999999999997</v>
      </c>
    </row>
    <row r="13" spans="2:15">
      <c r="C13" s="51" t="s">
        <v>155</v>
      </c>
      <c r="E13" s="54">
        <f>Macroeconomicos!$J$8</f>
        <v>3.1300000000000001E-2</v>
      </c>
      <c r="F13" s="54">
        <f>Macroeconomicos!$J$8</f>
        <v>3.1300000000000001E-2</v>
      </c>
      <c r="G13" s="54">
        <f>Macroeconomicos!$J$8</f>
        <v>3.1300000000000001E-2</v>
      </c>
      <c r="H13" s="54">
        <f>Macroeconomicos!$J$8</f>
        <v>3.1300000000000001E-2</v>
      </c>
      <c r="I13" s="54">
        <f>Macroeconomicos!$J$8</f>
        <v>3.1300000000000001E-2</v>
      </c>
      <c r="J13" s="54">
        <f>Macroeconomicos!$J$8</f>
        <v>3.1300000000000001E-2</v>
      </c>
      <c r="K13" s="54">
        <f>Macroeconomicos!$J$8</f>
        <v>3.1300000000000001E-2</v>
      </c>
      <c r="L13" s="54">
        <f>Macroeconomicos!$J$8</f>
        <v>3.1300000000000001E-2</v>
      </c>
      <c r="M13" s="54">
        <f>Macroeconomicos!$J$8</f>
        <v>3.1300000000000001E-2</v>
      </c>
      <c r="N13" s="54">
        <f>Macroeconomicos!$J$8</f>
        <v>3.1300000000000001E-2</v>
      </c>
      <c r="O13" s="54">
        <f>Macroeconomicos!$J$8</f>
        <v>3.1300000000000001E-2</v>
      </c>
    </row>
    <row r="14" spans="2:15">
      <c r="C14" s="51" t="s">
        <v>156</v>
      </c>
      <c r="E14" s="54">
        <f t="shared" ref="E14:O14" si="7">$G$66</f>
        <v>9.3386887112029374E-2</v>
      </c>
      <c r="F14" s="54">
        <f t="shared" si="7"/>
        <v>9.3386887112029374E-2</v>
      </c>
      <c r="G14" s="54">
        <f t="shared" si="7"/>
        <v>9.3386887112029374E-2</v>
      </c>
      <c r="H14" s="54">
        <f t="shared" si="7"/>
        <v>9.3386887112029374E-2</v>
      </c>
      <c r="I14" s="54">
        <f t="shared" si="7"/>
        <v>9.3386887112029374E-2</v>
      </c>
      <c r="J14" s="54">
        <f t="shared" si="7"/>
        <v>9.3386887112029374E-2</v>
      </c>
      <c r="K14" s="54">
        <f t="shared" si="7"/>
        <v>9.3386887112029374E-2</v>
      </c>
      <c r="L14" s="54">
        <f t="shared" si="7"/>
        <v>9.3386887112029374E-2</v>
      </c>
      <c r="M14" s="54">
        <f t="shared" si="7"/>
        <v>9.3386887112029374E-2</v>
      </c>
      <c r="N14" s="54">
        <f t="shared" si="7"/>
        <v>9.3386887112029374E-2</v>
      </c>
      <c r="O14" s="54">
        <f t="shared" si="7"/>
        <v>9.3386887112029374E-2</v>
      </c>
    </row>
    <row r="15" spans="2:15">
      <c r="C15" s="55" t="s">
        <v>214</v>
      </c>
      <c r="E15" s="67">
        <f>E5+E6+E9*E8</f>
        <v>8.32812E-2</v>
      </c>
      <c r="F15" s="67">
        <f t="shared" ref="F15:O15" si="8">F5+F6+F9*F8</f>
        <v>8.2538144344703773E-2</v>
      </c>
      <c r="G15" s="67">
        <f t="shared" si="8"/>
        <v>8.2389533213644534E-2</v>
      </c>
      <c r="H15" s="67">
        <f t="shared" si="8"/>
        <v>8.209231095152604E-2</v>
      </c>
      <c r="I15" s="67">
        <f t="shared" si="8"/>
        <v>8.1943699820466787E-2</v>
      </c>
      <c r="J15" s="67">
        <f t="shared" si="8"/>
        <v>8.32812E-2</v>
      </c>
      <c r="K15" s="67">
        <f t="shared" si="8"/>
        <v>8.32812E-2</v>
      </c>
      <c r="L15" s="67">
        <f t="shared" si="8"/>
        <v>8.32812E-2</v>
      </c>
      <c r="M15" s="67">
        <f t="shared" si="8"/>
        <v>8.32812E-2</v>
      </c>
      <c r="N15" s="67">
        <f t="shared" si="8"/>
        <v>8.32812E-2</v>
      </c>
      <c r="O15" s="67">
        <f t="shared" si="8"/>
        <v>8.32812E-2</v>
      </c>
    </row>
    <row r="16" spans="2:15">
      <c r="C16" s="55" t="s">
        <v>158</v>
      </c>
      <c r="E16" s="67">
        <f>(1+E15)*(1+E13)-1</f>
        <v>0.11718790156000014</v>
      </c>
      <c r="F16" s="67">
        <f t="shared" ref="F16:O16" si="9">(1+F15)*(1+F13)-1</f>
        <v>0.11642158826269311</v>
      </c>
      <c r="G16" s="67">
        <f t="shared" si="9"/>
        <v>0.11626832560323175</v>
      </c>
      <c r="H16" s="67">
        <f t="shared" si="9"/>
        <v>0.11596180028430902</v>
      </c>
      <c r="I16" s="67">
        <f t="shared" si="9"/>
        <v>0.11580853762484744</v>
      </c>
      <c r="J16" s="67">
        <f t="shared" si="9"/>
        <v>0.11718790156000014</v>
      </c>
      <c r="K16" s="67">
        <f t="shared" si="9"/>
        <v>0.11718790156000014</v>
      </c>
      <c r="L16" s="67">
        <f t="shared" si="9"/>
        <v>0.11718790156000014</v>
      </c>
      <c r="M16" s="67">
        <f t="shared" si="9"/>
        <v>0.11718790156000014</v>
      </c>
      <c r="N16" s="67">
        <f t="shared" si="9"/>
        <v>0.11718790156000014</v>
      </c>
      <c r="O16" s="67">
        <f t="shared" si="9"/>
        <v>0.11718790156000014</v>
      </c>
    </row>
    <row r="17" spans="2:15">
      <c r="C17" s="55" t="s">
        <v>157</v>
      </c>
      <c r="E17" s="54">
        <f>E16*(1-E11)+(E11*E14*(1-E12))</f>
        <v>9.9411083618860696E-2</v>
      </c>
      <c r="F17" s="54">
        <f t="shared" ref="F17:O17" si="10">F16*(1-F11)+(F11*F14*(1-F12))</f>
        <v>9.7395800382899439E-2</v>
      </c>
      <c r="G17" s="54">
        <f t="shared" si="10"/>
        <v>9.6992743735707224E-2</v>
      </c>
      <c r="H17" s="54">
        <f t="shared" si="10"/>
        <v>9.6186630441322779E-2</v>
      </c>
      <c r="I17" s="54">
        <f t="shared" si="10"/>
        <v>9.5783573794130411E-2</v>
      </c>
      <c r="J17" s="54">
        <f t="shared" si="10"/>
        <v>9.9411083618860696E-2</v>
      </c>
      <c r="K17" s="54">
        <f t="shared" si="10"/>
        <v>9.9411083618860696E-2</v>
      </c>
      <c r="L17" s="54">
        <f t="shared" si="10"/>
        <v>9.9411083618860696E-2</v>
      </c>
      <c r="M17" s="54">
        <f t="shared" si="10"/>
        <v>9.9411083618860696E-2</v>
      </c>
      <c r="N17" s="54">
        <f t="shared" si="10"/>
        <v>9.9411083618860696E-2</v>
      </c>
      <c r="O17" s="54">
        <f t="shared" si="10"/>
        <v>9.9411083618860696E-2</v>
      </c>
    </row>
    <row r="18" spans="2:15">
      <c r="C18" s="55" t="s">
        <v>929</v>
      </c>
      <c r="E18" s="54">
        <f>(1+E17)^(1/12)-1</f>
        <v>7.9291587474930036E-3</v>
      </c>
      <c r="F18" s="54">
        <f>(1+F17)^(1/12)-1</f>
        <v>7.7750632703825762E-3</v>
      </c>
      <c r="G18" s="54">
        <f>(1+G17)^(1/12)-1</f>
        <v>7.7442130496718775E-3</v>
      </c>
      <c r="H18" s="54">
        <f>(1+H17)^(1/12)-1</f>
        <v>7.682481424492682E-3</v>
      </c>
      <c r="I18" s="54">
        <f>(1+I17)^(1/12)-1</f>
        <v>7.6516000053719058E-3</v>
      </c>
      <c r="J18" s="54">
        <f t="shared" ref="J18:O18" si="11">(1+J17)^(1/12)-1</f>
        <v>7.9291587474930036E-3</v>
      </c>
      <c r="K18" s="54">
        <f t="shared" si="11"/>
        <v>7.9291587474930036E-3</v>
      </c>
      <c r="L18" s="54">
        <f t="shared" si="11"/>
        <v>7.9291587474930036E-3</v>
      </c>
      <c r="M18" s="54">
        <f t="shared" si="11"/>
        <v>7.9291587474930036E-3</v>
      </c>
      <c r="N18" s="54">
        <f t="shared" si="11"/>
        <v>7.9291587474930036E-3</v>
      </c>
      <c r="O18" s="54">
        <f t="shared" si="11"/>
        <v>7.9291587474930036E-3</v>
      </c>
    </row>
    <row r="19" spans="2:15">
      <c r="F19" s="536"/>
    </row>
    <row r="20" spans="2:15">
      <c r="C20" s="55" t="s">
        <v>919</v>
      </c>
      <c r="E20" s="537"/>
      <c r="F20" s="537"/>
      <c r="G20" s="537"/>
      <c r="H20" s="63"/>
      <c r="I20" s="537"/>
      <c r="O20" s="54">
        <f>IF(G="IPP",Macroeconomicos!N7,IF(G="TACC HISTORICO",Historicos!$H$87,3%))</f>
        <v>0.03</v>
      </c>
    </row>
    <row r="21" spans="2:15" s="537" customFormat="1">
      <c r="C21" s="544"/>
      <c r="H21" s="63"/>
      <c r="O21" s="545"/>
    </row>
    <row r="22" spans="2:15" s="537" customFormat="1">
      <c r="C22" s="55" t="s">
        <v>946</v>
      </c>
      <c r="E22" s="54">
        <f>(E17-(((1+Macroeconomicos!$D$6)*(1+Macroeconomicos!$E$6))-1))/(1+(((1+Macroeconomicos!$D$6)*(1+Macroeconomicos!$E$6))-1))</f>
        <v>6.2029667789341172E-2</v>
      </c>
      <c r="F22" s="54">
        <f>(F17-(((1+Macroeconomicos!$D$6)*(1+Macroeconomicos!$E$6))-1))/(1+(((1+Macroeconomicos!$D$6)*(1+Macroeconomicos!$E$6))-1))</f>
        <v>6.0082906821146906E-2</v>
      </c>
      <c r="G22" s="54">
        <f>(G17-(((1+Macroeconomicos!$D$6)*(1+Macroeconomicos!$E$6))-1))/(1+(((1+Macroeconomicos!$D$6)*(1+Macroeconomicos!$E$6))-1))</f>
        <v>5.9693554627508083E-2</v>
      </c>
      <c r="H22" s="54">
        <f>(H17-(((1+Macroeconomicos!$D$6)*(1+Macroeconomicos!$E$6))-1))/(1+(((1+Macroeconomicos!$D$6)*(1+Macroeconomicos!$E$6))-1))</f>
        <v>5.8914850240230437E-2</v>
      </c>
      <c r="I22" s="54">
        <f>(I17-(((1+Macroeconomicos!$D$6)*(1+Macroeconomicos!$E$6))-1))/(1+(((1+Macroeconomicos!$D$6)*(1+Macroeconomicos!$E$6))-1))</f>
        <v>5.8525498046591469E-2</v>
      </c>
      <c r="J22" s="54">
        <f>(J17-(((1+Macroeconomicos!$D$6)*(1+Macroeconomicos!$E$6))-1))/(1+(((1+Macroeconomicos!$D$6)*(1+Macroeconomicos!$E$6))-1))</f>
        <v>6.2029667789341172E-2</v>
      </c>
      <c r="K22" s="54">
        <f>(K17-(((1+Macroeconomicos!$D$6)*(1+Macroeconomicos!$E$6))-1))/(1+(((1+Macroeconomicos!$D$6)*(1+Macroeconomicos!$E$6))-1))</f>
        <v>6.2029667789341172E-2</v>
      </c>
      <c r="L22" s="54">
        <f>(L17-(((1+Macroeconomicos!$D$6)*(1+Macroeconomicos!$E$6))-1))/(1+(((1+Macroeconomicos!$D$6)*(1+Macroeconomicos!$E$6))-1))</f>
        <v>6.2029667789341172E-2</v>
      </c>
      <c r="M22" s="54">
        <f>(M17-(((1+Macroeconomicos!$D$6)*(1+Macroeconomicos!$E$6))-1))/(1+(((1+Macroeconomicos!$D$6)*(1+Macroeconomicos!$E$6))-1))</f>
        <v>6.2029667789341172E-2</v>
      </c>
      <c r="N22" s="54">
        <f>(N17-(((1+Macroeconomicos!$D$6)*(1+Macroeconomicos!$E$6))-1))/(1+(((1+Macroeconomicos!$D$6)*(1+Macroeconomicos!$E$6))-1))</f>
        <v>6.2029667789341172E-2</v>
      </c>
      <c r="O22" s="54">
        <f>(O17-(((1+Macroeconomicos!$D$6)*(1+Macroeconomicos!$E$6))-1))/(1+(((1+Macroeconomicos!$D$6)*(1+Macroeconomicos!$E$6))-1))</f>
        <v>6.2029667789341172E-2</v>
      </c>
    </row>
    <row r="23" spans="2:15">
      <c r="C23" t="s">
        <v>167</v>
      </c>
      <c r="G23" s="63"/>
    </row>
    <row r="24" spans="2:15">
      <c r="B24" s="56" t="s">
        <v>160</v>
      </c>
      <c r="C24" s="57" t="s">
        <v>161</v>
      </c>
      <c r="H24" t="s">
        <v>162</v>
      </c>
    </row>
    <row r="25" spans="2:15">
      <c r="B25" s="56" t="s">
        <v>163</v>
      </c>
      <c r="C25" s="57" t="s">
        <v>164</v>
      </c>
      <c r="H25" t="s">
        <v>162</v>
      </c>
    </row>
    <row r="26" spans="2:15">
      <c r="B26" s="56" t="s">
        <v>168</v>
      </c>
      <c r="C26" s="57" t="s">
        <v>217</v>
      </c>
      <c r="H26" t="s">
        <v>216</v>
      </c>
    </row>
    <row r="27" spans="2:15">
      <c r="B27" s="56" t="s">
        <v>170</v>
      </c>
      <c r="C27" s="57" t="s">
        <v>171</v>
      </c>
      <c r="H27" t="s">
        <v>172</v>
      </c>
    </row>
    <row r="31" spans="2:15">
      <c r="B31" t="s">
        <v>173</v>
      </c>
      <c r="C31" s="456" t="s">
        <v>177</v>
      </c>
      <c r="D31" s="60"/>
      <c r="E31" s="456">
        <f t="shared" ref="E31:O31" si="12">E3</f>
        <v>2014</v>
      </c>
      <c r="F31" s="456">
        <f t="shared" si="12"/>
        <v>2015</v>
      </c>
      <c r="G31" s="456">
        <f t="shared" si="12"/>
        <v>2016</v>
      </c>
      <c r="H31" s="456">
        <f t="shared" si="12"/>
        <v>2017</v>
      </c>
      <c r="I31" s="456">
        <f t="shared" si="12"/>
        <v>2018</v>
      </c>
      <c r="J31" s="456">
        <f t="shared" si="12"/>
        <v>2019</v>
      </c>
      <c r="K31" s="456">
        <f t="shared" si="12"/>
        <v>2020</v>
      </c>
      <c r="L31" s="456">
        <f t="shared" si="12"/>
        <v>2021</v>
      </c>
      <c r="M31" s="456">
        <f t="shared" si="12"/>
        <v>2022</v>
      </c>
      <c r="N31" s="456">
        <f t="shared" si="12"/>
        <v>2023</v>
      </c>
      <c r="O31" s="456">
        <f t="shared" si="12"/>
        <v>2024</v>
      </c>
    </row>
    <row r="32" spans="2:15">
      <c r="B32" s="56"/>
      <c r="C32" s="24" t="s">
        <v>174</v>
      </c>
      <c r="D32" s="60"/>
      <c r="E32" s="106">
        <f t="shared" ref="E32:O32" ca="1" si="13">E38/(E38+E39)</f>
        <v>0.51537438275814329</v>
      </c>
      <c r="F32" s="106">
        <f t="shared" ca="1" si="13"/>
        <v>0.45073287527680495</v>
      </c>
      <c r="G32" s="106">
        <f t="shared" ca="1" si="13"/>
        <v>0.41976338398531443</v>
      </c>
      <c r="H32" s="106">
        <f t="shared" ca="1" si="13"/>
        <v>0.37890196375561858</v>
      </c>
      <c r="I32" s="106">
        <f t="shared" ca="1" si="13"/>
        <v>0.33925243759857676</v>
      </c>
      <c r="J32" s="106">
        <f t="shared" ca="1" si="13"/>
        <v>0.46594364086020912</v>
      </c>
      <c r="K32" s="106">
        <f t="shared" ca="1" si="13"/>
        <v>0.40876032628056397</v>
      </c>
      <c r="L32" s="106">
        <f t="shared" ca="1" si="13"/>
        <v>0.20020579779701936</v>
      </c>
      <c r="M32" s="106">
        <f t="shared" ca="1" si="13"/>
        <v>0.33158256165028743</v>
      </c>
      <c r="N32" s="106">
        <f t="shared" ca="1" si="13"/>
        <v>0.26342069453912159</v>
      </c>
      <c r="O32" s="106">
        <f t="shared" ca="1" si="13"/>
        <v>0</v>
      </c>
    </row>
    <row r="33" spans="1:15">
      <c r="C33" s="24" t="s">
        <v>175</v>
      </c>
      <c r="D33" s="60"/>
      <c r="E33" s="106">
        <f t="shared" ref="E33:O33" ca="1" si="14">E42/(E42+E43)</f>
        <v>0.48836849294449608</v>
      </c>
      <c r="F33" s="106">
        <f t="shared" ca="1" si="14"/>
        <v>0.59576170449320498</v>
      </c>
      <c r="G33" s="106">
        <f t="shared" ca="1" si="14"/>
        <v>0.59566080726005211</v>
      </c>
      <c r="H33" s="106">
        <f t="shared" ca="1" si="14"/>
        <v>0.61907376633856082</v>
      </c>
      <c r="I33" s="106">
        <f ca="1">I42/(I42+I43)</f>
        <v>0.62158879338588524</v>
      </c>
      <c r="J33" s="106">
        <f t="shared" ca="1" si="14"/>
        <v>0.30001503789162909</v>
      </c>
      <c r="K33" s="106">
        <f t="shared" ca="1" si="14"/>
        <v>0.32387474108701908</v>
      </c>
      <c r="L33" s="106">
        <f t="shared" ca="1" si="14"/>
        <v>0.55949145251424748</v>
      </c>
      <c r="M33" s="106">
        <f t="shared" ca="1" si="14"/>
        <v>0.24755573157659935</v>
      </c>
      <c r="N33" s="106">
        <f t="shared" ca="1" si="14"/>
        <v>0.33563264031306017</v>
      </c>
      <c r="O33" s="106">
        <f t="shared" ca="1" si="14"/>
        <v>0.60096796515073991</v>
      </c>
    </row>
    <row r="34" spans="1:15">
      <c r="C34" s="24" t="s">
        <v>892</v>
      </c>
      <c r="D34" s="60"/>
      <c r="E34" s="81">
        <f t="shared" ref="E34:O34" si="15">E49</f>
        <v>0.32</v>
      </c>
      <c r="F34" s="81">
        <f t="shared" si="15"/>
        <v>0.32</v>
      </c>
      <c r="G34" s="81">
        <f t="shared" si="15"/>
        <v>0.32</v>
      </c>
      <c r="H34" s="81">
        <f t="shared" si="15"/>
        <v>0.32</v>
      </c>
      <c r="I34" s="81">
        <f t="shared" si="15"/>
        <v>0.32</v>
      </c>
      <c r="J34" s="81">
        <f t="shared" si="15"/>
        <v>0.32</v>
      </c>
      <c r="K34" s="81">
        <f t="shared" si="15"/>
        <v>0.32</v>
      </c>
      <c r="L34" s="81">
        <f t="shared" si="15"/>
        <v>0.32</v>
      </c>
      <c r="M34" s="81">
        <f t="shared" si="15"/>
        <v>0.32</v>
      </c>
      <c r="N34" s="81">
        <f t="shared" si="15"/>
        <v>0.32</v>
      </c>
      <c r="O34" s="81">
        <f t="shared" si="15"/>
        <v>0.32</v>
      </c>
    </row>
    <row r="37" spans="1:15">
      <c r="C37" s="456" t="s">
        <v>189</v>
      </c>
      <c r="D37" s="60"/>
      <c r="E37" s="456">
        <f>E31</f>
        <v>2014</v>
      </c>
      <c r="F37" s="456">
        <f t="shared" ref="F37:O37" si="16">F31</f>
        <v>2015</v>
      </c>
      <c r="G37" s="456">
        <f t="shared" si="16"/>
        <v>2016</v>
      </c>
      <c r="H37" s="456">
        <f t="shared" si="16"/>
        <v>2017</v>
      </c>
      <c r="I37" s="456">
        <f t="shared" si="16"/>
        <v>2018</v>
      </c>
      <c r="J37" s="456">
        <f t="shared" si="16"/>
        <v>2019</v>
      </c>
      <c r="K37" s="456">
        <f t="shared" si="16"/>
        <v>2020</v>
      </c>
      <c r="L37" s="456">
        <f t="shared" si="16"/>
        <v>2021</v>
      </c>
      <c r="M37" s="456">
        <f t="shared" si="16"/>
        <v>2022</v>
      </c>
      <c r="N37" s="456">
        <f t="shared" si="16"/>
        <v>2023</v>
      </c>
      <c r="O37" s="456">
        <f t="shared" si="16"/>
        <v>2024</v>
      </c>
    </row>
    <row r="38" spans="1:15">
      <c r="C38" s="24" t="s">
        <v>178</v>
      </c>
      <c r="D38" s="60"/>
      <c r="E38" s="44">
        <f>'Capital Empleado'!E31/M</f>
        <v>3646069.2189369113</v>
      </c>
      <c r="F38" s="44">
        <f>'Capital Empleado'!F31/M</f>
        <v>3267661.61154322</v>
      </c>
      <c r="G38" s="44">
        <f>'Capital Empleado'!G31/M</f>
        <v>2889254.0041495287</v>
      </c>
      <c r="H38" s="44">
        <f>'Capital Empleado'!H31/M</f>
        <v>2510846.3967558378</v>
      </c>
      <c r="I38" s="44">
        <f>'Capital Empleado'!I31/M</f>
        <v>2132438.7893621465</v>
      </c>
      <c r="J38" s="44">
        <f>'Capital Empleado'!J31/M</f>
        <v>2785938.6642605136</v>
      </c>
      <c r="K38" s="44">
        <f>'Capital Empleado'!K31/M</f>
        <v>2159834.3075200459</v>
      </c>
      <c r="L38" s="44">
        <f>'Capital Empleado'!L31/M</f>
        <v>997215.96718107327</v>
      </c>
      <c r="M38" s="44">
        <f>'Capital Empleado'!M31/M</f>
        <v>1632258.6124199233</v>
      </c>
      <c r="N38" s="44">
        <f>'Capital Empleado'!N31/M</f>
        <v>1207770.1533960523</v>
      </c>
      <c r="O38" s="44">
        <f>'Capital Empleado'!O31/M</f>
        <v>0</v>
      </c>
    </row>
    <row r="39" spans="1:15">
      <c r="C39" s="24" t="s">
        <v>124</v>
      </c>
      <c r="D39" s="60"/>
      <c r="E39" s="44">
        <f ca="1">'Capital Empleado'!E32/M</f>
        <v>3428533.9063176699</v>
      </c>
      <c r="F39" s="44">
        <f ca="1">'Capital Empleado'!F32/M</f>
        <v>3982001.749569451</v>
      </c>
      <c r="G39" s="44">
        <f ca="1">'Capital Empleado'!G32/M</f>
        <v>3993799.9123650431</v>
      </c>
      <c r="H39" s="44">
        <f ca="1">'Capital Empleado'!H32/M</f>
        <v>4115792.2510587862</v>
      </c>
      <c r="I39" s="44">
        <f ca="1">'Capital Empleado'!I32/M</f>
        <v>4153260.4511702736</v>
      </c>
      <c r="J39" s="44">
        <f ca="1">'Capital Empleado'!J32/M</f>
        <v>3193193.6168823512</v>
      </c>
      <c r="K39" s="44">
        <f ca="1">'Capital Empleado'!K32/M</f>
        <v>3124030.5116835274</v>
      </c>
      <c r="L39" s="44">
        <f ca="1">'Capital Empleado'!L32/M</f>
        <v>3983738.5214202539</v>
      </c>
      <c r="M39" s="44">
        <f ca="1">'Capital Empleado'!M32/M</f>
        <v>3290372.4339661319</v>
      </c>
      <c r="N39" s="44">
        <f ca="1">'Capital Empleado'!N32/M</f>
        <v>3377177.7206088956</v>
      </c>
      <c r="O39" s="44">
        <f ca="1">'Capital Empleado'!O32/M</f>
        <v>4539434.5428924495</v>
      </c>
    </row>
    <row r="40" spans="1:15">
      <c r="D40" s="60"/>
      <c r="E40" s="60"/>
      <c r="F40" s="60"/>
      <c r="G40" s="60"/>
      <c r="H40" s="60"/>
      <c r="I40" s="60"/>
      <c r="J40" s="60"/>
      <c r="K40" s="60"/>
      <c r="L40" s="60"/>
      <c r="M40" s="60"/>
      <c r="N40" s="60"/>
      <c r="O40" s="60"/>
    </row>
    <row r="41" spans="1:15">
      <c r="C41" s="456" t="s">
        <v>190</v>
      </c>
      <c r="D41" s="60"/>
      <c r="E41" s="456">
        <f>E37</f>
        <v>2014</v>
      </c>
      <c r="F41" s="456">
        <f t="shared" ref="F41:O41" si="17">E41+1</f>
        <v>2015</v>
      </c>
      <c r="G41" s="456">
        <f t="shared" si="17"/>
        <v>2016</v>
      </c>
      <c r="H41" s="456">
        <f t="shared" si="17"/>
        <v>2017</v>
      </c>
      <c r="I41" s="456">
        <f t="shared" si="17"/>
        <v>2018</v>
      </c>
      <c r="J41" s="456">
        <f t="shared" si="17"/>
        <v>2019</v>
      </c>
      <c r="K41" s="456">
        <f t="shared" si="17"/>
        <v>2020</v>
      </c>
      <c r="L41" s="456">
        <f t="shared" si="17"/>
        <v>2021</v>
      </c>
      <c r="M41" s="456">
        <f t="shared" si="17"/>
        <v>2022</v>
      </c>
      <c r="N41" s="456">
        <f t="shared" si="17"/>
        <v>2023</v>
      </c>
      <c r="O41" s="456">
        <f t="shared" si="17"/>
        <v>2024</v>
      </c>
    </row>
    <row r="42" spans="1:15">
      <c r="C42" s="24" t="s">
        <v>178</v>
      </c>
      <c r="D42" s="60"/>
      <c r="E42" s="44">
        <f>E44*E45</f>
        <v>3272644.3030722537</v>
      </c>
      <c r="F42" s="44">
        <f t="shared" ref="F42:O42" ca="1" si="18">F44*F45</f>
        <v>5868627.9256254742</v>
      </c>
      <c r="G42" s="44">
        <f t="shared" ca="1" si="18"/>
        <v>5883550.5500069521</v>
      </c>
      <c r="H42" s="44">
        <f t="shared" ca="1" si="18"/>
        <v>6688904.0060040252</v>
      </c>
      <c r="I42" s="44">
        <f t="shared" ca="1" si="18"/>
        <v>6822261.3583768886</v>
      </c>
      <c r="J42" s="44">
        <f t="shared" ca="1" si="18"/>
        <v>1368609.549951945</v>
      </c>
      <c r="K42" s="44">
        <f t="shared" ca="1" si="18"/>
        <v>1496460.2487209705</v>
      </c>
      <c r="L42" s="44">
        <f t="shared" ca="1" si="18"/>
        <v>5059760.2804936888</v>
      </c>
      <c r="M42" s="44">
        <f t="shared" ca="1" si="18"/>
        <v>1082539.3842878125</v>
      </c>
      <c r="N42" s="44">
        <f t="shared" ca="1" si="18"/>
        <v>1706120.9564969062</v>
      </c>
      <c r="O42" s="44">
        <f t="shared" ca="1" si="18"/>
        <v>6836681.0228848299</v>
      </c>
    </row>
    <row r="43" spans="1:15">
      <c r="C43" s="24" t="s">
        <v>124</v>
      </c>
      <c r="D43" s="60"/>
      <c r="E43" s="44">
        <f ca="1">E39</f>
        <v>3428533.9063176699</v>
      </c>
      <c r="F43" s="44">
        <f t="shared" ref="F43:O43" ca="1" si="19">F39</f>
        <v>3982001.749569451</v>
      </c>
      <c r="G43" s="44">
        <f t="shared" ca="1" si="19"/>
        <v>3993799.9123650431</v>
      </c>
      <c r="H43" s="44">
        <f t="shared" ca="1" si="19"/>
        <v>4115792.2510587862</v>
      </c>
      <c r="I43" s="44">
        <f t="shared" ca="1" si="19"/>
        <v>4153260.4511702736</v>
      </c>
      <c r="J43" s="44">
        <f t="shared" ca="1" si="19"/>
        <v>3193193.6168823512</v>
      </c>
      <c r="K43" s="44">
        <f t="shared" ca="1" si="19"/>
        <v>3124030.5116835274</v>
      </c>
      <c r="L43" s="44">
        <f t="shared" ca="1" si="19"/>
        <v>3983738.5214202539</v>
      </c>
      <c r="M43" s="44">
        <f t="shared" ca="1" si="19"/>
        <v>3290372.4339661319</v>
      </c>
      <c r="N43" s="44">
        <f t="shared" ca="1" si="19"/>
        <v>3377177.7206088956</v>
      </c>
      <c r="O43" s="44">
        <f t="shared" ca="1" si="19"/>
        <v>4539434.5428924495</v>
      </c>
    </row>
    <row r="44" spans="1:15">
      <c r="C44" s="24" t="s">
        <v>192</v>
      </c>
      <c r="D44" s="60"/>
      <c r="E44" s="44">
        <f>(('P&amp;G'!D17-('P&amp;G'!D14+'P&amp;G'!D10))+('P&amp;G'!E17-('P&amp;G'!E14+'P&amp;G'!E10)))/M</f>
        <v>935041.22944921535</v>
      </c>
      <c r="F44" s="44">
        <f ca="1">('P&amp;G'!F17-('P&amp;G'!F14+'P&amp;G'!F10))/M</f>
        <v>1676750.8358929926</v>
      </c>
      <c r="G44" s="44">
        <f ca="1">('P&amp;G'!G17-('P&amp;G'!G14+'P&amp;G'!G10))/M</f>
        <v>1681014.442859129</v>
      </c>
      <c r="H44" s="44">
        <f ca="1">('P&amp;G'!H17-('P&amp;G'!H14+'P&amp;G'!H10))/M</f>
        <v>1911115.4302868643</v>
      </c>
      <c r="I44" s="44">
        <f ca="1">('P&amp;G'!I17-('P&amp;G'!I14+'P&amp;G'!I10))/M</f>
        <v>1949217.5309648253</v>
      </c>
      <c r="J44" s="44">
        <f ca="1">('P&amp;G'!J17-('P&amp;G'!J14+'P&amp;G'!J10))/M</f>
        <v>391031.29998627002</v>
      </c>
      <c r="K44" s="44">
        <f ca="1">('P&amp;G'!K17-('P&amp;G'!K14+'P&amp;G'!K10))/M</f>
        <v>427560.07106313441</v>
      </c>
      <c r="L44" s="44">
        <f ca="1">('P&amp;G'!L17-('P&amp;G'!L14+'P&amp;G'!L10))/M</f>
        <v>1445645.7944267683</v>
      </c>
      <c r="M44" s="44">
        <f ca="1">('P&amp;G'!M17-('P&amp;G'!M14+'P&amp;G'!M10))/M</f>
        <v>309296.96693937498</v>
      </c>
      <c r="N44" s="44">
        <f ca="1">('P&amp;G'!N17-('P&amp;G'!N14+'P&amp;G'!N10))/M</f>
        <v>487463.13042768749</v>
      </c>
      <c r="O44" s="44">
        <f ca="1">('P&amp;G'!O17-('P&amp;G'!O14+'P&amp;G'!O10))/M</f>
        <v>1953337.4351099513</v>
      </c>
    </row>
    <row r="45" spans="1:15">
      <c r="A45" s="63"/>
      <c r="C45" s="24" t="s">
        <v>191</v>
      </c>
      <c r="D45" s="60"/>
      <c r="E45" s="485">
        <v>3.5</v>
      </c>
      <c r="F45" s="485">
        <f>E45</f>
        <v>3.5</v>
      </c>
      <c r="G45" s="485">
        <f t="shared" ref="G45:O45" si="20">F45</f>
        <v>3.5</v>
      </c>
      <c r="H45" s="485">
        <f t="shared" si="20"/>
        <v>3.5</v>
      </c>
      <c r="I45" s="485">
        <f t="shared" si="20"/>
        <v>3.5</v>
      </c>
      <c r="J45" s="485">
        <f t="shared" si="20"/>
        <v>3.5</v>
      </c>
      <c r="K45" s="485">
        <f t="shared" si="20"/>
        <v>3.5</v>
      </c>
      <c r="L45" s="485">
        <f t="shared" si="20"/>
        <v>3.5</v>
      </c>
      <c r="M45" s="485">
        <f t="shared" si="20"/>
        <v>3.5</v>
      </c>
      <c r="N45" s="485">
        <f t="shared" si="20"/>
        <v>3.5</v>
      </c>
      <c r="O45" s="485">
        <f t="shared" si="20"/>
        <v>3.5</v>
      </c>
    </row>
    <row r="46" spans="1:15">
      <c r="D46" s="61"/>
    </row>
    <row r="47" spans="1:15">
      <c r="C47" s="456" t="s">
        <v>193</v>
      </c>
      <c r="D47" s="60"/>
      <c r="E47" s="456">
        <f>E41</f>
        <v>2014</v>
      </c>
      <c r="F47" s="456">
        <f t="shared" ref="F47:O47" si="21">E47+1</f>
        <v>2015</v>
      </c>
      <c r="G47" s="456">
        <f t="shared" si="21"/>
        <v>2016</v>
      </c>
      <c r="H47" s="456">
        <f t="shared" si="21"/>
        <v>2017</v>
      </c>
      <c r="I47" s="456">
        <f t="shared" si="21"/>
        <v>2018</v>
      </c>
      <c r="J47" s="456">
        <f t="shared" si="21"/>
        <v>2019</v>
      </c>
      <c r="K47" s="456">
        <f t="shared" si="21"/>
        <v>2020</v>
      </c>
      <c r="L47" s="456">
        <f t="shared" si="21"/>
        <v>2021</v>
      </c>
      <c r="M47" s="456">
        <f t="shared" si="21"/>
        <v>2022</v>
      </c>
      <c r="N47" s="456">
        <f t="shared" si="21"/>
        <v>2023</v>
      </c>
      <c r="O47" s="456">
        <f t="shared" si="21"/>
        <v>2024</v>
      </c>
    </row>
    <row r="48" spans="1:15" ht="15.75" thickBot="1">
      <c r="C48" s="24" t="s">
        <v>194</v>
      </c>
      <c r="D48" s="60"/>
      <c r="E48" s="81">
        <f>E49/E50</f>
        <v>0.4705882352941177</v>
      </c>
      <c r="F48" s="81">
        <f t="shared" ref="F48:O48" si="22">E48</f>
        <v>0.4705882352941177</v>
      </c>
      <c r="G48" s="81">
        <f t="shared" si="22"/>
        <v>0.4705882352941177</v>
      </c>
      <c r="H48" s="81">
        <f t="shared" si="22"/>
        <v>0.4705882352941177</v>
      </c>
      <c r="I48" s="81">
        <f t="shared" si="22"/>
        <v>0.4705882352941177</v>
      </c>
      <c r="J48" s="81">
        <f t="shared" si="22"/>
        <v>0.4705882352941177</v>
      </c>
      <c r="K48" s="81">
        <f t="shared" si="22"/>
        <v>0.4705882352941177</v>
      </c>
      <c r="L48" s="81">
        <f t="shared" si="22"/>
        <v>0.4705882352941177</v>
      </c>
      <c r="M48" s="81">
        <f t="shared" si="22"/>
        <v>0.4705882352941177</v>
      </c>
      <c r="N48" s="81">
        <f t="shared" si="22"/>
        <v>0.4705882352941177</v>
      </c>
      <c r="O48" s="81">
        <f t="shared" si="22"/>
        <v>0.4705882352941177</v>
      </c>
    </row>
    <row r="49" spans="3:15" ht="19.5" thickBot="1">
      <c r="C49" s="482" t="s">
        <v>195</v>
      </c>
      <c r="D49" s="484">
        <v>0.32</v>
      </c>
      <c r="E49" s="483">
        <f>D49</f>
        <v>0.32</v>
      </c>
      <c r="F49" s="106">
        <f t="shared" ref="F49:O49" si="23">E49</f>
        <v>0.32</v>
      </c>
      <c r="G49" s="106">
        <f t="shared" si="23"/>
        <v>0.32</v>
      </c>
      <c r="H49" s="106">
        <f t="shared" si="23"/>
        <v>0.32</v>
      </c>
      <c r="I49" s="106">
        <f t="shared" si="23"/>
        <v>0.32</v>
      </c>
      <c r="J49" s="106">
        <f t="shared" si="23"/>
        <v>0.32</v>
      </c>
      <c r="K49" s="106">
        <f t="shared" si="23"/>
        <v>0.32</v>
      </c>
      <c r="L49" s="106">
        <f t="shared" si="23"/>
        <v>0.32</v>
      </c>
      <c r="M49" s="106">
        <f t="shared" si="23"/>
        <v>0.32</v>
      </c>
      <c r="N49" s="106">
        <f t="shared" si="23"/>
        <v>0.32</v>
      </c>
      <c r="O49" s="106">
        <f t="shared" si="23"/>
        <v>0.32</v>
      </c>
    </row>
    <row r="50" spans="3:15">
      <c r="C50" s="24" t="s">
        <v>196</v>
      </c>
      <c r="D50" s="60"/>
      <c r="E50" s="81">
        <f>1-E49</f>
        <v>0.67999999999999994</v>
      </c>
      <c r="F50" s="81">
        <f t="shared" ref="F50:O50" si="24">E50</f>
        <v>0.67999999999999994</v>
      </c>
      <c r="G50" s="81">
        <f t="shared" si="24"/>
        <v>0.67999999999999994</v>
      </c>
      <c r="H50" s="81">
        <f t="shared" si="24"/>
        <v>0.67999999999999994</v>
      </c>
      <c r="I50" s="81">
        <f t="shared" si="24"/>
        <v>0.67999999999999994</v>
      </c>
      <c r="J50" s="81">
        <f t="shared" si="24"/>
        <v>0.67999999999999994</v>
      </c>
      <c r="K50" s="81">
        <f t="shared" si="24"/>
        <v>0.67999999999999994</v>
      </c>
      <c r="L50" s="81">
        <f t="shared" si="24"/>
        <v>0.67999999999999994</v>
      </c>
      <c r="M50" s="81">
        <f t="shared" si="24"/>
        <v>0.67999999999999994</v>
      </c>
      <c r="N50" s="81">
        <f t="shared" si="24"/>
        <v>0.67999999999999994</v>
      </c>
      <c r="O50" s="81">
        <f t="shared" si="24"/>
        <v>0.67999999999999994</v>
      </c>
    </row>
    <row r="51" spans="3:15">
      <c r="C51" s="24" t="s">
        <v>198</v>
      </c>
      <c r="D51" s="60"/>
      <c r="E51" s="81">
        <f>E49+E50</f>
        <v>1</v>
      </c>
      <c r="F51" s="81">
        <f t="shared" ref="F51:O51" si="25">E51</f>
        <v>1</v>
      </c>
      <c r="G51" s="81">
        <f t="shared" si="25"/>
        <v>1</v>
      </c>
      <c r="H51" s="81">
        <f t="shared" si="25"/>
        <v>1</v>
      </c>
      <c r="I51" s="81">
        <f t="shared" si="25"/>
        <v>1</v>
      </c>
      <c r="J51" s="81">
        <f t="shared" si="25"/>
        <v>1</v>
      </c>
      <c r="K51" s="81">
        <f t="shared" si="25"/>
        <v>1</v>
      </c>
      <c r="L51" s="81">
        <f t="shared" si="25"/>
        <v>1</v>
      </c>
      <c r="M51" s="81">
        <f t="shared" si="25"/>
        <v>1</v>
      </c>
      <c r="N51" s="81">
        <f t="shared" si="25"/>
        <v>1</v>
      </c>
      <c r="O51" s="81">
        <f t="shared" si="25"/>
        <v>1</v>
      </c>
    </row>
    <row r="52" spans="3:15">
      <c r="C52" s="57" t="s">
        <v>169</v>
      </c>
    </row>
    <row r="55" spans="3:15" s="480" customFormat="1" ht="30">
      <c r="C55" s="218" t="s">
        <v>199</v>
      </c>
      <c r="D55" s="218" t="s">
        <v>200</v>
      </c>
      <c r="E55" s="218" t="s">
        <v>201</v>
      </c>
      <c r="F55" s="481" t="s">
        <v>212</v>
      </c>
      <c r="G55" s="481" t="s">
        <v>643</v>
      </c>
      <c r="H55" s="481" t="s">
        <v>641</v>
      </c>
      <c r="I55" s="481" t="s">
        <v>642</v>
      </c>
      <c r="J55" s="481" t="s">
        <v>644</v>
      </c>
    </row>
    <row r="56" spans="3:15">
      <c r="C56" s="24" t="s">
        <v>179</v>
      </c>
      <c r="D56" s="44">
        <v>421062</v>
      </c>
      <c r="E56" s="24" t="s">
        <v>202</v>
      </c>
      <c r="F56" s="81">
        <f>(1+Macroeconomicos!$J$6)*(1+5.25%)-1</f>
        <v>8.6074750000000089E-2</v>
      </c>
      <c r="G56" s="29">
        <f>D56*F56</f>
        <v>36242.806384500036</v>
      </c>
      <c r="H56" s="24">
        <v>2025</v>
      </c>
      <c r="I56" s="24">
        <f t="shared" ref="I56:I65" si="26">H56-$E$3</f>
        <v>11</v>
      </c>
      <c r="J56" s="477">
        <f>D56*I56</f>
        <v>4631682</v>
      </c>
    </row>
    <row r="57" spans="3:15">
      <c r="C57" s="24" t="s">
        <v>180</v>
      </c>
      <c r="D57" s="44">
        <v>198856</v>
      </c>
      <c r="E57" s="24" t="s">
        <v>203</v>
      </c>
      <c r="F57" s="81">
        <f>(1+Macroeconomicos!$J$6)*(1+5.93%)-1</f>
        <v>9.309166999999996E-2</v>
      </c>
      <c r="G57" s="29">
        <f t="shared" ref="G57:G65" si="27">D57*F57</f>
        <v>18511.83712951999</v>
      </c>
      <c r="H57" s="24">
        <v>2016</v>
      </c>
      <c r="I57" s="24">
        <f t="shared" si="26"/>
        <v>2</v>
      </c>
      <c r="J57" s="477">
        <f t="shared" ref="J57:J65" si="28">D57*I57</f>
        <v>397712</v>
      </c>
    </row>
    <row r="58" spans="3:15">
      <c r="C58" s="24" t="s">
        <v>181</v>
      </c>
      <c r="D58" s="44">
        <v>279394</v>
      </c>
      <c r="E58" s="24" t="s">
        <v>204</v>
      </c>
      <c r="F58" s="81">
        <f>(1+Macroeconomicos!$J$6)*(1+6.48%)-1</f>
        <v>9.8767119999999986E-2</v>
      </c>
      <c r="G58" s="29">
        <f t="shared" si="27"/>
        <v>27594.940725279997</v>
      </c>
      <c r="H58" s="24">
        <v>2019</v>
      </c>
      <c r="I58" s="24">
        <f t="shared" si="26"/>
        <v>5</v>
      </c>
      <c r="J58" s="477">
        <f t="shared" si="28"/>
        <v>1396970</v>
      </c>
    </row>
    <row r="59" spans="3:15">
      <c r="C59" s="24" t="s">
        <v>182</v>
      </c>
      <c r="D59" s="44">
        <v>371750</v>
      </c>
      <c r="E59" s="24" t="s">
        <v>205</v>
      </c>
      <c r="F59" s="81">
        <f>(1+Macroeconomicos!$J$6)*(1+6.99%)-1</f>
        <v>0.10402981000000011</v>
      </c>
      <c r="G59" s="29">
        <f t="shared" si="27"/>
        <v>38673.081867500041</v>
      </c>
      <c r="H59" s="24">
        <v>2024</v>
      </c>
      <c r="I59" s="24">
        <f t="shared" si="26"/>
        <v>10</v>
      </c>
      <c r="J59" s="477">
        <f t="shared" si="28"/>
        <v>3717500</v>
      </c>
    </row>
    <row r="60" spans="3:15">
      <c r="C60" s="24" t="s">
        <v>183</v>
      </c>
      <c r="D60" s="44">
        <v>1084250</v>
      </c>
      <c r="E60" s="24" t="s">
        <v>210</v>
      </c>
      <c r="F60" s="106">
        <f>(1+Macroeconomicos!$J$11)*(1+4.3%)-1</f>
        <v>9.3689799999999934E-2</v>
      </c>
      <c r="G60" s="29">
        <f t="shared" si="27"/>
        <v>101583.16564999992</v>
      </c>
      <c r="H60" s="24">
        <v>2025</v>
      </c>
      <c r="I60" s="24">
        <f t="shared" si="26"/>
        <v>11</v>
      </c>
      <c r="J60" s="477">
        <f t="shared" si="28"/>
        <v>11926750</v>
      </c>
    </row>
    <row r="61" spans="3:15">
      <c r="C61" s="24" t="s">
        <v>184</v>
      </c>
      <c r="D61" s="44">
        <v>60070</v>
      </c>
      <c r="E61" s="24" t="s">
        <v>209</v>
      </c>
      <c r="F61" s="106">
        <f>Macroeconomicos!$J$15+4.4%</f>
        <v>8.7600000000000011E-2</v>
      </c>
      <c r="G61" s="29">
        <f t="shared" si="27"/>
        <v>5262.1320000000005</v>
      </c>
      <c r="H61" s="24">
        <v>2029</v>
      </c>
      <c r="I61" s="24">
        <f t="shared" si="26"/>
        <v>15</v>
      </c>
      <c r="J61" s="477">
        <f t="shared" si="28"/>
        <v>901050</v>
      </c>
    </row>
    <row r="62" spans="3:15">
      <c r="C62" s="24" t="s">
        <v>185</v>
      </c>
      <c r="D62" s="44">
        <v>16033</v>
      </c>
      <c r="E62" s="24" t="s">
        <v>209</v>
      </c>
      <c r="F62" s="106">
        <f>Macroeconomicos!$J$15+4.4%</f>
        <v>8.7600000000000011E-2</v>
      </c>
      <c r="G62" s="29">
        <f t="shared" si="27"/>
        <v>1404.4908000000003</v>
      </c>
      <c r="H62" s="24">
        <v>2029</v>
      </c>
      <c r="I62" s="24">
        <f t="shared" si="26"/>
        <v>15</v>
      </c>
      <c r="J62" s="477">
        <f t="shared" si="28"/>
        <v>240495</v>
      </c>
    </row>
    <row r="63" spans="3:15">
      <c r="C63" s="24" t="s">
        <v>186</v>
      </c>
      <c r="D63" s="44">
        <f>31.26*Macroeconomicos!D10</f>
        <v>59519.352600000006</v>
      </c>
      <c r="E63" s="24" t="s">
        <v>206</v>
      </c>
      <c r="F63" s="106">
        <f>(1+((1+(Macroeconomicos!$J$12/2))^2-1)+2.85%)*(1+Macroeconomicos!$J$8)-1</f>
        <v>9.399119268961309E-2</v>
      </c>
      <c r="G63" s="29">
        <f t="shared" si="27"/>
        <v>5594.2949389876248</v>
      </c>
      <c r="H63" s="24">
        <v>2025</v>
      </c>
      <c r="I63" s="24">
        <f t="shared" si="26"/>
        <v>11</v>
      </c>
      <c r="J63" s="477">
        <f t="shared" si="28"/>
        <v>654712.87860000005</v>
      </c>
    </row>
    <row r="64" spans="3:15">
      <c r="C64" s="24" t="s">
        <v>187</v>
      </c>
      <c r="D64" s="44">
        <f>20.84*Macroeconomicos!D10</f>
        <v>39679.568399999996</v>
      </c>
      <c r="E64" s="24" t="s">
        <v>208</v>
      </c>
      <c r="F64" s="106">
        <f>(1+((1+(Macroeconomicos!$J$12/2))^2-1)+1%)*(1+Macroeconomicos!$J$8)-1</f>
        <v>7.4912142689613104E-2</v>
      </c>
      <c r="G64" s="29">
        <f t="shared" si="27"/>
        <v>2972.4814898430627</v>
      </c>
      <c r="H64" s="24">
        <v>2018</v>
      </c>
      <c r="I64" s="24">
        <f t="shared" si="26"/>
        <v>4</v>
      </c>
      <c r="J64" s="477">
        <f t="shared" si="28"/>
        <v>158718.27359999999</v>
      </c>
    </row>
    <row r="65" spans="3:14">
      <c r="C65" s="24" t="s">
        <v>188</v>
      </c>
      <c r="D65" s="44">
        <f>55.38*Macroeconomicos!D10</f>
        <v>105444.0738</v>
      </c>
      <c r="E65" s="24" t="s">
        <v>207</v>
      </c>
      <c r="F65" s="106">
        <f>(1+((1+(Macroeconomicos!$J$12/2))^2-1)+1.4%)*(1+Macroeconomicos!$J$8)-1</f>
        <v>7.9037342689613155E-2</v>
      </c>
      <c r="G65" s="29">
        <f t="shared" si="27"/>
        <v>8334.0193955194591</v>
      </c>
      <c r="H65" s="24">
        <v>2032</v>
      </c>
      <c r="I65" s="24">
        <f t="shared" si="26"/>
        <v>18</v>
      </c>
      <c r="J65" s="477">
        <f t="shared" si="28"/>
        <v>1897993.3284</v>
      </c>
    </row>
    <row r="66" spans="3:14">
      <c r="C66" s="30" t="s">
        <v>213</v>
      </c>
      <c r="D66" s="30"/>
      <c r="E66" s="30"/>
      <c r="F66" s="30"/>
      <c r="G66" s="478">
        <f>SUM(G56:G65)/SUM(D56:D65)</f>
        <v>9.3386887112029374E-2</v>
      </c>
      <c r="H66" s="24"/>
      <c r="I66" s="24"/>
      <c r="J66" s="479">
        <f>ROUND(SUM(J56:J65)/SUM(D56:D65),0)</f>
        <v>10</v>
      </c>
    </row>
    <row r="68" spans="3:14" s="480" customFormat="1">
      <c r="C68" s="456" t="s">
        <v>215</v>
      </c>
      <c r="D68" s="456">
        <v>2004</v>
      </c>
      <c r="E68" s="456">
        <v>2005</v>
      </c>
      <c r="F68" s="456">
        <v>2006</v>
      </c>
      <c r="G68" s="456">
        <v>2007</v>
      </c>
      <c r="H68" s="456">
        <v>2008</v>
      </c>
      <c r="I68" s="456">
        <v>2009</v>
      </c>
      <c r="J68" s="456">
        <v>2010</v>
      </c>
      <c r="K68" s="456">
        <v>2011</v>
      </c>
      <c r="L68" s="456">
        <v>2012</v>
      </c>
      <c r="M68" s="456">
        <v>2013</v>
      </c>
      <c r="N68" s="456" t="s">
        <v>126</v>
      </c>
    </row>
    <row r="69" spans="3:14">
      <c r="C69" s="24" t="s">
        <v>483</v>
      </c>
      <c r="D69" s="24">
        <v>1.1100000000000001</v>
      </c>
      <c r="E69" s="24">
        <v>1.78</v>
      </c>
      <c r="F69" s="24">
        <v>2.0499999999999998</v>
      </c>
      <c r="G69" s="24">
        <v>1.71</v>
      </c>
      <c r="H69" s="24">
        <v>0.77</v>
      </c>
      <c r="I69" s="24">
        <v>0.63</v>
      </c>
      <c r="J69" s="24">
        <v>0.65</v>
      </c>
      <c r="K69" s="24">
        <v>0.56999999999999995</v>
      </c>
      <c r="L69" s="24">
        <v>0.53</v>
      </c>
      <c r="M69" s="476">
        <v>0.4</v>
      </c>
      <c r="N69" s="26">
        <f>AVERAGE(I69:M69)</f>
        <v>0.55599999999999994</v>
      </c>
    </row>
    <row r="70" spans="3:14">
      <c r="C70" s="24" t="s">
        <v>484</v>
      </c>
      <c r="D70" s="24">
        <v>24</v>
      </c>
      <c r="E70" s="24">
        <v>25</v>
      </c>
      <c r="F70" s="24">
        <v>41</v>
      </c>
      <c r="G70" s="24">
        <v>57</v>
      </c>
      <c r="H70" s="24">
        <v>65</v>
      </c>
      <c r="I70" s="24">
        <v>77</v>
      </c>
      <c r="J70" s="24">
        <v>67</v>
      </c>
      <c r="K70" s="24">
        <v>93</v>
      </c>
      <c r="L70" s="24">
        <v>101</v>
      </c>
      <c r="M70" s="24">
        <v>106</v>
      </c>
      <c r="N70" s="26">
        <f>SUMPRODUCT(I69:M69,I70:M70)/SUM(I70:M70)</f>
        <v>0.5427927927927928</v>
      </c>
    </row>
  </sheetData>
  <mergeCells count="1">
    <mergeCell ref="B10:B11"/>
  </mergeCells>
  <hyperlinks>
    <hyperlink ref="C24" r:id="rId1"/>
    <hyperlink ref="C25" r:id="rId2"/>
    <hyperlink ref="C27" r:id="rId3"/>
    <hyperlink ref="C52" r:id="rId4"/>
    <hyperlink ref="C26" r:id="rId5"/>
  </hyperlinks>
  <pageMargins left="0.7" right="0.7" top="0.75" bottom="0.75" header="0.3" footer="0.3"/>
  <ignoredErrors>
    <ignoredError sqref="F8:O8" formula="1"/>
    <ignoredError sqref="N69:N70" formulaRange="1"/>
  </ignoredErrors>
  <drawing r:id="rId6"/>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3"/>
  <dimension ref="A2:O68"/>
  <sheetViews>
    <sheetView showGridLines="0" topLeftCell="A32" workbookViewId="0">
      <selection activeCell="A12" sqref="A12"/>
    </sheetView>
  </sheetViews>
  <sheetFormatPr baseColWidth="10" defaultRowHeight="15.75"/>
  <cols>
    <col min="1" max="1" width="49" style="302" bestFit="1" customWidth="1"/>
    <col min="2" max="2" width="7.85546875" style="302" bestFit="1" customWidth="1"/>
    <col min="3" max="3" width="20.5703125" style="389" bestFit="1" customWidth="1"/>
    <col min="4" max="4" width="22.42578125" style="389" bestFit="1" customWidth="1"/>
    <col min="5" max="13" width="19.42578125" style="302" bestFit="1" customWidth="1"/>
    <col min="14" max="14" width="20.140625" style="302" bestFit="1" customWidth="1"/>
    <col min="15" max="15" width="22.42578125" style="302" bestFit="1" customWidth="1"/>
    <col min="16" max="16384" width="11.42578125" style="302"/>
  </cols>
  <sheetData>
    <row r="2" spans="1:15" ht="21">
      <c r="A2" s="300" t="str">
        <f>Nombre_Empresa</f>
        <v>ISAGEN</v>
      </c>
      <c r="B2" s="486"/>
      <c r="D2" s="512"/>
      <c r="E2" s="309"/>
    </row>
    <row r="3" spans="1:15">
      <c r="B3" s="306"/>
      <c r="C3" s="417"/>
      <c r="D3" s="417"/>
      <c r="E3" s="306"/>
      <c r="F3" s="306"/>
      <c r="G3" s="306"/>
      <c r="H3" s="306"/>
      <c r="I3" s="306"/>
      <c r="J3" s="306"/>
      <c r="K3" s="306"/>
      <c r="L3" s="306"/>
      <c r="M3" s="306"/>
      <c r="N3" s="306"/>
      <c r="O3" s="306"/>
    </row>
    <row r="4" spans="1:15" ht="16.5" thickBot="1">
      <c r="A4" s="669" t="s">
        <v>911</v>
      </c>
      <c r="B4" s="417"/>
      <c r="C4" s="513"/>
      <c r="D4" s="305">
        <f>YEAR('Datos Generales'!E21)</f>
        <v>2014</v>
      </c>
      <c r="E4" s="305">
        <f>YEAR('Datos Generales'!F21)</f>
        <v>2014</v>
      </c>
      <c r="F4" s="305">
        <f>'Datos Generales'!G21</f>
        <v>2015</v>
      </c>
      <c r="G4" s="305">
        <f>'Datos Generales'!H21</f>
        <v>2016</v>
      </c>
      <c r="H4" s="305">
        <f>'Datos Generales'!I21</f>
        <v>2017</v>
      </c>
      <c r="I4" s="305">
        <f>'Datos Generales'!J21</f>
        <v>2018</v>
      </c>
      <c r="J4" s="305">
        <f>'Datos Generales'!K21</f>
        <v>2019</v>
      </c>
      <c r="K4" s="305">
        <f>'Datos Generales'!L21</f>
        <v>2020</v>
      </c>
      <c r="L4" s="305">
        <f>'Datos Generales'!M21</f>
        <v>2021</v>
      </c>
      <c r="M4" s="305">
        <f>'Datos Generales'!N21</f>
        <v>2022</v>
      </c>
      <c r="N4" s="305">
        <f>'Datos Generales'!O21</f>
        <v>2023</v>
      </c>
      <c r="O4" s="305">
        <f>'Datos Generales'!P21</f>
        <v>2024</v>
      </c>
    </row>
    <row r="5" spans="1:15" ht="17.25" thickTop="1" thickBot="1">
      <c r="A5" s="670"/>
      <c r="B5" s="417"/>
      <c r="C5" s="513"/>
      <c r="D5" s="525">
        <v>41912</v>
      </c>
      <c r="E5" s="525">
        <v>42004</v>
      </c>
      <c r="F5" s="525">
        <v>42369</v>
      </c>
      <c r="G5" s="525">
        <v>42735</v>
      </c>
      <c r="H5" s="525">
        <v>43100</v>
      </c>
      <c r="I5" s="525">
        <v>43465</v>
      </c>
      <c r="J5" s="525">
        <v>43830</v>
      </c>
      <c r="K5" s="525">
        <v>44196</v>
      </c>
      <c r="L5" s="525">
        <v>44561</v>
      </c>
      <c r="M5" s="525">
        <v>44926</v>
      </c>
      <c r="N5" s="525">
        <v>45291</v>
      </c>
      <c r="O5" s="525">
        <v>45657</v>
      </c>
    </row>
    <row r="6" spans="1:15" ht="16.5" thickTop="1">
      <c r="B6" s="389"/>
    </row>
    <row r="7" spans="1:15">
      <c r="A7" s="302" t="s">
        <v>732</v>
      </c>
      <c r="B7" s="512"/>
      <c r="C7" s="514"/>
      <c r="D7" s="514"/>
      <c r="E7" s="420">
        <f>'P&amp;G'!E7</f>
        <v>1185854965002.488</v>
      </c>
      <c r="F7" s="420">
        <f>'P&amp;G'!F7</f>
        <v>3131134669100.2407</v>
      </c>
      <c r="G7" s="420">
        <f>'P&amp;G'!G7</f>
        <v>3005144243528.46</v>
      </c>
      <c r="H7" s="420">
        <f>'P&amp;G'!H7</f>
        <v>3309738963865.5879</v>
      </c>
      <c r="I7" s="420">
        <f>'P&amp;G'!I7</f>
        <v>3482925517593.0908</v>
      </c>
      <c r="J7" s="420">
        <f>'P&amp;G'!J7</f>
        <v>1816336692658.2222</v>
      </c>
      <c r="K7" s="420">
        <f>'P&amp;G'!K7</f>
        <v>1872237014684.7351</v>
      </c>
      <c r="L7" s="420">
        <f>'P&amp;G'!L7</f>
        <v>2954408989737.668</v>
      </c>
      <c r="M7" s="420">
        <f>'P&amp;G'!M7</f>
        <v>1840005307845.595</v>
      </c>
      <c r="N7" s="420">
        <f>'P&amp;G'!N7</f>
        <v>2101963368050.6211</v>
      </c>
      <c r="O7" s="420">
        <f>'P&amp;G'!O7</f>
        <v>3643003529659.8726</v>
      </c>
    </row>
    <row r="8" spans="1:15">
      <c r="A8" s="302" t="s">
        <v>715</v>
      </c>
      <c r="B8" s="512"/>
      <c r="C8" s="515"/>
      <c r="D8" s="515"/>
      <c r="E8" s="487">
        <f>'P&amp;G'!E8</f>
        <v>-419873231839.73352</v>
      </c>
      <c r="F8" s="487">
        <f>'P&amp;G'!F8</f>
        <v>-996422416279.38074</v>
      </c>
      <c r="G8" s="487">
        <f>'P&amp;G'!G8</f>
        <v>-856597813002.24475</v>
      </c>
      <c r="H8" s="487">
        <f>'P&amp;G'!H8</f>
        <v>-912423407059.14343</v>
      </c>
      <c r="I8" s="487">
        <f>'P&amp;G'!I8</f>
        <v>-1018937415775.1667</v>
      </c>
      <c r="J8" s="487">
        <f>'P&amp;G'!J8</f>
        <v>-899748041132.64014</v>
      </c>
      <c r="K8" s="487">
        <f>'P&amp;G'!K8</f>
        <v>-908255745950.39075</v>
      </c>
      <c r="L8" s="487">
        <f>'P&amp;G'!L8</f>
        <v>-953986559302.24243</v>
      </c>
      <c r="M8" s="487">
        <f>'P&amp;G'!M8</f>
        <v>-951442987869.75122</v>
      </c>
      <c r="N8" s="487">
        <f>'P&amp;G'!N8</f>
        <v>-1014504487596.5115</v>
      </c>
      <c r="O8" s="487">
        <f>'P&amp;G'!O8</f>
        <v>-1073276830718.3838</v>
      </c>
    </row>
    <row r="9" spans="1:15">
      <c r="A9" s="302" t="s">
        <v>709</v>
      </c>
      <c r="B9" s="512"/>
      <c r="C9" s="515"/>
      <c r="D9" s="515"/>
      <c r="E9" s="487">
        <f>'P&amp;G'!E9</f>
        <v>-119164093682.6954</v>
      </c>
      <c r="F9" s="487">
        <f>'P&amp;G'!F9</f>
        <v>-316419920557.94641</v>
      </c>
      <c r="G9" s="487">
        <f>'P&amp;G'!G9</f>
        <v>-317089602251.57959</v>
      </c>
      <c r="H9" s="487">
        <f>'P&amp;G'!H9</f>
        <v>-330582611117.65479</v>
      </c>
      <c r="I9" s="487">
        <f>'P&amp;G'!I9</f>
        <v>-351874982662.2561</v>
      </c>
      <c r="J9" s="487">
        <f>'P&amp;G'!J9</f>
        <v>-360815015781.36084</v>
      </c>
      <c r="K9" s="487">
        <f>'P&amp;G'!K9</f>
        <v>-371090886609.26514</v>
      </c>
      <c r="L9" s="487">
        <f>'P&amp;G'!L9</f>
        <v>-385783498268.22083</v>
      </c>
      <c r="M9" s="487">
        <f>'P&amp;G'!M9</f>
        <v>-406717734280.77631</v>
      </c>
      <c r="N9" s="487">
        <f>'P&amp;G'!N9</f>
        <v>-420789943340.01373</v>
      </c>
      <c r="O9" s="487">
        <f>'P&amp;G'!O9</f>
        <v>-430258754223.3689</v>
      </c>
    </row>
    <row r="10" spans="1:15">
      <c r="A10" s="302" t="s">
        <v>893</v>
      </c>
      <c r="B10" s="512"/>
      <c r="C10" s="515"/>
      <c r="D10" s="515"/>
      <c r="E10" s="487">
        <f>'P&amp;G'!E12</f>
        <v>-60281372905.037354</v>
      </c>
      <c r="F10" s="487">
        <f>'P&amp;G'!F12</f>
        <v>-131461104296.15611</v>
      </c>
      <c r="G10" s="487">
        <f>'P&amp;G'!G12</f>
        <v>-137063443582.86346</v>
      </c>
      <c r="H10" s="487">
        <f>'P&amp;G'!H12</f>
        <v>-142706147071.90283</v>
      </c>
      <c r="I10" s="487">
        <f>'P&amp;G'!I12</f>
        <v>-148374627625.24023</v>
      </c>
      <c r="J10" s="487">
        <f>'P&amp;G'!J12</f>
        <v>-154068404573.16565</v>
      </c>
      <c r="K10" s="487">
        <f>'P&amp;G'!K12</f>
        <v>-159988866380.45117</v>
      </c>
      <c r="L10" s="487">
        <f>'P&amp;G'!L12</f>
        <v>-166145357297.38483</v>
      </c>
      <c r="M10" s="487">
        <f>'P&amp;G'!M12</f>
        <v>-172547618755.69244</v>
      </c>
      <c r="N10" s="487">
        <f>'P&amp;G'!N12</f>
        <v>-179205806686.40848</v>
      </c>
      <c r="O10" s="487">
        <f>'P&amp;G'!O12</f>
        <v>-186130509608.16833</v>
      </c>
    </row>
    <row r="11" spans="1:15">
      <c r="A11" s="302" t="s">
        <v>912</v>
      </c>
      <c r="B11" s="512"/>
      <c r="C11" s="515"/>
      <c r="D11" s="515"/>
      <c r="E11" s="487">
        <f>-'Otros Costos y Gastos'!E33</f>
        <v>-5231173483.8304987</v>
      </c>
      <c r="F11" s="487">
        <f ca="1">-'Otros Costos y Gastos'!F33</f>
        <v>-6774108104.4393272</v>
      </c>
      <c r="G11" s="487">
        <f ca="1">-'Otros Costos y Gastos'!G33</f>
        <v>-7920680866.9707928</v>
      </c>
      <c r="H11" s="487">
        <f ca="1">-'Otros Costos y Gastos'!H33</f>
        <v>-7494117792.1497269</v>
      </c>
      <c r="I11" s="487">
        <f ca="1">-'Otros Costos y Gastos'!I33</f>
        <v>-8762464159.0913658</v>
      </c>
      <c r="J11" s="487">
        <f ca="1">-'Otros Costos y Gastos'!J33</f>
        <v>-6262000883.2893686</v>
      </c>
      <c r="K11" s="487">
        <f ca="1">-'Otros Costos y Gastos'!K33</f>
        <v>-2097310652.4847975</v>
      </c>
      <c r="L11" s="487">
        <f ca="1">-'Otros Costos y Gastos'!L33</f>
        <v>-1547096357.3365693</v>
      </c>
      <c r="M11" s="487">
        <f ca="1">-'Otros Costos y Gastos'!M33</f>
        <v>0</v>
      </c>
      <c r="N11" s="487">
        <f ca="1">-'Otros Costos y Gastos'!N33</f>
        <v>0</v>
      </c>
      <c r="O11" s="487">
        <f ca="1">-'Otros Costos y Gastos'!O33</f>
        <v>0</v>
      </c>
    </row>
    <row r="12" spans="1:15">
      <c r="A12" s="314" t="s">
        <v>365</v>
      </c>
      <c r="B12" s="512"/>
      <c r="C12" s="515"/>
      <c r="D12" s="515"/>
      <c r="E12" s="487">
        <f>-'Otros Costos y Gastos'!E35</f>
        <v>-14578634250.000013</v>
      </c>
      <c r="F12" s="487">
        <f ca="1">-'Otros Costos y Gastos'!F35</f>
        <v>-28175375317.357086</v>
      </c>
      <c r="G12" s="487">
        <f ca="1">-'Otros Costos y Gastos'!G35</f>
        <v>-22218113592.703156</v>
      </c>
      <c r="H12" s="487">
        <f ca="1">-'Otros Costos y Gastos'!H35</f>
        <v>-8233743435.1756239</v>
      </c>
      <c r="I12" s="487">
        <f ca="1">-'Otros Costos y Gastos'!I35</f>
        <v>0</v>
      </c>
      <c r="J12" s="487">
        <f ca="1">-'Otros Costos y Gastos'!J35</f>
        <v>0</v>
      </c>
      <c r="K12" s="487">
        <f ca="1">-'Otros Costos y Gastos'!K35</f>
        <v>0</v>
      </c>
      <c r="L12" s="487">
        <f ca="1">-'Otros Costos y Gastos'!L35</f>
        <v>0</v>
      </c>
      <c r="M12" s="487">
        <f ca="1">-'Otros Costos y Gastos'!M35</f>
        <v>0</v>
      </c>
      <c r="N12" s="487">
        <f ca="1">-'Otros Costos y Gastos'!N35</f>
        <v>0</v>
      </c>
      <c r="O12" s="487">
        <f ca="1">-'Otros Costos y Gastos'!O35</f>
        <v>0</v>
      </c>
    </row>
    <row r="13" spans="1:15">
      <c r="A13" s="527" t="s">
        <v>894</v>
      </c>
      <c r="B13" s="524"/>
      <c r="C13" s="516"/>
      <c r="D13" s="624"/>
      <c r="E13" s="528">
        <f t="shared" ref="E13:O13" si="0">SUM(E7:E12)</f>
        <v>566726458841.19128</v>
      </c>
      <c r="F13" s="528">
        <f t="shared" ca="1" si="0"/>
        <v>1651881744544.9612</v>
      </c>
      <c r="G13" s="528">
        <f t="shared" ca="1" si="0"/>
        <v>1664254590232.0984</v>
      </c>
      <c r="H13" s="528">
        <f t="shared" ca="1" si="0"/>
        <v>1908298937389.5615</v>
      </c>
      <c r="I13" s="528">
        <f t="shared" ca="1" si="0"/>
        <v>1954976027371.3362</v>
      </c>
      <c r="J13" s="528">
        <f t="shared" ca="1" si="0"/>
        <v>395443230287.76617</v>
      </c>
      <c r="K13" s="528">
        <f t="shared" ca="1" si="0"/>
        <v>430804205092.14325</v>
      </c>
      <c r="L13" s="528">
        <f t="shared" ca="1" si="0"/>
        <v>1446946478512.4832</v>
      </c>
      <c r="M13" s="528">
        <f t="shared" ca="1" si="0"/>
        <v>309296966939.375</v>
      </c>
      <c r="N13" s="528">
        <f t="shared" ca="1" si="0"/>
        <v>487463130427.6875</v>
      </c>
      <c r="O13" s="528">
        <f t="shared" ca="1" si="0"/>
        <v>1953337435109.9517</v>
      </c>
    </row>
    <row r="14" spans="1:15" ht="16.5" thickBot="1">
      <c r="A14" s="526" t="s">
        <v>914</v>
      </c>
      <c r="B14" s="524"/>
      <c r="C14" s="516"/>
      <c r="D14" s="516"/>
      <c r="E14" s="529">
        <f t="shared" ref="E14" si="1">E13/E7</f>
        <v>0.47790537255118903</v>
      </c>
      <c r="F14" s="529">
        <f t="shared" ref="F14:O14" ca="1" si="2">F13/F7</f>
        <v>0.52756649557319868</v>
      </c>
      <c r="G14" s="529">
        <f t="shared" ca="1" si="2"/>
        <v>0.5538018994649091</v>
      </c>
      <c r="H14" s="529">
        <f t="shared" ca="1" si="2"/>
        <v>0.57657082876432542</v>
      </c>
      <c r="I14" s="529">
        <f t="shared" ca="1" si="2"/>
        <v>0.56130285229939147</v>
      </c>
      <c r="J14" s="529">
        <f t="shared" ca="1" si="2"/>
        <v>0.21771471769863995</v>
      </c>
      <c r="K14" s="529">
        <f t="shared" ca="1" si="2"/>
        <v>0.23010131821621213</v>
      </c>
      <c r="L14" s="529">
        <f t="shared" ca="1" si="2"/>
        <v>0.48975835219109676</v>
      </c>
      <c r="M14" s="529">
        <f t="shared" ca="1" si="2"/>
        <v>0.1680956927790177</v>
      </c>
      <c r="N14" s="529">
        <f t="shared" ca="1" si="2"/>
        <v>0.23190848034605141</v>
      </c>
      <c r="O14" s="529">
        <f t="shared" ca="1" si="2"/>
        <v>0.53618872976835252</v>
      </c>
    </row>
    <row r="15" spans="1:15" ht="16.5" thickTop="1">
      <c r="A15" s="302" t="s">
        <v>915</v>
      </c>
      <c r="B15" s="512"/>
      <c r="C15" s="515"/>
      <c r="D15" s="515"/>
      <c r="E15" s="487">
        <f>'P&amp;G'!E10+'P&amp;G'!E14</f>
        <v>-77284992317.925064</v>
      </c>
      <c r="F15" s="487">
        <f>'P&amp;G'!F10+'P&amp;G'!F14</f>
        <v>-218972096627.21201</v>
      </c>
      <c r="G15" s="487">
        <f>'P&amp;G'!G10+'P&amp;G'!G14</f>
        <v>-219811437595.00174</v>
      </c>
      <c r="H15" s="487">
        <f>'P&amp;G'!H10+'P&amp;G'!H14</f>
        <v>-220697028817.35532</v>
      </c>
      <c r="I15" s="487">
        <f>'P&amp;G'!I10+'P&amp;G'!I14</f>
        <v>-221619502576.31711</v>
      </c>
      <c r="J15" s="487">
        <f>'P&amp;G'!J10+'P&amp;G'!J14</f>
        <v>-222577709676.67163</v>
      </c>
      <c r="K15" s="487">
        <f>'P&amp;G'!K10+'P&amp;G'!K14</f>
        <v>-223575793560.46848</v>
      </c>
      <c r="L15" s="487">
        <f>'P&amp;G'!L10+'P&amp;G'!L14</f>
        <v>-224614958403.44598</v>
      </c>
      <c r="M15" s="487">
        <f>'P&amp;G'!M10+'P&amp;G'!M14</f>
        <v>-225697208471.63</v>
      </c>
      <c r="N15" s="487">
        <f>'P&amp;G'!N10+'P&amp;G'!N14</f>
        <v>-226824286082.99747</v>
      </c>
      <c r="O15" s="487">
        <f>'P&amp;G'!O10+'P&amp;G'!O14</f>
        <v>-226069298637.97284</v>
      </c>
    </row>
    <row r="16" spans="1:15">
      <c r="A16" s="302" t="s">
        <v>719</v>
      </c>
      <c r="B16" s="512"/>
      <c r="C16" s="515"/>
      <c r="D16" s="515"/>
      <c r="E16" s="487">
        <f>'P&amp;G'!E13</f>
        <v>0</v>
      </c>
      <c r="F16" s="487">
        <f>'P&amp;G'!F13</f>
        <v>0</v>
      </c>
      <c r="G16" s="487">
        <f>'P&amp;G'!G13</f>
        <v>0</v>
      </c>
      <c r="H16" s="487">
        <f>'P&amp;G'!H13</f>
        <v>0</v>
      </c>
      <c r="I16" s="487">
        <f>'P&amp;G'!I13</f>
        <v>0</v>
      </c>
      <c r="J16" s="487">
        <f>'P&amp;G'!J13</f>
        <v>0</v>
      </c>
      <c r="K16" s="487">
        <f>'P&amp;G'!K13</f>
        <v>0</v>
      </c>
      <c r="L16" s="487">
        <f>'P&amp;G'!L13</f>
        <v>0</v>
      </c>
      <c r="M16" s="487">
        <f>'P&amp;G'!M13</f>
        <v>0</v>
      </c>
      <c r="N16" s="487">
        <f>'P&amp;G'!N13</f>
        <v>0</v>
      </c>
      <c r="O16" s="487">
        <f>'P&amp;G'!O13</f>
        <v>0</v>
      </c>
    </row>
    <row r="17" spans="1:15">
      <c r="A17" s="527" t="s">
        <v>895</v>
      </c>
      <c r="B17" s="524"/>
      <c r="C17" s="516"/>
      <c r="D17" s="516"/>
      <c r="E17" s="528">
        <f t="shared" ref="E17:O17" si="3">E13+E15+E16</f>
        <v>489441466523.26624</v>
      </c>
      <c r="F17" s="528">
        <f t="shared" ca="1" si="3"/>
        <v>1432909647917.7493</v>
      </c>
      <c r="G17" s="528">
        <f t="shared" ca="1" si="3"/>
        <v>1444443152637.0967</v>
      </c>
      <c r="H17" s="528">
        <f t="shared" ca="1" si="3"/>
        <v>1687601908572.2063</v>
      </c>
      <c r="I17" s="528">
        <f t="shared" ca="1" si="3"/>
        <v>1733356524795.019</v>
      </c>
      <c r="J17" s="528">
        <f t="shared" ca="1" si="3"/>
        <v>172865520611.09454</v>
      </c>
      <c r="K17" s="528">
        <f t="shared" ca="1" si="3"/>
        <v>207228411531.67477</v>
      </c>
      <c r="L17" s="528">
        <f t="shared" ca="1" si="3"/>
        <v>1222331520109.0371</v>
      </c>
      <c r="M17" s="528">
        <f t="shared" ca="1" si="3"/>
        <v>83599758467.744995</v>
      </c>
      <c r="N17" s="528">
        <f t="shared" ca="1" si="3"/>
        <v>260638844344.69003</v>
      </c>
      <c r="O17" s="528">
        <f t="shared" ca="1" si="3"/>
        <v>1727268136471.9788</v>
      </c>
    </row>
    <row r="18" spans="1:15" ht="16.5" thickBot="1">
      <c r="A18" s="526" t="s">
        <v>916</v>
      </c>
      <c r="B18" s="524"/>
      <c r="C18" s="516"/>
      <c r="D18" s="516"/>
      <c r="E18" s="529">
        <f t="shared" ref="E18:O18" si="4">E17/E7</f>
        <v>0.41273299093725119</v>
      </c>
      <c r="F18" s="529">
        <f t="shared" ca="1" si="4"/>
        <v>0.4576327112527257</v>
      </c>
      <c r="G18" s="529">
        <f t="shared" ca="1" si="4"/>
        <v>0.48065684558992028</v>
      </c>
      <c r="H18" s="529">
        <f t="shared" ca="1" si="4"/>
        <v>0.5098897305789889</v>
      </c>
      <c r="I18" s="529">
        <f t="shared" ca="1" si="4"/>
        <v>0.49767257899700129</v>
      </c>
      <c r="J18" s="529">
        <f t="shared" ca="1" si="4"/>
        <v>9.5172619322084262E-2</v>
      </c>
      <c r="K18" s="529">
        <f t="shared" ca="1" si="4"/>
        <v>0.11068492392058056</v>
      </c>
      <c r="L18" s="529">
        <f t="shared" ca="1" si="4"/>
        <v>0.41373131626490617</v>
      </c>
      <c r="M18" s="529">
        <f t="shared" ca="1" si="4"/>
        <v>4.5434520276264503E-2</v>
      </c>
      <c r="N18" s="529">
        <f t="shared" ca="1" si="4"/>
        <v>0.12399780524548758</v>
      </c>
      <c r="O18" s="529">
        <f t="shared" ca="1" si="4"/>
        <v>0.47413298461262937</v>
      </c>
    </row>
    <row r="19" spans="1:15" ht="16.5" thickTop="1">
      <c r="A19" s="302" t="s">
        <v>896</v>
      </c>
      <c r="B19" s="512"/>
      <c r="C19" s="515"/>
      <c r="D19" s="515"/>
      <c r="E19" s="487">
        <f ca="1">Renta!E74+CREE!E76</f>
        <v>-110063114417.47403</v>
      </c>
      <c r="F19" s="487">
        <f ca="1">Renta!F74+CREE!F76</f>
        <v>-502108613322.80835</v>
      </c>
      <c r="G19" s="487">
        <f ca="1">Renta!G74+CREE!G76</f>
        <v>-517245290626.53833</v>
      </c>
      <c r="H19" s="487">
        <f ca="1">Renta!H74+CREE!H76</f>
        <v>-638796842761.11316</v>
      </c>
      <c r="I19" s="487">
        <f ca="1">Renta!I74+CREE!I76</f>
        <v>-670241600824.45557</v>
      </c>
      <c r="J19" s="487">
        <f ca="1">Renta!J74+CREE!J76</f>
        <v>-5035109620.0989494</v>
      </c>
      <c r="K19" s="487">
        <f ca="1">Renta!K74+CREE!K76</f>
        <v>-6565165427.3488922</v>
      </c>
      <c r="L19" s="487">
        <f ca="1">Renta!L74+CREE!L76</f>
        <v>-245535510354.05069</v>
      </c>
      <c r="M19" s="487">
        <f ca="1">Renta!M74+CREE!M76</f>
        <v>-3127891535.3606067</v>
      </c>
      <c r="N19" s="487">
        <f ca="1">Renta!N74+CREE!N76</f>
        <v>-19488342939.103916</v>
      </c>
      <c r="O19" s="487">
        <f ca="1">Renta!O74+CREE!O76</f>
        <v>-455759384745.09778</v>
      </c>
    </row>
    <row r="20" spans="1:15" ht="16.5" thickBot="1">
      <c r="A20" s="366" t="s">
        <v>897</v>
      </c>
      <c r="B20" s="524"/>
      <c r="C20" s="516"/>
      <c r="D20" s="516"/>
      <c r="E20" s="488">
        <f t="shared" ref="E20:O20" ca="1" si="5">E17+E19</f>
        <v>379378352105.79224</v>
      </c>
      <c r="F20" s="488">
        <f t="shared" ca="1" si="5"/>
        <v>930801034594.94092</v>
      </c>
      <c r="G20" s="488">
        <f t="shared" ca="1" si="5"/>
        <v>927197862010.55835</v>
      </c>
      <c r="H20" s="488">
        <f t="shared" ca="1" si="5"/>
        <v>1048805065811.0931</v>
      </c>
      <c r="I20" s="488">
        <f t="shared" ca="1" si="5"/>
        <v>1063114923970.5635</v>
      </c>
      <c r="J20" s="488">
        <f t="shared" ca="1" si="5"/>
        <v>167830410990.99561</v>
      </c>
      <c r="K20" s="488">
        <f t="shared" ca="1" si="5"/>
        <v>200663246104.32587</v>
      </c>
      <c r="L20" s="488">
        <f t="shared" ca="1" si="5"/>
        <v>976796009754.98645</v>
      </c>
      <c r="M20" s="488">
        <f t="shared" ca="1" si="5"/>
        <v>80471866932.384384</v>
      </c>
      <c r="N20" s="488">
        <f t="shared" ca="1" si="5"/>
        <v>241150501405.58612</v>
      </c>
      <c r="O20" s="488">
        <f t="shared" ca="1" si="5"/>
        <v>1271508751726.8809</v>
      </c>
    </row>
    <row r="21" spans="1:15" ht="16.5" thickTop="1">
      <c r="A21" s="302" t="s">
        <v>917</v>
      </c>
      <c r="B21" s="512"/>
      <c r="C21" s="514"/>
      <c r="D21" s="514"/>
      <c r="E21" s="420">
        <f>-E15-E16</f>
        <v>77284992317.925064</v>
      </c>
      <c r="F21" s="420">
        <f t="shared" ref="F21:O21" si="6">-F15-F16</f>
        <v>218972096627.21201</v>
      </c>
      <c r="G21" s="420">
        <f t="shared" si="6"/>
        <v>219811437595.00174</v>
      </c>
      <c r="H21" s="420">
        <f t="shared" si="6"/>
        <v>220697028817.35532</v>
      </c>
      <c r="I21" s="420">
        <f t="shared" si="6"/>
        <v>221619502576.31711</v>
      </c>
      <c r="J21" s="420">
        <f t="shared" si="6"/>
        <v>222577709676.67163</v>
      </c>
      <c r="K21" s="420">
        <f t="shared" si="6"/>
        <v>223575793560.46848</v>
      </c>
      <c r="L21" s="420">
        <f t="shared" si="6"/>
        <v>224614958403.44598</v>
      </c>
      <c r="M21" s="420">
        <f t="shared" si="6"/>
        <v>225697208471.63</v>
      </c>
      <c r="N21" s="420">
        <f t="shared" si="6"/>
        <v>226824286082.99747</v>
      </c>
      <c r="O21" s="420">
        <f t="shared" si="6"/>
        <v>226069298637.97284</v>
      </c>
    </row>
    <row r="22" spans="1:15">
      <c r="A22" s="302" t="s">
        <v>898</v>
      </c>
      <c r="B22" s="512"/>
      <c r="C22" s="514"/>
      <c r="D22" s="514"/>
      <c r="E22" s="420">
        <f ca="1">-'Capital Empleado'!E37</f>
        <v>75497198169.143372</v>
      </c>
      <c r="F22" s="420">
        <f ca="1">-'Capital Empleado'!F37</f>
        <v>305011596704.00201</v>
      </c>
      <c r="G22" s="420">
        <f ca="1">-'Capital Empleado'!G37</f>
        <v>-206274822752.98193</v>
      </c>
      <c r="H22" s="420">
        <f ca="1">-'Capital Empleado'!H37</f>
        <v>170639956608.69543</v>
      </c>
      <c r="I22" s="420">
        <f ca="1">-'Capital Empleado'!I37</f>
        <v>11880846104.109619</v>
      </c>
      <c r="J22" s="420">
        <f ca="1">-'Capital Empleado'!J37</f>
        <v>-562076023957.72437</v>
      </c>
      <c r="K22" s="420">
        <f ca="1">-'Capital Empleado'!K37</f>
        <v>563162398561.64233</v>
      </c>
      <c r="L22" s="420">
        <f ca="1">-'Capital Empleado'!L37</f>
        <v>246746212706.40344</v>
      </c>
      <c r="M22" s="420">
        <f ca="1">-'Capital Empleado'!M37</f>
        <v>-309869493828.01147</v>
      </c>
      <c r="N22" s="420">
        <f ca="1">-'Capital Empleado'!N37</f>
        <v>240169488198.41907</v>
      </c>
      <c r="O22" s="420">
        <f ca="1">-'Capital Empleado'!O37</f>
        <v>417215846710.25867</v>
      </c>
    </row>
    <row r="23" spans="1:15">
      <c r="A23" s="302" t="s">
        <v>899</v>
      </c>
      <c r="B23" s="512"/>
      <c r="C23" s="515"/>
      <c r="D23" s="515"/>
      <c r="E23" s="487">
        <f>-'Activos fijos'!E14-'Activos fijos'!E17</f>
        <v>-692348396155.52393</v>
      </c>
      <c r="F23" s="487">
        <f>-'Activos fijos'!F14-'Activos fijos'!F17</f>
        <v>-31547496012.95686</v>
      </c>
      <c r="G23" s="487">
        <f>-'Activos fijos'!G14-'Activos fijos'!G17</f>
        <v>-33573638711.589741</v>
      </c>
      <c r="H23" s="487">
        <f>-'Activos fijos'!H14-'Activos fijos'!H17</f>
        <v>-35423648894.14267</v>
      </c>
      <c r="I23" s="487">
        <f>-'Activos fijos'!I14-'Activos fijos'!I17</f>
        <v>-36898950358.472214</v>
      </c>
      <c r="J23" s="487">
        <f>-'Activos fijos'!J14-'Activos fijos'!J17</f>
        <v>-38328284014.180855</v>
      </c>
      <c r="K23" s="487">
        <f>-'Activos fijos'!K14-'Activos fijos'!K17</f>
        <v>-39923355351.873466</v>
      </c>
      <c r="L23" s="487">
        <f>-'Activos fijos'!L14-'Activos fijos'!L17</f>
        <v>-41566593719.100731</v>
      </c>
      <c r="M23" s="487">
        <f>-'Activos fijos'!M14-'Activos fijos'!M17</f>
        <v>-43290002727.361076</v>
      </c>
      <c r="N23" s="487">
        <f>-'Activos fijos'!N14-'Activos fijos'!N17</f>
        <v>-45083104454.698402</v>
      </c>
      <c r="O23" s="487">
        <f ca="1">-(O20*WACC!O17+O21+O22)</f>
        <v>-769687208188.26562</v>
      </c>
    </row>
    <row r="24" spans="1:15" ht="16.5" thickBot="1">
      <c r="A24" s="489" t="s">
        <v>918</v>
      </c>
      <c r="B24" s="313"/>
      <c r="C24" s="313"/>
      <c r="D24" s="313"/>
      <c r="E24" s="490">
        <f t="shared" ref="E24:O24" ca="1" si="7">SUM(E20:E23)</f>
        <v>-160187853562.66327</v>
      </c>
      <c r="F24" s="490">
        <f t="shared" ca="1" si="7"/>
        <v>1423237231913.198</v>
      </c>
      <c r="G24" s="490">
        <f t="shared" ca="1" si="7"/>
        <v>907160838140.9884</v>
      </c>
      <c r="H24" s="490">
        <f t="shared" ca="1" si="7"/>
        <v>1404718402343.0015</v>
      </c>
      <c r="I24" s="490">
        <f t="shared" ca="1" si="7"/>
        <v>1259716322292.5181</v>
      </c>
      <c r="J24" s="490">
        <f t="shared" ca="1" si="7"/>
        <v>-209996187304.23798</v>
      </c>
      <c r="K24" s="490">
        <f t="shared" ca="1" si="7"/>
        <v>947478082874.56323</v>
      </c>
      <c r="L24" s="490">
        <f t="shared" ca="1" si="7"/>
        <v>1406590587145.7351</v>
      </c>
      <c r="M24" s="490">
        <f t="shared" ca="1" si="7"/>
        <v>-46990421151.358147</v>
      </c>
      <c r="N24" s="490">
        <f t="shared" ca="1" si="7"/>
        <v>663061171232.30432</v>
      </c>
      <c r="O24" s="490">
        <f t="shared" ca="1" si="7"/>
        <v>1145106688886.8467</v>
      </c>
    </row>
    <row r="25" spans="1:15" ht="16.5" thickTop="1">
      <c r="A25" s="302" t="s">
        <v>900</v>
      </c>
      <c r="B25" s="491"/>
      <c r="C25" s="517"/>
      <c r="D25" s="532">
        <f>IF(Fecha_precio_accion="Diciembre",0,1)</f>
        <v>0</v>
      </c>
      <c r="E25" s="533">
        <f>IF(Fecha_precio_accion="Septiembre",D25*(1+WACC!E17)^(1-(MONTH(D5)/MONTH(E5))),1)</f>
        <v>1</v>
      </c>
      <c r="F25" s="491">
        <f>E25*(1+WACC!F17)^('Operacion Comercial'!F4/Mes_año)</f>
        <v>1.0973958003828994</v>
      </c>
      <c r="G25" s="491">
        <f>F25*(1+WACC!G17)^('Operacion Comercial'!G4/Mes_año)</f>
        <v>1.2038352300260793</v>
      </c>
      <c r="H25" s="491">
        <f>G25*(1+WACC!H17)^('Operacion Comercial'!H4/Mes_año)</f>
        <v>1.3196280844088426</v>
      </c>
      <c r="I25" s="491">
        <f>H25*(1+WACC!I17)^('Operacion Comercial'!I4/Mes_año)</f>
        <v>1.4460267784126239</v>
      </c>
      <c r="J25" s="491">
        <f>I25*(1+WACC!J17)^('Operacion Comercial'!J4/Mes_año)</f>
        <v>1.5897778673965131</v>
      </c>
      <c r="K25" s="491">
        <f>J25*(1+WACC!K17)^('Operacion Comercial'!K4/Mes_año)</f>
        <v>1.7478194079076819</v>
      </c>
      <c r="L25" s="491">
        <f>K25*(1+WACC!L17)^('Operacion Comercial'!L4/Mes_año)</f>
        <v>1.92157202921786</v>
      </c>
      <c r="M25" s="491">
        <f>L25*(1+WACC!M17)^('Operacion Comercial'!M4/Mes_año)</f>
        <v>2.1125975868941005</v>
      </c>
      <c r="N25" s="491">
        <f>M25*(1+WACC!N17)^('Operacion Comercial'!N4/Mes_año)</f>
        <v>2.3226132022578332</v>
      </c>
      <c r="O25" s="491">
        <f>N25*(1+WACC!O17)^('Operacion Comercial'!O4/Mes_año)</f>
        <v>2.5535066975217564</v>
      </c>
    </row>
    <row r="26" spans="1:15">
      <c r="A26" s="302" t="s">
        <v>901</v>
      </c>
      <c r="B26" s="309"/>
      <c r="C26" s="512"/>
      <c r="D26" s="512"/>
      <c r="E26" s="309">
        <f ca="1">IF(E4=Año_Perpetuidad,(E24/(WACC!E17-WACC!$O$20)/E25),E24/E25)</f>
        <v>-160187853562.66327</v>
      </c>
      <c r="F26" s="309">
        <f ca="1">IF(F4=Año_Perpetuidad,(F24/(WACC!F17-WACC!$O$20)/F25),F24/F25)</f>
        <v>1296922433470.7744</v>
      </c>
      <c r="G26" s="309">
        <f ca="1">IF(G4=Año_Perpetuidad,(G24/(WACC!G17-WACC!$O$20)/G25),G24/G25)</f>
        <v>753558971788.30371</v>
      </c>
      <c r="H26" s="309">
        <f ca="1">IF(H4=Año_Perpetuidad,(H24/(WACC!H17-WACC!$O$20)/H25),H24/H25)</f>
        <v>1064480529733.7068</v>
      </c>
      <c r="I26" s="309">
        <f ca="1">IF(I4=Año_Perpetuidad,(I24/(WACC!I17-WACC!$O$20)/I25),I24/I25)</f>
        <v>871156980699.46655</v>
      </c>
      <c r="J26" s="309">
        <f ca="1">IF(J4=Año_Perpetuidad,(J24/(WACC!J17-WACC!$O$20)/J25),J24/J25)</f>
        <v>-132091527760.50188</v>
      </c>
      <c r="K26" s="309">
        <f ca="1">IF(K4=Año_Perpetuidad,(K24/(WACC!K17-WACC!$O$20)/K25),K24/K25)</f>
        <v>542091521920.3288</v>
      </c>
      <c r="L26" s="309">
        <f ca="1">IF(L4=Año_Perpetuidad,(L24/(WACC!L17-WACC!$O$20)/L25),L24/L25)</f>
        <v>731999928057.99817</v>
      </c>
      <c r="M26" s="309">
        <f ca="1">IF(M4=Año_Perpetuidad,(M24/(WACC!M17-WACC!$O$20)/M25),M24/M25)</f>
        <v>-22242958830.811951</v>
      </c>
      <c r="N26" s="309">
        <f ca="1">IF(N4=Año_Perpetuidad,(N24/(WACC!N17-WACC!$O$20)/N25),N24/N25)</f>
        <v>285480669182.34021</v>
      </c>
      <c r="O26" s="309">
        <f ca="1">IF(O4=Año_Perpetuidad,(O24/(WACC!O17-WACC!$O$20)/O25),O24/O25)</f>
        <v>6460708189533.7451</v>
      </c>
    </row>
    <row r="27" spans="1:15">
      <c r="A27" s="302" t="s">
        <v>902</v>
      </c>
      <c r="B27" s="309"/>
      <c r="C27" s="512"/>
      <c r="D27" s="512"/>
      <c r="E27" s="309">
        <f t="shared" ref="E27:O27" ca="1" si="8">D27+E26</f>
        <v>-160187853562.66327</v>
      </c>
      <c r="F27" s="309">
        <f t="shared" ca="1" si="8"/>
        <v>1136734579908.1111</v>
      </c>
      <c r="G27" s="309">
        <f t="shared" ca="1" si="8"/>
        <v>1890293551696.4148</v>
      </c>
      <c r="H27" s="309">
        <f t="shared" ca="1" si="8"/>
        <v>2954774081430.1216</v>
      </c>
      <c r="I27" s="309">
        <f t="shared" ca="1" si="8"/>
        <v>3825931062129.5879</v>
      </c>
      <c r="J27" s="309">
        <f t="shared" ca="1" si="8"/>
        <v>3693839534369.0859</v>
      </c>
      <c r="K27" s="309">
        <f t="shared" ca="1" si="8"/>
        <v>4235931056289.4146</v>
      </c>
      <c r="L27" s="309">
        <f t="shared" ca="1" si="8"/>
        <v>4967930984347.4131</v>
      </c>
      <c r="M27" s="309">
        <f t="shared" ca="1" si="8"/>
        <v>4945688025516.6016</v>
      </c>
      <c r="N27" s="309">
        <f t="shared" ca="1" si="8"/>
        <v>5231168694698.9414</v>
      </c>
      <c r="O27" s="309">
        <f t="shared" ca="1" si="8"/>
        <v>11691876884232.687</v>
      </c>
    </row>
    <row r="28" spans="1:15">
      <c r="C28" s="518"/>
      <c r="D28" s="518"/>
      <c r="E28" s="303"/>
      <c r="F28" s="303"/>
      <c r="G28" s="303"/>
      <c r="H28" s="303"/>
      <c r="I28" s="303"/>
      <c r="J28" s="303"/>
      <c r="K28" s="303"/>
    </row>
    <row r="29" spans="1:15">
      <c r="A29" s="492" t="s">
        <v>903</v>
      </c>
      <c r="B29" s="493"/>
      <c r="C29" s="313"/>
      <c r="D29" s="313"/>
      <c r="E29" s="493">
        <f t="shared" ref="E29:N29" ca="1" si="9">IF(E4=Año_Perpetuidad,0,E24)</f>
        <v>-160187853562.66327</v>
      </c>
      <c r="F29" s="493">
        <f t="shared" ca="1" si="9"/>
        <v>1423237231913.198</v>
      </c>
      <c r="G29" s="493">
        <f t="shared" ca="1" si="9"/>
        <v>907160838140.9884</v>
      </c>
      <c r="H29" s="493">
        <f t="shared" ca="1" si="9"/>
        <v>1404718402343.0015</v>
      </c>
      <c r="I29" s="493">
        <f t="shared" ca="1" si="9"/>
        <v>1259716322292.5181</v>
      </c>
      <c r="J29" s="493">
        <f t="shared" ca="1" si="9"/>
        <v>-209996187304.23798</v>
      </c>
      <c r="K29" s="493">
        <f t="shared" ca="1" si="9"/>
        <v>947478082874.56323</v>
      </c>
      <c r="L29" s="493">
        <f t="shared" ca="1" si="9"/>
        <v>1406590587145.7351</v>
      </c>
      <c r="M29" s="493">
        <f t="shared" ca="1" si="9"/>
        <v>-46990421151.358147</v>
      </c>
      <c r="N29" s="493">
        <f t="shared" ca="1" si="9"/>
        <v>663061171232.30432</v>
      </c>
      <c r="O29" s="493">
        <f t="shared" ref="O29" si="10">IF(O4=Año_Perpetuidad,0,O24)</f>
        <v>0</v>
      </c>
    </row>
    <row r="30" spans="1:15">
      <c r="A30" s="494" t="s">
        <v>904</v>
      </c>
      <c r="B30" s="495"/>
      <c r="C30" s="519"/>
      <c r="D30" s="519"/>
      <c r="E30" s="496">
        <f>IF(E4=Año_Perpetuidad,(E24/(WACC!E17-WACC!$O$20)),0)</f>
        <v>0</v>
      </c>
      <c r="F30" s="496">
        <f>IF(F4=Año_Perpetuidad,(F24/(WACC!F17-WACC!$O$20)),0)</f>
        <v>0</v>
      </c>
      <c r="G30" s="496">
        <f>IF(G4=Año_Perpetuidad,(G24/(WACC!G17-WACC!$O$20)),0)</f>
        <v>0</v>
      </c>
      <c r="H30" s="496">
        <f>IF(H4=Año_Perpetuidad,(H24/(WACC!H17-WACC!$O$20)),0)</f>
        <v>0</v>
      </c>
      <c r="I30" s="496">
        <f>IF(I4=Año_Perpetuidad,(I24/(WACC!I17-WACC!$O$20)),0)</f>
        <v>0</v>
      </c>
      <c r="J30" s="496">
        <f>IF(J4=Año_Perpetuidad,(J24/(WACC!J17-WACC!$O$20)),0)</f>
        <v>0</v>
      </c>
      <c r="K30" s="496">
        <f>IF(K4=Año_Perpetuidad,(K24/(WACC!K17-WACC!$O$20)),0)</f>
        <v>0</v>
      </c>
      <c r="L30" s="496">
        <f>IF(L4=Año_Perpetuidad,(L24/(WACC!L17-WACC!$O$20)),0)</f>
        <v>0</v>
      </c>
      <c r="M30" s="496">
        <f>IF(M4=Año_Perpetuidad,(M24/(WACC!M17-WACC!$O$20)),0)</f>
        <v>0</v>
      </c>
      <c r="N30" s="496">
        <f>IF(N4=Año_Perpetuidad,(N24/(WACC!N17-WACC!$O$20)),0)</f>
        <v>0</v>
      </c>
      <c r="O30" s="497">
        <f ca="1">IF(O4=Año_Perpetuidad,(O24/(WACC!O17-WACC!$O$20)),0)</f>
        <v>16497461632708.08</v>
      </c>
    </row>
    <row r="31" spans="1:15" ht="16.5" thickBot="1">
      <c r="A31" s="498" t="s">
        <v>905</v>
      </c>
      <c r="B31" s="499"/>
      <c r="C31" s="520"/>
      <c r="D31" s="520"/>
      <c r="E31" s="500">
        <f t="shared" ref="E31:O31" ca="1" si="11">SUM(E29:E30)</f>
        <v>-160187853562.66327</v>
      </c>
      <c r="F31" s="500">
        <f t="shared" ca="1" si="11"/>
        <v>1423237231913.198</v>
      </c>
      <c r="G31" s="500">
        <f t="shared" ca="1" si="11"/>
        <v>907160838140.9884</v>
      </c>
      <c r="H31" s="500">
        <f t="shared" ca="1" si="11"/>
        <v>1404718402343.0015</v>
      </c>
      <c r="I31" s="500">
        <f t="shared" ca="1" si="11"/>
        <v>1259716322292.5181</v>
      </c>
      <c r="J31" s="500">
        <f t="shared" ca="1" si="11"/>
        <v>-209996187304.23798</v>
      </c>
      <c r="K31" s="500">
        <f t="shared" ca="1" si="11"/>
        <v>947478082874.56323</v>
      </c>
      <c r="L31" s="500">
        <f t="shared" ca="1" si="11"/>
        <v>1406590587145.7351</v>
      </c>
      <c r="M31" s="500">
        <f t="shared" ca="1" si="11"/>
        <v>-46990421151.358147</v>
      </c>
      <c r="N31" s="500">
        <f t="shared" ca="1" si="11"/>
        <v>663061171232.30432</v>
      </c>
      <c r="O31" s="500">
        <f t="shared" ca="1" si="11"/>
        <v>16497461632708.08</v>
      </c>
    </row>
    <row r="32" spans="1:15" ht="16.5" thickTop="1">
      <c r="C32" s="518"/>
      <c r="D32" s="429"/>
      <c r="E32" s="429"/>
      <c r="F32" s="429"/>
      <c r="G32" s="429"/>
      <c r="H32" s="429"/>
      <c r="I32" s="429"/>
      <c r="J32" s="429"/>
      <c r="K32" s="429"/>
      <c r="L32" s="429"/>
      <c r="M32" s="429"/>
      <c r="N32" s="429"/>
      <c r="O32" s="429"/>
    </row>
    <row r="33" spans="1:15">
      <c r="C33" s="518"/>
      <c r="D33" s="518"/>
      <c r="E33" s="303"/>
      <c r="F33" s="303"/>
      <c r="G33" s="303"/>
      <c r="H33" s="303"/>
      <c r="I33" s="303"/>
      <c r="J33" s="303"/>
      <c r="K33" s="303"/>
    </row>
    <row r="34" spans="1:15">
      <c r="A34" s="470" t="s">
        <v>906</v>
      </c>
      <c r="B34" s="307"/>
      <c r="C34" s="473">
        <f ca="1">O30</f>
        <v>16497461632708.08</v>
      </c>
      <c r="D34" s="572"/>
      <c r="E34" s="535"/>
    </row>
    <row r="35" spans="1:15">
      <c r="D35" s="571"/>
      <c r="E35" s="309"/>
      <c r="O35" s="354"/>
    </row>
    <row r="36" spans="1:15" ht="16.5" thickBot="1">
      <c r="A36" s="307" t="s">
        <v>975</v>
      </c>
      <c r="B36" s="307"/>
      <c r="C36" s="521"/>
      <c r="O36" s="354"/>
    </row>
    <row r="37" spans="1:15">
      <c r="A37" s="501" t="s">
        <v>932</v>
      </c>
      <c r="B37" s="502"/>
      <c r="C37" s="503">
        <f ca="1">SUM(E26:N26)</f>
        <v>5231168694698.9414</v>
      </c>
      <c r="D37" s="522"/>
      <c r="E37" s="321"/>
      <c r="I37" s="309"/>
    </row>
    <row r="38" spans="1:15">
      <c r="A38" s="504" t="s">
        <v>907</v>
      </c>
      <c r="B38" s="505"/>
      <c r="C38" s="506">
        <f ca="1">O26</f>
        <v>6460708189533.7451</v>
      </c>
      <c r="D38" s="523"/>
      <c r="E38" s="507"/>
    </row>
    <row r="39" spans="1:15">
      <c r="A39" s="504" t="s">
        <v>908</v>
      </c>
      <c r="B39" s="505"/>
      <c r="C39" s="508">
        <f ca="1">C37+C38</f>
        <v>11691876884232.687</v>
      </c>
      <c r="E39" s="509"/>
    </row>
    <row r="40" spans="1:15">
      <c r="A40" s="504" t="s">
        <v>927</v>
      </c>
      <c r="B40" s="505"/>
      <c r="C40" s="508">
        <f>-'Capital Empleado'!E31+'Capital Empleado'!E21+'Capital Empleado'!E20</f>
        <v>-3166464444310.8682</v>
      </c>
    </row>
    <row r="41" spans="1:15">
      <c r="A41" s="504" t="s">
        <v>909</v>
      </c>
      <c r="B41" s="505"/>
      <c r="C41" s="508">
        <f ca="1">C39+C40</f>
        <v>8525412439921.8193</v>
      </c>
    </row>
    <row r="42" spans="1:15">
      <c r="A42" s="504" t="s">
        <v>928</v>
      </c>
      <c r="B42" s="505"/>
      <c r="C42" s="508">
        <f ca="1">IF(Fecha_precio_accion="Septiembre",SUM('Capital Empleado'!D22:D24),SUM('Capital Empleado'!E22:E24))</f>
        <v>56667004267.084526</v>
      </c>
    </row>
    <row r="43" spans="1:15">
      <c r="A43" s="504" t="s">
        <v>910</v>
      </c>
      <c r="B43" s="505"/>
      <c r="C43" s="508">
        <f ca="1">SUM(C41:C42)</f>
        <v>8582079444188.9043</v>
      </c>
    </row>
    <row r="44" spans="1:15">
      <c r="A44" s="504" t="s">
        <v>925</v>
      </c>
      <c r="B44" s="505"/>
      <c r="C44" s="508">
        <v>2726072000</v>
      </c>
    </row>
    <row r="45" spans="1:15" ht="16.5" thickBot="1">
      <c r="A45" s="510" t="s">
        <v>926</v>
      </c>
      <c r="B45" s="511"/>
      <c r="C45" s="534">
        <f ca="1">C43/C44</f>
        <v>3148.1484877101207</v>
      </c>
      <c r="G45" s="535"/>
      <c r="H45" s="535"/>
    </row>
    <row r="46" spans="1:15">
      <c r="G46" s="535"/>
      <c r="H46" s="535"/>
    </row>
    <row r="47" spans="1:15">
      <c r="G47" s="535"/>
      <c r="H47" s="535"/>
    </row>
    <row r="48" spans="1:15">
      <c r="G48" s="535"/>
      <c r="H48" s="535"/>
    </row>
    <row r="49" spans="7:8">
      <c r="G49" s="535"/>
      <c r="H49" s="535"/>
    </row>
    <row r="50" spans="7:8">
      <c r="G50" s="535"/>
      <c r="H50" s="535"/>
    </row>
    <row r="51" spans="7:8">
      <c r="G51" s="535"/>
      <c r="H51" s="535"/>
    </row>
    <row r="52" spans="7:8">
      <c r="G52" s="535"/>
      <c r="H52" s="535"/>
    </row>
    <row r="53" spans="7:8">
      <c r="G53" s="535"/>
      <c r="H53" s="535"/>
    </row>
    <row r="54" spans="7:8">
      <c r="G54" s="535"/>
      <c r="H54" s="535"/>
    </row>
    <row r="55" spans="7:8">
      <c r="G55" s="535"/>
      <c r="H55" s="535"/>
    </row>
    <row r="56" spans="7:8">
      <c r="G56" s="535"/>
      <c r="H56" s="535"/>
    </row>
    <row r="57" spans="7:8">
      <c r="G57" s="535"/>
      <c r="H57" s="535"/>
    </row>
    <row r="58" spans="7:8">
      <c r="G58" s="535"/>
      <c r="H58" s="535"/>
    </row>
    <row r="59" spans="7:8">
      <c r="G59" s="535"/>
      <c r="H59" s="535"/>
    </row>
    <row r="60" spans="7:8">
      <c r="G60" s="535"/>
      <c r="H60" s="535"/>
    </row>
    <row r="61" spans="7:8">
      <c r="G61" s="535"/>
      <c r="H61" s="535"/>
    </row>
    <row r="62" spans="7:8">
      <c r="G62" s="535"/>
      <c r="H62" s="535"/>
    </row>
    <row r="63" spans="7:8">
      <c r="G63" s="535"/>
      <c r="H63" s="535"/>
    </row>
    <row r="64" spans="7:8">
      <c r="G64" s="535"/>
      <c r="H64" s="535"/>
    </row>
    <row r="65" spans="7:8">
      <c r="G65" s="535"/>
      <c r="H65" s="535"/>
    </row>
    <row r="66" spans="7:8">
      <c r="H66" s="324"/>
    </row>
    <row r="67" spans="7:8">
      <c r="H67" s="324"/>
    </row>
    <row r="68" spans="7:8">
      <c r="H68" s="324"/>
    </row>
  </sheetData>
  <mergeCells count="1">
    <mergeCell ref="A4:A5"/>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XFD285"/>
  <sheetViews>
    <sheetView showGridLines="0" topLeftCell="A101" workbookViewId="0">
      <selection activeCell="N118" sqref="N118"/>
    </sheetView>
  </sheetViews>
  <sheetFormatPr baseColWidth="10" defaultRowHeight="15"/>
  <cols>
    <col min="1" max="1" width="14.5703125" style="21" customWidth="1"/>
    <col min="15" max="15" width="14.85546875" bestFit="1" customWidth="1"/>
    <col min="16" max="16" width="11.42578125" style="537"/>
    <col min="17" max="17" width="11.85546875" bestFit="1" customWidth="1"/>
    <col min="103" max="103" width="20.7109375" bestFit="1" customWidth="1"/>
  </cols>
  <sheetData>
    <row r="1" spans="1:103">
      <c r="A1" s="21" t="s">
        <v>11</v>
      </c>
      <c r="E1" t="s">
        <v>12</v>
      </c>
      <c r="F1" s="57" t="s">
        <v>13</v>
      </c>
    </row>
    <row r="2" spans="1:103">
      <c r="A2" s="21" t="s">
        <v>14</v>
      </c>
      <c r="E2" t="s">
        <v>15</v>
      </c>
      <c r="G2" s="671" t="s">
        <v>16</v>
      </c>
      <c r="H2" s="671"/>
      <c r="I2" s="671"/>
      <c r="J2" s="671"/>
    </row>
    <row r="3" spans="1:103">
      <c r="A3" s="21" t="s">
        <v>14</v>
      </c>
      <c r="B3" t="s">
        <v>17</v>
      </c>
    </row>
    <row r="4" spans="1:103">
      <c r="A4" s="279" t="s">
        <v>21</v>
      </c>
      <c r="B4" s="24" t="s">
        <v>22</v>
      </c>
      <c r="C4" s="24" t="s">
        <v>23</v>
      </c>
      <c r="D4" s="24" t="s">
        <v>24</v>
      </c>
      <c r="E4" s="24" t="s">
        <v>25</v>
      </c>
      <c r="F4" s="24" t="s">
        <v>26</v>
      </c>
      <c r="G4" s="24" t="s">
        <v>27</v>
      </c>
      <c r="H4" s="24" t="s">
        <v>28</v>
      </c>
      <c r="I4" s="24" t="s">
        <v>29</v>
      </c>
      <c r="J4" s="24" t="s">
        <v>30</v>
      </c>
      <c r="K4" s="24" t="s">
        <v>31</v>
      </c>
      <c r="L4" s="24" t="s">
        <v>32</v>
      </c>
      <c r="M4" s="24" t="s">
        <v>33</v>
      </c>
      <c r="N4" s="24" t="s">
        <v>34</v>
      </c>
      <c r="O4" s="24" t="s">
        <v>35</v>
      </c>
      <c r="P4" s="24" t="s">
        <v>36</v>
      </c>
      <c r="Q4" s="24" t="s">
        <v>37</v>
      </c>
      <c r="R4" s="24" t="s">
        <v>38</v>
      </c>
      <c r="S4" s="24" t="s">
        <v>39</v>
      </c>
      <c r="T4" s="24" t="s">
        <v>40</v>
      </c>
      <c r="U4" s="24" t="s">
        <v>41</v>
      </c>
      <c r="V4" s="24" t="s">
        <v>42</v>
      </c>
      <c r="W4" s="24" t="s">
        <v>43</v>
      </c>
      <c r="X4" s="24" t="s">
        <v>44</v>
      </c>
      <c r="Y4" s="24" t="s">
        <v>45</v>
      </c>
      <c r="Z4" s="24" t="s">
        <v>46</v>
      </c>
      <c r="AA4" s="24" t="s">
        <v>47</v>
      </c>
      <c r="AB4" s="24" t="s">
        <v>48</v>
      </c>
      <c r="AC4" s="24" t="s">
        <v>49</v>
      </c>
      <c r="AD4" s="24" t="s">
        <v>50</v>
      </c>
      <c r="AE4" s="24" t="s">
        <v>51</v>
      </c>
      <c r="AF4" s="24" t="s">
        <v>52</v>
      </c>
      <c r="AG4" s="24" t="s">
        <v>53</v>
      </c>
      <c r="AH4" s="24" t="s">
        <v>54</v>
      </c>
      <c r="AI4" s="24" t="s">
        <v>55</v>
      </c>
      <c r="AJ4" s="24" t="s">
        <v>56</v>
      </c>
      <c r="AK4" s="24" t="s">
        <v>57</v>
      </c>
      <c r="AL4" s="24" t="s">
        <v>58</v>
      </c>
      <c r="AM4" s="24" t="s">
        <v>59</v>
      </c>
      <c r="AN4" s="24" t="s">
        <v>60</v>
      </c>
      <c r="AO4" s="24" t="s">
        <v>61</v>
      </c>
      <c r="AP4" s="24" t="s">
        <v>62</v>
      </c>
      <c r="AQ4" s="24" t="s">
        <v>63</v>
      </c>
      <c r="AR4" s="24" t="s">
        <v>64</v>
      </c>
      <c r="AS4" s="24" t="s">
        <v>65</v>
      </c>
      <c r="AT4" s="24" t="s">
        <v>66</v>
      </c>
      <c r="AU4" s="24" t="s">
        <v>67</v>
      </c>
      <c r="AV4" s="24" t="s">
        <v>68</v>
      </c>
      <c r="AW4" s="24" t="s">
        <v>69</v>
      </c>
      <c r="AX4" s="24" t="s">
        <v>70</v>
      </c>
      <c r="AY4" s="24" t="s">
        <v>71</v>
      </c>
      <c r="AZ4" s="24" t="s">
        <v>72</v>
      </c>
      <c r="BA4" s="24" t="s">
        <v>73</v>
      </c>
      <c r="BB4" s="24" t="s">
        <v>74</v>
      </c>
      <c r="BC4" s="24" t="s">
        <v>75</v>
      </c>
      <c r="BD4" s="24" t="s">
        <v>76</v>
      </c>
      <c r="BE4" s="24" t="s">
        <v>77</v>
      </c>
      <c r="BF4" s="24" t="s">
        <v>78</v>
      </c>
      <c r="BG4" s="24" t="s">
        <v>79</v>
      </c>
      <c r="BH4" s="24" t="s">
        <v>80</v>
      </c>
      <c r="BI4" s="24" t="s">
        <v>81</v>
      </c>
      <c r="BJ4" s="24" t="s">
        <v>82</v>
      </c>
      <c r="BK4" s="24" t="s">
        <v>83</v>
      </c>
      <c r="BL4" s="24" t="s">
        <v>84</v>
      </c>
      <c r="BM4" s="24" t="s">
        <v>85</v>
      </c>
      <c r="BN4" s="24" t="s">
        <v>86</v>
      </c>
      <c r="BO4" s="24" t="s">
        <v>87</v>
      </c>
      <c r="BP4" s="24" t="s">
        <v>88</v>
      </c>
      <c r="BQ4" s="24" t="s">
        <v>89</v>
      </c>
      <c r="BR4" s="24" t="s">
        <v>90</v>
      </c>
      <c r="BS4" s="24" t="s">
        <v>91</v>
      </c>
      <c r="BT4" s="24" t="s">
        <v>92</v>
      </c>
      <c r="BU4" s="24" t="s">
        <v>93</v>
      </c>
      <c r="BV4" s="24" t="s">
        <v>94</v>
      </c>
      <c r="BW4" s="24" t="s">
        <v>95</v>
      </c>
      <c r="BX4" s="24" t="s">
        <v>96</v>
      </c>
      <c r="BY4" s="24" t="s">
        <v>97</v>
      </c>
      <c r="BZ4" s="24" t="s">
        <v>98</v>
      </c>
      <c r="CA4" s="24" t="s">
        <v>99</v>
      </c>
      <c r="CB4" s="24" t="s">
        <v>100</v>
      </c>
      <c r="CC4" s="24" t="s">
        <v>101</v>
      </c>
      <c r="CD4" s="24" t="s">
        <v>102</v>
      </c>
      <c r="CE4" s="24" t="s">
        <v>103</v>
      </c>
      <c r="CF4" s="24" t="s">
        <v>104</v>
      </c>
      <c r="CG4" s="24" t="s">
        <v>105</v>
      </c>
      <c r="CH4" s="24" t="s">
        <v>106</v>
      </c>
      <c r="CI4" s="24" t="s">
        <v>107</v>
      </c>
      <c r="CJ4" s="24" t="s">
        <v>108</v>
      </c>
      <c r="CK4" s="24" t="s">
        <v>109</v>
      </c>
      <c r="CL4" s="24" t="s">
        <v>110</v>
      </c>
      <c r="CM4" s="24" t="s">
        <v>111</v>
      </c>
      <c r="CN4" s="24" t="s">
        <v>112</v>
      </c>
      <c r="CO4" s="24" t="s">
        <v>113</v>
      </c>
      <c r="CP4" s="24" t="s">
        <v>114</v>
      </c>
      <c r="CQ4" s="24" t="s">
        <v>115</v>
      </c>
      <c r="CR4" s="24" t="s">
        <v>116</v>
      </c>
      <c r="CS4" s="24" t="s">
        <v>117</v>
      </c>
      <c r="CT4" s="24" t="s">
        <v>118</v>
      </c>
      <c r="CU4" s="24" t="s">
        <v>119</v>
      </c>
      <c r="CV4" s="24" t="s">
        <v>120</v>
      </c>
      <c r="CW4" s="24" t="s">
        <v>121</v>
      </c>
      <c r="CX4" s="24" t="s">
        <v>122</v>
      </c>
    </row>
    <row r="5" spans="1:103">
      <c r="A5" s="280" t="s">
        <v>409</v>
      </c>
      <c r="B5" s="281">
        <v>48.833499999999994</v>
      </c>
      <c r="C5" s="281">
        <v>47.398833333333329</v>
      </c>
      <c r="D5" s="281">
        <v>49.430666666666667</v>
      </c>
      <c r="E5" s="281">
        <v>48.783499999999997</v>
      </c>
      <c r="F5" s="281">
        <v>55.133333333333333</v>
      </c>
      <c r="G5" s="281">
        <v>39.899000000000001</v>
      </c>
      <c r="H5" s="281">
        <v>29.592000000000002</v>
      </c>
      <c r="I5" s="281">
        <v>53.373833333333344</v>
      </c>
      <c r="J5" s="281">
        <v>40.596499999999999</v>
      </c>
      <c r="K5" s="281">
        <v>46.550333333333334</v>
      </c>
      <c r="L5" s="281">
        <v>19.334783333333334</v>
      </c>
      <c r="M5" s="281">
        <v>49.737166666666667</v>
      </c>
      <c r="N5" s="281">
        <v>47.835999999999991</v>
      </c>
      <c r="O5" s="281">
        <v>35.122</v>
      </c>
      <c r="P5" s="281">
        <v>34.958333333333329</v>
      </c>
      <c r="Q5" s="281">
        <v>27.349833333333336</v>
      </c>
      <c r="R5" s="281">
        <v>43.546500000000002</v>
      </c>
      <c r="S5" s="281">
        <v>45.838333333333338</v>
      </c>
      <c r="T5" s="281">
        <v>37.081166666666668</v>
      </c>
      <c r="U5" s="281">
        <v>21.957333333333334</v>
      </c>
      <c r="V5" s="281">
        <v>38.979666666666667</v>
      </c>
      <c r="W5" s="281">
        <v>49.43866666666667</v>
      </c>
      <c r="X5" s="281">
        <v>24.002166666666668</v>
      </c>
      <c r="Y5" s="281">
        <v>63.195500000000003</v>
      </c>
      <c r="Z5" s="281">
        <v>29.632833333333338</v>
      </c>
      <c r="AA5" s="281">
        <v>29.151499999999999</v>
      </c>
      <c r="AB5" s="281">
        <v>35.175333333333327</v>
      </c>
      <c r="AC5" s="281">
        <v>50.780166666666673</v>
      </c>
      <c r="AD5" s="281">
        <v>40.857499999999995</v>
      </c>
      <c r="AE5" s="281">
        <v>50.086999999999996</v>
      </c>
      <c r="AF5" s="281">
        <v>60.67433333333333</v>
      </c>
      <c r="AG5" s="281">
        <v>60.999166666666667</v>
      </c>
      <c r="AH5" s="281">
        <v>31.318000000000001</v>
      </c>
      <c r="AI5" s="281">
        <v>25.75</v>
      </c>
      <c r="AJ5" s="281">
        <v>35.235833333333325</v>
      </c>
      <c r="AK5" s="281">
        <v>33.810333333333332</v>
      </c>
      <c r="AL5" s="281">
        <v>41.080999999999996</v>
      </c>
      <c r="AM5" s="281">
        <v>36.533666666666669</v>
      </c>
      <c r="AN5" s="281">
        <v>54.537499999999994</v>
      </c>
      <c r="AO5" s="281">
        <v>36.848999999999997</v>
      </c>
      <c r="AP5" s="281">
        <v>43.986333333333334</v>
      </c>
      <c r="AQ5" s="281">
        <v>21.104499999999998</v>
      </c>
      <c r="AR5" s="281">
        <v>49.929833333333328</v>
      </c>
      <c r="AS5" s="281">
        <v>34.224833333333336</v>
      </c>
      <c r="AT5" s="281">
        <v>54.50066666666666</v>
      </c>
      <c r="AU5" s="281">
        <v>62.666666666666664</v>
      </c>
      <c r="AV5" s="281">
        <v>48.038833333333336</v>
      </c>
      <c r="AW5" s="281">
        <v>43.624666666666677</v>
      </c>
      <c r="AX5" s="281">
        <v>45.905499999999996</v>
      </c>
      <c r="AY5" s="281">
        <v>41.342000000000006</v>
      </c>
      <c r="AZ5" s="281">
        <v>49.67883333333333</v>
      </c>
      <c r="BA5" s="281">
        <v>45.017000000000003</v>
      </c>
      <c r="BB5" s="281">
        <v>48.427166666666665</v>
      </c>
      <c r="BC5" s="281">
        <v>15.56516666666667</v>
      </c>
      <c r="BD5" s="281">
        <v>46.844166666666666</v>
      </c>
      <c r="BE5" s="281">
        <v>44.011500000000005</v>
      </c>
      <c r="BF5" s="281">
        <v>40.717000000000006</v>
      </c>
      <c r="BG5" s="281">
        <v>9.3746666666666663</v>
      </c>
      <c r="BH5" s="281">
        <v>13.666600000000001</v>
      </c>
      <c r="BI5" s="281">
        <v>50.050166666666662</v>
      </c>
      <c r="BJ5" s="281">
        <v>14.448333333333332</v>
      </c>
      <c r="BK5" s="281">
        <v>29.046333333333333</v>
      </c>
      <c r="BL5" s="281">
        <v>4.2157166666666663</v>
      </c>
      <c r="BM5" s="281">
        <v>43.189</v>
      </c>
      <c r="BN5" s="281">
        <v>50.05983333333333</v>
      </c>
      <c r="BO5" s="281">
        <v>37.699333333333335</v>
      </c>
      <c r="BP5" s="281">
        <v>49.042499999999997</v>
      </c>
      <c r="BQ5" s="281">
        <v>37.434666666666665</v>
      </c>
      <c r="BR5" s="281">
        <v>31.769833333333338</v>
      </c>
      <c r="BS5" s="281">
        <v>46.157999999999994</v>
      </c>
      <c r="BT5" s="281">
        <v>63.29666666666666</v>
      </c>
      <c r="BU5" s="281">
        <v>35.696333333333335</v>
      </c>
      <c r="BV5" s="281">
        <v>53.362666666666662</v>
      </c>
      <c r="BW5" s="281">
        <v>50.076666666666661</v>
      </c>
      <c r="BX5" s="281">
        <v>48.92433333333333</v>
      </c>
      <c r="BY5" s="281">
        <v>46.855499999999999</v>
      </c>
      <c r="BZ5" s="281">
        <v>29.388666666666669</v>
      </c>
      <c r="CA5" s="281">
        <v>43.113499999999995</v>
      </c>
      <c r="CB5" s="281">
        <v>53.878166666666665</v>
      </c>
      <c r="CC5" s="281">
        <v>49.274666666666661</v>
      </c>
      <c r="CD5" s="281">
        <v>7.6739666666666659</v>
      </c>
      <c r="CE5" s="281">
        <v>52.770500000000006</v>
      </c>
      <c r="CF5" s="281">
        <v>44.942499999999995</v>
      </c>
      <c r="CG5" s="281">
        <v>53.61783333333333</v>
      </c>
      <c r="CH5" s="281">
        <v>53.431833333333337</v>
      </c>
      <c r="CI5" s="281">
        <v>36.6</v>
      </c>
      <c r="CJ5" s="281">
        <v>37.326833333333333</v>
      </c>
      <c r="CK5" s="281">
        <v>23.953333333333333</v>
      </c>
      <c r="CL5" s="281">
        <v>49.597499999999997</v>
      </c>
      <c r="CM5" s="281">
        <v>39.822833333333335</v>
      </c>
      <c r="CN5" s="281">
        <v>46.736333333333334</v>
      </c>
      <c r="CO5" s="281">
        <v>40.576500000000003</v>
      </c>
      <c r="CP5" s="281">
        <v>47.171999999999997</v>
      </c>
      <c r="CQ5" s="281">
        <v>54.459833333333336</v>
      </c>
      <c r="CR5" s="281">
        <v>50.256499999999996</v>
      </c>
      <c r="CS5" s="281">
        <v>39.99</v>
      </c>
      <c r="CT5" s="281">
        <v>52.648333333333341</v>
      </c>
      <c r="CU5" s="281">
        <v>40.67966666666667</v>
      </c>
      <c r="CV5" s="281">
        <v>52.68483333333333</v>
      </c>
      <c r="CW5" s="281">
        <v>50.771333333333331</v>
      </c>
      <c r="CX5" s="281">
        <f>AVERAGE(B5:CW5)</f>
        <v>41.517614000000009</v>
      </c>
      <c r="CY5" t="s">
        <v>123</v>
      </c>
    </row>
    <row r="6" spans="1:103">
      <c r="A6" s="280">
        <v>2015</v>
      </c>
      <c r="B6" s="281">
        <v>31.473224999999999</v>
      </c>
      <c r="C6" s="281">
        <v>41.755249999999997</v>
      </c>
      <c r="D6" s="281">
        <v>51.053833333333337</v>
      </c>
      <c r="E6" s="281">
        <v>18.929475</v>
      </c>
      <c r="F6" s="281">
        <v>51.175083333333326</v>
      </c>
      <c r="G6" s="281">
        <v>28.038724999999999</v>
      </c>
      <c r="H6" s="281">
        <v>22.558516666666666</v>
      </c>
      <c r="I6" s="281">
        <v>29.183610583333333</v>
      </c>
      <c r="J6" s="281">
        <v>43.51</v>
      </c>
      <c r="K6" s="281">
        <v>45.283750000000005</v>
      </c>
      <c r="L6" s="281">
        <v>46.576916666666655</v>
      </c>
      <c r="M6" s="281">
        <v>51.442583333333324</v>
      </c>
      <c r="N6" s="281">
        <v>44.836749999999995</v>
      </c>
      <c r="O6" s="281">
        <v>34.753083333333336</v>
      </c>
      <c r="P6" s="281">
        <v>37.674833333333332</v>
      </c>
      <c r="Q6" s="281">
        <v>42.294666666666664</v>
      </c>
      <c r="R6" s="281">
        <v>36.259083333333336</v>
      </c>
      <c r="S6" s="281">
        <v>42.530249999999995</v>
      </c>
      <c r="T6" s="281">
        <v>25.730083333333329</v>
      </c>
      <c r="U6" s="281">
        <v>24.189505416666666</v>
      </c>
      <c r="V6" s="281">
        <v>34.208891666666666</v>
      </c>
      <c r="W6" s="281">
        <v>47.960249999999995</v>
      </c>
      <c r="X6" s="281">
        <v>40.682166666666667</v>
      </c>
      <c r="Y6" s="281">
        <v>54.335083333333323</v>
      </c>
      <c r="Z6" s="281">
        <v>38.955500000000001</v>
      </c>
      <c r="AA6" s="281">
        <v>28.672250000000002</v>
      </c>
      <c r="AB6" s="281">
        <v>46.67966666666667</v>
      </c>
      <c r="AC6" s="281">
        <v>44.401416666666677</v>
      </c>
      <c r="AD6" s="281">
        <v>39.92091666666667</v>
      </c>
      <c r="AE6" s="281">
        <v>50.968333333333327</v>
      </c>
      <c r="AF6" s="281">
        <v>52.970750000000002</v>
      </c>
      <c r="AG6" s="281">
        <v>27.509916666666673</v>
      </c>
      <c r="AH6" s="281">
        <v>41.66341666666667</v>
      </c>
      <c r="AI6" s="281">
        <v>28.142416666666666</v>
      </c>
      <c r="AJ6" s="281">
        <v>44.718833333333343</v>
      </c>
      <c r="AK6" s="281">
        <v>32.482416666666666</v>
      </c>
      <c r="AL6" s="281">
        <v>25.375250000000005</v>
      </c>
      <c r="AM6" s="281">
        <v>46.353833333333341</v>
      </c>
      <c r="AN6" s="281">
        <v>31.62819166666667</v>
      </c>
      <c r="AO6" s="281">
        <v>39.894499999999994</v>
      </c>
      <c r="AP6" s="281">
        <v>27.532150000000001</v>
      </c>
      <c r="AQ6" s="281">
        <v>17.158566666666665</v>
      </c>
      <c r="AR6" s="281">
        <v>47.144666666666659</v>
      </c>
      <c r="AS6" s="281">
        <v>34.773783333333334</v>
      </c>
      <c r="AT6" s="281">
        <v>19.765186408333335</v>
      </c>
      <c r="AU6" s="281">
        <v>39.532666666666664</v>
      </c>
      <c r="AV6" s="281">
        <v>38.083499999999994</v>
      </c>
      <c r="AW6" s="281">
        <v>19.399825000000003</v>
      </c>
      <c r="AX6" s="281">
        <v>47.47025</v>
      </c>
      <c r="AY6" s="281">
        <v>21.43054416666666</v>
      </c>
      <c r="AZ6" s="281">
        <v>50.37016666666667</v>
      </c>
      <c r="BA6" s="281">
        <v>35.932083333333331</v>
      </c>
      <c r="BB6" s="281">
        <v>37.997583333333331</v>
      </c>
      <c r="BC6" s="281">
        <v>15.159275000000001</v>
      </c>
      <c r="BD6" s="281">
        <v>31.366916666666668</v>
      </c>
      <c r="BE6" s="281">
        <v>23.689166666666665</v>
      </c>
      <c r="BF6" s="281">
        <v>39.311083333333336</v>
      </c>
      <c r="BG6" s="281">
        <v>17.325756666666667</v>
      </c>
      <c r="BH6" s="281">
        <v>30.360499999999998</v>
      </c>
      <c r="BI6" s="281">
        <v>54.003166666666665</v>
      </c>
      <c r="BJ6" s="281">
        <v>37.803666666666665</v>
      </c>
      <c r="BK6" s="281">
        <v>12.792452500000001</v>
      </c>
      <c r="BL6" s="281">
        <v>9.5096958333333337</v>
      </c>
      <c r="BM6" s="281">
        <v>46.453416666666669</v>
      </c>
      <c r="BN6" s="281">
        <v>48.49666666666667</v>
      </c>
      <c r="BO6" s="281">
        <v>37.64350000000001</v>
      </c>
      <c r="BP6" s="281">
        <v>32.922666666666665</v>
      </c>
      <c r="BQ6" s="281">
        <v>26.899458333333332</v>
      </c>
      <c r="BR6" s="281">
        <v>34.820250000000001</v>
      </c>
      <c r="BS6" s="281">
        <v>47.723500000000001</v>
      </c>
      <c r="BT6" s="281">
        <v>52.396999999999991</v>
      </c>
      <c r="BU6" s="281">
        <v>15.107399166666667</v>
      </c>
      <c r="BV6" s="281">
        <v>21.95108333333334</v>
      </c>
      <c r="BW6" s="281">
        <v>41.136666666666663</v>
      </c>
      <c r="BX6" s="281">
        <v>47.344333333333331</v>
      </c>
      <c r="BY6" s="281">
        <v>44.419583333333328</v>
      </c>
      <c r="BZ6" s="281">
        <v>9.7787449999999989</v>
      </c>
      <c r="CA6" s="281">
        <v>33.299750000000003</v>
      </c>
      <c r="CB6" s="281">
        <v>32.575516666666672</v>
      </c>
      <c r="CC6" s="281">
        <v>37.353083333333331</v>
      </c>
      <c r="CD6" s="281">
        <v>5.0323749999999992</v>
      </c>
      <c r="CE6" s="281">
        <v>22.228932499999999</v>
      </c>
      <c r="CF6" s="281">
        <v>43.27375</v>
      </c>
      <c r="CG6" s="281">
        <v>58.706666666666671</v>
      </c>
      <c r="CH6" s="281">
        <v>42.90841666666666</v>
      </c>
      <c r="CI6" s="281">
        <v>32.023333333333333</v>
      </c>
      <c r="CJ6" s="281">
        <v>44.055083333333336</v>
      </c>
      <c r="CK6" s="281">
        <v>23.786666666666665</v>
      </c>
      <c r="CL6" s="281">
        <v>50.737749999999998</v>
      </c>
      <c r="CM6" s="281">
        <v>30.450249999999997</v>
      </c>
      <c r="CN6" s="281">
        <v>39.768916666666662</v>
      </c>
      <c r="CO6" s="281">
        <v>41.924583333333338</v>
      </c>
      <c r="CP6" s="281">
        <v>41.448750000000004</v>
      </c>
      <c r="CQ6" s="281">
        <v>34.282249999999998</v>
      </c>
      <c r="CR6" s="281">
        <v>42.045083333333331</v>
      </c>
      <c r="CS6" s="281">
        <v>50.398249999999997</v>
      </c>
      <c r="CT6" s="281">
        <v>46.330083333333334</v>
      </c>
      <c r="CU6" s="281">
        <v>10.319405833333333</v>
      </c>
      <c r="CV6" s="281">
        <v>50.477916666666665</v>
      </c>
      <c r="CW6" s="281">
        <v>41.182749999999999</v>
      </c>
      <c r="CX6" s="281">
        <f t="shared" ref="CX6:CX15" si="0">AVERAGE(B6:CW6)</f>
        <v>36.163897090750012</v>
      </c>
      <c r="CY6" t="s">
        <v>123</v>
      </c>
    </row>
    <row r="7" spans="1:103">
      <c r="A7" s="280">
        <v>2016</v>
      </c>
      <c r="B7" s="281">
        <v>36.801400000000001</v>
      </c>
      <c r="C7" s="281">
        <v>38.122666666666667</v>
      </c>
      <c r="D7" s="281">
        <v>61.048166666666667</v>
      </c>
      <c r="E7" s="281">
        <v>19.188800000000001</v>
      </c>
      <c r="F7" s="281">
        <v>46.565249999999999</v>
      </c>
      <c r="G7" s="281">
        <v>27.919666666666661</v>
      </c>
      <c r="H7" s="281">
        <v>40.860833333333339</v>
      </c>
      <c r="I7" s="281">
        <v>22.631425000000004</v>
      </c>
      <c r="J7" s="281">
        <v>41.47825000000001</v>
      </c>
      <c r="K7" s="281">
        <v>43.724666666666657</v>
      </c>
      <c r="L7" s="281">
        <v>51.84375</v>
      </c>
      <c r="M7" s="281">
        <v>50.683166666666665</v>
      </c>
      <c r="N7" s="281">
        <v>48.977499999999999</v>
      </c>
      <c r="O7" s="281">
        <v>34.301749999999998</v>
      </c>
      <c r="P7" s="281">
        <v>43.936250000000008</v>
      </c>
      <c r="Q7" s="281">
        <v>27.043243333333333</v>
      </c>
      <c r="R7" s="281">
        <v>35.036166666666666</v>
      </c>
      <c r="S7" s="281">
        <v>15.417384166666665</v>
      </c>
      <c r="T7" s="281">
        <v>19.250966666666667</v>
      </c>
      <c r="U7" s="281">
        <v>42.645999999999994</v>
      </c>
      <c r="V7" s="281">
        <v>44.83591666666667</v>
      </c>
      <c r="W7" s="281">
        <v>41.931666666666672</v>
      </c>
      <c r="X7" s="281">
        <v>53.112583333333333</v>
      </c>
      <c r="Y7" s="281">
        <v>55.252083333333331</v>
      </c>
      <c r="Z7" s="281">
        <v>46.085083333333337</v>
      </c>
      <c r="AA7" s="281">
        <v>35.45150000000001</v>
      </c>
      <c r="AB7" s="281">
        <v>51.433833333333325</v>
      </c>
      <c r="AC7" s="281">
        <v>47.104083333333335</v>
      </c>
      <c r="AD7" s="281">
        <v>28.696916666666667</v>
      </c>
      <c r="AE7" s="281">
        <v>53.370083333333334</v>
      </c>
      <c r="AF7" s="281">
        <v>45.617916666666673</v>
      </c>
      <c r="AG7" s="281">
        <v>39.804000000000002</v>
      </c>
      <c r="AH7" s="281">
        <v>42.100916666666663</v>
      </c>
      <c r="AI7" s="281">
        <v>30.835833333333337</v>
      </c>
      <c r="AJ7" s="281">
        <v>46.89425</v>
      </c>
      <c r="AK7" s="281">
        <v>29.57941666666667</v>
      </c>
      <c r="AL7" s="281">
        <v>14.779235</v>
      </c>
      <c r="AM7" s="281">
        <v>39.611166666666669</v>
      </c>
      <c r="AN7" s="281">
        <v>52.230666666666671</v>
      </c>
      <c r="AO7" s="281">
        <v>34.453499999999998</v>
      </c>
      <c r="AP7" s="281">
        <v>25.366</v>
      </c>
      <c r="AQ7" s="281">
        <v>37.626000000000005</v>
      </c>
      <c r="AR7" s="281">
        <v>47.649583333333332</v>
      </c>
      <c r="AS7" s="281">
        <v>42.108166666666669</v>
      </c>
      <c r="AT7" s="281">
        <v>3.3868566666666662</v>
      </c>
      <c r="AU7" s="281">
        <v>38.709249999999997</v>
      </c>
      <c r="AV7" s="281">
        <v>41.403333333333336</v>
      </c>
      <c r="AW7" s="281">
        <v>37.39875</v>
      </c>
      <c r="AX7" s="281">
        <v>39.79216666666666</v>
      </c>
      <c r="AY7" s="281">
        <v>10.347875</v>
      </c>
      <c r="AZ7" s="281">
        <v>45.524583333333332</v>
      </c>
      <c r="BA7" s="281">
        <v>13.161056666666667</v>
      </c>
      <c r="BB7" s="281">
        <v>45.180416666666666</v>
      </c>
      <c r="BC7" s="281">
        <v>31.624750000000002</v>
      </c>
      <c r="BD7" s="281">
        <v>44.703166666666668</v>
      </c>
      <c r="BE7" s="281">
        <v>26.428916666666669</v>
      </c>
      <c r="BF7" s="281">
        <v>44.557166666666667</v>
      </c>
      <c r="BG7" s="281">
        <v>13.479507500000002</v>
      </c>
      <c r="BH7" s="281">
        <v>30.599249999999998</v>
      </c>
      <c r="BI7" s="281">
        <v>53.331333333333333</v>
      </c>
      <c r="BJ7" s="281">
        <v>46.398166666666661</v>
      </c>
      <c r="BK7" s="281">
        <v>38.276250000000005</v>
      </c>
      <c r="BL7" s="281">
        <v>24.549966666666666</v>
      </c>
      <c r="BM7" s="281">
        <v>45.983000000000004</v>
      </c>
      <c r="BN7" s="281">
        <v>59.22025</v>
      </c>
      <c r="BO7" s="281">
        <v>43.197083333333332</v>
      </c>
      <c r="BP7" s="281">
        <v>45.067416666666666</v>
      </c>
      <c r="BQ7" s="281">
        <v>49.707750000000011</v>
      </c>
      <c r="BR7" s="281">
        <v>36.738500000000002</v>
      </c>
      <c r="BS7" s="281">
        <v>44.97925</v>
      </c>
      <c r="BT7" s="281">
        <v>55.157999999999994</v>
      </c>
      <c r="BU7" s="281">
        <v>6.998570833333333</v>
      </c>
      <c r="BV7" s="281">
        <v>38.509166666666665</v>
      </c>
      <c r="BW7" s="281">
        <v>54.303166666666662</v>
      </c>
      <c r="BX7" s="281">
        <v>42.244916666666661</v>
      </c>
      <c r="BY7" s="281">
        <v>48.486166666666669</v>
      </c>
      <c r="BZ7" s="281">
        <v>44.781083333333328</v>
      </c>
      <c r="CA7" s="281">
        <v>32.907166666666676</v>
      </c>
      <c r="CB7" s="281">
        <v>23.487958333333335</v>
      </c>
      <c r="CC7" s="281">
        <v>30.153508333333335</v>
      </c>
      <c r="CD7" s="281">
        <v>20.572008333333336</v>
      </c>
      <c r="CE7" s="281">
        <v>17.449482499999998</v>
      </c>
      <c r="CF7" s="281">
        <v>47.88741666666666</v>
      </c>
      <c r="CG7" s="281">
        <v>41.707166666666666</v>
      </c>
      <c r="CH7" s="281">
        <v>46.59825</v>
      </c>
      <c r="CI7" s="281">
        <v>43.788833333333336</v>
      </c>
      <c r="CJ7" s="281">
        <v>38.314416666666666</v>
      </c>
      <c r="CK7" s="281">
        <v>46.631416666666667</v>
      </c>
      <c r="CL7" s="281">
        <v>43.499000000000002</v>
      </c>
      <c r="CM7" s="281">
        <v>15.383684166666667</v>
      </c>
      <c r="CN7" s="281">
        <v>37.896833333333326</v>
      </c>
      <c r="CO7" s="281">
        <v>37.49016666666666</v>
      </c>
      <c r="CP7" s="281">
        <v>20.58492</v>
      </c>
      <c r="CQ7" s="281">
        <v>45.170249999999989</v>
      </c>
      <c r="CR7" s="281">
        <v>18.715234999999996</v>
      </c>
      <c r="CS7" s="281">
        <v>37.462241666666671</v>
      </c>
      <c r="CT7" s="281">
        <v>38.825583333333334</v>
      </c>
      <c r="CU7" s="281">
        <v>15.813374166666668</v>
      </c>
      <c r="CV7" s="281">
        <v>36.536166666666666</v>
      </c>
      <c r="CW7" s="281">
        <v>23.582583333333332</v>
      </c>
      <c r="CX7" s="281">
        <f t="shared" si="0"/>
        <v>37.380924499999992</v>
      </c>
      <c r="CY7" t="s">
        <v>123</v>
      </c>
    </row>
    <row r="8" spans="1:103">
      <c r="A8" s="280">
        <v>2017</v>
      </c>
      <c r="B8" s="281">
        <v>55.105916666666666</v>
      </c>
      <c r="C8" s="281">
        <v>45.161749999999991</v>
      </c>
      <c r="D8" s="281">
        <v>62.067083333333329</v>
      </c>
      <c r="E8" s="281">
        <v>45.982999999999997</v>
      </c>
      <c r="F8" s="281">
        <v>39.642916666666665</v>
      </c>
      <c r="G8" s="281">
        <v>49.34441666666666</v>
      </c>
      <c r="H8" s="281">
        <v>45.995083333333326</v>
      </c>
      <c r="I8" s="281">
        <v>42.281666666666659</v>
      </c>
      <c r="J8" s="281">
        <v>25.067749999999993</v>
      </c>
      <c r="K8" s="281">
        <v>58.306416666666671</v>
      </c>
      <c r="L8" s="281">
        <v>55.197916666666664</v>
      </c>
      <c r="M8" s="281">
        <v>50.559249999999999</v>
      </c>
      <c r="N8" s="281">
        <v>61.020583333333342</v>
      </c>
      <c r="O8" s="281">
        <v>39.255000000000003</v>
      </c>
      <c r="P8" s="281">
        <v>40.79933333333333</v>
      </c>
      <c r="Q8" s="281">
        <v>12.279216666666665</v>
      </c>
      <c r="R8" s="281">
        <v>57.835833333333341</v>
      </c>
      <c r="S8" s="281">
        <v>27.659916666666671</v>
      </c>
      <c r="T8" s="281">
        <v>38.457083333333337</v>
      </c>
      <c r="U8" s="281">
        <v>46.249333333333333</v>
      </c>
      <c r="V8" s="281">
        <v>37.239000000000004</v>
      </c>
      <c r="W8" s="281">
        <v>47.376083333333334</v>
      </c>
      <c r="X8" s="281">
        <v>40.878166666666665</v>
      </c>
      <c r="Y8" s="281">
        <v>36.228833333333334</v>
      </c>
      <c r="Z8" s="281">
        <v>49.926333333333332</v>
      </c>
      <c r="AA8" s="281">
        <v>47.267249999999997</v>
      </c>
      <c r="AB8" s="281">
        <v>28.575641666666666</v>
      </c>
      <c r="AC8" s="281">
        <v>39.864083333333333</v>
      </c>
      <c r="AD8" s="281">
        <v>42.560916666666664</v>
      </c>
      <c r="AE8" s="281">
        <v>48.296249999999993</v>
      </c>
      <c r="AF8" s="281">
        <v>59.011249999999997</v>
      </c>
      <c r="AG8" s="281">
        <v>45.246333333333332</v>
      </c>
      <c r="AH8" s="281">
        <v>29.458383333333334</v>
      </c>
      <c r="AI8" s="281">
        <v>31.604916666666668</v>
      </c>
      <c r="AJ8" s="281">
        <v>42.81583333333333</v>
      </c>
      <c r="AK8" s="281">
        <v>36.619166666666665</v>
      </c>
      <c r="AL8" s="281">
        <v>48.25383333333334</v>
      </c>
      <c r="AM8" s="281">
        <v>61.292083333333331</v>
      </c>
      <c r="AN8" s="281">
        <v>58.180583333333338</v>
      </c>
      <c r="AO8" s="281">
        <v>43.994416666666666</v>
      </c>
      <c r="AP8" s="281">
        <v>42.160583333333342</v>
      </c>
      <c r="AQ8" s="281">
        <v>33.873916666666666</v>
      </c>
      <c r="AR8" s="281">
        <v>53.461833333333324</v>
      </c>
      <c r="AS8" s="281">
        <v>39.807000000000002</v>
      </c>
      <c r="AT8" s="281">
        <v>7.0555333333333339</v>
      </c>
      <c r="AU8" s="281">
        <v>44.871250000000003</v>
      </c>
      <c r="AV8" s="281">
        <v>22.242275000000003</v>
      </c>
      <c r="AW8" s="281">
        <v>36.938166666666667</v>
      </c>
      <c r="AX8" s="281">
        <v>41.918249999999993</v>
      </c>
      <c r="AY8" s="281">
        <v>38.4495</v>
      </c>
      <c r="AZ8" s="281">
        <v>42.829083333333337</v>
      </c>
      <c r="BA8" s="281">
        <v>55.354999999999997</v>
      </c>
      <c r="BB8" s="281">
        <v>55.389416666666669</v>
      </c>
      <c r="BC8" s="281">
        <v>39.403666666666673</v>
      </c>
      <c r="BD8" s="281">
        <v>55.541500000000006</v>
      </c>
      <c r="BE8" s="281">
        <v>16.476783333333334</v>
      </c>
      <c r="BF8" s="281">
        <v>27.479016666666666</v>
      </c>
      <c r="BG8" s="281">
        <v>40.386083333333339</v>
      </c>
      <c r="BH8" s="281">
        <v>52.137499999999996</v>
      </c>
      <c r="BI8" s="281">
        <v>57.965833333333343</v>
      </c>
      <c r="BJ8" s="281">
        <v>39.528500000000001</v>
      </c>
      <c r="BK8" s="281">
        <v>47.002333333333326</v>
      </c>
      <c r="BL8" s="281">
        <v>13.6442</v>
      </c>
      <c r="BM8" s="281">
        <v>47.43566666666667</v>
      </c>
      <c r="BN8" s="281">
        <v>63.45141666666666</v>
      </c>
      <c r="BO8" s="281">
        <v>66.746416666666661</v>
      </c>
      <c r="BP8" s="281">
        <v>48.769666666666673</v>
      </c>
      <c r="BQ8" s="281">
        <v>46.670666666666655</v>
      </c>
      <c r="BR8" s="281">
        <v>21.037424999999999</v>
      </c>
      <c r="BS8" s="281">
        <v>54.319833333333328</v>
      </c>
      <c r="BT8" s="281">
        <v>37.31066666666667</v>
      </c>
      <c r="BU8" s="281">
        <v>21.782591666666665</v>
      </c>
      <c r="BV8" s="281">
        <v>56.932833333333328</v>
      </c>
      <c r="BW8" s="281">
        <v>33.328083333333332</v>
      </c>
      <c r="BX8" s="281">
        <v>42.253583333333331</v>
      </c>
      <c r="BY8" s="281">
        <v>49.298000000000002</v>
      </c>
      <c r="BZ8" s="281">
        <v>54.271250000000009</v>
      </c>
      <c r="CA8" s="281">
        <v>29.754999999999999</v>
      </c>
      <c r="CB8" s="281">
        <v>12.253375</v>
      </c>
      <c r="CC8" s="281">
        <v>33.891500000000001</v>
      </c>
      <c r="CD8" s="281">
        <v>45.341916666666663</v>
      </c>
      <c r="CE8" s="281">
        <v>52.586500000000001</v>
      </c>
      <c r="CF8" s="281">
        <v>60.099166666666669</v>
      </c>
      <c r="CG8" s="281">
        <v>51.85958333333334</v>
      </c>
      <c r="CH8" s="281">
        <v>46.390083333333337</v>
      </c>
      <c r="CI8" s="281">
        <v>54.398666666666657</v>
      </c>
      <c r="CJ8" s="281">
        <v>31.766083333333331</v>
      </c>
      <c r="CK8" s="281">
        <v>38.321316666666661</v>
      </c>
      <c r="CL8" s="281">
        <v>57.379000000000012</v>
      </c>
      <c r="CM8" s="281">
        <v>9.8587916666666668</v>
      </c>
      <c r="CN8" s="281">
        <v>37.49133333333333</v>
      </c>
      <c r="CO8" s="281">
        <v>54.123083333333334</v>
      </c>
      <c r="CP8" s="281">
        <v>44.07233333333334</v>
      </c>
      <c r="CQ8" s="281">
        <v>52.959250000000004</v>
      </c>
      <c r="CR8" s="281">
        <v>5.606066666666667</v>
      </c>
      <c r="CS8" s="281">
        <v>30.876249999999999</v>
      </c>
      <c r="CT8" s="281">
        <v>57.840583333333342</v>
      </c>
      <c r="CU8" s="281">
        <v>47.267000000000003</v>
      </c>
      <c r="CV8" s="281">
        <v>41.793416666666666</v>
      </c>
      <c r="CW8" s="281">
        <v>36.959666666666664</v>
      </c>
      <c r="CX8" s="281">
        <f t="shared" si="0"/>
        <v>42.533741166666658</v>
      </c>
      <c r="CY8" t="s">
        <v>123</v>
      </c>
    </row>
    <row r="9" spans="1:103">
      <c r="A9" s="280">
        <v>2018</v>
      </c>
      <c r="B9" s="281">
        <v>54.58991666666666</v>
      </c>
      <c r="C9" s="281">
        <v>55.851999999999997</v>
      </c>
      <c r="D9" s="281">
        <v>49.087750000000007</v>
      </c>
      <c r="E9" s="281">
        <v>48.515166666666659</v>
      </c>
      <c r="F9" s="281">
        <v>44.678083333333326</v>
      </c>
      <c r="G9" s="281">
        <v>61.616000000000007</v>
      </c>
      <c r="H9" s="281">
        <v>44.005083333333339</v>
      </c>
      <c r="I9" s="281">
        <v>52.055749999999996</v>
      </c>
      <c r="J9" s="281">
        <v>14.714683333333333</v>
      </c>
      <c r="K9" s="281">
        <v>56.713583333333332</v>
      </c>
      <c r="L9" s="281">
        <v>58.682916666666671</v>
      </c>
      <c r="M9" s="281">
        <v>20.494616666666669</v>
      </c>
      <c r="N9" s="281">
        <v>45.496583333333326</v>
      </c>
      <c r="O9" s="281">
        <v>50.531833333333331</v>
      </c>
      <c r="P9" s="281">
        <v>54.999083333333324</v>
      </c>
      <c r="Q9" s="281">
        <v>26.515583333333336</v>
      </c>
      <c r="R9" s="281">
        <v>66.647416666666672</v>
      </c>
      <c r="S9" s="281">
        <v>46.771666666666668</v>
      </c>
      <c r="T9" s="281">
        <v>44.978000000000002</v>
      </c>
      <c r="U9" s="281">
        <v>51.020666666666664</v>
      </c>
      <c r="V9" s="281">
        <v>7.8699833333333329</v>
      </c>
      <c r="W9" s="281">
        <v>46.526083333333332</v>
      </c>
      <c r="X9" s="281">
        <v>62.604083333333335</v>
      </c>
      <c r="Y9" s="281">
        <v>16.972766666666665</v>
      </c>
      <c r="Z9" s="281">
        <v>30.108583333333332</v>
      </c>
      <c r="AA9" s="281">
        <v>48.430833333333332</v>
      </c>
      <c r="AB9" s="281">
        <v>20.065008333333335</v>
      </c>
      <c r="AC9" s="281">
        <v>54.735583333333331</v>
      </c>
      <c r="AD9" s="281">
        <v>53.027916666666663</v>
      </c>
      <c r="AE9" s="281">
        <v>22.274608333333337</v>
      </c>
      <c r="AF9" s="281">
        <v>63.350249999999996</v>
      </c>
      <c r="AG9" s="281">
        <v>31.564891666666668</v>
      </c>
      <c r="AH9" s="281">
        <v>45.01541666666666</v>
      </c>
      <c r="AI9" s="281">
        <v>27.930025000000001</v>
      </c>
      <c r="AJ9" s="281">
        <v>40.166666666666671</v>
      </c>
      <c r="AK9" s="281">
        <v>47.648083333333325</v>
      </c>
      <c r="AL9" s="281">
        <v>45.969349999999999</v>
      </c>
      <c r="AM9" s="281">
        <v>64.375</v>
      </c>
      <c r="AN9" s="281">
        <v>38.861666666666672</v>
      </c>
      <c r="AO9" s="281">
        <v>60.731333333333339</v>
      </c>
      <c r="AP9" s="281">
        <v>37.32383333333334</v>
      </c>
      <c r="AQ9" s="281">
        <v>8.3261416666666683</v>
      </c>
      <c r="AR9" s="281">
        <v>58.111166666666662</v>
      </c>
      <c r="AS9" s="281">
        <v>20.313166666666664</v>
      </c>
      <c r="AT9" s="281">
        <v>26.786783333333336</v>
      </c>
      <c r="AU9" s="281">
        <v>41.397666666666659</v>
      </c>
      <c r="AV9" s="281">
        <v>40.954499999999996</v>
      </c>
      <c r="AW9" s="281">
        <v>28.854416666666665</v>
      </c>
      <c r="AX9" s="281">
        <v>62.038250000000005</v>
      </c>
      <c r="AY9" s="281">
        <v>48.240333333333325</v>
      </c>
      <c r="AZ9" s="281">
        <v>46.59525</v>
      </c>
      <c r="BA9" s="281">
        <v>37.786250000000003</v>
      </c>
      <c r="BB9" s="281">
        <v>61.180000000000007</v>
      </c>
      <c r="BC9" s="281">
        <v>51.392583333333334</v>
      </c>
      <c r="BD9" s="281">
        <v>55.58358333333333</v>
      </c>
      <c r="BE9" s="281">
        <v>36.197916666666671</v>
      </c>
      <c r="BF9" s="281">
        <v>29.742858333333341</v>
      </c>
      <c r="BG9" s="281">
        <v>37.67508333333334</v>
      </c>
      <c r="BH9" s="281">
        <v>24.171708333333331</v>
      </c>
      <c r="BI9" s="281">
        <v>55.39758333333333</v>
      </c>
      <c r="BJ9" s="281">
        <v>45.849666666666671</v>
      </c>
      <c r="BK9" s="281">
        <v>40.080849999999998</v>
      </c>
      <c r="BL9" s="281">
        <v>49.74883333333333</v>
      </c>
      <c r="BM9" s="281">
        <v>44.740499999999997</v>
      </c>
      <c r="BN9" s="281">
        <v>39.652608333333333</v>
      </c>
      <c r="BO9" s="281">
        <v>59.091833333333334</v>
      </c>
      <c r="BP9" s="281">
        <v>62.502166666666675</v>
      </c>
      <c r="BQ9" s="281">
        <v>52.911333333333339</v>
      </c>
      <c r="BR9" s="281">
        <v>38.75866666666667</v>
      </c>
      <c r="BS9" s="281">
        <v>18.114100000000001</v>
      </c>
      <c r="BT9" s="281">
        <v>8.9475833333333341</v>
      </c>
      <c r="BU9" s="281">
        <v>19.891491666666663</v>
      </c>
      <c r="BV9" s="281">
        <v>52.845083333333328</v>
      </c>
      <c r="BW9" s="281">
        <v>37.118500000000004</v>
      </c>
      <c r="BX9" s="281">
        <v>52.35575</v>
      </c>
      <c r="BY9" s="281">
        <v>51.705500000000001</v>
      </c>
      <c r="BZ9" s="281">
        <v>33.158425000000001</v>
      </c>
      <c r="CA9" s="281">
        <v>34.638916666666674</v>
      </c>
      <c r="CB9" s="281">
        <v>19.945050000000002</v>
      </c>
      <c r="CC9" s="281">
        <v>29.111750000000001</v>
      </c>
      <c r="CD9" s="281">
        <v>39.257416666666664</v>
      </c>
      <c r="CE9" s="281">
        <v>67.726499999999987</v>
      </c>
      <c r="CF9" s="281">
        <v>53.398583333333335</v>
      </c>
      <c r="CG9" s="281">
        <v>26.051983333333325</v>
      </c>
      <c r="CH9" s="281">
        <v>35.767583333333334</v>
      </c>
      <c r="CI9" s="281">
        <v>48.317583333333324</v>
      </c>
      <c r="CJ9" s="281">
        <v>45.080833333333338</v>
      </c>
      <c r="CK9" s="281">
        <v>32.241724999999995</v>
      </c>
      <c r="CL9" s="281">
        <v>43.039166666666667</v>
      </c>
      <c r="CM9" s="281">
        <v>18.035691666666668</v>
      </c>
      <c r="CN9" s="281">
        <v>37.907666666666671</v>
      </c>
      <c r="CO9" s="281">
        <v>30.337333333333333</v>
      </c>
      <c r="CP9" s="281">
        <v>44.150916666666667</v>
      </c>
      <c r="CQ9" s="281">
        <v>47.942416666666674</v>
      </c>
      <c r="CR9" s="281">
        <v>38.107500000000002</v>
      </c>
      <c r="CS9" s="281">
        <v>16.394949999999998</v>
      </c>
      <c r="CT9" s="281">
        <v>62.399499999999996</v>
      </c>
      <c r="CU9" s="281">
        <v>55.718833333333329</v>
      </c>
      <c r="CV9" s="281">
        <v>29.500641666666667</v>
      </c>
      <c r="CW9" s="281">
        <v>15.546733333333336</v>
      </c>
      <c r="CX9" s="281">
        <f t="shared" si="0"/>
        <v>41.623557583333323</v>
      </c>
      <c r="CY9" t="s">
        <v>123</v>
      </c>
    </row>
    <row r="10" spans="1:103">
      <c r="A10" s="280">
        <v>2019</v>
      </c>
      <c r="B10" s="281">
        <v>44.440083333333327</v>
      </c>
      <c r="C10" s="281">
        <v>28.636950000000002</v>
      </c>
      <c r="D10" s="281">
        <v>32.985999999999997</v>
      </c>
      <c r="E10" s="281">
        <v>72.237000000000009</v>
      </c>
      <c r="F10" s="281">
        <v>30.682816666666668</v>
      </c>
      <c r="G10" s="281">
        <v>35.959499999999998</v>
      </c>
      <c r="H10" s="281">
        <v>21.745834999999996</v>
      </c>
      <c r="I10" s="281">
        <v>43.24783333333334</v>
      </c>
      <c r="J10" s="281">
        <v>19.107600000000001</v>
      </c>
      <c r="K10" s="281">
        <v>26.639683333333338</v>
      </c>
      <c r="L10" s="281">
        <v>47.59825</v>
      </c>
      <c r="M10" s="281">
        <v>2.2104464166666671</v>
      </c>
      <c r="N10" s="281">
        <v>31.735916666666657</v>
      </c>
      <c r="O10" s="281">
        <v>41.843333333333327</v>
      </c>
      <c r="P10" s="281">
        <v>40.530750000000005</v>
      </c>
      <c r="Q10" s="281">
        <v>5.3566233333333342</v>
      </c>
      <c r="R10" s="281">
        <v>35.023583333333335</v>
      </c>
      <c r="S10" s="281">
        <v>69.358583333333314</v>
      </c>
      <c r="T10" s="281">
        <v>15.650210000000003</v>
      </c>
      <c r="U10" s="281">
        <v>35.384250000000002</v>
      </c>
      <c r="V10" s="281">
        <v>1.0537088666666667</v>
      </c>
      <c r="W10" s="281">
        <v>34.788358333333335</v>
      </c>
      <c r="X10" s="281">
        <v>63.091999999999985</v>
      </c>
      <c r="Y10" s="281">
        <v>32.805791666666671</v>
      </c>
      <c r="Z10" s="281">
        <v>17.499765</v>
      </c>
      <c r="AA10" s="281">
        <v>29.449433333333332</v>
      </c>
      <c r="AB10" s="281">
        <v>18.832009249999995</v>
      </c>
      <c r="AC10" s="281">
        <v>39.62680000000001</v>
      </c>
      <c r="AD10" s="281">
        <v>19.319766666666666</v>
      </c>
      <c r="AE10" s="281">
        <v>20.480025000000001</v>
      </c>
      <c r="AF10" s="281">
        <v>44.452833333333331</v>
      </c>
      <c r="AG10" s="281">
        <v>27.741833333333336</v>
      </c>
      <c r="AH10" s="281">
        <v>37.459208333333336</v>
      </c>
      <c r="AI10" s="281">
        <v>20.721491666666669</v>
      </c>
      <c r="AJ10" s="281">
        <v>32.819849999999995</v>
      </c>
      <c r="AK10" s="281">
        <v>49.705175000000004</v>
      </c>
      <c r="AL10" s="281">
        <v>16.040558333333333</v>
      </c>
      <c r="AM10" s="281">
        <v>18.009681666666669</v>
      </c>
      <c r="AN10" s="281">
        <v>28.526650000000007</v>
      </c>
      <c r="AO10" s="281">
        <v>62.966249999999995</v>
      </c>
      <c r="AP10" s="281">
        <v>41.046699999999994</v>
      </c>
      <c r="AQ10" s="281">
        <v>0.44876874999999999</v>
      </c>
      <c r="AR10" s="281">
        <v>12.567348666666669</v>
      </c>
      <c r="AS10" s="281">
        <v>4.2114333333333329</v>
      </c>
      <c r="AT10" s="281">
        <v>43.647025000000006</v>
      </c>
      <c r="AU10" s="281">
        <v>26.701126666666664</v>
      </c>
      <c r="AV10" s="281">
        <v>53.047166666666669</v>
      </c>
      <c r="AW10" s="281">
        <v>19.471458333333334</v>
      </c>
      <c r="AX10" s="281">
        <v>26.838416666666664</v>
      </c>
      <c r="AY10" s="281">
        <v>35.147166666666664</v>
      </c>
      <c r="AZ10" s="281">
        <v>35.487499999999997</v>
      </c>
      <c r="BA10" s="281">
        <v>42.481316666666665</v>
      </c>
      <c r="BB10" s="281">
        <v>53.106333333333332</v>
      </c>
      <c r="BC10" s="281">
        <v>60.95533333333335</v>
      </c>
      <c r="BD10" s="281">
        <v>15.063274999999999</v>
      </c>
      <c r="BE10" s="281">
        <v>21.166350000000001</v>
      </c>
      <c r="BF10" s="281">
        <v>44.784916666666668</v>
      </c>
      <c r="BG10" s="281">
        <v>34.936166666666672</v>
      </c>
      <c r="BH10" s="281">
        <v>0.82083468250000002</v>
      </c>
      <c r="BI10" s="281">
        <v>12.87031058333333</v>
      </c>
      <c r="BJ10" s="281">
        <v>31.348808333333338</v>
      </c>
      <c r="BK10" s="281">
        <v>38.051299999999998</v>
      </c>
      <c r="BL10" s="281">
        <v>44.847916666666663</v>
      </c>
      <c r="BM10" s="281">
        <v>31.446650000000002</v>
      </c>
      <c r="BN10" s="281">
        <v>3.5936758333333336</v>
      </c>
      <c r="BO10" s="281">
        <v>13.392400333333329</v>
      </c>
      <c r="BP10" s="281">
        <v>60.586666666666666</v>
      </c>
      <c r="BQ10" s="281">
        <v>45.542083333333331</v>
      </c>
      <c r="BR10" s="281">
        <v>25.833356333333327</v>
      </c>
      <c r="BS10" s="281">
        <v>16.070691666666665</v>
      </c>
      <c r="BT10" s="281">
        <v>18.567116666666667</v>
      </c>
      <c r="BU10" s="281">
        <v>34.731425000000002</v>
      </c>
      <c r="BV10" s="281">
        <v>47.947000000000003</v>
      </c>
      <c r="BW10" s="281">
        <v>33.955416666666665</v>
      </c>
      <c r="BX10" s="281">
        <v>19.530912225000002</v>
      </c>
      <c r="BY10" s="281">
        <v>18.696008333333335</v>
      </c>
      <c r="BZ10" s="281">
        <v>3.3709299999999995</v>
      </c>
      <c r="CA10" s="281">
        <v>23.251549999999998</v>
      </c>
      <c r="CB10" s="281">
        <v>35.968649999999997</v>
      </c>
      <c r="CC10" s="281">
        <v>55.317083333333329</v>
      </c>
      <c r="CD10" s="281">
        <v>30.641131666666663</v>
      </c>
      <c r="CE10" s="281">
        <v>17.201884166666662</v>
      </c>
      <c r="CF10" s="281">
        <v>26.203778541666665</v>
      </c>
      <c r="CG10" s="281">
        <v>10.672448333333334</v>
      </c>
      <c r="CH10" s="281">
        <v>40.665666666666667</v>
      </c>
      <c r="CI10" s="281">
        <v>60.354333333333336</v>
      </c>
      <c r="CJ10" s="281">
        <v>18.218736666666668</v>
      </c>
      <c r="CK10" s="281">
        <v>30.126366666666669</v>
      </c>
      <c r="CL10" s="281">
        <v>26.178783333333339</v>
      </c>
      <c r="CM10" s="281">
        <v>25.369038333333339</v>
      </c>
      <c r="CN10" s="281">
        <v>8.5157583333333324</v>
      </c>
      <c r="CO10" s="281">
        <v>20.631969033333331</v>
      </c>
      <c r="CP10" s="281">
        <v>39.843666666666671</v>
      </c>
      <c r="CQ10" s="281">
        <v>15.902933333333332</v>
      </c>
      <c r="CR10" s="281">
        <v>8.4936166666666661</v>
      </c>
      <c r="CS10" s="281">
        <v>25.068058333333337</v>
      </c>
      <c r="CT10" s="281">
        <v>33.935600000000001</v>
      </c>
      <c r="CU10" s="281">
        <v>44.371491666666664</v>
      </c>
      <c r="CV10" s="281">
        <v>7.8381428333333334</v>
      </c>
      <c r="CW10" s="281">
        <v>0.37938207499999993</v>
      </c>
      <c r="CX10" s="281">
        <f t="shared" si="0"/>
        <v>29.732278135908341</v>
      </c>
      <c r="CY10" t="s">
        <v>123</v>
      </c>
    </row>
    <row r="11" spans="1:103">
      <c r="A11" s="280">
        <v>2020</v>
      </c>
      <c r="B11" s="281">
        <v>31.202583333333333</v>
      </c>
      <c r="C11" s="281">
        <v>8.0962833333333339</v>
      </c>
      <c r="D11" s="281">
        <v>30.310383333333334</v>
      </c>
      <c r="E11" s="281">
        <v>64.036083333333337</v>
      </c>
      <c r="F11" s="281">
        <v>43.954841666666674</v>
      </c>
      <c r="G11" s="281">
        <v>24.281283333333334</v>
      </c>
      <c r="H11" s="281">
        <v>23.354008333333329</v>
      </c>
      <c r="I11" s="281">
        <v>55.53</v>
      </c>
      <c r="J11" s="281">
        <v>35.879708333333333</v>
      </c>
      <c r="K11" s="281">
        <v>37.018116666666664</v>
      </c>
      <c r="L11" s="281">
        <v>15.091591666666668</v>
      </c>
      <c r="M11" s="281">
        <v>0.89015866666666665</v>
      </c>
      <c r="N11" s="281">
        <v>16.936258333333331</v>
      </c>
      <c r="O11" s="281">
        <v>42.933500000000002</v>
      </c>
      <c r="P11" s="281">
        <v>21.880530266666668</v>
      </c>
      <c r="Q11" s="281">
        <v>7.6929666666666661</v>
      </c>
      <c r="R11" s="281">
        <v>18.991558333333334</v>
      </c>
      <c r="S11" s="281">
        <v>74.012583333333339</v>
      </c>
      <c r="T11" s="281">
        <v>1.863320416666667</v>
      </c>
      <c r="U11" s="281">
        <v>22.470060833333335</v>
      </c>
      <c r="V11" s="281">
        <v>16.714683333333333</v>
      </c>
      <c r="W11" s="281">
        <v>20.309683333333336</v>
      </c>
      <c r="X11" s="281">
        <v>56.314050000000002</v>
      </c>
      <c r="Y11" s="281">
        <v>40.405650000000001</v>
      </c>
      <c r="Z11" s="281">
        <v>42.837499999999999</v>
      </c>
      <c r="AA11" s="281">
        <v>26.05705</v>
      </c>
      <c r="AB11" s="281">
        <v>16.563858333333332</v>
      </c>
      <c r="AC11" s="281">
        <v>38.830666666666666</v>
      </c>
      <c r="AD11" s="281">
        <v>16.558508333333336</v>
      </c>
      <c r="AE11" s="281">
        <v>9.1397416666666675</v>
      </c>
      <c r="AF11" s="281">
        <v>40.663000000000004</v>
      </c>
      <c r="AG11" s="281">
        <v>37.075166666666668</v>
      </c>
      <c r="AH11" s="281">
        <v>19.214716666666664</v>
      </c>
      <c r="AI11" s="281">
        <v>44.566000000000003</v>
      </c>
      <c r="AJ11" s="281">
        <v>33.93866666666667</v>
      </c>
      <c r="AK11" s="281">
        <v>29.220725000000002</v>
      </c>
      <c r="AL11" s="281">
        <v>0.46561599999999997</v>
      </c>
      <c r="AM11" s="281">
        <v>3.5906583333333333</v>
      </c>
      <c r="AN11" s="281">
        <v>10.908455833333333</v>
      </c>
      <c r="AO11" s="281">
        <v>40.986583333333336</v>
      </c>
      <c r="AP11" s="281">
        <v>26.560633333333332</v>
      </c>
      <c r="AQ11" s="281">
        <v>6.8996824999999999</v>
      </c>
      <c r="AR11" s="281">
        <v>18.007915000000001</v>
      </c>
      <c r="AS11" s="281">
        <v>39.208666666666666</v>
      </c>
      <c r="AT11" s="281">
        <v>54.403499999999987</v>
      </c>
      <c r="AU11" s="281">
        <v>8.48245</v>
      </c>
      <c r="AV11" s="281">
        <v>12.787614166666666</v>
      </c>
      <c r="AW11" s="281">
        <v>4.9789083416666662</v>
      </c>
      <c r="AX11" s="281">
        <v>7.8259998333333343</v>
      </c>
      <c r="AY11" s="281">
        <v>62.281500000000015</v>
      </c>
      <c r="AZ11" s="281">
        <v>29.337833333333336</v>
      </c>
      <c r="BA11" s="281">
        <v>33.435750000000006</v>
      </c>
      <c r="BB11" s="281">
        <v>47.989166666666669</v>
      </c>
      <c r="BC11" s="281">
        <v>31.049858333333329</v>
      </c>
      <c r="BD11" s="281">
        <v>26.250291666666669</v>
      </c>
      <c r="BE11" s="281">
        <v>21.711516666666665</v>
      </c>
      <c r="BF11" s="281">
        <v>25.647783333333326</v>
      </c>
      <c r="BG11" s="281">
        <v>15.766728941666669</v>
      </c>
      <c r="BH11" s="281">
        <v>3.2821648333333329</v>
      </c>
      <c r="BI11" s="281">
        <v>12.932016666666668</v>
      </c>
      <c r="BJ11" s="281">
        <v>40.663850000000004</v>
      </c>
      <c r="BK11" s="281">
        <v>60.031166666666678</v>
      </c>
      <c r="BL11" s="281">
        <v>36.946833333333331</v>
      </c>
      <c r="BM11" s="281">
        <v>55.287500000000001</v>
      </c>
      <c r="BN11" s="281">
        <v>3.4656918333333331</v>
      </c>
      <c r="BO11" s="281">
        <v>1.4695210083333332</v>
      </c>
      <c r="BP11" s="281">
        <v>41.360333333333337</v>
      </c>
      <c r="BQ11" s="281">
        <v>29.64231666666667</v>
      </c>
      <c r="BR11" s="281">
        <v>24.792275</v>
      </c>
      <c r="BS11" s="281">
        <v>37.348099999999995</v>
      </c>
      <c r="BT11" s="281">
        <v>14.547565051583335</v>
      </c>
      <c r="BU11" s="281">
        <v>27.78595833333333</v>
      </c>
      <c r="BV11" s="281">
        <v>44.43566666666667</v>
      </c>
      <c r="BW11" s="281">
        <v>23.325640833333335</v>
      </c>
      <c r="BX11" s="281">
        <v>15.885775000000002</v>
      </c>
      <c r="BY11" s="281">
        <v>15.2700285</v>
      </c>
      <c r="BZ11" s="281">
        <v>2.8479039814166658</v>
      </c>
      <c r="CA11" s="281">
        <v>17.014624999999999</v>
      </c>
      <c r="CB11" s="281">
        <v>27.920916666666667</v>
      </c>
      <c r="CC11" s="281">
        <v>57.815193333333319</v>
      </c>
      <c r="CD11" s="281">
        <v>3.0539725000000004</v>
      </c>
      <c r="CE11" s="281">
        <v>40.760249999999999</v>
      </c>
      <c r="CF11" s="281">
        <v>4.6164366666666661</v>
      </c>
      <c r="CG11" s="281">
        <v>14.271083333333332</v>
      </c>
      <c r="CH11" s="281">
        <v>21.964454166666666</v>
      </c>
      <c r="CI11" s="281">
        <v>42.068758333333328</v>
      </c>
      <c r="CJ11" s="281">
        <v>45.812341666666669</v>
      </c>
      <c r="CK11" s="281">
        <v>27.974849583333338</v>
      </c>
      <c r="CL11" s="281">
        <v>12.256100000000002</v>
      </c>
      <c r="CM11" s="281">
        <v>2.7158208333333334</v>
      </c>
      <c r="CN11" s="281">
        <v>4.4324250000000012</v>
      </c>
      <c r="CO11" s="281">
        <v>0.5787008033333334</v>
      </c>
      <c r="CP11" s="281">
        <v>19.706816666666665</v>
      </c>
      <c r="CQ11" s="281">
        <v>18.483225000000001</v>
      </c>
      <c r="CR11" s="281">
        <v>1.6836321666666667</v>
      </c>
      <c r="CS11" s="281">
        <v>5.2826884166666668</v>
      </c>
      <c r="CT11" s="281">
        <v>1.8323382749999999</v>
      </c>
      <c r="CU11" s="281">
        <v>14.855626666666666</v>
      </c>
      <c r="CV11" s="281">
        <v>9.0926916666666688</v>
      </c>
      <c r="CW11" s="281">
        <v>11.655672691666666</v>
      </c>
      <c r="CX11" s="281">
        <f t="shared" si="0"/>
        <v>24.905815262779988</v>
      </c>
      <c r="CY11" t="s">
        <v>123</v>
      </c>
    </row>
    <row r="12" spans="1:103">
      <c r="A12" s="280">
        <v>2021</v>
      </c>
      <c r="B12" s="281">
        <v>29.293175000000002</v>
      </c>
      <c r="C12" s="281">
        <v>25.610325</v>
      </c>
      <c r="D12" s="281">
        <v>41.39608333333333</v>
      </c>
      <c r="E12" s="281">
        <v>44.41575000000001</v>
      </c>
      <c r="F12" s="281">
        <v>53.839750000000002</v>
      </c>
      <c r="G12" s="281">
        <v>25.235191666666662</v>
      </c>
      <c r="H12" s="281">
        <v>47.637916666666662</v>
      </c>
      <c r="I12" s="281">
        <v>49.863416666666673</v>
      </c>
      <c r="J12" s="281">
        <v>44.28308333333333</v>
      </c>
      <c r="K12" s="281">
        <v>41.983916666666659</v>
      </c>
      <c r="L12" s="281">
        <v>57.797916666666659</v>
      </c>
      <c r="M12" s="281">
        <v>2.2275673333333335</v>
      </c>
      <c r="N12" s="281">
        <v>3.1927420833333326</v>
      </c>
      <c r="O12" s="281">
        <v>43.829416666666667</v>
      </c>
      <c r="P12" s="281">
        <v>0.30201556666666668</v>
      </c>
      <c r="Q12" s="281">
        <v>12.006158333333332</v>
      </c>
      <c r="R12" s="281">
        <v>27.57031666666667</v>
      </c>
      <c r="S12" s="281">
        <v>41.672000000000004</v>
      </c>
      <c r="T12" s="281">
        <v>10.386641666666668</v>
      </c>
      <c r="U12" s="281">
        <v>15.018450000000001</v>
      </c>
      <c r="V12" s="281">
        <v>62.014083333333332</v>
      </c>
      <c r="W12" s="281">
        <v>10.980841666666668</v>
      </c>
      <c r="X12" s="281">
        <v>14.822596666666668</v>
      </c>
      <c r="Y12" s="281">
        <v>82.720583333333323</v>
      </c>
      <c r="Z12" s="281">
        <v>39.33069166666666</v>
      </c>
      <c r="AA12" s="281">
        <v>22.318691666666666</v>
      </c>
      <c r="AB12" s="281">
        <v>14.669416666666665</v>
      </c>
      <c r="AC12" s="281">
        <v>40.950083333333332</v>
      </c>
      <c r="AD12" s="281">
        <v>38.221833333333329</v>
      </c>
      <c r="AE12" s="281">
        <v>3.970249125</v>
      </c>
      <c r="AF12" s="281">
        <v>16.659224999999999</v>
      </c>
      <c r="AG12" s="281">
        <v>52.04933333333333</v>
      </c>
      <c r="AH12" s="281">
        <v>52.058166666666665</v>
      </c>
      <c r="AI12" s="281">
        <v>48.32258333333332</v>
      </c>
      <c r="AJ12" s="281">
        <v>40.909750000000003</v>
      </c>
      <c r="AK12" s="281">
        <v>62.521333333333331</v>
      </c>
      <c r="AL12" s="281">
        <v>1.9642594749999998</v>
      </c>
      <c r="AM12" s="281">
        <v>0.16706820833333333</v>
      </c>
      <c r="AN12" s="281">
        <v>16.447975</v>
      </c>
      <c r="AO12" s="281">
        <v>59.798083333333331</v>
      </c>
      <c r="AP12" s="281">
        <v>57.269833333333331</v>
      </c>
      <c r="AQ12" s="281">
        <v>58.396583333333332</v>
      </c>
      <c r="AR12" s="281">
        <v>31.965566666666664</v>
      </c>
      <c r="AS12" s="281">
        <v>20.537233333333333</v>
      </c>
      <c r="AT12" s="281">
        <v>33.229633333333332</v>
      </c>
      <c r="AU12" s="281">
        <v>6.8427666666666669</v>
      </c>
      <c r="AV12" s="281">
        <v>16.460599999999999</v>
      </c>
      <c r="AW12" s="281">
        <v>4.6401666666666674</v>
      </c>
      <c r="AX12" s="281">
        <v>0.81195000000000006</v>
      </c>
      <c r="AY12" s="281">
        <v>63.473333333333329</v>
      </c>
      <c r="AZ12" s="281">
        <v>21.948591666666662</v>
      </c>
      <c r="BA12" s="281">
        <v>21.731808333333333</v>
      </c>
      <c r="BB12" s="281">
        <v>40.9253</v>
      </c>
      <c r="BC12" s="281">
        <v>17.520366666666664</v>
      </c>
      <c r="BD12" s="281">
        <v>37.200808333333335</v>
      </c>
      <c r="BE12" s="281">
        <v>55.430833333333332</v>
      </c>
      <c r="BF12" s="281">
        <v>33.962833333333329</v>
      </c>
      <c r="BG12" s="281">
        <v>19.629083333333334</v>
      </c>
      <c r="BH12" s="281">
        <v>46.405324999999998</v>
      </c>
      <c r="BI12" s="281">
        <v>37.084166666666668</v>
      </c>
      <c r="BJ12" s="281">
        <v>53.389500000000005</v>
      </c>
      <c r="BK12" s="281">
        <v>64.014666666666656</v>
      </c>
      <c r="BL12" s="281">
        <v>41.576000000000001</v>
      </c>
      <c r="BM12" s="281">
        <v>41.204000000000001</v>
      </c>
      <c r="BN12" s="281">
        <v>10.55095</v>
      </c>
      <c r="BO12" s="281">
        <v>11.087566666666667</v>
      </c>
      <c r="BP12" s="281">
        <v>32.548025000000003</v>
      </c>
      <c r="BQ12" s="281">
        <v>29.840841666666666</v>
      </c>
      <c r="BR12" s="281">
        <v>64.934750000000008</v>
      </c>
      <c r="BS12" s="281">
        <v>32.884524999999996</v>
      </c>
      <c r="BT12" s="281">
        <v>20.333533333333332</v>
      </c>
      <c r="BU12" s="281">
        <v>15.981414166666665</v>
      </c>
      <c r="BV12" s="281">
        <v>29.927733333333332</v>
      </c>
      <c r="BW12" s="281">
        <v>49.012750000000004</v>
      </c>
      <c r="BX12" s="281">
        <v>16.145109166666668</v>
      </c>
      <c r="BY12" s="281">
        <v>2.0775801666666669</v>
      </c>
      <c r="BZ12" s="281">
        <v>0.33973672333333332</v>
      </c>
      <c r="CA12" s="281">
        <v>14.603334083333332</v>
      </c>
      <c r="CB12" s="281">
        <v>39.167583333333333</v>
      </c>
      <c r="CC12" s="281">
        <v>52.331916666666672</v>
      </c>
      <c r="CD12" s="281">
        <v>23.107274999999998</v>
      </c>
      <c r="CE12" s="281">
        <v>23.80734166666667</v>
      </c>
      <c r="CF12" s="281">
        <v>11.708366666666668</v>
      </c>
      <c r="CG12" s="281">
        <v>32.103458333333329</v>
      </c>
      <c r="CH12" s="281">
        <v>17.60510833333333</v>
      </c>
      <c r="CI12" s="281">
        <v>31.927708333333328</v>
      </c>
      <c r="CJ12" s="281">
        <v>57.453166666666668</v>
      </c>
      <c r="CK12" s="281">
        <v>1.7563355416666671</v>
      </c>
      <c r="CL12" s="281">
        <v>39.574666666666666</v>
      </c>
      <c r="CM12" s="281">
        <v>3.4538991666666665</v>
      </c>
      <c r="CN12" s="281">
        <v>17.540733333333332</v>
      </c>
      <c r="CO12" s="281">
        <v>1.8982296666666665</v>
      </c>
      <c r="CP12" s="281">
        <v>25.65550833333333</v>
      </c>
      <c r="CQ12" s="281">
        <v>17.928867499999999</v>
      </c>
      <c r="CR12" s="281">
        <v>20.226724999999998</v>
      </c>
      <c r="CS12" s="281">
        <v>38.829999999999991</v>
      </c>
      <c r="CT12" s="281">
        <v>5.5950433333333329</v>
      </c>
      <c r="CU12" s="281">
        <v>8.346525833333331</v>
      </c>
      <c r="CV12" s="281">
        <v>8.9516291666666667</v>
      </c>
      <c r="CW12" s="281">
        <v>66.969666666666669</v>
      </c>
      <c r="CX12" s="281">
        <f t="shared" si="0"/>
        <v>30.003172363066668</v>
      </c>
      <c r="CY12" t="s">
        <v>123</v>
      </c>
    </row>
    <row r="13" spans="1:103">
      <c r="A13" s="280">
        <v>2022</v>
      </c>
      <c r="B13" s="281">
        <v>14.3265425</v>
      </c>
      <c r="C13" s="281">
        <v>31.297250000000002</v>
      </c>
      <c r="D13" s="281">
        <v>40.117083333333333</v>
      </c>
      <c r="E13" s="281">
        <v>50.830499999999994</v>
      </c>
      <c r="F13" s="281">
        <v>27.926475</v>
      </c>
      <c r="G13" s="281">
        <v>28.536216666666665</v>
      </c>
      <c r="H13" s="281">
        <v>35.82266666666667</v>
      </c>
      <c r="I13" s="281">
        <v>55.310499999999998</v>
      </c>
      <c r="J13" s="281">
        <v>34.517666666666663</v>
      </c>
      <c r="K13" s="281">
        <v>32.973833333333332</v>
      </c>
      <c r="L13" s="281">
        <v>57.752083333333339</v>
      </c>
      <c r="M13" s="281">
        <v>15.085058333333331</v>
      </c>
      <c r="N13" s="281">
        <v>7.7201191666666666</v>
      </c>
      <c r="O13" s="281">
        <v>33.199224999999998</v>
      </c>
      <c r="P13" s="281">
        <v>7.5699350000000001</v>
      </c>
      <c r="Q13" s="281">
        <v>2.8892983333333331</v>
      </c>
      <c r="R13" s="281">
        <v>7.7932083333333333</v>
      </c>
      <c r="S13" s="281">
        <v>52.733833333333337</v>
      </c>
      <c r="T13" s="281">
        <v>36.08925</v>
      </c>
      <c r="U13" s="281">
        <v>28.197375000000005</v>
      </c>
      <c r="V13" s="281">
        <v>23.539337500000013</v>
      </c>
      <c r="W13" s="281">
        <v>27.464749999999999</v>
      </c>
      <c r="X13" s="281">
        <v>27.656716666666668</v>
      </c>
      <c r="Y13" s="281">
        <v>40.759916666666662</v>
      </c>
      <c r="Z13" s="281">
        <v>17.576050000000002</v>
      </c>
      <c r="AA13" s="281">
        <v>25.421950833333327</v>
      </c>
      <c r="AB13" s="281">
        <v>27.355941666666666</v>
      </c>
      <c r="AC13" s="281">
        <v>46.152750000000005</v>
      </c>
      <c r="AD13" s="281">
        <v>30.449333333333332</v>
      </c>
      <c r="AE13" s="281">
        <v>7.3558916666666656</v>
      </c>
      <c r="AF13" s="281">
        <v>51.673750000000013</v>
      </c>
      <c r="AG13" s="281">
        <v>68.710916666666677</v>
      </c>
      <c r="AH13" s="281">
        <v>56.285583333333328</v>
      </c>
      <c r="AI13" s="281">
        <v>56.541333333333334</v>
      </c>
      <c r="AJ13" s="281">
        <v>43.108083333333333</v>
      </c>
      <c r="AK13" s="281">
        <v>40.674166666666672</v>
      </c>
      <c r="AL13" s="281">
        <v>6.4430583333333331</v>
      </c>
      <c r="AM13" s="281">
        <v>2.2038100000000003</v>
      </c>
      <c r="AN13" s="281">
        <v>28.915083333333332</v>
      </c>
      <c r="AO13" s="281">
        <v>53.536750000000005</v>
      </c>
      <c r="AP13" s="281">
        <v>32.877766666666666</v>
      </c>
      <c r="AQ13" s="281">
        <v>49.976416666666665</v>
      </c>
      <c r="AR13" s="281">
        <v>30.803333333333338</v>
      </c>
      <c r="AS13" s="281">
        <v>38.620508333333341</v>
      </c>
      <c r="AT13" s="281">
        <v>31.177083333333332</v>
      </c>
      <c r="AU13" s="281">
        <v>38.539858333333335</v>
      </c>
      <c r="AV13" s="281">
        <v>51.848083333333335</v>
      </c>
      <c r="AW13" s="281">
        <v>43.376999999999988</v>
      </c>
      <c r="AX13" s="281">
        <v>14.963935833333336</v>
      </c>
      <c r="AY13" s="281">
        <v>44.333083333333327</v>
      </c>
      <c r="AZ13" s="281">
        <v>28.626658333333335</v>
      </c>
      <c r="BA13" s="281">
        <v>17.808308333333333</v>
      </c>
      <c r="BB13" s="281">
        <v>45.635750000000002</v>
      </c>
      <c r="BC13" s="281">
        <v>4.2642932499999997</v>
      </c>
      <c r="BD13" s="281">
        <v>37.579999999999991</v>
      </c>
      <c r="BE13" s="281">
        <v>51.282666666666664</v>
      </c>
      <c r="BF13" s="281">
        <v>41.527083333333337</v>
      </c>
      <c r="BG13" s="281">
        <v>51.949666666666673</v>
      </c>
      <c r="BH13" s="281">
        <v>42.761749999999999</v>
      </c>
      <c r="BI13" s="281">
        <v>7.4188691666666662</v>
      </c>
      <c r="BJ13" s="281">
        <v>39.862500000000004</v>
      </c>
      <c r="BK13" s="281">
        <v>56.953416666666669</v>
      </c>
      <c r="BL13" s="281">
        <v>25.386822499999997</v>
      </c>
      <c r="BM13" s="281">
        <v>38.197583333333334</v>
      </c>
      <c r="BN13" s="281">
        <v>15.712625000000003</v>
      </c>
      <c r="BO13" s="281">
        <v>10.496534166666668</v>
      </c>
      <c r="BP13" s="281">
        <v>30.28029166666666</v>
      </c>
      <c r="BQ13" s="281">
        <v>51.812750000000001</v>
      </c>
      <c r="BR13" s="281">
        <v>65.848333333333329</v>
      </c>
      <c r="BS13" s="281">
        <v>15.715058333333333</v>
      </c>
      <c r="BT13" s="281">
        <v>42.754916666666666</v>
      </c>
      <c r="BU13" s="281">
        <v>1.4973191666666665</v>
      </c>
      <c r="BV13" s="281">
        <v>46.667000000000002</v>
      </c>
      <c r="BW13" s="281">
        <v>15.403617500000001</v>
      </c>
      <c r="BX13" s="281">
        <v>1.3412394166666666</v>
      </c>
      <c r="BY13" s="281">
        <v>5.8426125000000004</v>
      </c>
      <c r="BZ13" s="281">
        <v>20.987541666666669</v>
      </c>
      <c r="CA13" s="281">
        <v>10.386691666666666</v>
      </c>
      <c r="CB13" s="281">
        <v>37.150766666666662</v>
      </c>
      <c r="CC13" s="281">
        <v>45.911750000000005</v>
      </c>
      <c r="CD13" s="281">
        <v>33.711549999999995</v>
      </c>
      <c r="CE13" s="281">
        <v>26.548083333333334</v>
      </c>
      <c r="CF13" s="281">
        <v>39.668249999999993</v>
      </c>
      <c r="CG13" s="281">
        <v>30.701966666666667</v>
      </c>
      <c r="CH13" s="281">
        <v>48.993666666666655</v>
      </c>
      <c r="CI13" s="281">
        <v>41.614666666666665</v>
      </c>
      <c r="CJ13" s="281">
        <v>65.09408333333333</v>
      </c>
      <c r="CK13" s="281">
        <v>5.0770158333333333</v>
      </c>
      <c r="CL13" s="281">
        <v>32.562916666666659</v>
      </c>
      <c r="CM13" s="281">
        <v>22.362849999999998</v>
      </c>
      <c r="CN13" s="281">
        <v>15.575915833333333</v>
      </c>
      <c r="CO13" s="281">
        <v>4.3447516750000004</v>
      </c>
      <c r="CP13" s="281">
        <v>33.799666666666667</v>
      </c>
      <c r="CQ13" s="281">
        <v>2.8307100000000003</v>
      </c>
      <c r="CR13" s="281">
        <v>42.689750000000004</v>
      </c>
      <c r="CS13" s="281">
        <v>37.682125000000006</v>
      </c>
      <c r="CT13" s="281">
        <v>6.1453075000000013</v>
      </c>
      <c r="CU13" s="281">
        <v>9.6456608333333325</v>
      </c>
      <c r="CV13" s="281">
        <v>44.248083333333334</v>
      </c>
      <c r="CW13" s="281">
        <v>47.972008333333328</v>
      </c>
      <c r="CX13" s="281">
        <f t="shared" si="0"/>
        <v>31.57363806841667</v>
      </c>
      <c r="CY13" t="s">
        <v>123</v>
      </c>
    </row>
    <row r="14" spans="1:103">
      <c r="A14" s="280">
        <v>2023</v>
      </c>
      <c r="B14" s="281">
        <v>15.671008333333331</v>
      </c>
      <c r="C14" s="281">
        <v>64.671000000000006</v>
      </c>
      <c r="D14" s="281">
        <v>39.232266666666668</v>
      </c>
      <c r="E14" s="281">
        <v>64.162333333333336</v>
      </c>
      <c r="F14" s="281">
        <v>22.066400000000002</v>
      </c>
      <c r="G14" s="281">
        <v>34.50268333333333</v>
      </c>
      <c r="H14" s="281">
        <v>28.451583333333332</v>
      </c>
      <c r="I14" s="281">
        <v>61.04</v>
      </c>
      <c r="J14" s="281">
        <v>70.581499999999991</v>
      </c>
      <c r="K14" s="281">
        <v>43.9315</v>
      </c>
      <c r="L14" s="281">
        <v>52.693000000000005</v>
      </c>
      <c r="M14" s="281">
        <v>42.986416666666678</v>
      </c>
      <c r="N14" s="281">
        <v>28.297391666666666</v>
      </c>
      <c r="O14" s="281">
        <v>58.599666666666671</v>
      </c>
      <c r="P14" s="281">
        <v>26.628166666666669</v>
      </c>
      <c r="Q14" s="281">
        <v>34.104025</v>
      </c>
      <c r="R14" s="281">
        <v>13.725091666666666</v>
      </c>
      <c r="S14" s="281">
        <v>55.99666666666667</v>
      </c>
      <c r="T14" s="281">
        <v>40.257249999999999</v>
      </c>
      <c r="U14" s="281">
        <v>53.718499999999999</v>
      </c>
      <c r="V14" s="281">
        <v>8.8103750000000005</v>
      </c>
      <c r="W14" s="281">
        <v>15.890158333333334</v>
      </c>
      <c r="X14" s="281">
        <v>2.6775391666666661</v>
      </c>
      <c r="Y14" s="281">
        <v>22.042616666666664</v>
      </c>
      <c r="Z14" s="281">
        <v>24.51155833333333</v>
      </c>
      <c r="AA14" s="281">
        <v>28.700249999999997</v>
      </c>
      <c r="AB14" s="281">
        <v>42.379999999999995</v>
      </c>
      <c r="AC14" s="281">
        <v>66.84075</v>
      </c>
      <c r="AD14" s="281">
        <v>22.928208333333334</v>
      </c>
      <c r="AE14" s="281">
        <v>11.875041666666663</v>
      </c>
      <c r="AF14" s="281">
        <v>57.353416666666668</v>
      </c>
      <c r="AG14" s="281">
        <v>61.169583333333328</v>
      </c>
      <c r="AH14" s="281">
        <v>51.326166666666666</v>
      </c>
      <c r="AI14" s="281">
        <v>27.931541666666661</v>
      </c>
      <c r="AJ14" s="281">
        <v>59.575749999999999</v>
      </c>
      <c r="AK14" s="281">
        <v>34.466533333333338</v>
      </c>
      <c r="AL14" s="281">
        <v>37.356249999999996</v>
      </c>
      <c r="AM14" s="281">
        <v>24.398366666666664</v>
      </c>
      <c r="AN14" s="281">
        <v>52.215499999999999</v>
      </c>
      <c r="AO14" s="281">
        <v>81.655250000000009</v>
      </c>
      <c r="AP14" s="281">
        <v>66.214666666666673</v>
      </c>
      <c r="AQ14" s="281">
        <v>47.80308333333334</v>
      </c>
      <c r="AR14" s="281">
        <v>26.12425</v>
      </c>
      <c r="AS14" s="281">
        <v>45.528083333333321</v>
      </c>
      <c r="AT14" s="281">
        <v>50.733583333333343</v>
      </c>
      <c r="AU14" s="281">
        <v>48.048499999999997</v>
      </c>
      <c r="AV14" s="281">
        <v>18.949666666666666</v>
      </c>
      <c r="AW14" s="281">
        <v>55.723166666666664</v>
      </c>
      <c r="AX14" s="281">
        <v>39.715833333333329</v>
      </c>
      <c r="AY14" s="281">
        <v>56.514083333333339</v>
      </c>
      <c r="AZ14" s="281">
        <v>63.881583333333317</v>
      </c>
      <c r="BA14" s="281">
        <v>36.003416666666659</v>
      </c>
      <c r="BB14" s="281">
        <v>55.438333333333333</v>
      </c>
      <c r="BC14" s="281">
        <v>31.021583333333339</v>
      </c>
      <c r="BD14" s="281">
        <v>40.573749999999997</v>
      </c>
      <c r="BE14" s="281">
        <v>51.41899999999999</v>
      </c>
      <c r="BF14" s="281">
        <v>63.990583333333326</v>
      </c>
      <c r="BG14" s="281">
        <v>72.650083333333328</v>
      </c>
      <c r="BH14" s="281">
        <v>31.039583333333336</v>
      </c>
      <c r="BI14" s="281">
        <v>11.985049999999999</v>
      </c>
      <c r="BJ14" s="281">
        <v>58.017666666666663</v>
      </c>
      <c r="BK14" s="281">
        <v>68.135583333333344</v>
      </c>
      <c r="BL14" s="281">
        <v>11.597183333333334</v>
      </c>
      <c r="BM14" s="281">
        <v>37.044000000000004</v>
      </c>
      <c r="BN14" s="281">
        <v>38.500999999999998</v>
      </c>
      <c r="BO14" s="281">
        <v>22.908258333333333</v>
      </c>
      <c r="BP14" s="281">
        <v>57.78991666666667</v>
      </c>
      <c r="BQ14" s="281">
        <v>39.732333333333337</v>
      </c>
      <c r="BR14" s="281">
        <v>50.264999999999986</v>
      </c>
      <c r="BS14" s="281">
        <v>13.963141666666671</v>
      </c>
      <c r="BT14" s="281">
        <v>54.774416666666674</v>
      </c>
      <c r="BU14" s="281">
        <v>11.052016666666669</v>
      </c>
      <c r="BV14" s="281">
        <v>74.976833333333332</v>
      </c>
      <c r="BW14" s="281">
        <v>29.370833333333337</v>
      </c>
      <c r="BX14" s="281">
        <v>9.3569249999999986</v>
      </c>
      <c r="BY14" s="281">
        <v>51.783749999999998</v>
      </c>
      <c r="BZ14" s="281">
        <v>51.653333333333329</v>
      </c>
      <c r="CA14" s="281">
        <v>49.264249999999997</v>
      </c>
      <c r="CB14" s="281">
        <v>30.862449999999999</v>
      </c>
      <c r="CC14" s="281">
        <v>37.968833333333343</v>
      </c>
      <c r="CD14" s="281">
        <v>27.479916666666668</v>
      </c>
      <c r="CE14" s="281">
        <v>4.0771583333333332</v>
      </c>
      <c r="CF14" s="281">
        <v>59.965833333333329</v>
      </c>
      <c r="CG14" s="281">
        <v>49.910999999999994</v>
      </c>
      <c r="CH14" s="281">
        <v>44.758749999999999</v>
      </c>
      <c r="CI14" s="281">
        <v>24.41695</v>
      </c>
      <c r="CJ14" s="281">
        <v>59.317250000000008</v>
      </c>
      <c r="CK14" s="281">
        <v>10.967126666666667</v>
      </c>
      <c r="CL14" s="281">
        <v>48.155583333333333</v>
      </c>
      <c r="CM14" s="281">
        <v>40.134666666666668</v>
      </c>
      <c r="CN14" s="281">
        <v>1.6641975000000002</v>
      </c>
      <c r="CO14" s="281">
        <v>8.4055583333333335</v>
      </c>
      <c r="CP14" s="281">
        <v>35.748416666666664</v>
      </c>
      <c r="CQ14" s="281">
        <v>57.706833333333329</v>
      </c>
      <c r="CR14" s="281">
        <v>49.387</v>
      </c>
      <c r="CS14" s="281">
        <v>43.178416666666671</v>
      </c>
      <c r="CT14" s="281">
        <v>6.6701499999999987</v>
      </c>
      <c r="CU14" s="281">
        <v>44.94883333333334</v>
      </c>
      <c r="CV14" s="281">
        <v>53.563249999999989</v>
      </c>
      <c r="CW14" s="281">
        <v>86.099166666666648</v>
      </c>
      <c r="CX14" s="281">
        <f t="shared" si="0"/>
        <v>40.543529716666654</v>
      </c>
      <c r="CY14" t="s">
        <v>123</v>
      </c>
    </row>
    <row r="15" spans="1:103">
      <c r="A15" s="280">
        <v>2024</v>
      </c>
      <c r="B15" s="281">
        <v>65.773013107401326</v>
      </c>
      <c r="C15" s="281">
        <v>71.558846440734655</v>
      </c>
      <c r="D15" s="281">
        <v>17.705113107401328</v>
      </c>
      <c r="E15" s="281">
        <v>41.168513107401331</v>
      </c>
      <c r="F15" s="281">
        <v>35.594563107401321</v>
      </c>
      <c r="G15" s="281">
        <v>24.226346440734662</v>
      </c>
      <c r="H15" s="281">
        <v>22.153013107401332</v>
      </c>
      <c r="I15" s="281">
        <v>73.575346440734663</v>
      </c>
      <c r="J15" s="281">
        <v>68.731679774067985</v>
      </c>
      <c r="K15" s="281">
        <v>42.631529774067992</v>
      </c>
      <c r="L15" s="281">
        <v>28.852513107401325</v>
      </c>
      <c r="M15" s="281">
        <v>47.004329774067998</v>
      </c>
      <c r="N15" s="281">
        <v>43.974679774067994</v>
      </c>
      <c r="O15" s="281">
        <v>96.558013107401337</v>
      </c>
      <c r="P15" s="281">
        <v>60.947513107401335</v>
      </c>
      <c r="Q15" s="281">
        <v>56.282346440734663</v>
      </c>
      <c r="R15" s="281">
        <v>40.218513107401328</v>
      </c>
      <c r="S15" s="281">
        <v>54.742513107401329</v>
      </c>
      <c r="T15" s="281">
        <v>75.678179774067999</v>
      </c>
      <c r="U15" s="281">
        <v>48.449079774067997</v>
      </c>
      <c r="V15" s="281">
        <v>14.417379774067996</v>
      </c>
      <c r="W15" s="281">
        <v>37.872213107401329</v>
      </c>
      <c r="X15" s="281">
        <v>25.702546440734665</v>
      </c>
      <c r="Y15" s="281">
        <v>7.8740631074013292</v>
      </c>
      <c r="Z15" s="281">
        <v>57.292013107401338</v>
      </c>
      <c r="AA15" s="281">
        <v>34.411346440734661</v>
      </c>
      <c r="AB15" s="281">
        <v>38.543179774067994</v>
      </c>
      <c r="AC15" s="281">
        <v>76.508013107401311</v>
      </c>
      <c r="AD15" s="281">
        <v>75.636179774067998</v>
      </c>
      <c r="AE15" s="281">
        <v>13.178229774067995</v>
      </c>
      <c r="AF15" s="281">
        <v>56.032679774067987</v>
      </c>
      <c r="AG15" s="281">
        <v>54.654679774067993</v>
      </c>
      <c r="AH15" s="281">
        <v>59.145846440734665</v>
      </c>
      <c r="AI15" s="281">
        <v>10.250779774067997</v>
      </c>
      <c r="AJ15" s="281">
        <v>107.059179774068</v>
      </c>
      <c r="AK15" s="281">
        <v>54.42801310740132</v>
      </c>
      <c r="AL15" s="281">
        <v>48.910679774068001</v>
      </c>
      <c r="AM15" s="281">
        <v>19.440913107401329</v>
      </c>
      <c r="AN15" s="281">
        <v>72.766179774067993</v>
      </c>
      <c r="AO15" s="281">
        <v>93.885513107401323</v>
      </c>
      <c r="AP15" s="281">
        <v>66.344513107401326</v>
      </c>
      <c r="AQ15" s="281">
        <v>58.143663107401331</v>
      </c>
      <c r="AR15" s="281">
        <v>55.030346440734661</v>
      </c>
      <c r="AS15" s="281">
        <v>49.693513107401323</v>
      </c>
      <c r="AT15" s="281">
        <v>60.564679774067997</v>
      </c>
      <c r="AU15" s="281">
        <v>49.34977977406799</v>
      </c>
      <c r="AV15" s="281">
        <v>10.961029774067995</v>
      </c>
      <c r="AW15" s="281">
        <v>57.881513107401325</v>
      </c>
      <c r="AX15" s="281">
        <v>68.721846440734666</v>
      </c>
      <c r="AY15" s="281">
        <v>38.913513107401336</v>
      </c>
      <c r="AZ15" s="281">
        <v>47.433979774068</v>
      </c>
      <c r="BA15" s="281">
        <v>53.981179774068003</v>
      </c>
      <c r="BB15" s="281">
        <v>38.944746440734662</v>
      </c>
      <c r="BC15" s="281">
        <v>71.218846440734666</v>
      </c>
      <c r="BD15" s="281">
        <v>57.326679774067998</v>
      </c>
      <c r="BE15" s="281">
        <v>43.703346440734656</v>
      </c>
      <c r="BF15" s="281">
        <v>44.166679774068001</v>
      </c>
      <c r="BG15" s="281">
        <v>85.840179774067977</v>
      </c>
      <c r="BH15" s="281">
        <v>30.374196440734664</v>
      </c>
      <c r="BI15" s="281">
        <v>39.304513107401327</v>
      </c>
      <c r="BJ15" s="281">
        <v>68.842179774068001</v>
      </c>
      <c r="BK15" s="281">
        <v>35.37801310740133</v>
      </c>
      <c r="BL15" s="281">
        <v>11.336229774067997</v>
      </c>
      <c r="BM15" s="281">
        <v>46.450513107401328</v>
      </c>
      <c r="BN15" s="281">
        <v>51.182846440734671</v>
      </c>
      <c r="BO15" s="281">
        <v>51.863279774067998</v>
      </c>
      <c r="BP15" s="281">
        <v>69.446013107401328</v>
      </c>
      <c r="BQ15" s="281">
        <v>43.782013107401326</v>
      </c>
      <c r="BR15" s="281">
        <v>45.983346440734664</v>
      </c>
      <c r="BS15" s="281">
        <v>11.198446440734662</v>
      </c>
      <c r="BT15" s="281">
        <v>52.599513107401343</v>
      </c>
      <c r="BU15" s="281">
        <v>12.430796440734662</v>
      </c>
      <c r="BV15" s="281">
        <v>68.788679774068001</v>
      </c>
      <c r="BW15" s="281">
        <v>56.444513107401328</v>
      </c>
      <c r="BX15" s="281">
        <v>32.746546440734669</v>
      </c>
      <c r="BY15" s="281">
        <v>64.850913107401325</v>
      </c>
      <c r="BZ15" s="281">
        <v>49.898229774068</v>
      </c>
      <c r="CA15" s="281">
        <v>48.195513107401325</v>
      </c>
      <c r="CB15" s="281">
        <v>25.19136310740133</v>
      </c>
      <c r="CC15" s="281">
        <v>57.196179774067993</v>
      </c>
      <c r="CD15" s="281">
        <v>38.761813107401331</v>
      </c>
      <c r="CE15" s="281">
        <v>32.642179774068005</v>
      </c>
      <c r="CF15" s="281">
        <v>67.673679774067992</v>
      </c>
      <c r="CG15" s="281">
        <v>69.256846440734662</v>
      </c>
      <c r="CH15" s="281">
        <v>67.903196440734661</v>
      </c>
      <c r="CI15" s="281">
        <v>62.300179774067999</v>
      </c>
      <c r="CJ15" s="281">
        <v>54.868179774068004</v>
      </c>
      <c r="CK15" s="281">
        <v>10.955329774067996</v>
      </c>
      <c r="CL15" s="281">
        <v>62.420679774067992</v>
      </c>
      <c r="CM15" s="281">
        <v>60.973346440734666</v>
      </c>
      <c r="CN15" s="281">
        <v>30.707346440734668</v>
      </c>
      <c r="CO15" s="281">
        <v>12.184846440734661</v>
      </c>
      <c r="CP15" s="281">
        <v>46.406346440734666</v>
      </c>
      <c r="CQ15" s="281">
        <v>52.646046440734658</v>
      </c>
      <c r="CR15" s="281">
        <v>60.254179774068</v>
      </c>
      <c r="CS15" s="281">
        <v>32.324346440734665</v>
      </c>
      <c r="CT15" s="281">
        <v>11.166296440734662</v>
      </c>
      <c r="CU15" s="281">
        <v>54.341346440734661</v>
      </c>
      <c r="CV15" s="281">
        <v>47.932179774067997</v>
      </c>
      <c r="CW15" s="281">
        <v>59.44851310740134</v>
      </c>
      <c r="CX15" s="281">
        <f t="shared" si="0"/>
        <v>48.407060274068016</v>
      </c>
      <c r="CY15" t="s">
        <v>123</v>
      </c>
    </row>
    <row r="18" spans="1:17">
      <c r="A18" s="34" t="s">
        <v>128</v>
      </c>
      <c r="B18" s="27" t="s">
        <v>127</v>
      </c>
      <c r="C18" s="223" t="s">
        <v>409</v>
      </c>
      <c r="D18" s="23">
        <v>2015</v>
      </c>
      <c r="E18" s="23">
        <v>2016</v>
      </c>
      <c r="F18" s="23">
        <v>2017</v>
      </c>
      <c r="G18" s="23">
        <v>2018</v>
      </c>
      <c r="H18" s="23">
        <v>2019</v>
      </c>
      <c r="I18" s="23">
        <v>2020</v>
      </c>
      <c r="J18" s="23">
        <v>2021</v>
      </c>
      <c r="K18" s="23">
        <v>2022</v>
      </c>
      <c r="L18" s="23">
        <v>2023</v>
      </c>
      <c r="M18" s="223" t="s">
        <v>947</v>
      </c>
      <c r="N18" s="27" t="s">
        <v>126</v>
      </c>
      <c r="O18" s="27" t="s">
        <v>562</v>
      </c>
      <c r="P18" s="27">
        <v>2024</v>
      </c>
      <c r="Q18" s="537"/>
    </row>
    <row r="19" spans="1:17">
      <c r="A19" s="25" t="s">
        <v>61</v>
      </c>
      <c r="B19" s="24">
        <v>1</v>
      </c>
      <c r="C19" s="26">
        <v>36.848999999999997</v>
      </c>
      <c r="D19" s="26">
        <v>39.894499999999994</v>
      </c>
      <c r="E19" s="26">
        <v>34.453499999999998</v>
      </c>
      <c r="F19" s="26">
        <v>43.994416666666666</v>
      </c>
      <c r="G19" s="26">
        <v>60.731333333333339</v>
      </c>
      <c r="H19" s="26">
        <v>62.966249999999995</v>
      </c>
      <c r="I19" s="26">
        <v>40.986583333333336</v>
      </c>
      <c r="J19" s="26">
        <v>59.798083333333331</v>
      </c>
      <c r="K19" s="26">
        <v>53.536750000000005</v>
      </c>
      <c r="L19" s="26">
        <v>81.655250000000009</v>
      </c>
      <c r="M19" s="26">
        <f t="shared" ref="M19:M50" si="1">IF(P19&gt;Costo_marginal_maximo,Costo_marginal_maximo,IF(P19&lt;Costo_marginal_minimo,Costo_marginal_minimo,P19))</f>
        <v>55</v>
      </c>
      <c r="N19" s="29">
        <f t="shared" ref="N19:N50" si="2">AVERAGE(C19:M19)</f>
        <v>51.80596969696969</v>
      </c>
      <c r="O19" s="299">
        <f>NPV(WACC!$E$22,C19:L19)+PV(WACC!$O$22,10,,-M19/(WACC!$O$22-WACC!$O$20))</f>
        <v>1302.6511311043259</v>
      </c>
      <c r="P19" s="299">
        <v>93.885513107401323</v>
      </c>
      <c r="Q19" s="537"/>
    </row>
    <row r="20" spans="1:17">
      <c r="A20" s="25" t="s">
        <v>52</v>
      </c>
      <c r="B20" s="24">
        <v>2</v>
      </c>
      <c r="C20" s="26">
        <v>60.67433333333333</v>
      </c>
      <c r="D20" s="26">
        <v>52.970750000000002</v>
      </c>
      <c r="E20" s="26">
        <v>45.617916666666673</v>
      </c>
      <c r="F20" s="26">
        <v>59.011249999999997</v>
      </c>
      <c r="G20" s="26">
        <v>63.350249999999996</v>
      </c>
      <c r="H20" s="26">
        <v>44.452833333333331</v>
      </c>
      <c r="I20" s="26">
        <v>40.663000000000004</v>
      </c>
      <c r="J20" s="26">
        <v>16.659224999999999</v>
      </c>
      <c r="K20" s="26">
        <v>51.673750000000013</v>
      </c>
      <c r="L20" s="26">
        <v>57.353416666666668</v>
      </c>
      <c r="M20" s="26">
        <f t="shared" si="1"/>
        <v>55</v>
      </c>
      <c r="N20" s="29">
        <f t="shared" si="2"/>
        <v>49.766065909090912</v>
      </c>
      <c r="O20" s="299">
        <f>NPV(WACC!$E$22,C20:L20)+PV(WACC!$O$22,10,,-M20/(WACC!$O$22-WACC!$O$20))</f>
        <v>1305.5747387778533</v>
      </c>
      <c r="P20" s="299">
        <v>56.032679774067987</v>
      </c>
      <c r="Q20" s="537"/>
    </row>
    <row r="21" spans="1:17">
      <c r="A21" s="25" t="s">
        <v>74</v>
      </c>
      <c r="B21" s="24">
        <v>3</v>
      </c>
      <c r="C21" s="26">
        <v>48.427166666666665</v>
      </c>
      <c r="D21" s="26">
        <v>37.997583333333331</v>
      </c>
      <c r="E21" s="26">
        <v>45.180416666666666</v>
      </c>
      <c r="F21" s="26">
        <v>55.389416666666669</v>
      </c>
      <c r="G21" s="26">
        <v>61.180000000000007</v>
      </c>
      <c r="H21" s="26">
        <v>53.106333333333332</v>
      </c>
      <c r="I21" s="26">
        <v>47.989166666666669</v>
      </c>
      <c r="J21" s="26">
        <v>40.9253</v>
      </c>
      <c r="K21" s="26">
        <v>45.635750000000002</v>
      </c>
      <c r="L21" s="26">
        <v>55.438333333333333</v>
      </c>
      <c r="M21" s="26">
        <f t="shared" si="1"/>
        <v>45</v>
      </c>
      <c r="N21" s="29">
        <f t="shared" si="2"/>
        <v>48.751769696969696</v>
      </c>
      <c r="O21" s="299">
        <f>NPV(WACC!$E$22,C21:L21)+PV(WACC!$O$22,10,,-M21/(WACC!$O$22-WACC!$O$20))</f>
        <v>1126.1856517701731</v>
      </c>
      <c r="P21" s="299">
        <v>38.944746440734662</v>
      </c>
      <c r="Q21" s="537"/>
    </row>
    <row r="22" spans="1:17">
      <c r="A22" s="25" t="s">
        <v>39</v>
      </c>
      <c r="B22" s="24">
        <v>4</v>
      </c>
      <c r="C22" s="26">
        <v>45.838333333333338</v>
      </c>
      <c r="D22" s="26">
        <v>42.530249999999995</v>
      </c>
      <c r="E22" s="26">
        <v>15.417384166666665</v>
      </c>
      <c r="F22" s="26">
        <v>27.659916666666671</v>
      </c>
      <c r="G22" s="26">
        <v>46.771666666666668</v>
      </c>
      <c r="H22" s="26">
        <v>69.358583333333314</v>
      </c>
      <c r="I22" s="26">
        <v>74.012583333333339</v>
      </c>
      <c r="J22" s="26">
        <v>41.672000000000004</v>
      </c>
      <c r="K22" s="26">
        <v>52.733833333333337</v>
      </c>
      <c r="L22" s="26">
        <v>55.99666666666667</v>
      </c>
      <c r="M22" s="26">
        <f t="shared" si="1"/>
        <v>54.742513107401329</v>
      </c>
      <c r="N22" s="29">
        <f t="shared" si="2"/>
        <v>47.884884600672855</v>
      </c>
      <c r="O22" s="299">
        <f>NPV(WACC!$E$22,C22:L22)+PV(WACC!$O$22,10,,-M22/(WACC!$O$22-WACC!$O$20))</f>
        <v>1270.3886046446905</v>
      </c>
      <c r="P22" s="299">
        <v>54.742513107401329</v>
      </c>
      <c r="Q22" s="537"/>
    </row>
    <row r="23" spans="1:17">
      <c r="A23" s="25" t="s">
        <v>49</v>
      </c>
      <c r="B23" s="24">
        <v>5</v>
      </c>
      <c r="C23" s="26">
        <v>50.780166666666673</v>
      </c>
      <c r="D23" s="26">
        <v>44.401416666666677</v>
      </c>
      <c r="E23" s="26">
        <v>47.104083333333335</v>
      </c>
      <c r="F23" s="26">
        <v>39.864083333333333</v>
      </c>
      <c r="G23" s="26">
        <v>54.735583333333331</v>
      </c>
      <c r="H23" s="26">
        <v>39.62680000000001</v>
      </c>
      <c r="I23" s="26">
        <v>38.830666666666666</v>
      </c>
      <c r="J23" s="26">
        <v>40.950083333333332</v>
      </c>
      <c r="K23" s="26">
        <v>46.152750000000005</v>
      </c>
      <c r="L23" s="26">
        <v>66.84075</v>
      </c>
      <c r="M23" s="26">
        <f t="shared" si="1"/>
        <v>55</v>
      </c>
      <c r="N23" s="29">
        <f t="shared" si="2"/>
        <v>47.662398484848488</v>
      </c>
      <c r="O23" s="299">
        <f>NPV(WACC!$E$22,C23:L23)+PV(WACC!$O$22,10,,-M23/(WACC!$O$22-WACC!$O$20))</f>
        <v>1280.9031350730666</v>
      </c>
      <c r="P23" s="299">
        <v>76.508013107401311</v>
      </c>
      <c r="Q23" s="537"/>
    </row>
    <row r="24" spans="1:17">
      <c r="A24" s="25" t="s">
        <v>94</v>
      </c>
      <c r="B24" s="24">
        <v>6</v>
      </c>
      <c r="C24" s="26">
        <v>53.362666666666662</v>
      </c>
      <c r="D24" s="26">
        <v>21.95108333333334</v>
      </c>
      <c r="E24" s="26">
        <v>38.509166666666665</v>
      </c>
      <c r="F24" s="26">
        <v>56.932833333333328</v>
      </c>
      <c r="G24" s="26">
        <v>52.845083333333328</v>
      </c>
      <c r="H24" s="26">
        <v>47.947000000000003</v>
      </c>
      <c r="I24" s="26">
        <v>44.43566666666667</v>
      </c>
      <c r="J24" s="26">
        <v>29.927733333333332</v>
      </c>
      <c r="K24" s="26">
        <v>46.667000000000002</v>
      </c>
      <c r="L24" s="26">
        <v>74.976833333333332</v>
      </c>
      <c r="M24" s="26">
        <f t="shared" si="1"/>
        <v>55</v>
      </c>
      <c r="N24" s="29">
        <f t="shared" si="2"/>
        <v>47.50500606060605</v>
      </c>
      <c r="O24" s="299">
        <f>NPV(WACC!$E$22,C24:L24)+PV(WACC!$O$22,10,,-M24/(WACC!$O$22-WACC!$O$20))</f>
        <v>1275.6952251468979</v>
      </c>
      <c r="P24" s="299">
        <v>68.788679774068001</v>
      </c>
      <c r="Q24" s="537"/>
    </row>
    <row r="25" spans="1:17">
      <c r="A25" s="25" t="s">
        <v>25</v>
      </c>
      <c r="B25" s="24">
        <v>7</v>
      </c>
      <c r="C25" s="26">
        <v>48.783499999999997</v>
      </c>
      <c r="D25" s="26">
        <v>18.929475</v>
      </c>
      <c r="E25" s="26">
        <v>19.188800000000001</v>
      </c>
      <c r="F25" s="26">
        <v>45.982999999999997</v>
      </c>
      <c r="G25" s="26">
        <v>48.515166666666659</v>
      </c>
      <c r="H25" s="26">
        <v>72.237000000000009</v>
      </c>
      <c r="I25" s="26">
        <v>64.036083333333337</v>
      </c>
      <c r="J25" s="26">
        <v>44.41575000000001</v>
      </c>
      <c r="K25" s="26">
        <v>50.830499999999994</v>
      </c>
      <c r="L25" s="26">
        <v>64.162333333333336</v>
      </c>
      <c r="M25" s="26">
        <f t="shared" si="1"/>
        <v>45</v>
      </c>
      <c r="N25" s="29">
        <f t="shared" si="2"/>
        <v>47.46196439393939</v>
      </c>
      <c r="O25" s="299">
        <f>NPV(WACC!$E$22,C25:L25)+PV(WACC!$O$22,10,,-M25/(WACC!$O$22-WACC!$O$20))</f>
        <v>1104.9701917108314</v>
      </c>
      <c r="P25" s="299">
        <v>41.168513107401331</v>
      </c>
      <c r="Q25" s="537"/>
    </row>
    <row r="26" spans="1:17">
      <c r="A26" s="25" t="s">
        <v>29</v>
      </c>
      <c r="B26" s="24">
        <v>8</v>
      </c>
      <c r="C26" s="26">
        <v>53.373833333333344</v>
      </c>
      <c r="D26" s="26">
        <v>29.183610583333333</v>
      </c>
      <c r="E26" s="26">
        <v>22.631425000000004</v>
      </c>
      <c r="F26" s="26">
        <v>42.281666666666659</v>
      </c>
      <c r="G26" s="26">
        <v>52.055749999999996</v>
      </c>
      <c r="H26" s="26">
        <v>43.24783333333334</v>
      </c>
      <c r="I26" s="26">
        <v>55.53</v>
      </c>
      <c r="J26" s="26">
        <v>49.863416666666673</v>
      </c>
      <c r="K26" s="26">
        <v>55.310499999999998</v>
      </c>
      <c r="L26" s="26">
        <v>61.04</v>
      </c>
      <c r="M26" s="26">
        <f t="shared" si="1"/>
        <v>55</v>
      </c>
      <c r="N26" s="29">
        <f t="shared" si="2"/>
        <v>47.228912325757577</v>
      </c>
      <c r="O26" s="299">
        <f>NPV(WACC!$E$22,C26:L26)+PV(WACC!$O$22,10,,-M26/(WACC!$O$22-WACC!$O$20))</f>
        <v>1270.4794402391008</v>
      </c>
      <c r="P26" s="299">
        <v>73.575346440734663</v>
      </c>
      <c r="Q26" s="537"/>
    </row>
    <row r="27" spans="1:17">
      <c r="A27" s="25" t="s">
        <v>88</v>
      </c>
      <c r="B27" s="24">
        <v>9</v>
      </c>
      <c r="C27" s="26">
        <v>49.042499999999997</v>
      </c>
      <c r="D27" s="26">
        <v>32.922666666666665</v>
      </c>
      <c r="E27" s="26">
        <v>45.067416666666666</v>
      </c>
      <c r="F27" s="26">
        <v>48.769666666666673</v>
      </c>
      <c r="G27" s="26">
        <v>62.502166666666675</v>
      </c>
      <c r="H27" s="26">
        <v>60.586666666666666</v>
      </c>
      <c r="I27" s="26">
        <v>41.360333333333337</v>
      </c>
      <c r="J27" s="26">
        <v>32.548025000000003</v>
      </c>
      <c r="K27" s="26">
        <v>30.28029166666666</v>
      </c>
      <c r="L27" s="26">
        <v>57.78991666666667</v>
      </c>
      <c r="M27" s="26">
        <f t="shared" si="1"/>
        <v>55</v>
      </c>
      <c r="N27" s="29">
        <f t="shared" si="2"/>
        <v>46.897240909090904</v>
      </c>
      <c r="O27" s="299">
        <f>NPV(WACC!$E$22,C27:L27)+PV(WACC!$O$22,10,,-M27/(WACC!$O$22-WACC!$O$20))</f>
        <v>1277.0214242677034</v>
      </c>
      <c r="P27" s="299">
        <v>69.446013107401328</v>
      </c>
      <c r="Q27" s="537"/>
    </row>
    <row r="28" spans="1:17">
      <c r="A28" s="25" t="s">
        <v>32</v>
      </c>
      <c r="B28" s="24">
        <v>10</v>
      </c>
      <c r="C28" s="26">
        <v>19.334783333333334</v>
      </c>
      <c r="D28" s="26">
        <v>46.576916666666655</v>
      </c>
      <c r="E28" s="26">
        <v>51.84375</v>
      </c>
      <c r="F28" s="26">
        <v>55.197916666666664</v>
      </c>
      <c r="G28" s="26">
        <v>58.682916666666671</v>
      </c>
      <c r="H28" s="26">
        <v>47.59825</v>
      </c>
      <c r="I28" s="26">
        <v>15.091591666666668</v>
      </c>
      <c r="J28" s="26">
        <v>57.797916666666659</v>
      </c>
      <c r="K28" s="26">
        <v>57.752083333333339</v>
      </c>
      <c r="L28" s="26">
        <v>52.693000000000005</v>
      </c>
      <c r="M28" s="26">
        <f t="shared" si="1"/>
        <v>45</v>
      </c>
      <c r="N28" s="29">
        <f t="shared" si="2"/>
        <v>46.142647727272724</v>
      </c>
      <c r="O28" s="299">
        <f>NPV(WACC!$E$22,C28:L28)+PV(WACC!$O$22,10,,-M28/(WACC!$O$22-WACC!$O$20))</f>
        <v>1100.5069844880502</v>
      </c>
      <c r="P28" s="299">
        <v>28.852513107401325</v>
      </c>
      <c r="Q28" s="537"/>
    </row>
    <row r="29" spans="1:17">
      <c r="A29" s="25" t="s">
        <v>53</v>
      </c>
      <c r="B29" s="24">
        <v>11</v>
      </c>
      <c r="C29" s="26">
        <v>60.999166666666667</v>
      </c>
      <c r="D29" s="26">
        <v>27.509916666666673</v>
      </c>
      <c r="E29" s="26">
        <v>39.804000000000002</v>
      </c>
      <c r="F29" s="26">
        <v>45.246333333333332</v>
      </c>
      <c r="G29" s="26">
        <v>31.564891666666668</v>
      </c>
      <c r="H29" s="26">
        <v>27.741833333333336</v>
      </c>
      <c r="I29" s="26">
        <v>37.075166666666668</v>
      </c>
      <c r="J29" s="26">
        <v>52.04933333333333</v>
      </c>
      <c r="K29" s="26">
        <v>68.710916666666677</v>
      </c>
      <c r="L29" s="26">
        <v>61.169583333333328</v>
      </c>
      <c r="M29" s="26">
        <f t="shared" si="1"/>
        <v>54.654679774067993</v>
      </c>
      <c r="N29" s="29">
        <f t="shared" si="2"/>
        <v>46.047801949157694</v>
      </c>
      <c r="O29" s="299">
        <f>NPV(WACC!$E$22,C29:L29)+PV(WACC!$O$22,10,,-M29/(WACC!$O$22-WACC!$O$20))</f>
        <v>1258.0707782373909</v>
      </c>
      <c r="P29" s="299">
        <v>54.654679774067993</v>
      </c>
      <c r="Q29" s="537"/>
    </row>
    <row r="30" spans="1:17">
      <c r="A30" s="25" t="s">
        <v>24</v>
      </c>
      <c r="B30" s="24">
        <v>12</v>
      </c>
      <c r="C30" s="26">
        <v>49.430666666666667</v>
      </c>
      <c r="D30" s="26">
        <v>51.053833333333337</v>
      </c>
      <c r="E30" s="26">
        <v>61.048166666666667</v>
      </c>
      <c r="F30" s="26">
        <v>62.067083333333329</v>
      </c>
      <c r="G30" s="26">
        <v>49.087750000000007</v>
      </c>
      <c r="H30" s="26">
        <v>32.985999999999997</v>
      </c>
      <c r="I30" s="26">
        <v>30.310383333333334</v>
      </c>
      <c r="J30" s="26">
        <v>41.39608333333333</v>
      </c>
      <c r="K30" s="26">
        <v>40.117083333333333</v>
      </c>
      <c r="L30" s="26">
        <v>39.232266666666668</v>
      </c>
      <c r="M30" s="26">
        <f t="shared" si="1"/>
        <v>45</v>
      </c>
      <c r="N30" s="29">
        <f t="shared" si="2"/>
        <v>45.611756060606055</v>
      </c>
      <c r="O30" s="299">
        <f>NPV(WACC!$E$22,C30:L30)+PV(WACC!$O$22,10,,-M30/(WACC!$O$22-WACC!$O$20))</f>
        <v>1110.8308711333082</v>
      </c>
      <c r="P30" s="299">
        <v>17.705113107401328</v>
      </c>
      <c r="Q30" s="537"/>
    </row>
    <row r="31" spans="1:17">
      <c r="A31" s="25" t="s">
        <v>83</v>
      </c>
      <c r="B31" s="24">
        <v>13</v>
      </c>
      <c r="C31" s="26">
        <v>29.046333333333333</v>
      </c>
      <c r="D31" s="26">
        <v>12.792452500000001</v>
      </c>
      <c r="E31" s="26">
        <v>38.276250000000005</v>
      </c>
      <c r="F31" s="26">
        <v>47.002333333333326</v>
      </c>
      <c r="G31" s="26">
        <v>40.080849999999998</v>
      </c>
      <c r="H31" s="26">
        <v>38.051299999999998</v>
      </c>
      <c r="I31" s="26">
        <v>60.031166666666678</v>
      </c>
      <c r="J31" s="26">
        <v>64.014666666666656</v>
      </c>
      <c r="K31" s="26">
        <v>56.953416666666669</v>
      </c>
      <c r="L31" s="26">
        <v>68.135583333333344</v>
      </c>
      <c r="M31" s="26">
        <f t="shared" si="1"/>
        <v>45</v>
      </c>
      <c r="N31" s="29">
        <f t="shared" si="2"/>
        <v>45.398577499999995</v>
      </c>
      <c r="O31" s="299">
        <f>NPV(WACC!$E$22,C31:L31)+PV(WACC!$O$22,10,,-M31/(WACC!$O$22-WACC!$O$20))</f>
        <v>1082.8339832481527</v>
      </c>
      <c r="P31" s="299">
        <v>35.37801310740133</v>
      </c>
      <c r="Q31" s="537"/>
    </row>
    <row r="32" spans="1:17">
      <c r="A32" s="25" t="s">
        <v>108</v>
      </c>
      <c r="B32" s="24">
        <v>14</v>
      </c>
      <c r="C32" s="26">
        <v>37.326833333333333</v>
      </c>
      <c r="D32" s="26">
        <v>44.055083333333336</v>
      </c>
      <c r="E32" s="26">
        <v>38.314416666666666</v>
      </c>
      <c r="F32" s="26">
        <v>31.766083333333331</v>
      </c>
      <c r="G32" s="26">
        <v>45.080833333333338</v>
      </c>
      <c r="H32" s="26">
        <v>18.218736666666668</v>
      </c>
      <c r="I32" s="26">
        <v>45.812341666666669</v>
      </c>
      <c r="J32" s="26">
        <v>57.453166666666668</v>
      </c>
      <c r="K32" s="26">
        <v>65.09408333333333</v>
      </c>
      <c r="L32" s="26">
        <v>59.317250000000008</v>
      </c>
      <c r="M32" s="26">
        <f t="shared" si="1"/>
        <v>54.868179774068004</v>
      </c>
      <c r="N32" s="29">
        <f t="shared" si="2"/>
        <v>45.209728009763758</v>
      </c>
      <c r="O32" s="299">
        <f>NPV(WACC!$E$22,C32:L32)+PV(WACC!$O$22,10,,-M32/(WACC!$O$22-WACC!$O$20))</f>
        <v>1251.5821286844525</v>
      </c>
      <c r="P32" s="299">
        <v>54.868179774068004</v>
      </c>
      <c r="Q32" s="537"/>
    </row>
    <row r="33" spans="1:17">
      <c r="A33" s="25" t="s">
        <v>45</v>
      </c>
      <c r="B33" s="24">
        <v>15</v>
      </c>
      <c r="C33" s="26">
        <v>63.195500000000003</v>
      </c>
      <c r="D33" s="26">
        <v>54.335083333333323</v>
      </c>
      <c r="E33" s="26">
        <v>55.252083333333331</v>
      </c>
      <c r="F33" s="26">
        <v>36.228833333333334</v>
      </c>
      <c r="G33" s="26">
        <v>16.972766666666665</v>
      </c>
      <c r="H33" s="26">
        <v>32.805791666666671</v>
      </c>
      <c r="I33" s="26">
        <v>40.405650000000001</v>
      </c>
      <c r="J33" s="26">
        <v>82.720583333333323</v>
      </c>
      <c r="K33" s="26">
        <v>40.759916666666662</v>
      </c>
      <c r="L33" s="26">
        <v>22.042616666666664</v>
      </c>
      <c r="M33" s="26">
        <f t="shared" si="1"/>
        <v>45</v>
      </c>
      <c r="N33" s="29">
        <f t="shared" si="2"/>
        <v>44.519893181818183</v>
      </c>
      <c r="O33" s="299">
        <f>NPV(WACC!$E$22,C33:L33)+PV(WACC!$O$22,10,,-M33/(WACC!$O$22-WACC!$O$20))</f>
        <v>1100.7722225025916</v>
      </c>
      <c r="P33" s="299">
        <v>7.8740631074013292</v>
      </c>
      <c r="Q33" s="537"/>
    </row>
    <row r="34" spans="1:17">
      <c r="A34" s="25" t="s">
        <v>101</v>
      </c>
      <c r="B34" s="24">
        <v>16</v>
      </c>
      <c r="C34" s="26">
        <v>49.274666666666661</v>
      </c>
      <c r="D34" s="26">
        <v>37.353083333333331</v>
      </c>
      <c r="E34" s="26">
        <v>30.153508333333335</v>
      </c>
      <c r="F34" s="26">
        <v>33.891500000000001</v>
      </c>
      <c r="G34" s="26">
        <v>29.111750000000001</v>
      </c>
      <c r="H34" s="26">
        <v>55.317083333333329</v>
      </c>
      <c r="I34" s="26">
        <v>57.815193333333319</v>
      </c>
      <c r="J34" s="26">
        <v>52.331916666666672</v>
      </c>
      <c r="K34" s="26">
        <v>45.911750000000005</v>
      </c>
      <c r="L34" s="26">
        <v>37.968833333333343</v>
      </c>
      <c r="M34" s="26">
        <f t="shared" si="1"/>
        <v>55</v>
      </c>
      <c r="N34" s="29">
        <f t="shared" si="2"/>
        <v>44.011753181818179</v>
      </c>
      <c r="O34" s="299">
        <f>NPV(WACC!$E$22,C34:L34)+PV(WACC!$O$22,10,,-M34/(WACC!$O$22-WACC!$O$20))</f>
        <v>1249.8944456166864</v>
      </c>
      <c r="P34" s="299">
        <v>57.196179774067993</v>
      </c>
      <c r="Q34" s="537"/>
    </row>
    <row r="35" spans="1:17">
      <c r="A35" s="25" t="s">
        <v>31</v>
      </c>
      <c r="B35" s="24">
        <v>17</v>
      </c>
      <c r="C35" s="26">
        <v>46.550333333333334</v>
      </c>
      <c r="D35" s="26">
        <v>45.283750000000005</v>
      </c>
      <c r="E35" s="26">
        <v>43.724666666666657</v>
      </c>
      <c r="F35" s="26">
        <v>58.306416666666671</v>
      </c>
      <c r="G35" s="26">
        <v>56.713583333333332</v>
      </c>
      <c r="H35" s="26">
        <v>26.639683333333338</v>
      </c>
      <c r="I35" s="26">
        <v>37.018116666666664</v>
      </c>
      <c r="J35" s="26">
        <v>41.983916666666659</v>
      </c>
      <c r="K35" s="26">
        <v>32.973833333333332</v>
      </c>
      <c r="L35" s="26">
        <v>43.9315</v>
      </c>
      <c r="M35" s="26">
        <f t="shared" si="1"/>
        <v>45</v>
      </c>
      <c r="N35" s="29">
        <f t="shared" si="2"/>
        <v>43.465981818181824</v>
      </c>
      <c r="O35" s="299">
        <f>NPV(WACC!$E$22,C35:L35)+PV(WACC!$O$22,10,,-M35/(WACC!$O$22-WACC!$O$20))</f>
        <v>1089.9896947732616</v>
      </c>
      <c r="P35" s="299">
        <v>42.631529774067992</v>
      </c>
      <c r="Q35" s="537"/>
    </row>
    <row r="36" spans="1:17">
      <c r="A36" s="25" t="s">
        <v>85</v>
      </c>
      <c r="B36" s="24">
        <v>18</v>
      </c>
      <c r="C36" s="26">
        <v>43.189</v>
      </c>
      <c r="D36" s="26">
        <v>46.453416666666669</v>
      </c>
      <c r="E36" s="26">
        <v>45.983000000000004</v>
      </c>
      <c r="F36" s="26">
        <v>47.43566666666667</v>
      </c>
      <c r="G36" s="26">
        <v>44.740499999999997</v>
      </c>
      <c r="H36" s="26">
        <v>31.446650000000002</v>
      </c>
      <c r="I36" s="26">
        <v>55.287500000000001</v>
      </c>
      <c r="J36" s="26">
        <v>41.204000000000001</v>
      </c>
      <c r="K36" s="26">
        <v>38.197583333333334</v>
      </c>
      <c r="L36" s="26">
        <v>37.044000000000004</v>
      </c>
      <c r="M36" s="26">
        <f t="shared" si="1"/>
        <v>46.450513107401328</v>
      </c>
      <c r="N36" s="29">
        <f t="shared" si="2"/>
        <v>43.402893615824361</v>
      </c>
      <c r="O36" s="299">
        <f>NPV(WACC!$E$22,C36:L36)+PV(WACC!$O$22,10,,-M36/(WACC!$O$22-WACC!$O$20))</f>
        <v>1111.2715947305712</v>
      </c>
      <c r="P36" s="299">
        <v>46.450513107401328</v>
      </c>
      <c r="Q36" s="537"/>
    </row>
    <row r="37" spans="1:17">
      <c r="A37" s="25" t="s">
        <v>56</v>
      </c>
      <c r="B37" s="24">
        <v>19</v>
      </c>
      <c r="C37" s="26">
        <v>35.235833333333325</v>
      </c>
      <c r="D37" s="26">
        <v>44.718833333333343</v>
      </c>
      <c r="E37" s="26">
        <v>46.89425</v>
      </c>
      <c r="F37" s="26">
        <v>42.81583333333333</v>
      </c>
      <c r="G37" s="26">
        <v>40.166666666666671</v>
      </c>
      <c r="H37" s="26">
        <v>32.819849999999995</v>
      </c>
      <c r="I37" s="26">
        <v>33.93866666666667</v>
      </c>
      <c r="J37" s="26">
        <v>40.909750000000003</v>
      </c>
      <c r="K37" s="26">
        <v>43.108083333333333</v>
      </c>
      <c r="L37" s="26">
        <v>59.575749999999999</v>
      </c>
      <c r="M37" s="26">
        <f t="shared" si="1"/>
        <v>55</v>
      </c>
      <c r="N37" s="29">
        <f t="shared" si="2"/>
        <v>43.19850151515152</v>
      </c>
      <c r="O37" s="299">
        <f>NPV(WACC!$E$22,C37:L37)+PV(WACC!$O$22,10,,-M37/(WACC!$O$22-WACC!$O$20))</f>
        <v>1244.179856408517</v>
      </c>
      <c r="P37" s="299">
        <v>107.059179774068</v>
      </c>
      <c r="Q37" s="537"/>
    </row>
    <row r="38" spans="1:17">
      <c r="A38" s="25" t="s">
        <v>107</v>
      </c>
      <c r="B38" s="24">
        <v>20</v>
      </c>
      <c r="C38" s="26">
        <v>36.6</v>
      </c>
      <c r="D38" s="26">
        <v>32.023333333333333</v>
      </c>
      <c r="E38" s="26">
        <v>43.788833333333336</v>
      </c>
      <c r="F38" s="26">
        <v>54.398666666666657</v>
      </c>
      <c r="G38" s="26">
        <v>48.317583333333324</v>
      </c>
      <c r="H38" s="26">
        <v>60.354333333333336</v>
      </c>
      <c r="I38" s="26">
        <v>42.068758333333328</v>
      </c>
      <c r="J38" s="26">
        <v>31.927708333333328</v>
      </c>
      <c r="K38" s="26">
        <v>41.614666666666665</v>
      </c>
      <c r="L38" s="26">
        <v>24.41695</v>
      </c>
      <c r="M38" s="26">
        <f t="shared" si="1"/>
        <v>55</v>
      </c>
      <c r="N38" s="29">
        <f t="shared" si="2"/>
        <v>42.773712121212121</v>
      </c>
      <c r="O38" s="299">
        <f>NPV(WACC!$E$22,C38:L38)+PV(WACC!$O$22,10,,-M38/(WACC!$O$22-WACC!$O$20))</f>
        <v>1245.598750751285</v>
      </c>
      <c r="P38" s="299">
        <v>62.300179774067999</v>
      </c>
      <c r="Q38" s="537"/>
    </row>
    <row r="39" spans="1:17">
      <c r="A39" s="25" t="s">
        <v>35</v>
      </c>
      <c r="B39" s="24">
        <v>21</v>
      </c>
      <c r="C39" s="26">
        <v>35.122</v>
      </c>
      <c r="D39" s="26">
        <v>34.753083333333336</v>
      </c>
      <c r="E39" s="26">
        <v>34.301749999999998</v>
      </c>
      <c r="F39" s="26">
        <v>39.255000000000003</v>
      </c>
      <c r="G39" s="26">
        <v>50.531833333333331</v>
      </c>
      <c r="H39" s="26">
        <v>41.843333333333327</v>
      </c>
      <c r="I39" s="26">
        <v>42.933500000000002</v>
      </c>
      <c r="J39" s="26">
        <v>43.829416666666667</v>
      </c>
      <c r="K39" s="26">
        <v>33.199224999999998</v>
      </c>
      <c r="L39" s="26">
        <v>58.599666666666671</v>
      </c>
      <c r="M39" s="26">
        <f t="shared" si="1"/>
        <v>55</v>
      </c>
      <c r="N39" s="29">
        <f t="shared" si="2"/>
        <v>42.669891666666665</v>
      </c>
      <c r="O39" s="299">
        <f>NPV(WACC!$E$22,C39:L39)+PV(WACC!$O$22,10,,-M39/(WACC!$O$22-WACC!$O$20))</f>
        <v>1237.2928554367172</v>
      </c>
      <c r="P39" s="299">
        <v>96.558013107401337</v>
      </c>
      <c r="Q39" s="537"/>
    </row>
    <row r="40" spans="1:17">
      <c r="A40" s="25" t="s">
        <v>71</v>
      </c>
      <c r="B40" s="24">
        <v>22</v>
      </c>
      <c r="C40" s="26">
        <v>41.342000000000006</v>
      </c>
      <c r="D40" s="26">
        <v>21.43054416666666</v>
      </c>
      <c r="E40" s="26">
        <v>10.347875</v>
      </c>
      <c r="F40" s="26">
        <v>38.4495</v>
      </c>
      <c r="G40" s="26">
        <v>48.240333333333325</v>
      </c>
      <c r="H40" s="26">
        <v>35.147166666666664</v>
      </c>
      <c r="I40" s="26">
        <v>62.281500000000015</v>
      </c>
      <c r="J40" s="26">
        <v>63.473333333333329</v>
      </c>
      <c r="K40" s="26">
        <v>44.333083333333327</v>
      </c>
      <c r="L40" s="26">
        <v>56.514083333333339</v>
      </c>
      <c r="M40" s="26">
        <f t="shared" si="1"/>
        <v>45</v>
      </c>
      <c r="N40" s="29">
        <f t="shared" si="2"/>
        <v>42.414492651515154</v>
      </c>
      <c r="O40" s="299">
        <f>NPV(WACC!$E$22,C40:L40)+PV(WACC!$O$22,10,,-M40/(WACC!$O$22-WACC!$O$20))</f>
        <v>1063.4805945454507</v>
      </c>
      <c r="P40" s="299">
        <v>38.913513107401336</v>
      </c>
      <c r="Q40" s="537"/>
    </row>
    <row r="41" spans="1:17">
      <c r="A41" s="25" t="s">
        <v>82</v>
      </c>
      <c r="B41" s="24">
        <v>23</v>
      </c>
      <c r="C41" s="26">
        <v>14.448333333333332</v>
      </c>
      <c r="D41" s="26">
        <v>37.803666666666665</v>
      </c>
      <c r="E41" s="26">
        <v>46.398166666666661</v>
      </c>
      <c r="F41" s="26">
        <v>39.528500000000001</v>
      </c>
      <c r="G41" s="26">
        <v>45.849666666666671</v>
      </c>
      <c r="H41" s="26">
        <v>31.348808333333338</v>
      </c>
      <c r="I41" s="26">
        <v>40.663850000000004</v>
      </c>
      <c r="J41" s="26">
        <v>53.389500000000005</v>
      </c>
      <c r="K41" s="26">
        <v>39.862500000000004</v>
      </c>
      <c r="L41" s="26">
        <v>58.017666666666663</v>
      </c>
      <c r="M41" s="26">
        <f t="shared" si="1"/>
        <v>55</v>
      </c>
      <c r="N41" s="29">
        <f t="shared" si="2"/>
        <v>42.028241666666673</v>
      </c>
      <c r="O41" s="299">
        <f>NPV(WACC!$E$22,C41:L41)+PV(WACC!$O$22,10,,-M41/(WACC!$O$22-WACC!$O$20))</f>
        <v>1228.0407689571311</v>
      </c>
      <c r="P41" s="299">
        <v>68.842179774068001</v>
      </c>
      <c r="Q41" s="537"/>
    </row>
    <row r="42" spans="1:17">
      <c r="A42" s="25" t="s">
        <v>72</v>
      </c>
      <c r="B42" s="24">
        <v>24</v>
      </c>
      <c r="C42" s="26">
        <v>49.67883333333333</v>
      </c>
      <c r="D42" s="26">
        <v>50.37016666666667</v>
      </c>
      <c r="E42" s="26">
        <v>45.524583333333332</v>
      </c>
      <c r="F42" s="26">
        <v>42.829083333333337</v>
      </c>
      <c r="G42" s="26">
        <v>46.59525</v>
      </c>
      <c r="H42" s="26">
        <v>35.487499999999997</v>
      </c>
      <c r="I42" s="26">
        <v>29.337833333333336</v>
      </c>
      <c r="J42" s="26">
        <v>21.948591666666662</v>
      </c>
      <c r="K42" s="26">
        <v>28.626658333333335</v>
      </c>
      <c r="L42" s="26">
        <v>63.881583333333317</v>
      </c>
      <c r="M42" s="26">
        <f t="shared" si="1"/>
        <v>47.433979774068</v>
      </c>
      <c r="N42" s="29">
        <f t="shared" si="2"/>
        <v>41.974005737036485</v>
      </c>
      <c r="O42" s="299">
        <f>NPV(WACC!$E$22,C42:L42)+PV(WACC!$O$22,10,,-M42/(WACC!$O$22-WACC!$O$20))</f>
        <v>1118.0683596099525</v>
      </c>
      <c r="P42" s="299">
        <v>47.433979774068</v>
      </c>
      <c r="Q42" s="537"/>
    </row>
    <row r="43" spans="1:17">
      <c r="A43" s="25" t="s">
        <v>54</v>
      </c>
      <c r="B43" s="24">
        <v>25</v>
      </c>
      <c r="C43" s="26">
        <v>31.318000000000001</v>
      </c>
      <c r="D43" s="26">
        <v>41.66341666666667</v>
      </c>
      <c r="E43" s="26">
        <v>42.100916666666663</v>
      </c>
      <c r="F43" s="26">
        <v>29.458383333333334</v>
      </c>
      <c r="G43" s="26">
        <v>45.01541666666666</v>
      </c>
      <c r="H43" s="26">
        <v>37.459208333333336</v>
      </c>
      <c r="I43" s="26">
        <v>19.214716666666664</v>
      </c>
      <c r="J43" s="26">
        <v>52.058166666666665</v>
      </c>
      <c r="K43" s="26">
        <v>56.285583333333328</v>
      </c>
      <c r="L43" s="26">
        <v>51.326166666666666</v>
      </c>
      <c r="M43" s="26">
        <f t="shared" si="1"/>
        <v>55</v>
      </c>
      <c r="N43" s="29">
        <f t="shared" si="2"/>
        <v>41.899997727272726</v>
      </c>
      <c r="O43" s="299">
        <f>NPV(WACC!$E$22,C43:L43)+PV(WACC!$O$22,10,,-M43/(WACC!$O$22-WACC!$O$20))</f>
        <v>1230.4764711816783</v>
      </c>
      <c r="P43" s="299">
        <v>59.145846440734665</v>
      </c>
      <c r="Q43" s="537"/>
    </row>
    <row r="44" spans="1:17">
      <c r="A44" s="25" t="s">
        <v>26</v>
      </c>
      <c r="B44" s="24">
        <v>26</v>
      </c>
      <c r="C44" s="26">
        <v>55.133333333333333</v>
      </c>
      <c r="D44" s="26">
        <v>51.175083333333326</v>
      </c>
      <c r="E44" s="26">
        <v>46.565249999999999</v>
      </c>
      <c r="F44" s="26">
        <v>39.642916666666665</v>
      </c>
      <c r="G44" s="26">
        <v>44.678083333333326</v>
      </c>
      <c r="H44" s="26">
        <v>30.682816666666668</v>
      </c>
      <c r="I44" s="26">
        <v>43.954841666666674</v>
      </c>
      <c r="J44" s="26">
        <v>53.839750000000002</v>
      </c>
      <c r="K44" s="26">
        <v>27.926475</v>
      </c>
      <c r="L44" s="26">
        <v>22.066400000000002</v>
      </c>
      <c r="M44" s="26">
        <f t="shared" si="1"/>
        <v>45</v>
      </c>
      <c r="N44" s="29">
        <f t="shared" si="2"/>
        <v>41.878631818181809</v>
      </c>
      <c r="O44" s="299">
        <f>NPV(WACC!$E$22,C44:L44)+PV(WACC!$O$22,10,,-M44/(WACC!$O$22-WACC!$O$20))</f>
        <v>1081.8680836182568</v>
      </c>
      <c r="P44" s="299">
        <v>35.594563107401321</v>
      </c>
      <c r="Q44" s="537"/>
    </row>
    <row r="45" spans="1:17">
      <c r="A45" s="25" t="s">
        <v>110</v>
      </c>
      <c r="B45" s="24">
        <v>27</v>
      </c>
      <c r="C45" s="26">
        <v>49.597499999999997</v>
      </c>
      <c r="D45" s="26">
        <v>50.737749999999998</v>
      </c>
      <c r="E45" s="26">
        <v>43.499000000000002</v>
      </c>
      <c r="F45" s="26">
        <v>57.379000000000012</v>
      </c>
      <c r="G45" s="26">
        <v>43.039166666666667</v>
      </c>
      <c r="H45" s="26">
        <v>26.178783333333339</v>
      </c>
      <c r="I45" s="26">
        <v>12.256100000000002</v>
      </c>
      <c r="J45" s="26">
        <v>39.574666666666666</v>
      </c>
      <c r="K45" s="26">
        <v>32.562916666666659</v>
      </c>
      <c r="L45" s="26">
        <v>48.155583333333333</v>
      </c>
      <c r="M45" s="26">
        <f t="shared" si="1"/>
        <v>55</v>
      </c>
      <c r="N45" s="29">
        <f t="shared" si="2"/>
        <v>41.634587878787869</v>
      </c>
      <c r="O45" s="299">
        <f>NPV(WACC!$E$22,C45:L45)+PV(WACC!$O$22,10,,-M45/(WACC!$O$22-WACC!$O$20))</f>
        <v>1241.7054023347939</v>
      </c>
      <c r="P45" s="299">
        <v>62.420679774067992</v>
      </c>
      <c r="Q45" s="537"/>
    </row>
    <row r="46" spans="1:17">
      <c r="A46" s="25" t="s">
        <v>62</v>
      </c>
      <c r="B46" s="24">
        <v>28</v>
      </c>
      <c r="C46" s="26">
        <v>43.986333333333334</v>
      </c>
      <c r="D46" s="26">
        <v>27.532150000000001</v>
      </c>
      <c r="E46" s="26">
        <v>25.366</v>
      </c>
      <c r="F46" s="26">
        <v>42.160583333333342</v>
      </c>
      <c r="G46" s="26">
        <v>37.32383333333334</v>
      </c>
      <c r="H46" s="26">
        <v>41.046699999999994</v>
      </c>
      <c r="I46" s="26">
        <v>26.560633333333332</v>
      </c>
      <c r="J46" s="26">
        <v>57.269833333333331</v>
      </c>
      <c r="K46" s="26">
        <v>32.877766666666666</v>
      </c>
      <c r="L46" s="26">
        <v>66.214666666666673</v>
      </c>
      <c r="M46" s="26">
        <f t="shared" si="1"/>
        <v>55</v>
      </c>
      <c r="N46" s="29">
        <f t="shared" si="2"/>
        <v>41.394409090909093</v>
      </c>
      <c r="O46" s="299">
        <f>NPV(WACC!$E$22,C46:L46)+PV(WACC!$O$22,10,,-M46/(WACC!$O$22-WACC!$O$20))</f>
        <v>1225.2757697293423</v>
      </c>
      <c r="P46" s="299">
        <v>66.344513107401326</v>
      </c>
      <c r="Q46" s="537"/>
    </row>
    <row r="47" spans="1:17">
      <c r="A47" s="25" t="s">
        <v>89</v>
      </c>
      <c r="B47" s="24">
        <v>29</v>
      </c>
      <c r="C47" s="26">
        <v>37.434666666666665</v>
      </c>
      <c r="D47" s="26">
        <v>26.899458333333332</v>
      </c>
      <c r="E47" s="26">
        <v>49.707750000000011</v>
      </c>
      <c r="F47" s="26">
        <v>46.670666666666655</v>
      </c>
      <c r="G47" s="26">
        <v>52.911333333333339</v>
      </c>
      <c r="H47" s="26">
        <v>45.542083333333331</v>
      </c>
      <c r="I47" s="26">
        <v>29.64231666666667</v>
      </c>
      <c r="J47" s="26">
        <v>29.840841666666666</v>
      </c>
      <c r="K47" s="26">
        <v>51.812750000000001</v>
      </c>
      <c r="L47" s="26">
        <v>39.732333333333337</v>
      </c>
      <c r="M47" s="26">
        <f t="shared" si="1"/>
        <v>45</v>
      </c>
      <c r="N47" s="29">
        <f t="shared" si="2"/>
        <v>41.381290909090907</v>
      </c>
      <c r="O47" s="299">
        <f>NPV(WACC!$E$22,C47:L47)+PV(WACC!$O$22,10,,-M47/(WACC!$O$22-WACC!$O$20))</f>
        <v>1067.6314827104077</v>
      </c>
      <c r="P47" s="299">
        <v>43.782013107401326</v>
      </c>
      <c r="Q47" s="537"/>
    </row>
    <row r="48" spans="1:17">
      <c r="A48" s="25" t="s">
        <v>106</v>
      </c>
      <c r="B48" s="24">
        <v>30</v>
      </c>
      <c r="C48" s="26">
        <v>53.431833333333337</v>
      </c>
      <c r="D48" s="26">
        <v>42.90841666666666</v>
      </c>
      <c r="E48" s="26">
        <v>46.59825</v>
      </c>
      <c r="F48" s="26">
        <v>46.390083333333337</v>
      </c>
      <c r="G48" s="26">
        <v>35.767583333333334</v>
      </c>
      <c r="H48" s="26">
        <v>40.665666666666667</v>
      </c>
      <c r="I48" s="26">
        <v>21.964454166666666</v>
      </c>
      <c r="J48" s="26">
        <v>17.60510833333333</v>
      </c>
      <c r="K48" s="26">
        <v>48.993666666666655</v>
      </c>
      <c r="L48" s="26">
        <v>44.758749999999999</v>
      </c>
      <c r="M48" s="26">
        <f t="shared" si="1"/>
        <v>55</v>
      </c>
      <c r="N48" s="29">
        <f t="shared" si="2"/>
        <v>41.28034659090909</v>
      </c>
      <c r="O48" s="299">
        <f>NPV(WACC!$E$22,C48:L48)+PV(WACC!$O$22,10,,-M48/(WACC!$O$22-WACC!$O$20))</f>
        <v>1237.532410525569</v>
      </c>
      <c r="P48" s="299">
        <v>67.903196440734661</v>
      </c>
      <c r="Q48" s="537"/>
    </row>
    <row r="49" spans="1:17">
      <c r="A49" s="25" t="s">
        <v>57</v>
      </c>
      <c r="B49" s="24">
        <v>31</v>
      </c>
      <c r="C49" s="26">
        <v>33.810333333333332</v>
      </c>
      <c r="D49" s="26">
        <v>32.482416666666666</v>
      </c>
      <c r="E49" s="26">
        <v>29.57941666666667</v>
      </c>
      <c r="F49" s="26">
        <v>36.619166666666665</v>
      </c>
      <c r="G49" s="26">
        <v>47.648083333333325</v>
      </c>
      <c r="H49" s="26">
        <v>49.705175000000004</v>
      </c>
      <c r="I49" s="26">
        <v>29.220725000000002</v>
      </c>
      <c r="J49" s="26">
        <v>62.521333333333331</v>
      </c>
      <c r="K49" s="26">
        <v>40.674166666666672</v>
      </c>
      <c r="L49" s="26">
        <v>34.466533333333338</v>
      </c>
      <c r="M49" s="26">
        <f t="shared" si="1"/>
        <v>54.42801310740132</v>
      </c>
      <c r="N49" s="29">
        <f t="shared" si="2"/>
        <v>41.014123918854665</v>
      </c>
      <c r="O49" s="299">
        <f>NPV(WACC!$E$22,C49:L49)+PV(WACC!$O$22,10,,-M49/(WACC!$O$22-WACC!$O$20))</f>
        <v>1215.2715671791593</v>
      </c>
      <c r="P49" s="299">
        <v>54.42801310740132</v>
      </c>
      <c r="Q49" s="537"/>
    </row>
    <row r="50" spans="1:17">
      <c r="A50" s="25" t="s">
        <v>104</v>
      </c>
      <c r="B50" s="24">
        <v>32</v>
      </c>
      <c r="C50" s="26">
        <v>44.942499999999995</v>
      </c>
      <c r="D50" s="26">
        <v>43.27375</v>
      </c>
      <c r="E50" s="26">
        <v>47.88741666666666</v>
      </c>
      <c r="F50" s="26">
        <v>60.099166666666669</v>
      </c>
      <c r="G50" s="26">
        <v>53.398583333333335</v>
      </c>
      <c r="H50" s="26">
        <v>26.203778541666665</v>
      </c>
      <c r="I50" s="26">
        <v>4.6164366666666661</v>
      </c>
      <c r="J50" s="26">
        <v>11.708366666666668</v>
      </c>
      <c r="K50" s="26">
        <v>39.668249999999993</v>
      </c>
      <c r="L50" s="26">
        <v>59.965833333333329</v>
      </c>
      <c r="M50" s="26">
        <f t="shared" si="1"/>
        <v>55</v>
      </c>
      <c r="N50" s="29">
        <f t="shared" si="2"/>
        <v>40.614916534090909</v>
      </c>
      <c r="O50" s="299">
        <f>NPV(WACC!$E$22,C50:L50)+PV(WACC!$O$22,10,,-M50/(WACC!$O$22-WACC!$O$20))</f>
        <v>1232.5636344388113</v>
      </c>
      <c r="P50" s="299">
        <v>67.673679774067992</v>
      </c>
      <c r="Q50" s="537"/>
    </row>
    <row r="51" spans="1:17">
      <c r="A51" s="25" t="s">
        <v>76</v>
      </c>
      <c r="B51" s="24">
        <v>33</v>
      </c>
      <c r="C51" s="26">
        <v>46.844166666666666</v>
      </c>
      <c r="D51" s="26">
        <v>31.366916666666668</v>
      </c>
      <c r="E51" s="26">
        <v>44.703166666666668</v>
      </c>
      <c r="F51" s="26">
        <v>55.541500000000006</v>
      </c>
      <c r="G51" s="26">
        <v>55.58358333333333</v>
      </c>
      <c r="H51" s="26">
        <v>15.063274999999999</v>
      </c>
      <c r="I51" s="26">
        <v>26.250291666666669</v>
      </c>
      <c r="J51" s="26">
        <v>37.200808333333335</v>
      </c>
      <c r="K51" s="26">
        <v>37.579999999999991</v>
      </c>
      <c r="L51" s="26">
        <v>40.573749999999997</v>
      </c>
      <c r="M51" s="26">
        <f t="shared" ref="M51:M82" si="3">IF(P51&gt;Costo_marginal_maximo,Costo_marginal_maximo,IF(P51&lt;Costo_marginal_minimo,Costo_marginal_minimo,P51))</f>
        <v>55</v>
      </c>
      <c r="N51" s="29">
        <f t="shared" ref="N51:N82" si="4">AVERAGE(C51:M51)</f>
        <v>40.518859848484851</v>
      </c>
      <c r="O51" s="299">
        <f>NPV(WACC!$E$22,C51:L51)+PV(WACC!$O$22,10,,-M51/(WACC!$O$22-WACC!$O$20))</f>
        <v>1229.5195864937705</v>
      </c>
      <c r="P51" s="299">
        <v>57.326679774067998</v>
      </c>
      <c r="Q51" s="537"/>
    </row>
    <row r="52" spans="1:17">
      <c r="A52" s="25" t="s">
        <v>23</v>
      </c>
      <c r="B52" s="24">
        <v>34</v>
      </c>
      <c r="C52" s="26">
        <v>47.398833333333329</v>
      </c>
      <c r="D52" s="26">
        <v>41.755249999999997</v>
      </c>
      <c r="E52" s="26">
        <v>38.122666666666667</v>
      </c>
      <c r="F52" s="26">
        <v>45.161749999999991</v>
      </c>
      <c r="G52" s="26">
        <v>55.851999999999997</v>
      </c>
      <c r="H52" s="26">
        <v>28.636950000000002</v>
      </c>
      <c r="I52" s="26">
        <v>8.0962833333333339</v>
      </c>
      <c r="J52" s="26">
        <v>25.610325</v>
      </c>
      <c r="K52" s="26">
        <v>31.297250000000002</v>
      </c>
      <c r="L52" s="26">
        <v>64.671000000000006</v>
      </c>
      <c r="M52" s="26">
        <f t="shared" si="3"/>
        <v>55</v>
      </c>
      <c r="N52" s="29">
        <f t="shared" si="4"/>
        <v>40.145664393939391</v>
      </c>
      <c r="O52" s="299">
        <f>NPV(WACC!$E$22,C52:L52)+PV(WACC!$O$22,10,,-M52/(WACC!$O$22-WACC!$O$20))</f>
        <v>1225.7290600018571</v>
      </c>
      <c r="P52" s="299">
        <v>71.558846440734655</v>
      </c>
      <c r="Q52" s="537"/>
    </row>
    <row r="53" spans="1:17">
      <c r="A53" s="25" t="s">
        <v>90</v>
      </c>
      <c r="B53" s="24">
        <v>35</v>
      </c>
      <c r="C53" s="26">
        <v>31.769833333333338</v>
      </c>
      <c r="D53" s="26">
        <v>34.820250000000001</v>
      </c>
      <c r="E53" s="26">
        <v>36.738500000000002</v>
      </c>
      <c r="F53" s="26">
        <v>21.037424999999999</v>
      </c>
      <c r="G53" s="26">
        <v>38.75866666666667</v>
      </c>
      <c r="H53" s="26">
        <v>25.833356333333327</v>
      </c>
      <c r="I53" s="26">
        <v>24.792275</v>
      </c>
      <c r="J53" s="26">
        <v>64.934750000000008</v>
      </c>
      <c r="K53" s="26">
        <v>65.848333333333329</v>
      </c>
      <c r="L53" s="26">
        <v>50.264999999999986</v>
      </c>
      <c r="M53" s="26">
        <f t="shared" si="3"/>
        <v>45.983346440734664</v>
      </c>
      <c r="N53" s="29">
        <f t="shared" si="4"/>
        <v>40.071066918854669</v>
      </c>
      <c r="O53" s="299">
        <f>NPV(WACC!$E$22,C53:L53)+PV(WACC!$O$22,10,,-M53/(WACC!$O$22-WACC!$O$20))</f>
        <v>1063.3892549821835</v>
      </c>
      <c r="P53" s="299">
        <v>45.983346440734664</v>
      </c>
      <c r="Q53" s="537"/>
    </row>
    <row r="54" spans="1:17">
      <c r="A54" s="25" t="s">
        <v>78</v>
      </c>
      <c r="B54" s="24">
        <v>36</v>
      </c>
      <c r="C54" s="26">
        <v>40.717000000000006</v>
      </c>
      <c r="D54" s="26">
        <v>39.311083333333336</v>
      </c>
      <c r="E54" s="26">
        <v>44.557166666666667</v>
      </c>
      <c r="F54" s="26">
        <v>27.479016666666666</v>
      </c>
      <c r="G54" s="26">
        <v>29.742858333333341</v>
      </c>
      <c r="H54" s="26">
        <v>44.784916666666668</v>
      </c>
      <c r="I54" s="26">
        <v>25.647783333333326</v>
      </c>
      <c r="J54" s="26">
        <v>33.962833333333329</v>
      </c>
      <c r="K54" s="26">
        <v>41.527083333333337</v>
      </c>
      <c r="L54" s="26">
        <v>63.990583333333326</v>
      </c>
      <c r="M54" s="26">
        <f t="shared" si="3"/>
        <v>45</v>
      </c>
      <c r="N54" s="29">
        <f t="shared" si="4"/>
        <v>39.701847727272735</v>
      </c>
      <c r="O54" s="299">
        <f>NPV(WACC!$E$22,C54:L54)+PV(WACC!$O$22,10,,-M54/(WACC!$O$22-WACC!$O$20))</f>
        <v>1051.8955497480642</v>
      </c>
      <c r="P54" s="299">
        <v>44.166679774068001</v>
      </c>
      <c r="Q54" s="537"/>
    </row>
    <row r="55" spans="1:17">
      <c r="A55" s="25" t="s">
        <v>121</v>
      </c>
      <c r="B55" s="24">
        <v>37</v>
      </c>
      <c r="C55" s="26">
        <v>50.771333333333331</v>
      </c>
      <c r="D55" s="26">
        <v>41.182749999999999</v>
      </c>
      <c r="E55" s="26">
        <v>23.582583333333332</v>
      </c>
      <c r="F55" s="26">
        <v>36.959666666666664</v>
      </c>
      <c r="G55" s="26">
        <v>15.546733333333336</v>
      </c>
      <c r="H55" s="26">
        <v>0.37938207499999993</v>
      </c>
      <c r="I55" s="26">
        <v>11.655672691666666</v>
      </c>
      <c r="J55" s="26">
        <v>66.969666666666669</v>
      </c>
      <c r="K55" s="26">
        <v>47.972008333333328</v>
      </c>
      <c r="L55" s="26">
        <v>86.099166666666648</v>
      </c>
      <c r="M55" s="26">
        <f t="shared" si="3"/>
        <v>55</v>
      </c>
      <c r="N55" s="29">
        <f t="shared" si="4"/>
        <v>39.647178463636358</v>
      </c>
      <c r="O55" s="299">
        <f>NPV(WACC!$E$22,C55:L55)+PV(WACC!$O$22,10,,-M55/(WACC!$O$22-WACC!$O$20))</f>
        <v>1209.6174943233686</v>
      </c>
      <c r="P55" s="299">
        <v>59.44851310740134</v>
      </c>
      <c r="Q55" s="537"/>
    </row>
    <row r="56" spans="1:17">
      <c r="A56" s="25" t="s">
        <v>44</v>
      </c>
      <c r="B56" s="24">
        <v>38</v>
      </c>
      <c r="C56" s="26">
        <v>24.002166666666668</v>
      </c>
      <c r="D56" s="26">
        <v>40.682166666666667</v>
      </c>
      <c r="E56" s="26">
        <v>53.112583333333333</v>
      </c>
      <c r="F56" s="26">
        <v>40.878166666666665</v>
      </c>
      <c r="G56" s="26">
        <v>62.604083333333335</v>
      </c>
      <c r="H56" s="26">
        <v>63.091999999999985</v>
      </c>
      <c r="I56" s="26">
        <v>56.314050000000002</v>
      </c>
      <c r="J56" s="26">
        <v>14.822596666666668</v>
      </c>
      <c r="K56" s="26">
        <v>27.656716666666668</v>
      </c>
      <c r="L56" s="26">
        <v>2.6775391666666661</v>
      </c>
      <c r="M56" s="26">
        <f t="shared" si="3"/>
        <v>45</v>
      </c>
      <c r="N56" s="29">
        <f t="shared" si="4"/>
        <v>39.167460833333337</v>
      </c>
      <c r="O56" s="299">
        <f>NPV(WACC!$E$22,C56:L56)+PV(WACC!$O$22,10,,-M56/(WACC!$O$22-WACC!$O$20))</f>
        <v>1058.7670100501684</v>
      </c>
      <c r="P56" s="299">
        <v>25.702546440734665</v>
      </c>
      <c r="Q56" s="537"/>
    </row>
    <row r="57" spans="1:17">
      <c r="A57" s="25" t="s">
        <v>64</v>
      </c>
      <c r="B57" s="24">
        <v>39</v>
      </c>
      <c r="C57" s="26">
        <v>49.929833333333328</v>
      </c>
      <c r="D57" s="26">
        <v>47.144666666666659</v>
      </c>
      <c r="E57" s="26">
        <v>47.649583333333332</v>
      </c>
      <c r="F57" s="26">
        <v>53.461833333333324</v>
      </c>
      <c r="G57" s="26">
        <v>58.111166666666662</v>
      </c>
      <c r="H57" s="26">
        <v>12.567348666666669</v>
      </c>
      <c r="I57" s="26">
        <v>18.007915000000001</v>
      </c>
      <c r="J57" s="26">
        <v>31.965566666666664</v>
      </c>
      <c r="K57" s="26">
        <v>30.803333333333338</v>
      </c>
      <c r="L57" s="26">
        <v>26.12425</v>
      </c>
      <c r="M57" s="26">
        <f t="shared" si="3"/>
        <v>55</v>
      </c>
      <c r="N57" s="29">
        <f t="shared" si="4"/>
        <v>39.160499727272729</v>
      </c>
      <c r="O57" s="299">
        <f>NPV(WACC!$E$22,C57:L57)+PV(WACC!$O$22,10,,-M57/(WACC!$O$22-WACC!$O$20))</f>
        <v>1226.8680690867129</v>
      </c>
      <c r="P57" s="299">
        <v>55.030346440734661</v>
      </c>
      <c r="Q57" s="537"/>
    </row>
    <row r="58" spans="1:17">
      <c r="A58" s="25" t="s">
        <v>60</v>
      </c>
      <c r="B58" s="24">
        <v>40</v>
      </c>
      <c r="C58" s="26">
        <v>54.537499999999994</v>
      </c>
      <c r="D58" s="26">
        <v>31.62819166666667</v>
      </c>
      <c r="E58" s="26">
        <v>52.230666666666671</v>
      </c>
      <c r="F58" s="26">
        <v>58.180583333333338</v>
      </c>
      <c r="G58" s="26">
        <v>38.861666666666672</v>
      </c>
      <c r="H58" s="26">
        <v>28.526650000000007</v>
      </c>
      <c r="I58" s="26">
        <v>10.908455833333333</v>
      </c>
      <c r="J58" s="26">
        <v>16.447975</v>
      </c>
      <c r="K58" s="26">
        <v>28.915083333333332</v>
      </c>
      <c r="L58" s="26">
        <v>52.215499999999999</v>
      </c>
      <c r="M58" s="26">
        <f t="shared" si="3"/>
        <v>55</v>
      </c>
      <c r="N58" s="29">
        <f t="shared" si="4"/>
        <v>38.859297499999997</v>
      </c>
      <c r="O58" s="299">
        <f>NPV(WACC!$E$22,C58:L58)+PV(WACC!$O$22,10,,-M58/(WACC!$O$22-WACC!$O$20))</f>
        <v>1220.8059424956782</v>
      </c>
      <c r="P58" s="299">
        <v>72.766179774067993</v>
      </c>
      <c r="Q58" s="537"/>
    </row>
    <row r="59" spans="1:17">
      <c r="A59" s="25" t="s">
        <v>30</v>
      </c>
      <c r="B59" s="24">
        <v>41</v>
      </c>
      <c r="C59" s="26">
        <v>40.596499999999999</v>
      </c>
      <c r="D59" s="26">
        <v>43.51</v>
      </c>
      <c r="E59" s="26">
        <v>41.47825000000001</v>
      </c>
      <c r="F59" s="26">
        <v>25.067749999999993</v>
      </c>
      <c r="G59" s="26">
        <v>14.714683333333333</v>
      </c>
      <c r="H59" s="26">
        <v>19.107600000000001</v>
      </c>
      <c r="I59" s="26">
        <v>35.879708333333333</v>
      </c>
      <c r="J59" s="26">
        <v>44.28308333333333</v>
      </c>
      <c r="K59" s="26">
        <v>34.517666666666663</v>
      </c>
      <c r="L59" s="26">
        <v>70.581499999999991</v>
      </c>
      <c r="M59" s="26">
        <f t="shared" si="3"/>
        <v>55</v>
      </c>
      <c r="N59" s="29">
        <f t="shared" si="4"/>
        <v>38.612431060606063</v>
      </c>
      <c r="O59" s="299">
        <f>NPV(WACC!$E$22,C59:L59)+PV(WACC!$O$22,10,,-M59/(WACC!$O$22-WACC!$O$20))</f>
        <v>1205.6782057448515</v>
      </c>
      <c r="P59" s="299">
        <v>68.731679774067985</v>
      </c>
      <c r="Q59" s="537"/>
    </row>
    <row r="60" spans="1:17">
      <c r="A60" s="25" t="s">
        <v>105</v>
      </c>
      <c r="B60" s="24">
        <v>42</v>
      </c>
      <c r="C60" s="26">
        <v>53.61783333333333</v>
      </c>
      <c r="D60" s="26">
        <v>58.706666666666671</v>
      </c>
      <c r="E60" s="26">
        <v>41.707166666666666</v>
      </c>
      <c r="F60" s="26">
        <v>51.85958333333334</v>
      </c>
      <c r="G60" s="26">
        <v>26.051983333333325</v>
      </c>
      <c r="H60" s="26">
        <v>10.672448333333334</v>
      </c>
      <c r="I60" s="26">
        <v>14.271083333333332</v>
      </c>
      <c r="J60" s="26">
        <v>32.103458333333329</v>
      </c>
      <c r="K60" s="26">
        <v>30.701966666666667</v>
      </c>
      <c r="L60" s="26">
        <v>49.910999999999994</v>
      </c>
      <c r="M60" s="26">
        <f t="shared" si="3"/>
        <v>55</v>
      </c>
      <c r="N60" s="29">
        <f t="shared" si="4"/>
        <v>38.600290000000001</v>
      </c>
      <c r="O60" s="299">
        <f>NPV(WACC!$E$22,C60:L60)+PV(WACC!$O$22,10,,-M60/(WACC!$O$22-WACC!$O$20))</f>
        <v>1219.9270118914594</v>
      </c>
      <c r="P60" s="299">
        <v>69.256846440734662</v>
      </c>
      <c r="Q60" s="537"/>
    </row>
    <row r="61" spans="1:17">
      <c r="A61" s="25" t="s">
        <v>95</v>
      </c>
      <c r="B61" s="24">
        <v>43</v>
      </c>
      <c r="C61" s="26">
        <v>50.076666666666661</v>
      </c>
      <c r="D61" s="26">
        <v>41.136666666666663</v>
      </c>
      <c r="E61" s="26">
        <v>54.303166666666662</v>
      </c>
      <c r="F61" s="26">
        <v>33.328083333333332</v>
      </c>
      <c r="G61" s="26">
        <v>37.118500000000004</v>
      </c>
      <c r="H61" s="26">
        <v>33.955416666666665</v>
      </c>
      <c r="I61" s="26">
        <v>23.325640833333335</v>
      </c>
      <c r="J61" s="26">
        <v>49.012750000000004</v>
      </c>
      <c r="K61" s="26">
        <v>15.403617500000001</v>
      </c>
      <c r="L61" s="26">
        <v>29.370833333333337</v>
      </c>
      <c r="M61" s="26">
        <f t="shared" si="3"/>
        <v>55</v>
      </c>
      <c r="N61" s="29">
        <f t="shared" si="4"/>
        <v>38.366485606060607</v>
      </c>
      <c r="O61" s="299">
        <f>NPV(WACC!$E$22,C61:L61)+PV(WACC!$O$22,10,,-M61/(WACC!$O$22-WACC!$O$20))</f>
        <v>1217.6177353730723</v>
      </c>
      <c r="P61" s="299">
        <v>56.444513107401328</v>
      </c>
      <c r="Q61" s="537"/>
    </row>
    <row r="62" spans="1:17">
      <c r="A62" s="25" t="s">
        <v>92</v>
      </c>
      <c r="B62" s="24">
        <v>44</v>
      </c>
      <c r="C62" s="26">
        <v>63.29666666666666</v>
      </c>
      <c r="D62" s="26">
        <v>52.396999999999991</v>
      </c>
      <c r="E62" s="26">
        <v>55.157999999999994</v>
      </c>
      <c r="F62" s="26">
        <v>37.31066666666667</v>
      </c>
      <c r="G62" s="26">
        <v>8.9475833333333341</v>
      </c>
      <c r="H62" s="26">
        <v>18.567116666666667</v>
      </c>
      <c r="I62" s="26">
        <v>14.547565051583335</v>
      </c>
      <c r="J62" s="26">
        <v>20.333533333333332</v>
      </c>
      <c r="K62" s="26">
        <v>42.754916666666666</v>
      </c>
      <c r="L62" s="26">
        <v>54.774416666666674</v>
      </c>
      <c r="M62" s="26">
        <f t="shared" si="3"/>
        <v>52.599513107401343</v>
      </c>
      <c r="N62" s="29">
        <f t="shared" si="4"/>
        <v>38.244270741725877</v>
      </c>
      <c r="O62" s="299">
        <f>NPV(WACC!$E$22,C62:L62)+PV(WACC!$O$22,10,,-M62/(WACC!$O$22-WACC!$O$20))</f>
        <v>1177.6104983509699</v>
      </c>
      <c r="P62" s="299">
        <v>52.599513107401343</v>
      </c>
      <c r="Q62" s="537"/>
    </row>
    <row r="63" spans="1:17">
      <c r="A63" s="25" t="s">
        <v>22</v>
      </c>
      <c r="B63" s="24">
        <v>45</v>
      </c>
      <c r="C63" s="26">
        <v>48.833499999999994</v>
      </c>
      <c r="D63" s="26">
        <v>31.473224999999999</v>
      </c>
      <c r="E63" s="26">
        <v>36.801400000000001</v>
      </c>
      <c r="F63" s="26">
        <v>55.105916666666666</v>
      </c>
      <c r="G63" s="26">
        <v>54.58991666666666</v>
      </c>
      <c r="H63" s="26">
        <v>44.440083333333327</v>
      </c>
      <c r="I63" s="26">
        <v>31.202583333333333</v>
      </c>
      <c r="J63" s="26">
        <v>29.293175000000002</v>
      </c>
      <c r="K63" s="26">
        <v>14.3265425</v>
      </c>
      <c r="L63" s="26">
        <v>15.671008333333331</v>
      </c>
      <c r="M63" s="26">
        <f t="shared" si="3"/>
        <v>55</v>
      </c>
      <c r="N63" s="29">
        <f t="shared" si="4"/>
        <v>37.885213712121214</v>
      </c>
      <c r="O63" s="299">
        <f>NPV(WACC!$E$22,C63:L63)+PV(WACC!$O$22,10,,-M63/(WACC!$O$22-WACC!$O$20))</f>
        <v>1215.4786898336245</v>
      </c>
      <c r="P63" s="299">
        <v>65.773013107401326</v>
      </c>
      <c r="Q63" s="537"/>
    </row>
    <row r="64" spans="1:17">
      <c r="A64" s="25" t="s">
        <v>67</v>
      </c>
      <c r="B64" s="24">
        <v>46</v>
      </c>
      <c r="C64" s="26">
        <v>62.666666666666664</v>
      </c>
      <c r="D64" s="26">
        <v>39.532666666666664</v>
      </c>
      <c r="E64" s="26">
        <v>38.709249999999997</v>
      </c>
      <c r="F64" s="26">
        <v>44.871250000000003</v>
      </c>
      <c r="G64" s="26">
        <v>41.397666666666659</v>
      </c>
      <c r="H64" s="26">
        <v>26.701126666666664</v>
      </c>
      <c r="I64" s="26">
        <v>8.48245</v>
      </c>
      <c r="J64" s="26">
        <v>6.8427666666666669</v>
      </c>
      <c r="K64" s="26">
        <v>38.539858333333335</v>
      </c>
      <c r="L64" s="26">
        <v>48.048499999999997</v>
      </c>
      <c r="M64" s="26">
        <f t="shared" si="3"/>
        <v>49.34977977406799</v>
      </c>
      <c r="N64" s="29">
        <f t="shared" si="4"/>
        <v>36.831089221884959</v>
      </c>
      <c r="O64" s="299">
        <f>NPV(WACC!$E$22,C64:L64)+PV(WACC!$O$22,10,,-M64/(WACC!$O$22-WACC!$O$20))</f>
        <v>1113.4757791512739</v>
      </c>
      <c r="P64" s="299">
        <v>49.34977977406799</v>
      </c>
      <c r="Q64" s="537"/>
    </row>
    <row r="65" spans="1:17">
      <c r="A65" s="25" t="s">
        <v>27</v>
      </c>
      <c r="B65" s="24">
        <v>47</v>
      </c>
      <c r="C65" s="26">
        <v>39.899000000000001</v>
      </c>
      <c r="D65" s="26">
        <v>28.038724999999999</v>
      </c>
      <c r="E65" s="26">
        <v>27.919666666666661</v>
      </c>
      <c r="F65" s="26">
        <v>49.34441666666666</v>
      </c>
      <c r="G65" s="26">
        <v>61.616000000000007</v>
      </c>
      <c r="H65" s="26">
        <v>35.959499999999998</v>
      </c>
      <c r="I65" s="26">
        <v>24.281283333333334</v>
      </c>
      <c r="J65" s="26">
        <v>25.235191666666662</v>
      </c>
      <c r="K65" s="26">
        <v>28.536216666666665</v>
      </c>
      <c r="L65" s="26">
        <v>34.50268333333333</v>
      </c>
      <c r="M65" s="26">
        <f t="shared" si="3"/>
        <v>45</v>
      </c>
      <c r="N65" s="29">
        <f t="shared" si="4"/>
        <v>36.393880303030301</v>
      </c>
      <c r="O65" s="299">
        <f>NPV(WACC!$E$22,C65:L65)+PV(WACC!$O$22,10,,-M65/(WACC!$O$22-WACC!$O$20))</f>
        <v>1031.8683446465695</v>
      </c>
      <c r="P65" s="299">
        <v>24.226346440734662</v>
      </c>
      <c r="Q65" s="537"/>
    </row>
    <row r="66" spans="1:17">
      <c r="A66" s="25" t="s">
        <v>115</v>
      </c>
      <c r="B66" s="24">
        <v>48</v>
      </c>
      <c r="C66" s="26">
        <v>54.459833333333336</v>
      </c>
      <c r="D66" s="26">
        <v>34.282249999999998</v>
      </c>
      <c r="E66" s="26">
        <v>45.170249999999989</v>
      </c>
      <c r="F66" s="26">
        <v>52.959250000000004</v>
      </c>
      <c r="G66" s="26">
        <v>47.942416666666674</v>
      </c>
      <c r="H66" s="26">
        <v>15.902933333333332</v>
      </c>
      <c r="I66" s="26">
        <v>18.483225000000001</v>
      </c>
      <c r="J66" s="26">
        <v>17.928867499999999</v>
      </c>
      <c r="K66" s="26">
        <v>2.8307100000000003</v>
      </c>
      <c r="L66" s="26">
        <v>57.706833333333329</v>
      </c>
      <c r="M66" s="26">
        <f t="shared" si="3"/>
        <v>52.646046440734658</v>
      </c>
      <c r="N66" s="29">
        <f t="shared" si="4"/>
        <v>36.392055964309215</v>
      </c>
      <c r="O66" s="299">
        <f>NPV(WACC!$E$22,C66:L66)+PV(WACC!$O$22,10,,-M66/(WACC!$O$22-WACC!$O$20))</f>
        <v>1164.4685551801249</v>
      </c>
      <c r="P66" s="299">
        <v>52.646046440734658</v>
      </c>
      <c r="Q66" s="537"/>
    </row>
    <row r="67" spans="1:17">
      <c r="A67" s="25" t="s">
        <v>114</v>
      </c>
      <c r="B67" s="24">
        <v>49</v>
      </c>
      <c r="C67" s="26">
        <v>47.171999999999997</v>
      </c>
      <c r="D67" s="26">
        <v>41.448750000000004</v>
      </c>
      <c r="E67" s="26">
        <v>20.58492</v>
      </c>
      <c r="F67" s="26">
        <v>44.07233333333334</v>
      </c>
      <c r="G67" s="26">
        <v>44.150916666666667</v>
      </c>
      <c r="H67" s="26">
        <v>39.843666666666671</v>
      </c>
      <c r="I67" s="26">
        <v>19.706816666666665</v>
      </c>
      <c r="J67" s="26">
        <v>25.65550833333333</v>
      </c>
      <c r="K67" s="26">
        <v>33.799666666666667</v>
      </c>
      <c r="L67" s="26">
        <v>35.748416666666664</v>
      </c>
      <c r="M67" s="26">
        <f t="shared" si="3"/>
        <v>46.406346440734666</v>
      </c>
      <c r="N67" s="29">
        <f t="shared" si="4"/>
        <v>36.235394676430424</v>
      </c>
      <c r="O67" s="299">
        <f>NPV(WACC!$E$22,C67:L67)+PV(WACC!$O$22,10,,-M67/(WACC!$O$22-WACC!$O$20))</f>
        <v>1055.1745924864888</v>
      </c>
      <c r="P67" s="299">
        <v>46.406346440734666</v>
      </c>
      <c r="Q67" s="537"/>
    </row>
    <row r="68" spans="1:17">
      <c r="A68" s="25" t="s">
        <v>81</v>
      </c>
      <c r="B68" s="24">
        <v>50</v>
      </c>
      <c r="C68" s="26">
        <v>50.050166666666662</v>
      </c>
      <c r="D68" s="26">
        <v>54.003166666666665</v>
      </c>
      <c r="E68" s="26">
        <v>53.331333333333333</v>
      </c>
      <c r="F68" s="26">
        <v>57.965833333333343</v>
      </c>
      <c r="G68" s="26">
        <v>55.39758333333333</v>
      </c>
      <c r="H68" s="26">
        <v>12.87031058333333</v>
      </c>
      <c r="I68" s="26">
        <v>12.932016666666668</v>
      </c>
      <c r="J68" s="26">
        <v>37.084166666666668</v>
      </c>
      <c r="K68" s="26">
        <v>7.4188691666666662</v>
      </c>
      <c r="L68" s="26">
        <v>11.985049999999999</v>
      </c>
      <c r="M68" s="26">
        <f t="shared" si="3"/>
        <v>45</v>
      </c>
      <c r="N68" s="29">
        <f t="shared" si="4"/>
        <v>36.185317856060593</v>
      </c>
      <c r="O68" s="299">
        <f>NPV(WACC!$E$22,C68:L68)+PV(WACC!$O$22,10,,-M68/(WACC!$O$22-WACC!$O$20))</f>
        <v>1046.9961571386739</v>
      </c>
      <c r="P68" s="299">
        <v>39.304513107401327</v>
      </c>
      <c r="Q68" s="537"/>
    </row>
    <row r="69" spans="1:17">
      <c r="A69" s="25" t="s">
        <v>77</v>
      </c>
      <c r="B69" s="24">
        <v>51</v>
      </c>
      <c r="C69" s="26">
        <v>44.011500000000005</v>
      </c>
      <c r="D69" s="26">
        <v>23.689166666666665</v>
      </c>
      <c r="E69" s="26">
        <v>26.428916666666669</v>
      </c>
      <c r="F69" s="26">
        <v>16.476783333333334</v>
      </c>
      <c r="G69" s="26">
        <v>36.197916666666671</v>
      </c>
      <c r="H69" s="26">
        <v>21.166350000000001</v>
      </c>
      <c r="I69" s="26">
        <v>21.711516666666665</v>
      </c>
      <c r="J69" s="26">
        <v>55.430833333333332</v>
      </c>
      <c r="K69" s="26">
        <v>51.282666666666664</v>
      </c>
      <c r="L69" s="26">
        <v>51.41899999999999</v>
      </c>
      <c r="M69" s="26">
        <f t="shared" si="3"/>
        <v>45</v>
      </c>
      <c r="N69" s="29">
        <f t="shared" si="4"/>
        <v>35.710422727272721</v>
      </c>
      <c r="O69" s="299">
        <f>NPV(WACC!$E$22,C69:L69)+PV(WACC!$O$22,10,,-M69/(WACC!$O$22-WACC!$O$20))</f>
        <v>1015.1532706047341</v>
      </c>
      <c r="P69" s="299">
        <v>43.703346440734656</v>
      </c>
      <c r="Q69" s="537"/>
    </row>
    <row r="70" spans="1:17">
      <c r="A70" s="25" t="s">
        <v>73</v>
      </c>
      <c r="B70" s="24">
        <v>52</v>
      </c>
      <c r="C70" s="26">
        <v>45.017000000000003</v>
      </c>
      <c r="D70" s="26">
        <v>35.932083333333331</v>
      </c>
      <c r="E70" s="26">
        <v>13.161056666666667</v>
      </c>
      <c r="F70" s="26">
        <v>55.354999999999997</v>
      </c>
      <c r="G70" s="26">
        <v>37.786250000000003</v>
      </c>
      <c r="H70" s="26">
        <v>42.481316666666665</v>
      </c>
      <c r="I70" s="26">
        <v>33.435750000000006</v>
      </c>
      <c r="J70" s="26">
        <v>21.731808333333333</v>
      </c>
      <c r="K70" s="26">
        <v>17.808308333333333</v>
      </c>
      <c r="L70" s="26">
        <v>36.003416666666659</v>
      </c>
      <c r="M70" s="26">
        <f t="shared" si="3"/>
        <v>53.981179774068003</v>
      </c>
      <c r="N70" s="29">
        <f t="shared" si="4"/>
        <v>35.699379070369815</v>
      </c>
      <c r="O70" s="299">
        <f>NPV(WACC!$E$22,C70:L70)+PV(WACC!$O$22,10,,-M70/(WACC!$O$22-WACC!$O$20))</f>
        <v>1175.0287696116818</v>
      </c>
      <c r="P70" s="299">
        <v>53.981179774068003</v>
      </c>
      <c r="Q70" s="537"/>
    </row>
    <row r="71" spans="1:17">
      <c r="A71" s="25" t="s">
        <v>46</v>
      </c>
      <c r="B71" s="24">
        <v>53</v>
      </c>
      <c r="C71" s="26">
        <v>29.632833333333338</v>
      </c>
      <c r="D71" s="26">
        <v>38.955500000000001</v>
      </c>
      <c r="E71" s="26">
        <v>46.085083333333337</v>
      </c>
      <c r="F71" s="26">
        <v>49.926333333333332</v>
      </c>
      <c r="G71" s="26">
        <v>30.108583333333332</v>
      </c>
      <c r="H71" s="26">
        <v>17.499765</v>
      </c>
      <c r="I71" s="26">
        <v>42.837499999999999</v>
      </c>
      <c r="J71" s="26">
        <v>39.33069166666666</v>
      </c>
      <c r="K71" s="26">
        <v>17.576050000000002</v>
      </c>
      <c r="L71" s="26">
        <v>24.51155833333333</v>
      </c>
      <c r="M71" s="26">
        <f t="shared" si="3"/>
        <v>55</v>
      </c>
      <c r="N71" s="29">
        <f t="shared" si="4"/>
        <v>35.587627121212115</v>
      </c>
      <c r="O71" s="299">
        <f>NPV(WACC!$E$22,C71:L71)+PV(WACC!$O$22,10,,-M71/(WACC!$O$22-WACC!$O$20))</f>
        <v>1191.3876022068839</v>
      </c>
      <c r="P71" s="299">
        <v>57.292013107401338</v>
      </c>
      <c r="Q71" s="537"/>
    </row>
    <row r="72" spans="1:17">
      <c r="A72" s="25" t="s">
        <v>97</v>
      </c>
      <c r="B72" s="24">
        <v>54</v>
      </c>
      <c r="C72" s="26">
        <v>46.855499999999999</v>
      </c>
      <c r="D72" s="26">
        <v>44.419583333333328</v>
      </c>
      <c r="E72" s="26">
        <v>48.486166666666669</v>
      </c>
      <c r="F72" s="26">
        <v>49.298000000000002</v>
      </c>
      <c r="G72" s="26">
        <v>51.705500000000001</v>
      </c>
      <c r="H72" s="26">
        <v>18.696008333333335</v>
      </c>
      <c r="I72" s="26">
        <v>15.2700285</v>
      </c>
      <c r="J72" s="26">
        <v>2.0775801666666669</v>
      </c>
      <c r="K72" s="26">
        <v>5.8426125000000004</v>
      </c>
      <c r="L72" s="26">
        <v>51.783749999999998</v>
      </c>
      <c r="M72" s="26">
        <f t="shared" si="3"/>
        <v>55</v>
      </c>
      <c r="N72" s="29">
        <f t="shared" si="4"/>
        <v>35.403157227272729</v>
      </c>
      <c r="O72" s="299">
        <f>NPV(WACC!$E$22,C72:L72)+PV(WACC!$O$22,10,,-M72/(WACC!$O$22-WACC!$O$20))</f>
        <v>1197.7833505564658</v>
      </c>
      <c r="P72" s="299">
        <v>64.850913107401325</v>
      </c>
      <c r="Q72" s="537"/>
    </row>
    <row r="73" spans="1:17">
      <c r="A73" s="25" t="s">
        <v>41</v>
      </c>
      <c r="B73" s="24">
        <v>55</v>
      </c>
      <c r="C73" s="26">
        <v>21.957333333333334</v>
      </c>
      <c r="D73" s="26">
        <v>24.189505416666666</v>
      </c>
      <c r="E73" s="26">
        <v>42.645999999999994</v>
      </c>
      <c r="F73" s="26">
        <v>46.249333333333333</v>
      </c>
      <c r="G73" s="26">
        <v>51.020666666666664</v>
      </c>
      <c r="H73" s="26">
        <v>35.384250000000002</v>
      </c>
      <c r="I73" s="26">
        <v>22.470060833333335</v>
      </c>
      <c r="J73" s="26">
        <v>15.018450000000001</v>
      </c>
      <c r="K73" s="26">
        <v>28.197375000000005</v>
      </c>
      <c r="L73" s="26">
        <v>53.718499999999999</v>
      </c>
      <c r="M73" s="26">
        <f t="shared" si="3"/>
        <v>48.449079774067997</v>
      </c>
      <c r="N73" s="29">
        <f t="shared" si="4"/>
        <v>35.390959487036483</v>
      </c>
      <c r="O73" s="299">
        <f>NPV(WACC!$E$22,C73:L73)+PV(WACC!$O$22,10,,-M73/(WACC!$O$22-WACC!$O$20))</f>
        <v>1074.9988165344375</v>
      </c>
      <c r="P73" s="299">
        <v>48.449079774067997</v>
      </c>
      <c r="Q73" s="537"/>
    </row>
    <row r="74" spans="1:17">
      <c r="A74" s="25" t="s">
        <v>68</v>
      </c>
      <c r="B74" s="24">
        <v>56</v>
      </c>
      <c r="C74" s="26">
        <v>48.038833333333336</v>
      </c>
      <c r="D74" s="26">
        <v>38.083499999999994</v>
      </c>
      <c r="E74" s="26">
        <v>41.403333333333336</v>
      </c>
      <c r="F74" s="26">
        <v>22.242275000000003</v>
      </c>
      <c r="G74" s="26">
        <v>40.954499999999996</v>
      </c>
      <c r="H74" s="26">
        <v>53.047166666666669</v>
      </c>
      <c r="I74" s="26">
        <v>12.787614166666666</v>
      </c>
      <c r="J74" s="26">
        <v>16.460599999999999</v>
      </c>
      <c r="K74" s="26">
        <v>51.848083333333335</v>
      </c>
      <c r="L74" s="26">
        <v>18.949666666666666</v>
      </c>
      <c r="M74" s="26">
        <f t="shared" si="3"/>
        <v>45</v>
      </c>
      <c r="N74" s="29">
        <f t="shared" si="4"/>
        <v>35.346870227272731</v>
      </c>
      <c r="O74" s="299">
        <f>NPV(WACC!$E$22,C74:L74)+PV(WACC!$O$22,10,,-M74/(WACC!$O$22-WACC!$O$20))</f>
        <v>1027.0857698418697</v>
      </c>
      <c r="P74" s="299">
        <v>10.961029774067995</v>
      </c>
      <c r="Q74" s="537"/>
    </row>
    <row r="75" spans="1:17">
      <c r="A75" s="25" t="s">
        <v>43</v>
      </c>
      <c r="B75" s="24">
        <v>57</v>
      </c>
      <c r="C75" s="26">
        <v>49.43866666666667</v>
      </c>
      <c r="D75" s="26">
        <v>47.960249999999995</v>
      </c>
      <c r="E75" s="26">
        <v>41.931666666666672</v>
      </c>
      <c r="F75" s="26">
        <v>47.376083333333334</v>
      </c>
      <c r="G75" s="26">
        <v>46.526083333333332</v>
      </c>
      <c r="H75" s="26">
        <v>34.788358333333335</v>
      </c>
      <c r="I75" s="26">
        <v>20.309683333333336</v>
      </c>
      <c r="J75" s="26">
        <v>10.980841666666668</v>
      </c>
      <c r="K75" s="26">
        <v>27.464749999999999</v>
      </c>
      <c r="L75" s="26">
        <v>15.890158333333334</v>
      </c>
      <c r="M75" s="26">
        <f t="shared" si="3"/>
        <v>45</v>
      </c>
      <c r="N75" s="29">
        <f t="shared" si="4"/>
        <v>35.242412878787874</v>
      </c>
      <c r="O75" s="299">
        <f>NPV(WACC!$E$22,C75:L75)+PV(WACC!$O$22,10,,-M75/(WACC!$O$22-WACC!$O$20))</f>
        <v>1034.4451798268726</v>
      </c>
      <c r="P75" s="299">
        <v>37.872213107401329</v>
      </c>
      <c r="Q75" s="537"/>
    </row>
    <row r="76" spans="1:17">
      <c r="A76" s="25" t="s">
        <v>50</v>
      </c>
      <c r="B76" s="24">
        <v>58</v>
      </c>
      <c r="C76" s="26">
        <v>40.857499999999995</v>
      </c>
      <c r="D76" s="26">
        <v>39.92091666666667</v>
      </c>
      <c r="E76" s="26">
        <v>28.696916666666667</v>
      </c>
      <c r="F76" s="26">
        <v>42.560916666666664</v>
      </c>
      <c r="G76" s="26">
        <v>53.027916666666663</v>
      </c>
      <c r="H76" s="26">
        <v>19.319766666666666</v>
      </c>
      <c r="I76" s="26">
        <v>16.558508333333336</v>
      </c>
      <c r="J76" s="26">
        <v>38.221833333333329</v>
      </c>
      <c r="K76" s="26">
        <v>30.449333333333332</v>
      </c>
      <c r="L76" s="26">
        <v>22.928208333333334</v>
      </c>
      <c r="M76" s="26">
        <f t="shared" si="3"/>
        <v>55</v>
      </c>
      <c r="N76" s="29">
        <f t="shared" si="4"/>
        <v>35.231074242424249</v>
      </c>
      <c r="O76" s="299">
        <f>NPV(WACC!$E$22,C76:L76)+PV(WACC!$O$22,10,,-M76/(WACC!$O$22-WACC!$O$20))</f>
        <v>1189.4316254163198</v>
      </c>
      <c r="P76" s="299">
        <v>75.636179774067998</v>
      </c>
      <c r="Q76" s="537"/>
    </row>
    <row r="77" spans="1:17">
      <c r="A77" s="25" t="s">
        <v>38</v>
      </c>
      <c r="B77" s="24">
        <v>59</v>
      </c>
      <c r="C77" s="26">
        <v>43.546500000000002</v>
      </c>
      <c r="D77" s="26">
        <v>36.259083333333336</v>
      </c>
      <c r="E77" s="26">
        <v>35.036166666666666</v>
      </c>
      <c r="F77" s="26">
        <v>57.835833333333341</v>
      </c>
      <c r="G77" s="26">
        <v>66.647416666666672</v>
      </c>
      <c r="H77" s="26">
        <v>35.023583333333335</v>
      </c>
      <c r="I77" s="26">
        <v>18.991558333333334</v>
      </c>
      <c r="J77" s="26">
        <v>27.57031666666667</v>
      </c>
      <c r="K77" s="26">
        <v>7.7932083333333333</v>
      </c>
      <c r="L77" s="26">
        <v>13.725091666666666</v>
      </c>
      <c r="M77" s="26">
        <f t="shared" si="3"/>
        <v>45</v>
      </c>
      <c r="N77" s="29">
        <f t="shared" si="4"/>
        <v>35.220796212121222</v>
      </c>
      <c r="O77" s="299">
        <f>NPV(WACC!$E$22,C77:L77)+PV(WACC!$O$22,10,,-M77/(WACC!$O$22-WACC!$O$20))</f>
        <v>1032.7995788516032</v>
      </c>
      <c r="P77" s="299">
        <v>40.218513107401328</v>
      </c>
      <c r="Q77" s="537"/>
    </row>
    <row r="78" spans="1:17">
      <c r="A78" s="25" t="s">
        <v>55</v>
      </c>
      <c r="B78" s="24">
        <v>60</v>
      </c>
      <c r="C78" s="26">
        <v>25.75</v>
      </c>
      <c r="D78" s="26">
        <v>28.142416666666666</v>
      </c>
      <c r="E78" s="26">
        <v>30.835833333333337</v>
      </c>
      <c r="F78" s="26">
        <v>31.604916666666668</v>
      </c>
      <c r="G78" s="26">
        <v>27.930025000000001</v>
      </c>
      <c r="H78" s="26">
        <v>20.721491666666669</v>
      </c>
      <c r="I78" s="26">
        <v>44.566000000000003</v>
      </c>
      <c r="J78" s="26">
        <v>48.32258333333332</v>
      </c>
      <c r="K78" s="26">
        <v>56.541333333333334</v>
      </c>
      <c r="L78" s="26">
        <v>27.931541666666661</v>
      </c>
      <c r="M78" s="26">
        <f t="shared" si="3"/>
        <v>45</v>
      </c>
      <c r="N78" s="29">
        <f t="shared" si="4"/>
        <v>35.213285606060602</v>
      </c>
      <c r="O78" s="299">
        <f>NPV(WACC!$E$22,C78:L78)+PV(WACC!$O$22,10,,-M78/(WACC!$O$22-WACC!$O$20))</f>
        <v>1011.8456431911675</v>
      </c>
      <c r="P78" s="299">
        <v>10.250779774067997</v>
      </c>
      <c r="Q78" s="537"/>
    </row>
    <row r="79" spans="1:17">
      <c r="A79" s="25" t="s">
        <v>28</v>
      </c>
      <c r="B79" s="24">
        <v>61</v>
      </c>
      <c r="C79" s="26">
        <v>29.592000000000002</v>
      </c>
      <c r="D79" s="26">
        <v>22.558516666666666</v>
      </c>
      <c r="E79" s="26">
        <v>40.860833333333339</v>
      </c>
      <c r="F79" s="26">
        <v>45.995083333333326</v>
      </c>
      <c r="G79" s="26">
        <v>44.005083333333339</v>
      </c>
      <c r="H79" s="26">
        <v>21.745834999999996</v>
      </c>
      <c r="I79" s="26">
        <v>23.354008333333329</v>
      </c>
      <c r="J79" s="26">
        <v>47.637916666666662</v>
      </c>
      <c r="K79" s="26">
        <v>35.82266666666667</v>
      </c>
      <c r="L79" s="26">
        <v>28.451583333333332</v>
      </c>
      <c r="M79" s="26">
        <f t="shared" si="3"/>
        <v>45</v>
      </c>
      <c r="N79" s="29">
        <f t="shared" si="4"/>
        <v>35.002138787878792</v>
      </c>
      <c r="O79" s="299">
        <f>NPV(WACC!$E$22,C79:L79)+PV(WACC!$O$22,10,,-M79/(WACC!$O$22-WACC!$O$20))</f>
        <v>1016.6930948751492</v>
      </c>
      <c r="P79" s="299">
        <v>22.153013107401332</v>
      </c>
      <c r="Q79" s="537"/>
    </row>
    <row r="80" spans="1:17">
      <c r="A80" s="25" t="s">
        <v>86</v>
      </c>
      <c r="B80" s="24">
        <v>62</v>
      </c>
      <c r="C80" s="26">
        <v>50.05983333333333</v>
      </c>
      <c r="D80" s="26">
        <v>48.49666666666667</v>
      </c>
      <c r="E80" s="26">
        <v>59.22025</v>
      </c>
      <c r="F80" s="26">
        <v>63.45141666666666</v>
      </c>
      <c r="G80" s="26">
        <v>39.652608333333333</v>
      </c>
      <c r="H80" s="26">
        <v>3.5936758333333336</v>
      </c>
      <c r="I80" s="26">
        <v>3.4656918333333331</v>
      </c>
      <c r="J80" s="26">
        <v>10.55095</v>
      </c>
      <c r="K80" s="26">
        <v>15.712625000000003</v>
      </c>
      <c r="L80" s="26">
        <v>38.500999999999998</v>
      </c>
      <c r="M80" s="26">
        <f t="shared" si="3"/>
        <v>51.182846440734671</v>
      </c>
      <c r="N80" s="29">
        <f t="shared" si="4"/>
        <v>34.898869464309207</v>
      </c>
      <c r="O80" s="299">
        <f>NPV(WACC!$E$22,C80:L80)+PV(WACC!$O$22,10,,-M80/(WACC!$O$22-WACC!$O$20))</f>
        <v>1135.7248424352701</v>
      </c>
      <c r="P80" s="299">
        <v>51.182846440734671</v>
      </c>
      <c r="Q80" s="537"/>
    </row>
    <row r="81" spans="1:17">
      <c r="A81" s="25" t="s">
        <v>120</v>
      </c>
      <c r="B81" s="24">
        <v>63</v>
      </c>
      <c r="C81" s="26">
        <v>52.68483333333333</v>
      </c>
      <c r="D81" s="26">
        <v>50.477916666666665</v>
      </c>
      <c r="E81" s="26">
        <v>36.536166666666666</v>
      </c>
      <c r="F81" s="26">
        <v>41.793416666666666</v>
      </c>
      <c r="G81" s="26">
        <v>29.500641666666667</v>
      </c>
      <c r="H81" s="26">
        <v>7.8381428333333334</v>
      </c>
      <c r="I81" s="26">
        <v>9.0926916666666688</v>
      </c>
      <c r="J81" s="26">
        <v>8.9516291666666667</v>
      </c>
      <c r="K81" s="26">
        <v>44.248083333333334</v>
      </c>
      <c r="L81" s="26">
        <v>53.563249999999989</v>
      </c>
      <c r="M81" s="26">
        <f t="shared" si="3"/>
        <v>47.932179774067997</v>
      </c>
      <c r="N81" s="29">
        <f t="shared" si="4"/>
        <v>34.783541070369814</v>
      </c>
      <c r="O81" s="299">
        <f>NPV(WACC!$E$22,C81:L81)+PV(WACC!$O$22,10,,-M81/(WACC!$O$22-WACC!$O$20))</f>
        <v>1071.3959435240258</v>
      </c>
      <c r="P81" s="299">
        <v>47.932179774067997</v>
      </c>
      <c r="Q81" s="537"/>
    </row>
    <row r="82" spans="1:17">
      <c r="A82" s="25" t="s">
        <v>70</v>
      </c>
      <c r="B82" s="24">
        <v>64</v>
      </c>
      <c r="C82" s="26">
        <v>45.905499999999996</v>
      </c>
      <c r="D82" s="26">
        <v>47.47025</v>
      </c>
      <c r="E82" s="26">
        <v>39.79216666666666</v>
      </c>
      <c r="F82" s="26">
        <v>41.918249999999993</v>
      </c>
      <c r="G82" s="26">
        <v>62.038250000000005</v>
      </c>
      <c r="H82" s="26">
        <v>26.838416666666664</v>
      </c>
      <c r="I82" s="26">
        <v>7.8259998333333343</v>
      </c>
      <c r="J82" s="26">
        <v>0.81195000000000006</v>
      </c>
      <c r="K82" s="26">
        <v>14.963935833333336</v>
      </c>
      <c r="L82" s="26">
        <v>39.715833333333329</v>
      </c>
      <c r="M82" s="26">
        <f t="shared" si="3"/>
        <v>55</v>
      </c>
      <c r="N82" s="29">
        <f t="shared" si="4"/>
        <v>34.752777484848487</v>
      </c>
      <c r="O82" s="299">
        <f>NPV(WACC!$E$22,C82:L82)+PV(WACC!$O$22,10,,-M82/(WACC!$O$22-WACC!$O$20))</f>
        <v>1192.885977761719</v>
      </c>
      <c r="P82" s="299">
        <v>68.721846440734666</v>
      </c>
      <c r="Q82" s="537"/>
    </row>
    <row r="83" spans="1:17">
      <c r="A83" s="25" t="s">
        <v>34</v>
      </c>
      <c r="B83" s="24">
        <v>65</v>
      </c>
      <c r="C83" s="26">
        <v>47.835999999999991</v>
      </c>
      <c r="D83" s="26">
        <v>44.836749999999995</v>
      </c>
      <c r="E83" s="26">
        <v>48.977499999999999</v>
      </c>
      <c r="F83" s="26">
        <v>61.020583333333342</v>
      </c>
      <c r="G83" s="26">
        <v>45.496583333333326</v>
      </c>
      <c r="H83" s="26">
        <v>31.735916666666657</v>
      </c>
      <c r="I83" s="26">
        <v>16.936258333333331</v>
      </c>
      <c r="J83" s="26">
        <v>3.1927420833333326</v>
      </c>
      <c r="K83" s="26">
        <v>7.7201191666666666</v>
      </c>
      <c r="L83" s="26">
        <v>28.297391666666666</v>
      </c>
      <c r="M83" s="26">
        <f t="shared" ref="M83:M118" si="5">IF(P83&gt;Costo_marginal_maximo,Costo_marginal_maximo,IF(P83&lt;Costo_marginal_minimo,Costo_marginal_minimo,P83))</f>
        <v>45</v>
      </c>
      <c r="N83" s="29">
        <f t="shared" ref="N83:N114" si="6">AVERAGE(C83:M83)</f>
        <v>34.640894962121209</v>
      </c>
      <c r="O83" s="299">
        <f>NPV(WACC!$E$22,C83:L83)+PV(WACC!$O$22,10,,-M83/(WACC!$O$22-WACC!$O$20))</f>
        <v>1032.1685730010095</v>
      </c>
      <c r="P83" s="299">
        <v>43.974679774067994</v>
      </c>
      <c r="Q83" s="537"/>
    </row>
    <row r="84" spans="1:17">
      <c r="A84" s="25" t="s">
        <v>66</v>
      </c>
      <c r="B84" s="24">
        <v>66</v>
      </c>
      <c r="C84" s="26">
        <v>54.50066666666666</v>
      </c>
      <c r="D84" s="26">
        <v>19.765186408333335</v>
      </c>
      <c r="E84" s="26">
        <v>3.3868566666666662</v>
      </c>
      <c r="F84" s="26">
        <v>7.0555333333333339</v>
      </c>
      <c r="G84" s="26">
        <v>26.786783333333336</v>
      </c>
      <c r="H84" s="26">
        <v>43.647025000000006</v>
      </c>
      <c r="I84" s="26">
        <v>54.403499999999987</v>
      </c>
      <c r="J84" s="26">
        <v>33.229633333333332</v>
      </c>
      <c r="K84" s="26">
        <v>31.177083333333332</v>
      </c>
      <c r="L84" s="26">
        <v>50.733583333333343</v>
      </c>
      <c r="M84" s="26">
        <f t="shared" si="5"/>
        <v>55</v>
      </c>
      <c r="N84" s="29">
        <f t="shared" si="6"/>
        <v>34.516895582575756</v>
      </c>
      <c r="O84" s="299">
        <f>NPV(WACC!$E$22,C84:L84)+PV(WACC!$O$22,10,,-M84/(WACC!$O$22-WACC!$O$20))</f>
        <v>1170.306576174243</v>
      </c>
      <c r="P84" s="299">
        <v>60.564679774067997</v>
      </c>
      <c r="Q84" s="537"/>
    </row>
    <row r="85" spans="1:17">
      <c r="A85" s="25" t="s">
        <v>91</v>
      </c>
      <c r="B85" s="24">
        <v>67</v>
      </c>
      <c r="C85" s="26">
        <v>46.157999999999994</v>
      </c>
      <c r="D85" s="26">
        <v>47.723500000000001</v>
      </c>
      <c r="E85" s="26">
        <v>44.97925</v>
      </c>
      <c r="F85" s="26">
        <v>54.319833333333328</v>
      </c>
      <c r="G85" s="26">
        <v>18.114100000000001</v>
      </c>
      <c r="H85" s="26">
        <v>16.070691666666665</v>
      </c>
      <c r="I85" s="26">
        <v>37.348099999999995</v>
      </c>
      <c r="J85" s="26">
        <v>32.884524999999996</v>
      </c>
      <c r="K85" s="26">
        <v>15.715058333333333</v>
      </c>
      <c r="L85" s="26">
        <v>13.963141666666671</v>
      </c>
      <c r="M85" s="26">
        <f t="shared" si="5"/>
        <v>45</v>
      </c>
      <c r="N85" s="29">
        <f t="shared" si="6"/>
        <v>33.843290909090911</v>
      </c>
      <c r="O85" s="299">
        <f>NPV(WACC!$E$22,C85:L85)+PV(WACC!$O$22,10,,-M85/(WACC!$O$22-WACC!$O$20))</f>
        <v>1021.8981142838993</v>
      </c>
      <c r="P85" s="299">
        <v>11.198446440734662</v>
      </c>
      <c r="Q85" s="537"/>
    </row>
    <row r="86" spans="1:17">
      <c r="A86" s="25" t="s">
        <v>117</v>
      </c>
      <c r="B86" s="24">
        <v>68</v>
      </c>
      <c r="C86" s="26">
        <v>39.99</v>
      </c>
      <c r="D86" s="26">
        <v>50.398249999999997</v>
      </c>
      <c r="E86" s="26">
        <v>37.462241666666671</v>
      </c>
      <c r="F86" s="26">
        <v>30.876249999999999</v>
      </c>
      <c r="G86" s="26">
        <v>16.394949999999998</v>
      </c>
      <c r="H86" s="26">
        <v>25.068058333333337</v>
      </c>
      <c r="I86" s="26">
        <v>5.2826884166666668</v>
      </c>
      <c r="J86" s="26">
        <v>38.829999999999991</v>
      </c>
      <c r="K86" s="26">
        <v>37.682125000000006</v>
      </c>
      <c r="L86" s="26">
        <v>43.178416666666671</v>
      </c>
      <c r="M86" s="26">
        <f t="shared" si="5"/>
        <v>45</v>
      </c>
      <c r="N86" s="29">
        <f t="shared" si="6"/>
        <v>33.651180007575761</v>
      </c>
      <c r="O86" s="299">
        <f>NPV(WACC!$E$22,C86:L86)+PV(WACC!$O$22,10,,-M86/(WACC!$O$22-WACC!$O$20))</f>
        <v>1010.1733289590485</v>
      </c>
      <c r="P86" s="299">
        <v>32.324346440734665</v>
      </c>
      <c r="Q86" s="537"/>
    </row>
    <row r="87" spans="1:17">
      <c r="A87" s="25" t="s">
        <v>103</v>
      </c>
      <c r="B87" s="24">
        <v>69</v>
      </c>
      <c r="C87" s="26">
        <v>52.770500000000006</v>
      </c>
      <c r="D87" s="26">
        <v>22.228932499999999</v>
      </c>
      <c r="E87" s="26">
        <v>17.449482499999998</v>
      </c>
      <c r="F87" s="26">
        <v>52.586500000000001</v>
      </c>
      <c r="G87" s="26">
        <v>67.726499999999987</v>
      </c>
      <c r="H87" s="26">
        <v>17.201884166666662</v>
      </c>
      <c r="I87" s="26">
        <v>40.760249999999999</v>
      </c>
      <c r="J87" s="26">
        <v>23.80734166666667</v>
      </c>
      <c r="K87" s="26">
        <v>26.548083333333334</v>
      </c>
      <c r="L87" s="26">
        <v>4.0771583333333332</v>
      </c>
      <c r="M87" s="26">
        <f t="shared" si="5"/>
        <v>45</v>
      </c>
      <c r="N87" s="29">
        <f t="shared" si="6"/>
        <v>33.650602954545455</v>
      </c>
      <c r="O87" s="299">
        <f>NPV(WACC!$E$22,C87:L87)+PV(WACC!$O$22,10,,-M87/(WACC!$O$22-WACC!$O$20))</f>
        <v>1016.2022938883649</v>
      </c>
      <c r="P87" s="299">
        <v>32.642179774068005</v>
      </c>
      <c r="Q87" s="537"/>
    </row>
    <row r="88" spans="1:17">
      <c r="A88" s="25" t="s">
        <v>65</v>
      </c>
      <c r="B88" s="24">
        <v>70</v>
      </c>
      <c r="C88" s="26">
        <v>34.224833333333336</v>
      </c>
      <c r="D88" s="26">
        <v>34.773783333333334</v>
      </c>
      <c r="E88" s="26">
        <v>42.108166666666669</v>
      </c>
      <c r="F88" s="26">
        <v>39.807000000000002</v>
      </c>
      <c r="G88" s="26">
        <v>20.313166666666664</v>
      </c>
      <c r="H88" s="26">
        <v>4.2114333333333329</v>
      </c>
      <c r="I88" s="26">
        <v>39.208666666666666</v>
      </c>
      <c r="J88" s="26">
        <v>20.537233333333333</v>
      </c>
      <c r="K88" s="26">
        <v>38.620508333333341</v>
      </c>
      <c r="L88" s="26">
        <v>45.528083333333321</v>
      </c>
      <c r="M88" s="26">
        <f t="shared" si="5"/>
        <v>49.693513107401323</v>
      </c>
      <c r="N88" s="29">
        <f t="shared" si="6"/>
        <v>33.547853464309213</v>
      </c>
      <c r="O88" s="299">
        <f>NPV(WACC!$E$22,C88:L88)+PV(WACC!$O$22,10,,-M88/(WACC!$O$22-WACC!$O$20))</f>
        <v>1083.2232647398796</v>
      </c>
      <c r="P88" s="299">
        <v>49.693513107401323</v>
      </c>
      <c r="Q88" s="537"/>
    </row>
    <row r="89" spans="1:17">
      <c r="A89" s="25" t="s">
        <v>79</v>
      </c>
      <c r="B89" s="24">
        <v>71</v>
      </c>
      <c r="C89" s="26">
        <v>9.3746666666666663</v>
      </c>
      <c r="D89" s="26">
        <v>17.325756666666667</v>
      </c>
      <c r="E89" s="26">
        <v>13.479507500000002</v>
      </c>
      <c r="F89" s="26">
        <v>40.386083333333339</v>
      </c>
      <c r="G89" s="26">
        <v>37.67508333333334</v>
      </c>
      <c r="H89" s="26">
        <v>34.936166666666672</v>
      </c>
      <c r="I89" s="26">
        <v>15.766728941666669</v>
      </c>
      <c r="J89" s="26">
        <v>19.629083333333334</v>
      </c>
      <c r="K89" s="26">
        <v>51.949666666666673</v>
      </c>
      <c r="L89" s="26">
        <v>72.650083333333328</v>
      </c>
      <c r="M89" s="26">
        <f t="shared" si="5"/>
        <v>55</v>
      </c>
      <c r="N89" s="29">
        <f t="shared" si="6"/>
        <v>33.470256949242426</v>
      </c>
      <c r="O89" s="299">
        <f>NPV(WACC!$E$22,C89:L89)+PV(WACC!$O$22,10,,-M89/(WACC!$O$22-WACC!$O$20))</f>
        <v>1152.6009340062064</v>
      </c>
      <c r="P89" s="299">
        <v>85.840179774067977</v>
      </c>
      <c r="Q89" s="537"/>
    </row>
    <row r="90" spans="1:17">
      <c r="A90" s="25" t="s">
        <v>47</v>
      </c>
      <c r="B90" s="24">
        <v>72</v>
      </c>
      <c r="C90" s="26">
        <v>29.151499999999999</v>
      </c>
      <c r="D90" s="26">
        <v>28.672250000000002</v>
      </c>
      <c r="E90" s="26">
        <v>35.45150000000001</v>
      </c>
      <c r="F90" s="26">
        <v>47.267249999999997</v>
      </c>
      <c r="G90" s="26">
        <v>48.430833333333332</v>
      </c>
      <c r="H90" s="26">
        <v>29.449433333333332</v>
      </c>
      <c r="I90" s="26">
        <v>26.05705</v>
      </c>
      <c r="J90" s="26">
        <v>22.318691666666666</v>
      </c>
      <c r="K90" s="26">
        <v>25.421950833333327</v>
      </c>
      <c r="L90" s="26">
        <v>28.700249999999997</v>
      </c>
      <c r="M90" s="26">
        <f t="shared" si="5"/>
        <v>45</v>
      </c>
      <c r="N90" s="29">
        <f t="shared" si="6"/>
        <v>33.265519015151511</v>
      </c>
      <c r="O90" s="299">
        <f>NPV(WACC!$E$22,C90:L90)+PV(WACC!$O$22,10,,-M90/(WACC!$O$22-WACC!$O$20))</f>
        <v>1007.0419656613858</v>
      </c>
      <c r="P90" s="299">
        <v>34.411346440734661</v>
      </c>
      <c r="Q90" s="537"/>
    </row>
    <row r="91" spans="1:17">
      <c r="A91" s="25" t="s">
        <v>36</v>
      </c>
      <c r="B91" s="24">
        <v>73</v>
      </c>
      <c r="C91" s="26">
        <v>34.958333333333329</v>
      </c>
      <c r="D91" s="26">
        <v>37.674833333333332</v>
      </c>
      <c r="E91" s="26">
        <v>43.936250000000008</v>
      </c>
      <c r="F91" s="26">
        <v>40.79933333333333</v>
      </c>
      <c r="G91" s="26">
        <v>54.999083333333324</v>
      </c>
      <c r="H91" s="26">
        <v>40.530750000000005</v>
      </c>
      <c r="I91" s="26">
        <v>21.880530266666668</v>
      </c>
      <c r="J91" s="26">
        <v>0.30201556666666668</v>
      </c>
      <c r="K91" s="26">
        <v>7.5699350000000001</v>
      </c>
      <c r="L91" s="26">
        <v>26.628166666666669</v>
      </c>
      <c r="M91" s="26">
        <f t="shared" si="5"/>
        <v>55</v>
      </c>
      <c r="N91" s="29">
        <f t="shared" si="6"/>
        <v>33.116293712121212</v>
      </c>
      <c r="O91" s="299">
        <f>NPV(WACC!$E$22,C91:L91)+PV(WACC!$O$22,10,,-M91/(WACC!$O$22-WACC!$O$20))</f>
        <v>1178.2422576603019</v>
      </c>
      <c r="P91" s="299">
        <v>60.947513107401335</v>
      </c>
      <c r="Q91" s="537"/>
    </row>
    <row r="92" spans="1:17">
      <c r="A92" s="25" t="s">
        <v>100</v>
      </c>
      <c r="B92" s="24">
        <v>74</v>
      </c>
      <c r="C92" s="26">
        <v>53.878166666666665</v>
      </c>
      <c r="D92" s="26">
        <v>32.575516666666672</v>
      </c>
      <c r="E92" s="26">
        <v>23.487958333333335</v>
      </c>
      <c r="F92" s="26">
        <v>12.253375</v>
      </c>
      <c r="G92" s="26">
        <v>19.945050000000002</v>
      </c>
      <c r="H92" s="26">
        <v>35.968649999999997</v>
      </c>
      <c r="I92" s="26">
        <v>27.920916666666667</v>
      </c>
      <c r="J92" s="26">
        <v>39.167583333333333</v>
      </c>
      <c r="K92" s="26">
        <v>37.150766666666662</v>
      </c>
      <c r="L92" s="26">
        <v>30.862449999999999</v>
      </c>
      <c r="M92" s="26">
        <f t="shared" si="5"/>
        <v>45</v>
      </c>
      <c r="N92" s="29">
        <f t="shared" si="6"/>
        <v>32.564584848484849</v>
      </c>
      <c r="O92" s="299">
        <f>NPV(WACC!$E$22,C92:L92)+PV(WACC!$O$22,10,,-M92/(WACC!$O$22-WACC!$O$20))</f>
        <v>999.37659199959694</v>
      </c>
      <c r="P92" s="299">
        <v>25.19136310740133</v>
      </c>
      <c r="Q92" s="537"/>
    </row>
    <row r="93" spans="1:17">
      <c r="A93" s="25" t="s">
        <v>118</v>
      </c>
      <c r="B93" s="24">
        <v>75</v>
      </c>
      <c r="C93" s="26">
        <v>52.648333333333341</v>
      </c>
      <c r="D93" s="26">
        <v>46.330083333333334</v>
      </c>
      <c r="E93" s="26">
        <v>38.825583333333334</v>
      </c>
      <c r="F93" s="26">
        <v>57.840583333333342</v>
      </c>
      <c r="G93" s="26">
        <v>62.399499999999996</v>
      </c>
      <c r="H93" s="26">
        <v>33.935600000000001</v>
      </c>
      <c r="I93" s="26">
        <v>1.8323382749999999</v>
      </c>
      <c r="J93" s="26">
        <v>5.5950433333333329</v>
      </c>
      <c r="K93" s="26">
        <v>6.1453075000000013</v>
      </c>
      <c r="L93" s="26">
        <v>6.6701499999999987</v>
      </c>
      <c r="M93" s="26">
        <f t="shared" si="5"/>
        <v>45</v>
      </c>
      <c r="N93" s="29">
        <f t="shared" si="6"/>
        <v>32.474774767424236</v>
      </c>
      <c r="O93" s="299">
        <f>NPV(WACC!$E$22,C93:L93)+PV(WACC!$O$22,10,,-M93/(WACC!$O$22-WACC!$O$20))</f>
        <v>1019.9018462820297</v>
      </c>
      <c r="P93" s="299">
        <v>11.166296440734662</v>
      </c>
      <c r="Q93" s="537"/>
    </row>
    <row r="94" spans="1:17">
      <c r="A94" s="25" t="s">
        <v>87</v>
      </c>
      <c r="B94" s="24">
        <v>76</v>
      </c>
      <c r="C94" s="26">
        <v>37.699333333333335</v>
      </c>
      <c r="D94" s="26">
        <v>37.64350000000001</v>
      </c>
      <c r="E94" s="26">
        <v>43.197083333333332</v>
      </c>
      <c r="F94" s="26">
        <v>66.746416666666661</v>
      </c>
      <c r="G94" s="26">
        <v>59.091833333333334</v>
      </c>
      <c r="H94" s="26">
        <v>13.392400333333329</v>
      </c>
      <c r="I94" s="26">
        <v>1.4695210083333332</v>
      </c>
      <c r="J94" s="26">
        <v>11.087566666666667</v>
      </c>
      <c r="K94" s="26">
        <v>10.496534166666668</v>
      </c>
      <c r="L94" s="26">
        <v>22.908258333333333</v>
      </c>
      <c r="M94" s="26">
        <f t="shared" si="5"/>
        <v>51.863279774067998</v>
      </c>
      <c r="N94" s="29">
        <f t="shared" si="6"/>
        <v>32.326884268097096</v>
      </c>
      <c r="O94" s="299">
        <f>NPV(WACC!$E$22,C94:L94)+PV(WACC!$O$22,10,,-M94/(WACC!$O$22-WACC!$O$20))</f>
        <v>1123.9770076503091</v>
      </c>
      <c r="P94" s="299">
        <v>51.863279774067998</v>
      </c>
      <c r="Q94" s="537"/>
    </row>
    <row r="95" spans="1:17">
      <c r="A95" s="25" t="s">
        <v>75</v>
      </c>
      <c r="B95" s="24">
        <v>77</v>
      </c>
      <c r="C95" s="26">
        <v>15.56516666666667</v>
      </c>
      <c r="D95" s="26">
        <v>15.159275000000001</v>
      </c>
      <c r="E95" s="26">
        <v>31.624750000000002</v>
      </c>
      <c r="F95" s="26">
        <v>39.403666666666673</v>
      </c>
      <c r="G95" s="26">
        <v>51.392583333333334</v>
      </c>
      <c r="H95" s="26">
        <v>60.95533333333335</v>
      </c>
      <c r="I95" s="26">
        <v>31.049858333333329</v>
      </c>
      <c r="J95" s="26">
        <v>17.520366666666664</v>
      </c>
      <c r="K95" s="26">
        <v>4.2642932499999997</v>
      </c>
      <c r="L95" s="26">
        <v>31.021583333333339</v>
      </c>
      <c r="M95" s="26">
        <f t="shared" si="5"/>
        <v>55</v>
      </c>
      <c r="N95" s="29">
        <f t="shared" si="6"/>
        <v>32.086988780303038</v>
      </c>
      <c r="O95" s="299">
        <f>NPV(WACC!$E$22,C95:L95)+PV(WACC!$O$22,10,,-M95/(WACC!$O$22-WACC!$O$20))</f>
        <v>1157.3490426640906</v>
      </c>
      <c r="P95" s="299">
        <v>71.218846440734666</v>
      </c>
      <c r="Q95" s="537"/>
    </row>
    <row r="96" spans="1:17">
      <c r="A96" s="25" t="s">
        <v>69</v>
      </c>
      <c r="B96" s="24">
        <v>78</v>
      </c>
      <c r="C96" s="26">
        <v>43.624666666666677</v>
      </c>
      <c r="D96" s="26">
        <v>19.399825000000003</v>
      </c>
      <c r="E96" s="26">
        <v>37.39875</v>
      </c>
      <c r="F96" s="26">
        <v>36.938166666666667</v>
      </c>
      <c r="G96" s="26">
        <v>28.854416666666665</v>
      </c>
      <c r="H96" s="26">
        <v>19.471458333333334</v>
      </c>
      <c r="I96" s="26">
        <v>4.9789083416666662</v>
      </c>
      <c r="J96" s="26">
        <v>4.6401666666666674</v>
      </c>
      <c r="K96" s="26">
        <v>43.376999999999988</v>
      </c>
      <c r="L96" s="26">
        <v>55.723166666666664</v>
      </c>
      <c r="M96" s="26">
        <f t="shared" si="5"/>
        <v>55</v>
      </c>
      <c r="N96" s="29">
        <f t="shared" si="6"/>
        <v>31.764229546212118</v>
      </c>
      <c r="O96" s="299">
        <f>NPV(WACC!$E$22,C96:L96)+PV(WACC!$O$22,10,,-M96/(WACC!$O$22-WACC!$O$20))</f>
        <v>1156.0402398431347</v>
      </c>
      <c r="P96" s="299">
        <v>57.881513107401325</v>
      </c>
      <c r="Q96" s="537"/>
    </row>
    <row r="97" spans="1:17">
      <c r="A97" s="25" t="s">
        <v>48</v>
      </c>
      <c r="B97" s="24">
        <v>79</v>
      </c>
      <c r="C97" s="26">
        <v>35.175333333333327</v>
      </c>
      <c r="D97" s="26">
        <v>46.67966666666667</v>
      </c>
      <c r="E97" s="26">
        <v>51.433833333333325</v>
      </c>
      <c r="F97" s="26">
        <v>28.575641666666666</v>
      </c>
      <c r="G97" s="26">
        <v>20.065008333333335</v>
      </c>
      <c r="H97" s="26">
        <v>18.832009249999995</v>
      </c>
      <c r="I97" s="26">
        <v>16.563858333333332</v>
      </c>
      <c r="J97" s="26">
        <v>14.669416666666665</v>
      </c>
      <c r="K97" s="26">
        <v>27.355941666666666</v>
      </c>
      <c r="L97" s="26">
        <v>42.379999999999995</v>
      </c>
      <c r="M97" s="26">
        <f t="shared" si="5"/>
        <v>45</v>
      </c>
      <c r="N97" s="29">
        <f t="shared" si="6"/>
        <v>31.52097356818182</v>
      </c>
      <c r="O97" s="299">
        <f>NPV(WACC!$E$22,C97:L97)+PV(WACC!$O$22,10,,-M97/(WACC!$O$22-WACC!$O$20))</f>
        <v>996.59792686142896</v>
      </c>
      <c r="P97" s="299">
        <v>38.543179774067994</v>
      </c>
      <c r="Q97" s="537"/>
    </row>
    <row r="98" spans="1:17">
      <c r="A98" s="25" t="s">
        <v>119</v>
      </c>
      <c r="B98" s="24">
        <v>80</v>
      </c>
      <c r="C98" s="26">
        <v>40.67966666666667</v>
      </c>
      <c r="D98" s="26">
        <v>10.319405833333333</v>
      </c>
      <c r="E98" s="26">
        <v>15.813374166666668</v>
      </c>
      <c r="F98" s="26">
        <v>47.267000000000003</v>
      </c>
      <c r="G98" s="26">
        <v>55.718833333333329</v>
      </c>
      <c r="H98" s="26">
        <v>44.371491666666664</v>
      </c>
      <c r="I98" s="26">
        <v>14.855626666666666</v>
      </c>
      <c r="J98" s="26">
        <v>8.346525833333331</v>
      </c>
      <c r="K98" s="26">
        <v>9.6456608333333325</v>
      </c>
      <c r="L98" s="26">
        <v>44.94883333333334</v>
      </c>
      <c r="M98" s="26">
        <f t="shared" si="5"/>
        <v>54.341346440734661</v>
      </c>
      <c r="N98" s="29">
        <f t="shared" si="6"/>
        <v>31.482524070369813</v>
      </c>
      <c r="O98" s="299">
        <f>NPV(WACC!$E$22,C98:L98)+PV(WACC!$O$22,10,,-M98/(WACC!$O$22-WACC!$O$20))</f>
        <v>1144.5316608665646</v>
      </c>
      <c r="P98" s="299">
        <v>54.341346440734661</v>
      </c>
      <c r="Q98" s="537"/>
    </row>
    <row r="99" spans="1:17">
      <c r="A99" s="25" t="s">
        <v>59</v>
      </c>
      <c r="B99" s="24">
        <v>81</v>
      </c>
      <c r="C99" s="26">
        <v>36.533666666666669</v>
      </c>
      <c r="D99" s="26">
        <v>46.353833333333341</v>
      </c>
      <c r="E99" s="26">
        <v>39.611166666666669</v>
      </c>
      <c r="F99" s="26">
        <v>61.292083333333331</v>
      </c>
      <c r="G99" s="26">
        <v>64.375</v>
      </c>
      <c r="H99" s="26">
        <v>18.009681666666669</v>
      </c>
      <c r="I99" s="26">
        <v>3.5906583333333333</v>
      </c>
      <c r="J99" s="26">
        <v>0.16706820833333333</v>
      </c>
      <c r="K99" s="26">
        <v>2.2038100000000003</v>
      </c>
      <c r="L99" s="26">
        <v>24.398366666666664</v>
      </c>
      <c r="M99" s="26">
        <f t="shared" si="5"/>
        <v>45</v>
      </c>
      <c r="N99" s="29">
        <f t="shared" si="6"/>
        <v>31.048666806818179</v>
      </c>
      <c r="O99" s="299">
        <f>NPV(WACC!$E$22,C99:L99)+PV(WACC!$O$22,10,,-M99/(WACC!$O$22-WACC!$O$20))</f>
        <v>1003.7000670566404</v>
      </c>
      <c r="P99" s="299">
        <v>19.440913107401329</v>
      </c>
      <c r="Q99" s="537"/>
    </row>
    <row r="100" spans="1:17">
      <c r="A100" s="25" t="s">
        <v>96</v>
      </c>
      <c r="B100" s="24">
        <v>82</v>
      </c>
      <c r="C100" s="26">
        <v>48.92433333333333</v>
      </c>
      <c r="D100" s="26">
        <v>47.344333333333331</v>
      </c>
      <c r="E100" s="26">
        <v>42.244916666666661</v>
      </c>
      <c r="F100" s="26">
        <v>42.253583333333331</v>
      </c>
      <c r="G100" s="26">
        <v>52.35575</v>
      </c>
      <c r="H100" s="26">
        <v>19.530912225000002</v>
      </c>
      <c r="I100" s="26">
        <v>15.885775000000002</v>
      </c>
      <c r="J100" s="26">
        <v>16.145109166666668</v>
      </c>
      <c r="K100" s="26">
        <v>1.3412394166666666</v>
      </c>
      <c r="L100" s="26">
        <v>9.3569249999999986</v>
      </c>
      <c r="M100" s="26">
        <f t="shared" si="5"/>
        <v>45</v>
      </c>
      <c r="N100" s="29">
        <f t="shared" si="6"/>
        <v>30.943897952272724</v>
      </c>
      <c r="O100" s="299">
        <f>NPV(WACC!$E$22,C100:L100)+PV(WACC!$O$22,10,,-M100/(WACC!$O$22-WACC!$O$20))</f>
        <v>1004.8417654380506</v>
      </c>
      <c r="P100" s="299">
        <v>32.746546440734669</v>
      </c>
      <c r="Q100" s="537"/>
    </row>
    <row r="101" spans="1:17">
      <c r="A101" s="25" t="s">
        <v>63</v>
      </c>
      <c r="B101" s="24">
        <v>83</v>
      </c>
      <c r="C101" s="26">
        <v>21.104499999999998</v>
      </c>
      <c r="D101" s="26">
        <v>17.158566666666665</v>
      </c>
      <c r="E101" s="26">
        <v>37.626000000000005</v>
      </c>
      <c r="F101" s="26">
        <v>33.873916666666666</v>
      </c>
      <c r="G101" s="26">
        <v>8.3261416666666683</v>
      </c>
      <c r="H101" s="26">
        <v>0.44876874999999999</v>
      </c>
      <c r="I101" s="26">
        <v>6.8996824999999999</v>
      </c>
      <c r="J101" s="26">
        <v>58.396583333333332</v>
      </c>
      <c r="K101" s="26">
        <v>49.976416666666665</v>
      </c>
      <c r="L101" s="26">
        <v>47.80308333333334</v>
      </c>
      <c r="M101" s="26">
        <f t="shared" si="5"/>
        <v>55</v>
      </c>
      <c r="N101" s="29">
        <f t="shared" si="6"/>
        <v>30.601241780303031</v>
      </c>
      <c r="O101" s="299">
        <f>NPV(WACC!$E$22,C101:L101)+PV(WACC!$O$22,10,,-M101/(WACC!$O$22-WACC!$O$20))</f>
        <v>1136.154667130962</v>
      </c>
      <c r="P101" s="299">
        <v>58.143663107401331</v>
      </c>
      <c r="Q101" s="537"/>
    </row>
    <row r="102" spans="1:17">
      <c r="A102" s="25" t="s">
        <v>99</v>
      </c>
      <c r="B102" s="24">
        <v>84</v>
      </c>
      <c r="C102" s="26">
        <v>43.113499999999995</v>
      </c>
      <c r="D102" s="26">
        <v>33.299750000000003</v>
      </c>
      <c r="E102" s="26">
        <v>32.907166666666676</v>
      </c>
      <c r="F102" s="26">
        <v>29.754999999999999</v>
      </c>
      <c r="G102" s="26">
        <v>34.638916666666674</v>
      </c>
      <c r="H102" s="26">
        <v>23.251549999999998</v>
      </c>
      <c r="I102" s="26">
        <v>17.014624999999999</v>
      </c>
      <c r="J102" s="26">
        <v>14.603334083333332</v>
      </c>
      <c r="K102" s="26">
        <v>10.386691666666666</v>
      </c>
      <c r="L102" s="26">
        <v>49.264249999999997</v>
      </c>
      <c r="M102" s="26">
        <f t="shared" si="5"/>
        <v>48.195513107401325</v>
      </c>
      <c r="N102" s="29">
        <f t="shared" si="6"/>
        <v>30.584572471884972</v>
      </c>
      <c r="O102" s="299">
        <f>NPV(WACC!$E$22,C102:L102)+PV(WACC!$O$22,10,,-M102/(WACC!$O$22-WACC!$O$20))</f>
        <v>1040.3449999981572</v>
      </c>
      <c r="P102" s="299">
        <v>48.195513107401325</v>
      </c>
      <c r="Q102" s="537"/>
    </row>
    <row r="103" spans="1:17">
      <c r="A103" s="25" t="s">
        <v>33</v>
      </c>
      <c r="B103" s="24">
        <v>85</v>
      </c>
      <c r="C103" s="26">
        <v>49.737166666666667</v>
      </c>
      <c r="D103" s="26">
        <v>51.442583333333324</v>
      </c>
      <c r="E103" s="26">
        <v>50.683166666666665</v>
      </c>
      <c r="F103" s="26">
        <v>50.559249999999999</v>
      </c>
      <c r="G103" s="26">
        <v>20.494616666666669</v>
      </c>
      <c r="H103" s="26">
        <v>2.2104464166666671</v>
      </c>
      <c r="I103" s="26">
        <v>0.89015866666666665</v>
      </c>
      <c r="J103" s="26">
        <v>2.2275673333333335</v>
      </c>
      <c r="K103" s="26">
        <v>15.085058333333331</v>
      </c>
      <c r="L103" s="26">
        <v>42.986416666666678</v>
      </c>
      <c r="M103" s="26">
        <f t="shared" si="5"/>
        <v>47.004329774067998</v>
      </c>
      <c r="N103" s="29">
        <f t="shared" si="6"/>
        <v>30.301887320369815</v>
      </c>
      <c r="O103" s="299">
        <f>NPV(WACC!$E$22,C103:L103)+PV(WACC!$O$22,10,,-M103/(WACC!$O$22-WACC!$O$20))</f>
        <v>1029.4208052674003</v>
      </c>
      <c r="P103" s="299">
        <v>47.004329774067998</v>
      </c>
      <c r="Q103" s="537"/>
    </row>
    <row r="104" spans="1:17">
      <c r="A104" s="25" t="s">
        <v>116</v>
      </c>
      <c r="B104" s="24">
        <v>86</v>
      </c>
      <c r="C104" s="26">
        <v>50.256499999999996</v>
      </c>
      <c r="D104" s="26">
        <v>42.045083333333331</v>
      </c>
      <c r="E104" s="26">
        <v>18.715234999999996</v>
      </c>
      <c r="F104" s="26">
        <v>5.606066666666667</v>
      </c>
      <c r="G104" s="26">
        <v>38.107500000000002</v>
      </c>
      <c r="H104" s="26">
        <v>8.4936166666666661</v>
      </c>
      <c r="I104" s="26">
        <v>1.6836321666666667</v>
      </c>
      <c r="J104" s="26">
        <v>20.226724999999998</v>
      </c>
      <c r="K104" s="26">
        <v>42.689750000000004</v>
      </c>
      <c r="L104" s="26">
        <v>49.387</v>
      </c>
      <c r="M104" s="26">
        <f t="shared" si="5"/>
        <v>55</v>
      </c>
      <c r="N104" s="29">
        <f t="shared" si="6"/>
        <v>30.201009893939389</v>
      </c>
      <c r="O104" s="299">
        <f>NPV(WACC!$E$22,C104:L104)+PV(WACC!$O$22,10,,-M104/(WACC!$O$22-WACC!$O$20))</f>
        <v>1144.9313137881961</v>
      </c>
      <c r="P104" s="299">
        <v>60.254179774068</v>
      </c>
      <c r="Q104" s="537"/>
    </row>
    <row r="105" spans="1:17">
      <c r="A105" s="25" t="s">
        <v>40</v>
      </c>
      <c r="B105" s="24">
        <v>87</v>
      </c>
      <c r="C105" s="26">
        <v>37.081166666666668</v>
      </c>
      <c r="D105" s="26">
        <v>25.730083333333329</v>
      </c>
      <c r="E105" s="26">
        <v>19.250966666666667</v>
      </c>
      <c r="F105" s="26">
        <v>38.457083333333337</v>
      </c>
      <c r="G105" s="26">
        <v>44.978000000000002</v>
      </c>
      <c r="H105" s="26">
        <v>15.650210000000003</v>
      </c>
      <c r="I105" s="26">
        <v>1.863320416666667</v>
      </c>
      <c r="J105" s="26">
        <v>10.386641666666668</v>
      </c>
      <c r="K105" s="26">
        <v>36.08925</v>
      </c>
      <c r="L105" s="26">
        <v>40.257249999999999</v>
      </c>
      <c r="M105" s="26">
        <f t="shared" si="5"/>
        <v>55</v>
      </c>
      <c r="N105" s="29">
        <f t="shared" si="6"/>
        <v>29.522179280303032</v>
      </c>
      <c r="O105" s="299">
        <f>NPV(WACC!$E$22,C105:L105)+PV(WACC!$O$22,10,,-M105/(WACC!$O$22-WACC!$O$20))</f>
        <v>1139.5996768360001</v>
      </c>
      <c r="P105" s="299">
        <v>75.678179774067999</v>
      </c>
      <c r="Q105" s="537"/>
    </row>
    <row r="106" spans="1:17">
      <c r="A106" s="25" t="s">
        <v>51</v>
      </c>
      <c r="B106" s="24">
        <v>88</v>
      </c>
      <c r="C106" s="26">
        <v>50.086999999999996</v>
      </c>
      <c r="D106" s="26">
        <v>50.968333333333327</v>
      </c>
      <c r="E106" s="26">
        <v>53.370083333333334</v>
      </c>
      <c r="F106" s="26">
        <v>48.296249999999993</v>
      </c>
      <c r="G106" s="26">
        <v>22.274608333333337</v>
      </c>
      <c r="H106" s="26">
        <v>20.480025000000001</v>
      </c>
      <c r="I106" s="26">
        <v>9.1397416666666675</v>
      </c>
      <c r="J106" s="26">
        <v>3.970249125</v>
      </c>
      <c r="K106" s="26">
        <v>7.3558916666666656</v>
      </c>
      <c r="L106" s="26">
        <v>11.875041666666663</v>
      </c>
      <c r="M106" s="26">
        <f t="shared" si="5"/>
        <v>45</v>
      </c>
      <c r="N106" s="29">
        <f t="shared" si="6"/>
        <v>29.347020375</v>
      </c>
      <c r="O106" s="299">
        <f>NPV(WACC!$E$22,C106:L106)+PV(WACC!$O$22,10,,-M106/(WACC!$O$22-WACC!$O$20))</f>
        <v>994.51321558936502</v>
      </c>
      <c r="P106" s="299">
        <v>13.178229774067995</v>
      </c>
      <c r="Q106" s="537"/>
    </row>
    <row r="107" spans="1:17">
      <c r="A107" s="25" t="s">
        <v>42</v>
      </c>
      <c r="B107" s="24">
        <v>89</v>
      </c>
      <c r="C107" s="26">
        <v>38.979666666666667</v>
      </c>
      <c r="D107" s="26">
        <v>34.208891666666666</v>
      </c>
      <c r="E107" s="26">
        <v>44.83591666666667</v>
      </c>
      <c r="F107" s="26">
        <v>37.239000000000004</v>
      </c>
      <c r="G107" s="26">
        <v>7.8699833333333329</v>
      </c>
      <c r="H107" s="26">
        <v>1.0537088666666667</v>
      </c>
      <c r="I107" s="26">
        <v>16.714683333333333</v>
      </c>
      <c r="J107" s="26">
        <v>62.014083333333332</v>
      </c>
      <c r="K107" s="26">
        <v>23.539337500000013</v>
      </c>
      <c r="L107" s="26">
        <v>8.8103750000000005</v>
      </c>
      <c r="M107" s="26">
        <f t="shared" si="5"/>
        <v>45</v>
      </c>
      <c r="N107" s="29">
        <f t="shared" si="6"/>
        <v>29.115058760606061</v>
      </c>
      <c r="O107" s="299">
        <f>NPV(WACC!$E$22,C107:L107)+PV(WACC!$O$22,10,,-M107/(WACC!$O$22-WACC!$O$20))</f>
        <v>977.75135303298293</v>
      </c>
      <c r="P107" s="299">
        <v>14.417379774067996</v>
      </c>
      <c r="Q107" s="537"/>
    </row>
    <row r="108" spans="1:17">
      <c r="A108" s="25" t="s">
        <v>80</v>
      </c>
      <c r="B108" s="24">
        <v>90</v>
      </c>
      <c r="C108" s="26">
        <v>13.666600000000001</v>
      </c>
      <c r="D108" s="26">
        <v>30.360499999999998</v>
      </c>
      <c r="E108" s="26">
        <v>30.599249999999998</v>
      </c>
      <c r="F108" s="26">
        <v>52.137499999999996</v>
      </c>
      <c r="G108" s="26">
        <v>24.171708333333331</v>
      </c>
      <c r="H108" s="26">
        <v>0.82083468250000002</v>
      </c>
      <c r="I108" s="26">
        <v>3.2821648333333329</v>
      </c>
      <c r="J108" s="26">
        <v>46.405324999999998</v>
      </c>
      <c r="K108" s="26">
        <v>42.761749999999999</v>
      </c>
      <c r="L108" s="26">
        <v>31.039583333333336</v>
      </c>
      <c r="M108" s="26">
        <f t="shared" si="5"/>
        <v>45</v>
      </c>
      <c r="N108" s="29">
        <f t="shared" si="6"/>
        <v>29.11320147113636</v>
      </c>
      <c r="O108" s="299">
        <f>NPV(WACC!$E$22,C108:L108)+PV(WACC!$O$22,10,,-M108/(WACC!$O$22-WACC!$O$20))</f>
        <v>967.1362100301734</v>
      </c>
      <c r="P108" s="299">
        <v>30.374196440734664</v>
      </c>
      <c r="Q108" s="537"/>
    </row>
    <row r="109" spans="1:17">
      <c r="A109" s="25" t="s">
        <v>84</v>
      </c>
      <c r="B109" s="24">
        <v>91</v>
      </c>
      <c r="C109" s="26">
        <v>4.2157166666666663</v>
      </c>
      <c r="D109" s="26">
        <v>9.5096958333333337</v>
      </c>
      <c r="E109" s="26">
        <v>24.549966666666666</v>
      </c>
      <c r="F109" s="26">
        <v>13.6442</v>
      </c>
      <c r="G109" s="26">
        <v>49.74883333333333</v>
      </c>
      <c r="H109" s="26">
        <v>44.847916666666663</v>
      </c>
      <c r="I109" s="26">
        <v>36.946833333333331</v>
      </c>
      <c r="J109" s="26">
        <v>41.576000000000001</v>
      </c>
      <c r="K109" s="26">
        <v>25.386822499999997</v>
      </c>
      <c r="L109" s="26">
        <v>11.597183333333334</v>
      </c>
      <c r="M109" s="26">
        <f t="shared" si="5"/>
        <v>45</v>
      </c>
      <c r="N109" s="29">
        <f t="shared" si="6"/>
        <v>27.911197121212115</v>
      </c>
      <c r="O109" s="299">
        <f>NPV(WACC!$E$22,C109:L109)+PV(WACC!$O$22,10,,-M109/(WACC!$O$22-WACC!$O$20))</f>
        <v>952.40474525029754</v>
      </c>
      <c r="P109" s="299">
        <v>11.336229774067997</v>
      </c>
      <c r="Q109" s="537"/>
    </row>
    <row r="110" spans="1:17">
      <c r="A110" s="25" t="s">
        <v>98</v>
      </c>
      <c r="B110" s="24">
        <v>92</v>
      </c>
      <c r="C110" s="26">
        <v>29.388666666666669</v>
      </c>
      <c r="D110" s="26">
        <v>9.7787449999999989</v>
      </c>
      <c r="E110" s="26">
        <v>44.781083333333328</v>
      </c>
      <c r="F110" s="26">
        <v>54.271250000000009</v>
      </c>
      <c r="G110" s="26">
        <v>33.158425000000001</v>
      </c>
      <c r="H110" s="26">
        <v>3.3709299999999995</v>
      </c>
      <c r="I110" s="26">
        <v>2.8479039814166658</v>
      </c>
      <c r="J110" s="26">
        <v>0.33973672333333332</v>
      </c>
      <c r="K110" s="26">
        <v>20.987541666666669</v>
      </c>
      <c r="L110" s="26">
        <v>51.653333333333329</v>
      </c>
      <c r="M110" s="26">
        <f t="shared" si="5"/>
        <v>49.898229774068</v>
      </c>
      <c r="N110" s="29">
        <f t="shared" si="6"/>
        <v>27.315985952619815</v>
      </c>
      <c r="O110" s="299">
        <f>NPV(WACC!$E$22,C110:L110)+PV(WACC!$O$22,10,,-M110/(WACC!$O$22-WACC!$O$20))</f>
        <v>1039.289733959828</v>
      </c>
      <c r="P110" s="299">
        <v>49.898229774068</v>
      </c>
      <c r="Q110" s="537"/>
    </row>
    <row r="111" spans="1:17">
      <c r="A111" s="25" t="s">
        <v>112</v>
      </c>
      <c r="B111" s="24">
        <v>93</v>
      </c>
      <c r="C111" s="26">
        <v>46.736333333333334</v>
      </c>
      <c r="D111" s="26">
        <v>39.768916666666662</v>
      </c>
      <c r="E111" s="26">
        <v>37.896833333333326</v>
      </c>
      <c r="F111" s="26">
        <v>37.49133333333333</v>
      </c>
      <c r="G111" s="26">
        <v>37.907666666666671</v>
      </c>
      <c r="H111" s="26">
        <v>8.5157583333333324</v>
      </c>
      <c r="I111" s="26">
        <v>4.4324250000000012</v>
      </c>
      <c r="J111" s="26">
        <v>17.540733333333332</v>
      </c>
      <c r="K111" s="26">
        <v>15.575915833333333</v>
      </c>
      <c r="L111" s="26">
        <v>1.6641975000000002</v>
      </c>
      <c r="M111" s="26">
        <f t="shared" si="5"/>
        <v>45</v>
      </c>
      <c r="N111" s="29">
        <f t="shared" si="6"/>
        <v>26.593646666666665</v>
      </c>
      <c r="O111" s="299">
        <f>NPV(WACC!$E$22,C111:L111)+PV(WACC!$O$22,10,,-M111/(WACC!$O$22-WACC!$O$20))</f>
        <v>967.73566573000994</v>
      </c>
      <c r="P111" s="299">
        <v>30.707346440734668</v>
      </c>
      <c r="Q111" s="537"/>
    </row>
    <row r="112" spans="1:17">
      <c r="A112" s="25" t="s">
        <v>58</v>
      </c>
      <c r="B112" s="24">
        <v>94</v>
      </c>
      <c r="C112" s="26">
        <v>41.080999999999996</v>
      </c>
      <c r="D112" s="26">
        <v>25.375250000000005</v>
      </c>
      <c r="E112" s="26">
        <v>14.779235</v>
      </c>
      <c r="F112" s="26">
        <v>48.25383333333334</v>
      </c>
      <c r="G112" s="26">
        <v>45.969349999999999</v>
      </c>
      <c r="H112" s="26">
        <v>16.040558333333333</v>
      </c>
      <c r="I112" s="26">
        <v>0.46561599999999997</v>
      </c>
      <c r="J112" s="26">
        <v>1.9642594749999998</v>
      </c>
      <c r="K112" s="26">
        <v>6.4430583333333331</v>
      </c>
      <c r="L112" s="26">
        <v>37.356249999999996</v>
      </c>
      <c r="M112" s="26">
        <f t="shared" si="5"/>
        <v>48.910679774068001</v>
      </c>
      <c r="N112" s="29">
        <f t="shared" si="6"/>
        <v>26.058099113551634</v>
      </c>
      <c r="O112" s="299">
        <f>NPV(WACC!$E$22,C112:L112)+PV(WACC!$O$22,10,,-M112/(WACC!$O$22-WACC!$O$20))</f>
        <v>1018.9185918115197</v>
      </c>
      <c r="P112" s="299">
        <v>48.910679774068001</v>
      </c>
      <c r="Q112" s="537"/>
    </row>
    <row r="113" spans="1:105">
      <c r="A113" s="25" t="s">
        <v>109</v>
      </c>
      <c r="B113" s="24">
        <v>95</v>
      </c>
      <c r="C113" s="26">
        <v>23.953333333333333</v>
      </c>
      <c r="D113" s="26">
        <v>23.786666666666665</v>
      </c>
      <c r="E113" s="26">
        <v>46.631416666666667</v>
      </c>
      <c r="F113" s="26">
        <v>38.321316666666661</v>
      </c>
      <c r="G113" s="26">
        <v>32.241724999999995</v>
      </c>
      <c r="H113" s="26">
        <v>30.126366666666669</v>
      </c>
      <c r="I113" s="26">
        <v>27.974849583333338</v>
      </c>
      <c r="J113" s="26">
        <v>1.7563355416666671</v>
      </c>
      <c r="K113" s="26">
        <v>5.0770158333333333</v>
      </c>
      <c r="L113" s="26">
        <v>10.967126666666667</v>
      </c>
      <c r="M113" s="26">
        <f t="shared" si="5"/>
        <v>45</v>
      </c>
      <c r="N113" s="29">
        <f t="shared" si="6"/>
        <v>25.985104784090904</v>
      </c>
      <c r="O113" s="299">
        <f>NPV(WACC!$E$22,C113:L113)+PV(WACC!$O$22,10,,-M113/(WACC!$O$22-WACC!$O$20))</f>
        <v>955.60877918314532</v>
      </c>
      <c r="P113" s="299">
        <v>10.955329774067996</v>
      </c>
      <c r="Q113" s="537"/>
    </row>
    <row r="114" spans="1:105">
      <c r="A114" s="25" t="s">
        <v>113</v>
      </c>
      <c r="B114" s="24">
        <v>96</v>
      </c>
      <c r="C114" s="26">
        <v>40.576500000000003</v>
      </c>
      <c r="D114" s="26">
        <v>41.924583333333338</v>
      </c>
      <c r="E114" s="26">
        <v>37.49016666666666</v>
      </c>
      <c r="F114" s="26">
        <v>54.123083333333334</v>
      </c>
      <c r="G114" s="26">
        <v>30.337333333333333</v>
      </c>
      <c r="H114" s="26">
        <v>20.631969033333331</v>
      </c>
      <c r="I114" s="26">
        <v>0.5787008033333334</v>
      </c>
      <c r="J114" s="26">
        <v>1.8982296666666665</v>
      </c>
      <c r="K114" s="26">
        <v>4.3447516750000004</v>
      </c>
      <c r="L114" s="26">
        <v>8.4055583333333335</v>
      </c>
      <c r="M114" s="26">
        <f t="shared" si="5"/>
        <v>45</v>
      </c>
      <c r="N114" s="29">
        <f t="shared" si="6"/>
        <v>25.937352379848491</v>
      </c>
      <c r="O114" s="299">
        <f>NPV(WACC!$E$22,C114:L114)+PV(WACC!$O$22,10,,-M114/(WACC!$O$22-WACC!$O$20))</f>
        <v>964.38631353830738</v>
      </c>
      <c r="P114" s="299">
        <v>12.184846440734661</v>
      </c>
      <c r="Q114" s="537"/>
    </row>
    <row r="115" spans="1:105">
      <c r="A115" s="25" t="s">
        <v>102</v>
      </c>
      <c r="B115" s="24">
        <v>97</v>
      </c>
      <c r="C115" s="26">
        <v>7.6739666666666659</v>
      </c>
      <c r="D115" s="26">
        <v>5.0323749999999992</v>
      </c>
      <c r="E115" s="26">
        <v>20.572008333333336</v>
      </c>
      <c r="F115" s="26">
        <v>45.341916666666663</v>
      </c>
      <c r="G115" s="26">
        <v>39.257416666666664</v>
      </c>
      <c r="H115" s="26">
        <v>30.641131666666663</v>
      </c>
      <c r="I115" s="26">
        <v>3.0539725000000004</v>
      </c>
      <c r="J115" s="26">
        <v>23.107274999999998</v>
      </c>
      <c r="K115" s="26">
        <v>33.711549999999995</v>
      </c>
      <c r="L115" s="26">
        <v>27.479916666666668</v>
      </c>
      <c r="M115" s="26">
        <f t="shared" si="5"/>
        <v>45</v>
      </c>
      <c r="N115" s="29">
        <f t="shared" ref="N115:N118" si="7">AVERAGE(C115:M115)</f>
        <v>25.533775378787876</v>
      </c>
      <c r="O115" s="299">
        <f>NPV(WACC!$E$22,C115:L115)+PV(WACC!$O$22,10,,-M115/(WACC!$O$22-WACC!$O$20))</f>
        <v>935.51233440101032</v>
      </c>
      <c r="P115" s="299">
        <v>38.761813107401331</v>
      </c>
      <c r="Q115" s="537"/>
    </row>
    <row r="116" spans="1:105">
      <c r="A116" s="25" t="s">
        <v>111</v>
      </c>
      <c r="B116" s="24">
        <v>98</v>
      </c>
      <c r="C116" s="26">
        <v>39.822833333333335</v>
      </c>
      <c r="D116" s="26">
        <v>30.450249999999997</v>
      </c>
      <c r="E116" s="26">
        <v>15.383684166666667</v>
      </c>
      <c r="F116" s="26">
        <v>9.8587916666666668</v>
      </c>
      <c r="G116" s="26">
        <v>18.035691666666668</v>
      </c>
      <c r="H116" s="26">
        <v>25.369038333333339</v>
      </c>
      <c r="I116" s="26">
        <v>2.7158208333333334</v>
      </c>
      <c r="J116" s="26">
        <v>3.4538991666666665</v>
      </c>
      <c r="K116" s="26">
        <v>22.362849999999998</v>
      </c>
      <c r="L116" s="26">
        <v>40.134666666666668</v>
      </c>
      <c r="M116" s="26">
        <f t="shared" si="5"/>
        <v>55</v>
      </c>
      <c r="N116" s="29">
        <f t="shared" si="7"/>
        <v>23.871593257575761</v>
      </c>
      <c r="O116" s="299">
        <f>NPV(WACC!$E$22,C116:L116)+PV(WACC!$O$22,10,,-M116/(WACC!$O$22-WACC!$O$20))</f>
        <v>1095.7124564526557</v>
      </c>
      <c r="P116" s="299">
        <v>60.973346440734666</v>
      </c>
      <c r="Q116" s="537"/>
    </row>
    <row r="117" spans="1:105">
      <c r="A117" s="25" t="s">
        <v>37</v>
      </c>
      <c r="B117" s="24">
        <v>99</v>
      </c>
      <c r="C117" s="26">
        <v>27.349833333333336</v>
      </c>
      <c r="D117" s="26">
        <v>42.294666666666664</v>
      </c>
      <c r="E117" s="26">
        <v>27.043243333333333</v>
      </c>
      <c r="F117" s="26">
        <v>12.279216666666665</v>
      </c>
      <c r="G117" s="26">
        <v>26.515583333333336</v>
      </c>
      <c r="H117" s="26">
        <v>5.3566233333333342</v>
      </c>
      <c r="I117" s="26">
        <v>7.6929666666666661</v>
      </c>
      <c r="J117" s="26">
        <v>12.006158333333332</v>
      </c>
      <c r="K117" s="26">
        <v>2.8892983333333331</v>
      </c>
      <c r="L117" s="26">
        <v>34.104025</v>
      </c>
      <c r="M117" s="26">
        <f t="shared" si="5"/>
        <v>55</v>
      </c>
      <c r="N117" s="29">
        <f t="shared" si="7"/>
        <v>22.957419545454545</v>
      </c>
      <c r="O117" s="299">
        <f>NPV(WACC!$E$22,C117:L117)+PV(WACC!$O$22,10,,-M117/(WACC!$O$22-WACC!$O$20))</f>
        <v>1092.3518127694379</v>
      </c>
      <c r="P117" s="299">
        <v>56.282346440734663</v>
      </c>
      <c r="Q117" s="537"/>
    </row>
    <row r="118" spans="1:105">
      <c r="A118" s="25" t="s">
        <v>93</v>
      </c>
      <c r="B118" s="24">
        <v>100</v>
      </c>
      <c r="C118" s="26">
        <v>35.696333333333335</v>
      </c>
      <c r="D118" s="26">
        <v>15.107399166666667</v>
      </c>
      <c r="E118" s="26">
        <v>6.998570833333333</v>
      </c>
      <c r="F118" s="26">
        <v>21.782591666666665</v>
      </c>
      <c r="G118" s="26">
        <v>19.891491666666663</v>
      </c>
      <c r="H118" s="26">
        <v>34.731425000000002</v>
      </c>
      <c r="I118" s="26">
        <v>27.78595833333333</v>
      </c>
      <c r="J118" s="26">
        <v>15.981414166666665</v>
      </c>
      <c r="K118" s="26">
        <v>1.4973191666666665</v>
      </c>
      <c r="L118" s="26">
        <v>11.052016666666669</v>
      </c>
      <c r="M118" s="26">
        <f t="shared" si="5"/>
        <v>45</v>
      </c>
      <c r="N118" s="29">
        <f t="shared" si="7"/>
        <v>21.41132</v>
      </c>
      <c r="O118" s="299">
        <f>NPV(WACC!$E$22,C118:L118)+PV(WACC!$O$22,10,,-M118/(WACC!$O$22-WACC!$O$20))</f>
        <v>913.5821682054667</v>
      </c>
      <c r="P118" s="299">
        <v>12.430796440734662</v>
      </c>
      <c r="Q118" s="537"/>
    </row>
    <row r="119" spans="1:105">
      <c r="A119" s="25" t="s">
        <v>122</v>
      </c>
      <c r="B119" s="28" t="s">
        <v>126</v>
      </c>
      <c r="C119" s="26">
        <f>AVERAGE(C19:C118)</f>
        <v>41.517614000000002</v>
      </c>
      <c r="D119" s="26">
        <f t="shared" ref="D119:P119" si="8">AVERAGE(D19:D118)</f>
        <v>36.163897090750012</v>
      </c>
      <c r="E119" s="26">
        <f t="shared" si="8"/>
        <v>37.380924500000006</v>
      </c>
      <c r="F119" s="26">
        <f t="shared" si="8"/>
        <v>42.533741166666651</v>
      </c>
      <c r="G119" s="26">
        <f t="shared" si="8"/>
        <v>41.62355758333333</v>
      </c>
      <c r="H119" s="26">
        <f t="shared" si="8"/>
        <v>29.732278135908327</v>
      </c>
      <c r="I119" s="26">
        <f t="shared" si="8"/>
        <v>24.905815262779992</v>
      </c>
      <c r="J119" s="26">
        <f t="shared" si="8"/>
        <v>30.003172363066668</v>
      </c>
      <c r="K119" s="26">
        <f t="shared" si="8"/>
        <v>31.573638068416678</v>
      </c>
      <c r="L119" s="26">
        <f t="shared" si="8"/>
        <v>40.543529716666654</v>
      </c>
      <c r="M119" s="26">
        <f t="shared" si="8"/>
        <v>50.110150883628279</v>
      </c>
      <c r="N119" s="26">
        <f t="shared" si="8"/>
        <v>36.917119888292433</v>
      </c>
      <c r="O119" s="26">
        <f t="shared" si="8"/>
        <v>1119.836835558044</v>
      </c>
      <c r="P119" s="26">
        <f t="shared" si="8"/>
        <v>48.40706027406798</v>
      </c>
      <c r="Q119" s="537"/>
    </row>
    <row r="120" spans="1:105">
      <c r="C120" s="61"/>
      <c r="D120" s="61"/>
      <c r="E120" s="61"/>
      <c r="F120" s="61"/>
      <c r="G120" s="61"/>
      <c r="H120" s="61"/>
      <c r="I120" s="61"/>
      <c r="J120" s="61"/>
      <c r="K120" s="61"/>
      <c r="L120" s="61"/>
      <c r="M120" s="61"/>
      <c r="N120" s="61"/>
    </row>
    <row r="121" spans="1:105">
      <c r="M121" s="61"/>
    </row>
    <row r="122" spans="1:105">
      <c r="F122" s="276"/>
    </row>
    <row r="123" spans="1:105" ht="20.100000000000001" customHeight="1">
      <c r="A123" s="283"/>
    </row>
    <row r="124" spans="1:105">
      <c r="A124" s="22" t="s">
        <v>18</v>
      </c>
      <c r="B124" s="282" t="s">
        <v>19</v>
      </c>
      <c r="C124" s="282" t="s">
        <v>19</v>
      </c>
      <c r="D124" s="282" t="s">
        <v>19</v>
      </c>
      <c r="E124" s="282" t="s">
        <v>19</v>
      </c>
      <c r="F124" s="282" t="s">
        <v>19</v>
      </c>
      <c r="G124" s="282" t="s">
        <v>19</v>
      </c>
      <c r="H124" s="282" t="s">
        <v>19</v>
      </c>
      <c r="I124" s="282" t="s">
        <v>19</v>
      </c>
      <c r="J124" s="282" t="s">
        <v>19</v>
      </c>
      <c r="K124" s="282" t="s">
        <v>19</v>
      </c>
      <c r="L124" s="282" t="s">
        <v>19</v>
      </c>
      <c r="M124" s="282" t="s">
        <v>19</v>
      </c>
      <c r="N124" s="282" t="s">
        <v>19</v>
      </c>
      <c r="O124" s="282" t="s">
        <v>19</v>
      </c>
      <c r="P124" s="282" t="s">
        <v>19</v>
      </c>
      <c r="Q124" s="282" t="s">
        <v>19</v>
      </c>
      <c r="R124" s="282" t="s">
        <v>19</v>
      </c>
      <c r="S124" s="282" t="s">
        <v>19</v>
      </c>
      <c r="T124" s="282" t="s">
        <v>19</v>
      </c>
      <c r="U124" s="282" t="s">
        <v>19</v>
      </c>
      <c r="V124" s="282" t="s">
        <v>19</v>
      </c>
      <c r="W124" s="282" t="s">
        <v>19</v>
      </c>
      <c r="X124" s="282" t="s">
        <v>19</v>
      </c>
      <c r="Y124" s="282" t="s">
        <v>19</v>
      </c>
      <c r="Z124" s="282" t="s">
        <v>19</v>
      </c>
      <c r="AA124" s="282" t="s">
        <v>19</v>
      </c>
      <c r="AB124" s="282" t="s">
        <v>19</v>
      </c>
      <c r="AC124" s="282" t="s">
        <v>19</v>
      </c>
      <c r="AD124" s="282" t="s">
        <v>19</v>
      </c>
      <c r="AE124" s="282" t="s">
        <v>19</v>
      </c>
      <c r="AF124" s="282" t="s">
        <v>19</v>
      </c>
      <c r="AG124" s="282" t="s">
        <v>19</v>
      </c>
      <c r="AH124" s="282" t="s">
        <v>19</v>
      </c>
      <c r="AI124" s="282" t="s">
        <v>19</v>
      </c>
      <c r="AJ124" s="282" t="s">
        <v>19</v>
      </c>
      <c r="AK124" s="282" t="s">
        <v>19</v>
      </c>
      <c r="AL124" s="282" t="s">
        <v>19</v>
      </c>
      <c r="AM124" s="282" t="s">
        <v>19</v>
      </c>
      <c r="AN124" s="282" t="s">
        <v>19</v>
      </c>
      <c r="AO124" s="282" t="s">
        <v>19</v>
      </c>
      <c r="AP124" s="282" t="s">
        <v>19</v>
      </c>
      <c r="AQ124" s="282" t="s">
        <v>19</v>
      </c>
      <c r="AR124" s="282" t="s">
        <v>19</v>
      </c>
      <c r="AS124" s="282" t="s">
        <v>19</v>
      </c>
      <c r="AT124" s="282" t="s">
        <v>19</v>
      </c>
      <c r="AU124" s="282" t="s">
        <v>19</v>
      </c>
      <c r="AV124" s="282" t="s">
        <v>19</v>
      </c>
      <c r="AW124" s="282" t="s">
        <v>19</v>
      </c>
      <c r="AX124" s="282" t="s">
        <v>19</v>
      </c>
      <c r="AY124" s="282" t="s">
        <v>19</v>
      </c>
      <c r="AZ124" s="282" t="s">
        <v>19</v>
      </c>
      <c r="BA124" s="282" t="s">
        <v>19</v>
      </c>
      <c r="BB124" s="282" t="s">
        <v>19</v>
      </c>
      <c r="BC124" s="282" t="s">
        <v>19</v>
      </c>
      <c r="BD124" s="282" t="s">
        <v>19</v>
      </c>
      <c r="BE124" s="282" t="s">
        <v>19</v>
      </c>
      <c r="BF124" s="282" t="s">
        <v>19</v>
      </c>
      <c r="BG124" s="282" t="s">
        <v>19</v>
      </c>
      <c r="BH124" s="282" t="s">
        <v>19</v>
      </c>
      <c r="BI124" s="282" t="s">
        <v>19</v>
      </c>
      <c r="BJ124" s="282" t="s">
        <v>19</v>
      </c>
      <c r="BK124" s="282" t="s">
        <v>19</v>
      </c>
      <c r="BL124" s="282" t="s">
        <v>19</v>
      </c>
      <c r="BM124" s="282" t="s">
        <v>19</v>
      </c>
      <c r="BN124" s="282" t="s">
        <v>19</v>
      </c>
      <c r="BO124" s="282" t="s">
        <v>19</v>
      </c>
      <c r="BP124" s="282" t="s">
        <v>19</v>
      </c>
      <c r="BQ124" s="282" t="s">
        <v>19</v>
      </c>
      <c r="BR124" s="282" t="s">
        <v>19</v>
      </c>
      <c r="BS124" s="282" t="s">
        <v>19</v>
      </c>
      <c r="BT124" s="282" t="s">
        <v>19</v>
      </c>
      <c r="BU124" s="282" t="s">
        <v>19</v>
      </c>
      <c r="BV124" s="282" t="s">
        <v>19</v>
      </c>
      <c r="BW124" s="282" t="s">
        <v>19</v>
      </c>
      <c r="BX124" s="282" t="s">
        <v>19</v>
      </c>
      <c r="BY124" s="282" t="s">
        <v>19</v>
      </c>
      <c r="BZ124" s="282" t="s">
        <v>19</v>
      </c>
      <c r="CA124" s="282" t="s">
        <v>19</v>
      </c>
      <c r="CB124" s="282" t="s">
        <v>19</v>
      </c>
      <c r="CC124" s="282" t="s">
        <v>19</v>
      </c>
      <c r="CD124" s="282" t="s">
        <v>19</v>
      </c>
      <c r="CE124" s="282" t="s">
        <v>19</v>
      </c>
      <c r="CF124" s="282" t="s">
        <v>19</v>
      </c>
      <c r="CG124" s="282" t="s">
        <v>19</v>
      </c>
      <c r="CH124" s="282" t="s">
        <v>19</v>
      </c>
      <c r="CI124" s="282" t="s">
        <v>19</v>
      </c>
      <c r="CJ124" s="282" t="s">
        <v>19</v>
      </c>
      <c r="CK124" s="282" t="s">
        <v>19</v>
      </c>
      <c r="CL124" s="282" t="s">
        <v>19</v>
      </c>
      <c r="CM124" s="282" t="s">
        <v>19</v>
      </c>
      <c r="CN124" s="282" t="s">
        <v>19</v>
      </c>
      <c r="CO124" s="282" t="s">
        <v>19</v>
      </c>
      <c r="CP124" s="282" t="s">
        <v>19</v>
      </c>
      <c r="CQ124" s="282" t="s">
        <v>19</v>
      </c>
      <c r="CR124" s="282" t="s">
        <v>19</v>
      </c>
      <c r="CS124" s="282" t="s">
        <v>19</v>
      </c>
      <c r="CT124" s="282" t="s">
        <v>19</v>
      </c>
      <c r="CU124" s="282" t="s">
        <v>19</v>
      </c>
      <c r="CV124" s="282" t="s">
        <v>19</v>
      </c>
      <c r="CW124" s="282" t="s">
        <v>19</v>
      </c>
      <c r="CX124" s="282" t="s">
        <v>19</v>
      </c>
    </row>
    <row r="125" spans="1:105">
      <c r="A125" s="22" t="s">
        <v>18</v>
      </c>
      <c r="B125" s="282" t="s">
        <v>20</v>
      </c>
      <c r="C125" s="282" t="s">
        <v>20</v>
      </c>
      <c r="D125" s="282" t="s">
        <v>20</v>
      </c>
      <c r="E125" s="282" t="s">
        <v>20</v>
      </c>
      <c r="F125" s="282" t="s">
        <v>20</v>
      </c>
      <c r="G125" s="282" t="s">
        <v>20</v>
      </c>
      <c r="H125" s="282" t="s">
        <v>20</v>
      </c>
      <c r="I125" s="282" t="s">
        <v>20</v>
      </c>
      <c r="J125" s="282" t="s">
        <v>20</v>
      </c>
      <c r="K125" s="282" t="s">
        <v>20</v>
      </c>
      <c r="L125" s="282" t="s">
        <v>20</v>
      </c>
      <c r="M125" s="282" t="s">
        <v>20</v>
      </c>
      <c r="N125" s="282" t="s">
        <v>20</v>
      </c>
      <c r="O125" s="282" t="s">
        <v>20</v>
      </c>
      <c r="P125" s="282" t="s">
        <v>20</v>
      </c>
      <c r="Q125" s="282" t="s">
        <v>20</v>
      </c>
      <c r="R125" s="282" t="s">
        <v>20</v>
      </c>
      <c r="S125" s="282" t="s">
        <v>20</v>
      </c>
      <c r="T125" s="282" t="s">
        <v>20</v>
      </c>
      <c r="U125" s="282" t="s">
        <v>20</v>
      </c>
      <c r="V125" s="282" t="s">
        <v>20</v>
      </c>
      <c r="W125" s="282" t="s">
        <v>20</v>
      </c>
      <c r="X125" s="282" t="s">
        <v>20</v>
      </c>
      <c r="Y125" s="282" t="s">
        <v>20</v>
      </c>
      <c r="Z125" s="282" t="s">
        <v>20</v>
      </c>
      <c r="AA125" s="282" t="s">
        <v>20</v>
      </c>
      <c r="AB125" s="282" t="s">
        <v>20</v>
      </c>
      <c r="AC125" s="282" t="s">
        <v>20</v>
      </c>
      <c r="AD125" s="282" t="s">
        <v>20</v>
      </c>
      <c r="AE125" s="282" t="s">
        <v>20</v>
      </c>
      <c r="AF125" s="282" t="s">
        <v>20</v>
      </c>
      <c r="AG125" s="282" t="s">
        <v>20</v>
      </c>
      <c r="AH125" s="282" t="s">
        <v>20</v>
      </c>
      <c r="AI125" s="282" t="s">
        <v>20</v>
      </c>
      <c r="AJ125" s="282" t="s">
        <v>20</v>
      </c>
      <c r="AK125" s="282" t="s">
        <v>20</v>
      </c>
      <c r="AL125" s="282" t="s">
        <v>20</v>
      </c>
      <c r="AM125" s="282" t="s">
        <v>20</v>
      </c>
      <c r="AN125" s="282" t="s">
        <v>20</v>
      </c>
      <c r="AO125" s="282" t="s">
        <v>20</v>
      </c>
      <c r="AP125" s="282" t="s">
        <v>20</v>
      </c>
      <c r="AQ125" s="282" t="s">
        <v>20</v>
      </c>
      <c r="AR125" s="282" t="s">
        <v>20</v>
      </c>
      <c r="AS125" s="282" t="s">
        <v>20</v>
      </c>
      <c r="AT125" s="282" t="s">
        <v>20</v>
      </c>
      <c r="AU125" s="282" t="s">
        <v>20</v>
      </c>
      <c r="AV125" s="282" t="s">
        <v>20</v>
      </c>
      <c r="AW125" s="282" t="s">
        <v>20</v>
      </c>
      <c r="AX125" s="282" t="s">
        <v>20</v>
      </c>
      <c r="AY125" s="282" t="s">
        <v>20</v>
      </c>
      <c r="AZ125" s="282" t="s">
        <v>20</v>
      </c>
      <c r="BA125" s="282" t="s">
        <v>20</v>
      </c>
      <c r="BB125" s="282" t="s">
        <v>20</v>
      </c>
      <c r="BC125" s="282" t="s">
        <v>20</v>
      </c>
      <c r="BD125" s="282" t="s">
        <v>20</v>
      </c>
      <c r="BE125" s="282" t="s">
        <v>20</v>
      </c>
      <c r="BF125" s="282" t="s">
        <v>20</v>
      </c>
      <c r="BG125" s="282" t="s">
        <v>20</v>
      </c>
      <c r="BH125" s="282" t="s">
        <v>20</v>
      </c>
      <c r="BI125" s="282" t="s">
        <v>20</v>
      </c>
      <c r="BJ125" s="282" t="s">
        <v>20</v>
      </c>
      <c r="BK125" s="282" t="s">
        <v>20</v>
      </c>
      <c r="BL125" s="282" t="s">
        <v>20</v>
      </c>
      <c r="BM125" s="282" t="s">
        <v>20</v>
      </c>
      <c r="BN125" s="282" t="s">
        <v>20</v>
      </c>
      <c r="BO125" s="282" t="s">
        <v>20</v>
      </c>
      <c r="BP125" s="282" t="s">
        <v>20</v>
      </c>
      <c r="BQ125" s="282" t="s">
        <v>20</v>
      </c>
      <c r="BR125" s="282" t="s">
        <v>20</v>
      </c>
      <c r="BS125" s="282" t="s">
        <v>20</v>
      </c>
      <c r="BT125" s="282" t="s">
        <v>20</v>
      </c>
      <c r="BU125" s="282" t="s">
        <v>20</v>
      </c>
      <c r="BV125" s="282" t="s">
        <v>20</v>
      </c>
      <c r="BW125" s="282" t="s">
        <v>20</v>
      </c>
      <c r="BX125" s="282" t="s">
        <v>20</v>
      </c>
      <c r="BY125" s="282" t="s">
        <v>20</v>
      </c>
      <c r="BZ125" s="282" t="s">
        <v>20</v>
      </c>
      <c r="CA125" s="282" t="s">
        <v>20</v>
      </c>
      <c r="CB125" s="282" t="s">
        <v>20</v>
      </c>
      <c r="CC125" s="282" t="s">
        <v>20</v>
      </c>
      <c r="CD125" s="282" t="s">
        <v>20</v>
      </c>
      <c r="CE125" s="282" t="s">
        <v>20</v>
      </c>
      <c r="CF125" s="282" t="s">
        <v>20</v>
      </c>
      <c r="CG125" s="282" t="s">
        <v>20</v>
      </c>
      <c r="CH125" s="282" t="s">
        <v>20</v>
      </c>
      <c r="CI125" s="282" t="s">
        <v>20</v>
      </c>
      <c r="CJ125" s="282" t="s">
        <v>20</v>
      </c>
      <c r="CK125" s="282" t="s">
        <v>20</v>
      </c>
      <c r="CL125" s="282" t="s">
        <v>20</v>
      </c>
      <c r="CM125" s="282" t="s">
        <v>20</v>
      </c>
      <c r="CN125" s="282" t="s">
        <v>20</v>
      </c>
      <c r="CO125" s="282" t="s">
        <v>20</v>
      </c>
      <c r="CP125" s="282" t="s">
        <v>20</v>
      </c>
      <c r="CQ125" s="282" t="s">
        <v>20</v>
      </c>
      <c r="CR125" s="282" t="s">
        <v>20</v>
      </c>
      <c r="CS125" s="282" t="s">
        <v>20</v>
      </c>
      <c r="CT125" s="282" t="s">
        <v>20</v>
      </c>
      <c r="CU125" s="282" t="s">
        <v>20</v>
      </c>
      <c r="CV125" s="282" t="s">
        <v>20</v>
      </c>
      <c r="CW125" s="282" t="s">
        <v>20</v>
      </c>
      <c r="CX125" s="282" t="s">
        <v>20</v>
      </c>
    </row>
    <row r="126" spans="1:105">
      <c r="A126" s="279" t="s">
        <v>21</v>
      </c>
      <c r="B126" s="24" t="s">
        <v>22</v>
      </c>
      <c r="C126" s="24" t="s">
        <v>23</v>
      </c>
      <c r="D126" s="24" t="s">
        <v>24</v>
      </c>
      <c r="E126" s="24" t="s">
        <v>25</v>
      </c>
      <c r="F126" s="24" t="s">
        <v>26</v>
      </c>
      <c r="G126" s="24" t="s">
        <v>27</v>
      </c>
      <c r="H126" s="24" t="s">
        <v>28</v>
      </c>
      <c r="I126" s="24" t="s">
        <v>29</v>
      </c>
      <c r="J126" s="24" t="s">
        <v>30</v>
      </c>
      <c r="K126" s="24" t="s">
        <v>31</v>
      </c>
      <c r="L126" s="24" t="s">
        <v>32</v>
      </c>
      <c r="M126" s="24" t="s">
        <v>33</v>
      </c>
      <c r="N126" s="24" t="s">
        <v>34</v>
      </c>
      <c r="O126" s="24" t="s">
        <v>35</v>
      </c>
      <c r="P126" s="24" t="s">
        <v>36</v>
      </c>
      <c r="Q126" s="24" t="s">
        <v>37</v>
      </c>
      <c r="R126" s="24" t="s">
        <v>38</v>
      </c>
      <c r="S126" s="24" t="s">
        <v>39</v>
      </c>
      <c r="T126" s="24" t="s">
        <v>40</v>
      </c>
      <c r="U126" s="24" t="s">
        <v>41</v>
      </c>
      <c r="V126" s="24" t="s">
        <v>42</v>
      </c>
      <c r="W126" s="24" t="s">
        <v>43</v>
      </c>
      <c r="X126" s="24" t="s">
        <v>44</v>
      </c>
      <c r="Y126" s="24" t="s">
        <v>45</v>
      </c>
      <c r="Z126" s="24" t="s">
        <v>46</v>
      </c>
      <c r="AA126" s="24" t="s">
        <v>47</v>
      </c>
      <c r="AB126" s="24" t="s">
        <v>48</v>
      </c>
      <c r="AC126" s="24" t="s">
        <v>49</v>
      </c>
      <c r="AD126" s="24" t="s">
        <v>50</v>
      </c>
      <c r="AE126" s="24" t="s">
        <v>51</v>
      </c>
      <c r="AF126" s="24" t="s">
        <v>52</v>
      </c>
      <c r="AG126" s="24" t="s">
        <v>53</v>
      </c>
      <c r="AH126" s="24" t="s">
        <v>54</v>
      </c>
      <c r="AI126" s="24" t="s">
        <v>55</v>
      </c>
      <c r="AJ126" s="24" t="s">
        <v>56</v>
      </c>
      <c r="AK126" s="24" t="s">
        <v>57</v>
      </c>
      <c r="AL126" s="24" t="s">
        <v>58</v>
      </c>
      <c r="AM126" s="24" t="s">
        <v>59</v>
      </c>
      <c r="AN126" s="24" t="s">
        <v>60</v>
      </c>
      <c r="AO126" s="24" t="s">
        <v>61</v>
      </c>
      <c r="AP126" s="24" t="s">
        <v>62</v>
      </c>
      <c r="AQ126" s="24" t="s">
        <v>63</v>
      </c>
      <c r="AR126" s="24" t="s">
        <v>64</v>
      </c>
      <c r="AS126" s="24" t="s">
        <v>65</v>
      </c>
      <c r="AT126" s="24" t="s">
        <v>66</v>
      </c>
      <c r="AU126" s="24" t="s">
        <v>67</v>
      </c>
      <c r="AV126" s="24" t="s">
        <v>68</v>
      </c>
      <c r="AW126" s="24" t="s">
        <v>69</v>
      </c>
      <c r="AX126" s="24" t="s">
        <v>70</v>
      </c>
      <c r="AY126" s="24" t="s">
        <v>71</v>
      </c>
      <c r="AZ126" s="24" t="s">
        <v>72</v>
      </c>
      <c r="BA126" s="24" t="s">
        <v>73</v>
      </c>
      <c r="BB126" s="24" t="s">
        <v>74</v>
      </c>
      <c r="BC126" s="24" t="s">
        <v>75</v>
      </c>
      <c r="BD126" s="24" t="s">
        <v>76</v>
      </c>
      <c r="BE126" s="24" t="s">
        <v>77</v>
      </c>
      <c r="BF126" s="24" t="s">
        <v>78</v>
      </c>
      <c r="BG126" s="24" t="s">
        <v>79</v>
      </c>
      <c r="BH126" s="24" t="s">
        <v>80</v>
      </c>
      <c r="BI126" s="24" t="s">
        <v>81</v>
      </c>
      <c r="BJ126" s="24" t="s">
        <v>82</v>
      </c>
      <c r="BK126" s="24" t="s">
        <v>83</v>
      </c>
      <c r="BL126" s="24" t="s">
        <v>84</v>
      </c>
      <c r="BM126" s="24" t="s">
        <v>85</v>
      </c>
      <c r="BN126" s="24" t="s">
        <v>86</v>
      </c>
      <c r="BO126" s="24" t="s">
        <v>87</v>
      </c>
      <c r="BP126" s="24" t="s">
        <v>88</v>
      </c>
      <c r="BQ126" s="24" t="s">
        <v>89</v>
      </c>
      <c r="BR126" s="24" t="s">
        <v>90</v>
      </c>
      <c r="BS126" s="24" t="s">
        <v>91</v>
      </c>
      <c r="BT126" s="24" t="s">
        <v>92</v>
      </c>
      <c r="BU126" s="24" t="s">
        <v>93</v>
      </c>
      <c r="BV126" s="24" t="s">
        <v>94</v>
      </c>
      <c r="BW126" s="24" t="s">
        <v>95</v>
      </c>
      <c r="BX126" s="24" t="s">
        <v>96</v>
      </c>
      <c r="BY126" s="24" t="s">
        <v>97</v>
      </c>
      <c r="BZ126" s="24" t="s">
        <v>98</v>
      </c>
      <c r="CA126" s="24" t="s">
        <v>99</v>
      </c>
      <c r="CB126" s="24" t="s">
        <v>100</v>
      </c>
      <c r="CC126" s="24" t="s">
        <v>101</v>
      </c>
      <c r="CD126" s="24" t="s">
        <v>102</v>
      </c>
      <c r="CE126" s="24" t="s">
        <v>103</v>
      </c>
      <c r="CF126" s="24" t="s">
        <v>104</v>
      </c>
      <c r="CG126" s="24" t="s">
        <v>105</v>
      </c>
      <c r="CH126" s="24" t="s">
        <v>106</v>
      </c>
      <c r="CI126" s="24" t="s">
        <v>107</v>
      </c>
      <c r="CJ126" s="24" t="s">
        <v>108</v>
      </c>
      <c r="CK126" s="24" t="s">
        <v>109</v>
      </c>
      <c r="CL126" s="24" t="s">
        <v>110</v>
      </c>
      <c r="CM126" s="24" t="s">
        <v>111</v>
      </c>
      <c r="CN126" s="24" t="s">
        <v>112</v>
      </c>
      <c r="CO126" s="24" t="s">
        <v>113</v>
      </c>
      <c r="CP126" s="24" t="s">
        <v>114</v>
      </c>
      <c r="CQ126" s="24" t="s">
        <v>115</v>
      </c>
      <c r="CR126" s="24" t="s">
        <v>116</v>
      </c>
      <c r="CS126" s="24" t="s">
        <v>117</v>
      </c>
      <c r="CT126" s="24" t="s">
        <v>118</v>
      </c>
      <c r="CU126" s="24" t="s">
        <v>119</v>
      </c>
      <c r="CV126" s="24" t="s">
        <v>120</v>
      </c>
      <c r="CW126" s="24" t="s">
        <v>121</v>
      </c>
      <c r="CX126" s="24" t="s">
        <v>122</v>
      </c>
    </row>
    <row r="127" spans="1:105">
      <c r="A127" s="279">
        <v>41760</v>
      </c>
      <c r="B127" s="26">
        <v>24.512057647800873</v>
      </c>
      <c r="C127" s="26">
        <v>28.707057647800866</v>
      </c>
      <c r="D127" s="26">
        <v>32.626057647800877</v>
      </c>
      <c r="E127" s="26">
        <v>26.856057647800881</v>
      </c>
      <c r="F127" s="26">
        <v>26.145057647800883</v>
      </c>
      <c r="G127" s="26">
        <v>32.970057647800871</v>
      </c>
      <c r="H127" s="26">
        <v>23.408057647800874</v>
      </c>
      <c r="I127" s="26">
        <v>22.93905764780088</v>
      </c>
      <c r="J127" s="26">
        <v>24.961057647800885</v>
      </c>
      <c r="K127" s="26">
        <v>29.705057647800885</v>
      </c>
      <c r="L127" s="26">
        <v>27.472057647800881</v>
      </c>
      <c r="M127" s="26">
        <v>28.474057647800862</v>
      </c>
      <c r="N127" s="26">
        <v>25.388057647800878</v>
      </c>
      <c r="O127" s="26">
        <v>15.109057647800881</v>
      </c>
      <c r="P127" s="26">
        <v>23.604057647800886</v>
      </c>
      <c r="Q127" s="26">
        <v>8.4510576478008801</v>
      </c>
      <c r="R127" s="26">
        <v>21.855057647800876</v>
      </c>
      <c r="S127" s="26">
        <v>21.979057647800886</v>
      </c>
      <c r="T127" s="26">
        <v>14.000057647800872</v>
      </c>
      <c r="U127" s="26">
        <v>26.566057647800875</v>
      </c>
      <c r="V127" s="26">
        <v>15.694057647800875</v>
      </c>
      <c r="W127" s="26">
        <v>25.354057647800886</v>
      </c>
      <c r="X127" s="26">
        <v>22.406057647800878</v>
      </c>
      <c r="Y127" s="26">
        <v>39.296057647800865</v>
      </c>
      <c r="Z127" s="26">
        <v>30.562057647800884</v>
      </c>
      <c r="AA127" s="26">
        <v>27.498057647800877</v>
      </c>
      <c r="AB127" s="26">
        <v>30.283057647800888</v>
      </c>
      <c r="AC127" s="26">
        <v>29.807057647800889</v>
      </c>
      <c r="AD127" s="26">
        <v>30.723057647800886</v>
      </c>
      <c r="AE127" s="26">
        <v>15.665057647800879</v>
      </c>
      <c r="AF127" s="26">
        <v>29.352057647800876</v>
      </c>
      <c r="AG127" s="26">
        <v>31.849057647800862</v>
      </c>
      <c r="AH127" s="26">
        <v>27.114057647800877</v>
      </c>
      <c r="AI127" s="26">
        <v>20.863057647800872</v>
      </c>
      <c r="AJ127" s="26">
        <v>28.19805764780088</v>
      </c>
      <c r="AK127" s="26">
        <v>29.352057647800876</v>
      </c>
      <c r="AL127" s="26">
        <v>14.025057647800878</v>
      </c>
      <c r="AM127" s="26">
        <v>23.613057647800872</v>
      </c>
      <c r="AN127" s="26">
        <v>31.095057647800871</v>
      </c>
      <c r="AO127" s="26">
        <v>22.892057647800883</v>
      </c>
      <c r="AP127" s="26">
        <v>31.316057647800875</v>
      </c>
      <c r="AQ127" s="26">
        <v>25.166057647800869</v>
      </c>
      <c r="AR127" s="26">
        <v>26.142057647800883</v>
      </c>
      <c r="AS127" s="26">
        <v>16.322057647800875</v>
      </c>
      <c r="AT127" s="26">
        <v>20.554057647800875</v>
      </c>
      <c r="AU127" s="26">
        <v>26.013057647800878</v>
      </c>
      <c r="AV127" s="26">
        <v>29.352057647800876</v>
      </c>
      <c r="AW127" s="26">
        <v>22.233057647800877</v>
      </c>
      <c r="AX127" s="26">
        <v>24.470057647800871</v>
      </c>
      <c r="AY127" s="26">
        <v>29.352057647800876</v>
      </c>
      <c r="AZ127" s="26">
        <v>29.352057647800876</v>
      </c>
      <c r="BA127" s="26">
        <v>23.598057647800886</v>
      </c>
      <c r="BB127" s="26">
        <v>15.610057647800886</v>
      </c>
      <c r="BC127" s="26">
        <v>15.535057647800883</v>
      </c>
      <c r="BD127" s="26">
        <v>34.839057647800871</v>
      </c>
      <c r="BE127" s="26">
        <v>14.000057647800872</v>
      </c>
      <c r="BF127" s="26">
        <v>8.3850576478008776</v>
      </c>
      <c r="BG127" s="26">
        <v>28.94805764780088</v>
      </c>
      <c r="BH127" s="26">
        <v>16.424057647800879</v>
      </c>
      <c r="BI127" s="26">
        <v>24.188057647800875</v>
      </c>
      <c r="BJ127" s="26">
        <v>26.915057647800879</v>
      </c>
      <c r="BK127" s="26">
        <v>21.816057647800875</v>
      </c>
      <c r="BL127" s="26">
        <v>27.316057647800875</v>
      </c>
      <c r="BM127" s="26">
        <v>29.352057647800876</v>
      </c>
      <c r="BN127" s="26">
        <v>29.077057647800871</v>
      </c>
      <c r="BO127" s="26">
        <v>30.176057647800889</v>
      </c>
      <c r="BP127" s="26">
        <v>21.81505764780087</v>
      </c>
      <c r="BQ127" s="26">
        <v>23.882057647800877</v>
      </c>
      <c r="BR127" s="26">
        <v>14.000057647800872</v>
      </c>
      <c r="BS127" s="26">
        <v>23.619057647800872</v>
      </c>
      <c r="BT127" s="26">
        <v>24.456057647800876</v>
      </c>
      <c r="BU127" s="26">
        <v>15.69505764780088</v>
      </c>
      <c r="BV127" s="26">
        <v>30.078057647800875</v>
      </c>
      <c r="BW127" s="26">
        <v>32.223057647800886</v>
      </c>
      <c r="BX127" s="26">
        <v>30.283057647800888</v>
      </c>
      <c r="BY127" s="26">
        <v>26.472057647800881</v>
      </c>
      <c r="BZ127" s="26">
        <v>22.666057647800869</v>
      </c>
      <c r="CA127" s="26">
        <v>29.352057647800876</v>
      </c>
      <c r="CB127" s="26">
        <v>29.875057647800872</v>
      </c>
      <c r="CC127" s="26">
        <v>29.352057647800876</v>
      </c>
      <c r="CD127" s="26">
        <v>24.95705764780088</v>
      </c>
      <c r="CE127" s="26">
        <v>27.995057647800877</v>
      </c>
      <c r="CF127" s="26">
        <v>22.227057647800876</v>
      </c>
      <c r="CG127" s="26">
        <v>24.188057647800875</v>
      </c>
      <c r="CH127" s="26">
        <v>29.352057647800876</v>
      </c>
      <c r="CI127" s="26">
        <v>28.500057647800872</v>
      </c>
      <c r="CJ127" s="26">
        <v>23.271057647800873</v>
      </c>
      <c r="CK127" s="26">
        <v>15.535057647800883</v>
      </c>
      <c r="CL127" s="26">
        <v>31.368057647800867</v>
      </c>
      <c r="CM127" s="26">
        <v>20.554057647800875</v>
      </c>
      <c r="CN127" s="26">
        <v>33.719057647800867</v>
      </c>
      <c r="CO127" s="26">
        <v>29.352057647800876</v>
      </c>
      <c r="CP127" s="26">
        <v>24.502057647800882</v>
      </c>
      <c r="CQ127" s="26">
        <v>29.81105764780088</v>
      </c>
      <c r="CR127" s="26">
        <v>35.578057647800875</v>
      </c>
      <c r="CS127" s="26">
        <v>18.513057647800878</v>
      </c>
      <c r="CT127" s="26">
        <v>30.435057647800875</v>
      </c>
      <c r="CU127" s="26">
        <v>22.895057647800883</v>
      </c>
      <c r="CV127" s="26">
        <v>29.352057647800876</v>
      </c>
      <c r="CW127" s="26">
        <v>23.652057647800873</v>
      </c>
      <c r="CX127" s="26">
        <f>(AVERAGE(B127:CW127))</f>
        <v>25.173487647800883</v>
      </c>
      <c r="CY127" s="61"/>
      <c r="CZ127" s="537"/>
      <c r="DA127" s="61"/>
    </row>
    <row r="128" spans="1:105">
      <c r="A128" s="279">
        <v>41791</v>
      </c>
      <c r="B128" s="26">
        <v>37.732999999999997</v>
      </c>
      <c r="C128" s="26">
        <v>43.947000000000003</v>
      </c>
      <c r="D128" s="26">
        <v>44.161000000000001</v>
      </c>
      <c r="E128" s="26">
        <v>41.274999999999999</v>
      </c>
      <c r="F128" s="26">
        <v>43.387</v>
      </c>
      <c r="G128" s="26">
        <v>45.366999999999997</v>
      </c>
      <c r="H128" s="26">
        <v>24.466000000000001</v>
      </c>
      <c r="I128" s="26">
        <v>34.762999999999998</v>
      </c>
      <c r="J128" s="26">
        <v>36.204999999999998</v>
      </c>
      <c r="K128" s="26">
        <v>44.201999999999998</v>
      </c>
      <c r="L128" s="26">
        <v>37.765000000000001</v>
      </c>
      <c r="M128" s="26">
        <v>41.133000000000003</v>
      </c>
      <c r="N128" s="26">
        <v>34.405999999999999</v>
      </c>
      <c r="O128" s="26">
        <v>36.073</v>
      </c>
      <c r="P128" s="26">
        <v>36.423000000000002</v>
      </c>
      <c r="Q128" s="26">
        <v>28.937000000000001</v>
      </c>
      <c r="R128" s="26">
        <v>36.779000000000003</v>
      </c>
      <c r="S128" s="26">
        <v>33.796999999999997</v>
      </c>
      <c r="T128" s="26">
        <v>20.187000000000001</v>
      </c>
      <c r="U128" s="26">
        <v>28.777999999999999</v>
      </c>
      <c r="V128" s="26">
        <v>29.811</v>
      </c>
      <c r="W128" s="26">
        <v>41.463999999999999</v>
      </c>
      <c r="X128" s="26">
        <v>26.981999999999999</v>
      </c>
      <c r="Y128" s="26">
        <v>47.03</v>
      </c>
      <c r="Z128" s="26">
        <v>45.66</v>
      </c>
      <c r="AA128" s="26">
        <v>41.713000000000001</v>
      </c>
      <c r="AB128" s="26">
        <v>43.619</v>
      </c>
      <c r="AC128" s="26">
        <v>43.682000000000002</v>
      </c>
      <c r="AD128" s="26">
        <v>44.843000000000004</v>
      </c>
      <c r="AE128" s="26">
        <v>33.549999999999997</v>
      </c>
      <c r="AF128" s="26">
        <v>42.762999999999998</v>
      </c>
      <c r="AG128" s="26">
        <v>46.689</v>
      </c>
      <c r="AH128" s="26">
        <v>36.779000000000003</v>
      </c>
      <c r="AI128" s="26">
        <v>26.734999999999999</v>
      </c>
      <c r="AJ128" s="26">
        <v>43.261000000000003</v>
      </c>
      <c r="AK128" s="26">
        <v>41.463999999999999</v>
      </c>
      <c r="AL128" s="26">
        <v>26.850999999999999</v>
      </c>
      <c r="AM128" s="26">
        <v>37.351999999999997</v>
      </c>
      <c r="AN128" s="26">
        <v>43.261000000000003</v>
      </c>
      <c r="AO128" s="26">
        <v>32.165999999999997</v>
      </c>
      <c r="AP128" s="26">
        <v>43.947000000000003</v>
      </c>
      <c r="AQ128" s="26">
        <v>42.493000000000002</v>
      </c>
      <c r="AR128" s="26">
        <v>43.261000000000003</v>
      </c>
      <c r="AS128" s="26">
        <v>26.683</v>
      </c>
      <c r="AT128" s="26">
        <v>36.055999999999997</v>
      </c>
      <c r="AU128" s="26">
        <v>43.426000000000002</v>
      </c>
      <c r="AV128" s="26">
        <v>47.677999999999997</v>
      </c>
      <c r="AW128" s="26">
        <v>34.561</v>
      </c>
      <c r="AX128" s="26">
        <v>34.405999999999999</v>
      </c>
      <c r="AY128" s="26">
        <v>46.253</v>
      </c>
      <c r="AZ128" s="26">
        <v>41.463999999999999</v>
      </c>
      <c r="BA128" s="26">
        <v>34.33</v>
      </c>
      <c r="BB128" s="26">
        <v>31.687999999999999</v>
      </c>
      <c r="BC128" s="26">
        <v>24.411000000000001</v>
      </c>
      <c r="BD128" s="26">
        <v>47.03</v>
      </c>
      <c r="BE128" s="26">
        <v>20.074999999999999</v>
      </c>
      <c r="BF128" s="26">
        <v>26.56</v>
      </c>
      <c r="BG128" s="26">
        <v>43.261000000000003</v>
      </c>
      <c r="BH128" s="26">
        <v>19.530999999999999</v>
      </c>
      <c r="BI128" s="26">
        <v>36.868000000000002</v>
      </c>
      <c r="BJ128" s="26">
        <v>43.682000000000002</v>
      </c>
      <c r="BK128" s="26">
        <v>38.86</v>
      </c>
      <c r="BL128" s="26">
        <v>38.009</v>
      </c>
      <c r="BM128" s="26">
        <v>45.265000000000001</v>
      </c>
      <c r="BN128" s="26">
        <v>43.261000000000003</v>
      </c>
      <c r="BO128" s="26">
        <v>36.465000000000003</v>
      </c>
      <c r="BP128" s="26">
        <v>37.732999999999997</v>
      </c>
      <c r="BQ128" s="26">
        <v>41.295000000000002</v>
      </c>
      <c r="BR128" s="26">
        <v>20.149000000000001</v>
      </c>
      <c r="BS128" s="26">
        <v>34.317999999999998</v>
      </c>
      <c r="BT128" s="26">
        <v>41.948999999999998</v>
      </c>
      <c r="BU128" s="26">
        <v>19.431999999999999</v>
      </c>
      <c r="BV128" s="26">
        <v>43.988</v>
      </c>
      <c r="BW128" s="26">
        <v>45.328000000000003</v>
      </c>
      <c r="BX128" s="26">
        <v>40.814</v>
      </c>
      <c r="BY128" s="26">
        <v>42.235999999999997</v>
      </c>
      <c r="BZ128" s="26">
        <v>37.765000000000001</v>
      </c>
      <c r="CA128" s="26">
        <v>44.875</v>
      </c>
      <c r="CB128" s="26">
        <v>42.877000000000002</v>
      </c>
      <c r="CC128" s="26">
        <v>45.66</v>
      </c>
      <c r="CD128" s="26">
        <v>29.811</v>
      </c>
      <c r="CE128" s="26">
        <v>36.465000000000003</v>
      </c>
      <c r="CF128" s="26">
        <v>38.390999999999998</v>
      </c>
      <c r="CG128" s="26">
        <v>35.216999999999999</v>
      </c>
      <c r="CH128" s="26">
        <v>41.948999999999998</v>
      </c>
      <c r="CI128" s="26">
        <v>35.343000000000004</v>
      </c>
      <c r="CJ128" s="26">
        <v>30.033000000000001</v>
      </c>
      <c r="CK128" s="26">
        <v>31.827000000000002</v>
      </c>
      <c r="CL128" s="26">
        <v>40.835999999999999</v>
      </c>
      <c r="CM128" s="26">
        <v>40.761000000000003</v>
      </c>
      <c r="CN128" s="26">
        <v>43.261000000000003</v>
      </c>
      <c r="CO128" s="26">
        <v>43.261000000000003</v>
      </c>
      <c r="CP128" s="26">
        <v>36.158999999999999</v>
      </c>
      <c r="CQ128" s="26">
        <v>41.948999999999998</v>
      </c>
      <c r="CR128" s="26">
        <v>47.470999999999997</v>
      </c>
      <c r="CS128" s="26">
        <v>26.683</v>
      </c>
      <c r="CT128" s="26">
        <v>47.677999999999997</v>
      </c>
      <c r="CU128" s="26">
        <v>37.765000000000001</v>
      </c>
      <c r="CV128" s="26">
        <v>41.033999999999999</v>
      </c>
      <c r="CW128" s="26">
        <v>34.387999999999998</v>
      </c>
      <c r="CX128" s="26">
        <f>(AVERAGE(B128:CW128))</f>
        <v>37.736839999999987</v>
      </c>
      <c r="CY128" s="61"/>
      <c r="CZ128" s="537"/>
      <c r="DA128" s="61"/>
    </row>
    <row r="129" spans="1:16384">
      <c r="A129" s="279">
        <v>41821</v>
      </c>
      <c r="B129" s="26">
        <v>45.886000000000003</v>
      </c>
      <c r="C129" s="26">
        <v>48.938000000000002</v>
      </c>
      <c r="D129" s="26">
        <v>52.847000000000001</v>
      </c>
      <c r="E129" s="26">
        <v>32.774999999999999</v>
      </c>
      <c r="F129" s="26">
        <v>47.643000000000001</v>
      </c>
      <c r="G129" s="26">
        <v>46.420999999999999</v>
      </c>
      <c r="H129" s="26">
        <v>36.279000000000003</v>
      </c>
      <c r="I129" s="26">
        <v>43.423999999999999</v>
      </c>
      <c r="J129" s="26">
        <v>19.870999999999999</v>
      </c>
      <c r="K129" s="26">
        <v>26.396999999999998</v>
      </c>
      <c r="L129" s="26">
        <v>33.046999999999997</v>
      </c>
      <c r="M129" s="26">
        <v>36.466999999999999</v>
      </c>
      <c r="N129" s="26">
        <v>42.555</v>
      </c>
      <c r="O129" s="26">
        <v>21.456</v>
      </c>
      <c r="P129" s="26">
        <v>36.109000000000002</v>
      </c>
      <c r="Q129" s="26">
        <v>26.202000000000002</v>
      </c>
      <c r="R129" s="26">
        <v>42.3</v>
      </c>
      <c r="S129" s="26">
        <v>34.966999999999999</v>
      </c>
      <c r="T129" s="26">
        <v>21.324999999999999</v>
      </c>
      <c r="U129" s="26">
        <v>32.517000000000003</v>
      </c>
      <c r="V129" s="26">
        <v>34.143000000000001</v>
      </c>
      <c r="W129" s="26">
        <v>48.948999999999998</v>
      </c>
      <c r="X129" s="26">
        <v>14.179</v>
      </c>
      <c r="Y129" s="26">
        <v>54.314999999999998</v>
      </c>
      <c r="Z129" s="26">
        <v>42.722999999999999</v>
      </c>
      <c r="AA129" s="26">
        <v>34.524000000000001</v>
      </c>
      <c r="AB129" s="26">
        <v>43.527999999999999</v>
      </c>
      <c r="AC129" s="26">
        <v>49.152000000000001</v>
      </c>
      <c r="AD129" s="26">
        <v>38.436999999999998</v>
      </c>
      <c r="AE129" s="26">
        <v>38.177</v>
      </c>
      <c r="AF129" s="26">
        <v>51.418999999999997</v>
      </c>
      <c r="AG129" s="26">
        <v>53.024999999999999</v>
      </c>
      <c r="AH129" s="26">
        <v>31.58</v>
      </c>
      <c r="AI129" s="26">
        <v>24.997</v>
      </c>
      <c r="AJ129" s="26">
        <v>31.152999999999999</v>
      </c>
      <c r="AK129" s="26">
        <v>22.452000000000002</v>
      </c>
      <c r="AL129" s="26">
        <v>30.814</v>
      </c>
      <c r="AM129" s="26">
        <v>31.382999999999999</v>
      </c>
      <c r="AN129" s="26">
        <v>47.472999999999999</v>
      </c>
      <c r="AO129" s="26">
        <v>32.433</v>
      </c>
      <c r="AP129" s="26">
        <v>35.006</v>
      </c>
      <c r="AQ129" s="26">
        <v>22.561</v>
      </c>
      <c r="AR129" s="26">
        <v>38.604999999999997</v>
      </c>
      <c r="AS129" s="26">
        <v>24.837</v>
      </c>
      <c r="AT129" s="26">
        <v>43.994</v>
      </c>
      <c r="AU129" s="26">
        <v>52.884999999999998</v>
      </c>
      <c r="AV129" s="26">
        <v>34.360999999999997</v>
      </c>
      <c r="AW129" s="26">
        <v>38.207999999999998</v>
      </c>
      <c r="AX129" s="26">
        <v>34.420999999999999</v>
      </c>
      <c r="AY129" s="26">
        <v>53.643999999999998</v>
      </c>
      <c r="AZ129" s="26">
        <v>43.475000000000001</v>
      </c>
      <c r="BA129" s="26">
        <v>43.738999999999997</v>
      </c>
      <c r="BB129" s="26">
        <v>39.194000000000003</v>
      </c>
      <c r="BC129" s="26">
        <v>19.422999999999998</v>
      </c>
      <c r="BD129" s="26">
        <v>48.256</v>
      </c>
      <c r="BE129" s="26">
        <v>25.82</v>
      </c>
      <c r="BF129" s="26">
        <v>34.213000000000001</v>
      </c>
      <c r="BG129" s="26">
        <v>19.818000000000001</v>
      </c>
      <c r="BH129" s="26">
        <v>12.617000000000001</v>
      </c>
      <c r="BI129" s="26">
        <v>38.633000000000003</v>
      </c>
      <c r="BJ129" s="26">
        <v>19.873999999999999</v>
      </c>
      <c r="BK129" s="26">
        <v>34.994999999999997</v>
      </c>
      <c r="BL129" s="26">
        <v>13.981999999999999</v>
      </c>
      <c r="BM129" s="26">
        <v>34.633000000000003</v>
      </c>
      <c r="BN129" s="26">
        <v>47.25</v>
      </c>
      <c r="BO129" s="26">
        <v>32.859000000000002</v>
      </c>
      <c r="BP129" s="26">
        <v>34.951000000000001</v>
      </c>
      <c r="BQ129" s="26">
        <v>43.47</v>
      </c>
      <c r="BR129" s="26">
        <v>21.751000000000001</v>
      </c>
      <c r="BS129" s="26">
        <v>42.145000000000003</v>
      </c>
      <c r="BT129" s="26">
        <v>42.555</v>
      </c>
      <c r="BU129" s="26">
        <v>30.692</v>
      </c>
      <c r="BV129" s="26">
        <v>53.375999999999998</v>
      </c>
      <c r="BW129" s="26">
        <v>48.09</v>
      </c>
      <c r="BX129" s="26">
        <v>35.491</v>
      </c>
      <c r="BY129" s="26">
        <v>35.01</v>
      </c>
      <c r="BZ129" s="26">
        <v>34.984999999999999</v>
      </c>
      <c r="CA129" s="26">
        <v>34.981999999999999</v>
      </c>
      <c r="CB129" s="26">
        <v>47.381</v>
      </c>
      <c r="CC129" s="26">
        <v>54.790999999999997</v>
      </c>
      <c r="CD129" s="26">
        <v>19.768999999999998</v>
      </c>
      <c r="CE129" s="26">
        <v>42.941000000000003</v>
      </c>
      <c r="CF129" s="26">
        <v>43.015000000000001</v>
      </c>
      <c r="CG129" s="26">
        <v>46.646000000000001</v>
      </c>
      <c r="CH129" s="26">
        <v>47.9</v>
      </c>
      <c r="CI129" s="26">
        <v>35.484000000000002</v>
      </c>
      <c r="CJ129" s="26">
        <v>32.488999999999997</v>
      </c>
      <c r="CK129" s="26">
        <v>17.981999999999999</v>
      </c>
      <c r="CL129" s="26">
        <v>35.084000000000003</v>
      </c>
      <c r="CM129" s="26">
        <v>42.093000000000004</v>
      </c>
      <c r="CN129" s="26">
        <v>41.118000000000002</v>
      </c>
      <c r="CO129" s="26">
        <v>31.401</v>
      </c>
      <c r="CP129" s="26">
        <v>44.289000000000001</v>
      </c>
      <c r="CQ129" s="26">
        <v>47.363</v>
      </c>
      <c r="CR129" s="26">
        <v>49.1</v>
      </c>
      <c r="CS129" s="26">
        <v>25.298999999999999</v>
      </c>
      <c r="CT129" s="26">
        <v>43.893999999999998</v>
      </c>
      <c r="CU129" s="26">
        <v>39.165999999999997</v>
      </c>
      <c r="CV129" s="26">
        <v>40.637999999999998</v>
      </c>
      <c r="CW129" s="26">
        <v>32.652999999999999</v>
      </c>
      <c r="CX129" s="26">
        <v>34.334000000000003</v>
      </c>
      <c r="CY129" s="61"/>
      <c r="CZ129" s="537"/>
      <c r="DA129" s="61"/>
    </row>
    <row r="130" spans="1:16384">
      <c r="A130" s="279">
        <v>41852</v>
      </c>
      <c r="B130" s="26">
        <v>51.235999999999997</v>
      </c>
      <c r="C130" s="26">
        <v>42.356000000000002</v>
      </c>
      <c r="D130" s="26">
        <v>46.817999999999998</v>
      </c>
      <c r="E130" s="26">
        <v>44.427999999999997</v>
      </c>
      <c r="F130" s="26">
        <v>54.664000000000001</v>
      </c>
      <c r="G130" s="26">
        <v>20.215</v>
      </c>
      <c r="H130" s="26">
        <v>31.213000000000001</v>
      </c>
      <c r="I130" s="26">
        <v>53.24</v>
      </c>
      <c r="J130" s="26">
        <v>35.697000000000003</v>
      </c>
      <c r="K130" s="26">
        <v>42.465000000000003</v>
      </c>
      <c r="L130" s="26">
        <v>9.4056999999999995</v>
      </c>
      <c r="M130" s="26">
        <v>46.704000000000001</v>
      </c>
      <c r="N130" s="26">
        <v>47.252000000000002</v>
      </c>
      <c r="O130" s="26">
        <v>25.631</v>
      </c>
      <c r="P130" s="26">
        <v>24.379000000000001</v>
      </c>
      <c r="Q130" s="26">
        <v>36.768999999999998</v>
      </c>
      <c r="R130" s="26">
        <v>55.295000000000002</v>
      </c>
      <c r="S130" s="26">
        <v>37.755000000000003</v>
      </c>
      <c r="T130" s="26">
        <v>24.507000000000001</v>
      </c>
      <c r="U130" s="26">
        <v>23.148</v>
      </c>
      <c r="V130" s="26">
        <v>33.82</v>
      </c>
      <c r="W130" s="26">
        <v>53.164999999999999</v>
      </c>
      <c r="X130" s="26">
        <v>26.030999999999999</v>
      </c>
      <c r="Y130" s="26">
        <v>57.412999999999997</v>
      </c>
      <c r="Z130" s="26">
        <v>22.52</v>
      </c>
      <c r="AA130" s="26">
        <v>38.159999999999997</v>
      </c>
      <c r="AB130" s="26">
        <v>50.25</v>
      </c>
      <c r="AC130" s="26">
        <v>55.36</v>
      </c>
      <c r="AD130" s="26">
        <v>41.488</v>
      </c>
      <c r="AE130" s="26">
        <v>48.906999999999996</v>
      </c>
      <c r="AF130" s="26">
        <v>56.420999999999999</v>
      </c>
      <c r="AG130" s="26">
        <v>62.207999999999998</v>
      </c>
      <c r="AH130" s="26">
        <v>30.481999999999999</v>
      </c>
      <c r="AI130" s="26">
        <v>32.518000000000001</v>
      </c>
      <c r="AJ130" s="26">
        <v>37.286000000000001</v>
      </c>
      <c r="AK130" s="26">
        <v>34.418999999999997</v>
      </c>
      <c r="AL130" s="26">
        <v>37.57</v>
      </c>
      <c r="AM130" s="26">
        <v>26.045000000000002</v>
      </c>
      <c r="AN130" s="26">
        <v>52.758000000000003</v>
      </c>
      <c r="AO130" s="26">
        <v>37.524999999999999</v>
      </c>
      <c r="AP130" s="26">
        <v>49.13</v>
      </c>
      <c r="AQ130" s="26">
        <v>21.905999999999999</v>
      </c>
      <c r="AR130" s="26">
        <v>46.542000000000002</v>
      </c>
      <c r="AS130" s="26">
        <v>25.881</v>
      </c>
      <c r="AT130" s="26">
        <v>55.268000000000001</v>
      </c>
      <c r="AU130" s="26">
        <v>61.862000000000002</v>
      </c>
      <c r="AV130" s="26">
        <v>43.338000000000001</v>
      </c>
      <c r="AW130" s="26">
        <v>37.843000000000004</v>
      </c>
      <c r="AX130" s="26">
        <v>49.040999999999997</v>
      </c>
      <c r="AY130" s="26">
        <v>36.887</v>
      </c>
      <c r="AZ130" s="26">
        <v>37.899000000000001</v>
      </c>
      <c r="BA130" s="26">
        <v>43.853000000000002</v>
      </c>
      <c r="BB130" s="26">
        <v>40.637999999999998</v>
      </c>
      <c r="BC130" s="26">
        <v>21.312000000000001</v>
      </c>
      <c r="BD130" s="26">
        <v>45.656999999999996</v>
      </c>
      <c r="BE130" s="26">
        <v>38.43</v>
      </c>
      <c r="BF130" s="26">
        <v>26.19</v>
      </c>
      <c r="BG130" s="26">
        <v>7.9600999999999997</v>
      </c>
      <c r="BH130" s="26">
        <v>8.9236000000000004</v>
      </c>
      <c r="BI130" s="26">
        <v>54.453000000000003</v>
      </c>
      <c r="BJ130" s="26">
        <v>7.7176999999999998</v>
      </c>
      <c r="BK130" s="26">
        <v>30.866</v>
      </c>
      <c r="BL130" s="26">
        <v>7.5444000000000004</v>
      </c>
      <c r="BM130" s="26">
        <v>39.593000000000004</v>
      </c>
      <c r="BN130" s="26">
        <v>57.951000000000001</v>
      </c>
      <c r="BO130" s="26">
        <v>25.757999999999999</v>
      </c>
      <c r="BP130" s="26">
        <v>47.951000000000001</v>
      </c>
      <c r="BQ130" s="26">
        <v>23.289000000000001</v>
      </c>
      <c r="BR130" s="26">
        <v>25.193999999999999</v>
      </c>
      <c r="BS130" s="26">
        <v>55.2</v>
      </c>
      <c r="BT130" s="26">
        <v>55.265999999999998</v>
      </c>
      <c r="BU130" s="26">
        <v>35.088999999999999</v>
      </c>
      <c r="BV130" s="26">
        <v>55.331000000000003</v>
      </c>
      <c r="BW130" s="26">
        <v>57.091000000000001</v>
      </c>
      <c r="BX130" s="26">
        <v>45.21</v>
      </c>
      <c r="BY130" s="26">
        <v>43.343000000000004</v>
      </c>
      <c r="BZ130" s="26">
        <v>44.317999999999998</v>
      </c>
      <c r="CA130" s="26">
        <v>45.432000000000002</v>
      </c>
      <c r="CB130" s="26">
        <v>55.36</v>
      </c>
      <c r="CC130" s="26">
        <v>55.308999999999997</v>
      </c>
      <c r="CD130" s="26">
        <v>9.1861999999999995</v>
      </c>
      <c r="CE130" s="26">
        <v>47.460999999999999</v>
      </c>
      <c r="CF130" s="26">
        <v>45.18</v>
      </c>
      <c r="CG130" s="26">
        <v>55.36</v>
      </c>
      <c r="CH130" s="26">
        <v>53.673000000000002</v>
      </c>
      <c r="CI130" s="26">
        <v>27.457000000000001</v>
      </c>
      <c r="CJ130" s="26">
        <v>38.451999999999998</v>
      </c>
      <c r="CK130" s="26">
        <v>21.972000000000001</v>
      </c>
      <c r="CL130" s="26">
        <v>47.460999999999999</v>
      </c>
      <c r="CM130" s="26">
        <v>50.975999999999999</v>
      </c>
      <c r="CN130" s="26">
        <v>45.99</v>
      </c>
      <c r="CO130" s="26">
        <v>36.475999999999999</v>
      </c>
      <c r="CP130" s="26">
        <v>38.917999999999999</v>
      </c>
      <c r="CQ130" s="26">
        <v>52.223999999999997</v>
      </c>
      <c r="CR130" s="26">
        <v>55.36</v>
      </c>
      <c r="CS130" s="26">
        <v>25.631</v>
      </c>
      <c r="CT130" s="26">
        <v>54.636000000000003</v>
      </c>
      <c r="CU130" s="26">
        <v>43.784999999999997</v>
      </c>
      <c r="CV130" s="26">
        <v>46.588999999999999</v>
      </c>
      <c r="CW130" s="26">
        <v>43.037999999999997</v>
      </c>
      <c r="CX130" s="26">
        <v>36.152000000000001</v>
      </c>
      <c r="CY130" s="61"/>
      <c r="CZ130" s="537"/>
      <c r="DA130" s="61"/>
    </row>
    <row r="131" spans="1:16384">
      <c r="A131" s="279">
        <v>41883</v>
      </c>
      <c r="B131" s="26">
        <v>47.154000000000003</v>
      </c>
      <c r="C131" s="26">
        <v>44.488</v>
      </c>
      <c r="D131" s="26">
        <v>49.401000000000003</v>
      </c>
      <c r="E131" s="26">
        <v>56.009</v>
      </c>
      <c r="F131" s="26">
        <v>57.305</v>
      </c>
      <c r="G131" s="26">
        <v>26.411999999999999</v>
      </c>
      <c r="H131" s="26">
        <v>38.279000000000003</v>
      </c>
      <c r="I131" s="26">
        <v>57.405999999999999</v>
      </c>
      <c r="J131" s="26">
        <v>48.048000000000002</v>
      </c>
      <c r="K131" s="26">
        <v>48.454000000000001</v>
      </c>
      <c r="L131" s="26">
        <v>11.855</v>
      </c>
      <c r="M131" s="26">
        <v>52.612000000000002</v>
      </c>
      <c r="N131" s="26">
        <v>47.091000000000001</v>
      </c>
      <c r="O131" s="26">
        <v>34.951000000000001</v>
      </c>
      <c r="P131" s="26">
        <v>19.920000000000002</v>
      </c>
      <c r="Q131" s="26">
        <v>17.8</v>
      </c>
      <c r="R131" s="26">
        <v>56.433</v>
      </c>
      <c r="S131" s="26">
        <v>44.933999999999997</v>
      </c>
      <c r="T131" s="26">
        <v>31.423999999999999</v>
      </c>
      <c r="U131" s="26">
        <v>21.003</v>
      </c>
      <c r="V131" s="26">
        <v>36.375</v>
      </c>
      <c r="W131" s="26">
        <v>48.542999999999999</v>
      </c>
      <c r="X131" s="26">
        <v>35.962000000000003</v>
      </c>
      <c r="Y131" s="26">
        <v>58.515000000000001</v>
      </c>
      <c r="Z131" s="26">
        <v>17.690999999999999</v>
      </c>
      <c r="AA131" s="26">
        <v>30.265999999999998</v>
      </c>
      <c r="AB131" s="26">
        <v>41.362000000000002</v>
      </c>
      <c r="AC131" s="26">
        <v>57.317</v>
      </c>
      <c r="AD131" s="26">
        <v>48.933999999999997</v>
      </c>
      <c r="AE131" s="26">
        <v>45.061</v>
      </c>
      <c r="AF131" s="26">
        <v>67.652000000000001</v>
      </c>
      <c r="AG131" s="26">
        <v>62.533999999999999</v>
      </c>
      <c r="AH131" s="26">
        <v>33.281999999999996</v>
      </c>
      <c r="AI131" s="26">
        <v>31.457999999999998</v>
      </c>
      <c r="AJ131" s="26">
        <v>30.016999999999999</v>
      </c>
      <c r="AK131" s="26">
        <v>29.178000000000001</v>
      </c>
      <c r="AL131" s="26">
        <v>30.847999999999999</v>
      </c>
      <c r="AM131" s="26">
        <v>28.262</v>
      </c>
      <c r="AN131" s="26">
        <v>57.32</v>
      </c>
      <c r="AO131" s="26">
        <v>37.808999999999997</v>
      </c>
      <c r="AP131" s="26">
        <v>53.021000000000001</v>
      </c>
      <c r="AQ131" s="26">
        <v>27.062000000000001</v>
      </c>
      <c r="AR131" s="26">
        <v>47.279000000000003</v>
      </c>
      <c r="AS131" s="26">
        <v>28.146999999999998</v>
      </c>
      <c r="AT131" s="26">
        <v>63.186999999999998</v>
      </c>
      <c r="AU131" s="26">
        <v>60.232999999999997</v>
      </c>
      <c r="AV131" s="26">
        <v>48.298000000000002</v>
      </c>
      <c r="AW131" s="26">
        <v>40.761000000000003</v>
      </c>
      <c r="AX131" s="26">
        <v>39.472999999999999</v>
      </c>
      <c r="AY131" s="26">
        <v>35.682000000000002</v>
      </c>
      <c r="AZ131" s="26">
        <v>41.756</v>
      </c>
      <c r="BA131" s="26">
        <v>44.408000000000001</v>
      </c>
      <c r="BB131" s="26">
        <v>47.515000000000001</v>
      </c>
      <c r="BC131" s="26">
        <v>14.627000000000001</v>
      </c>
      <c r="BD131" s="26">
        <v>44.936</v>
      </c>
      <c r="BE131" s="26">
        <v>45.865000000000002</v>
      </c>
      <c r="BF131" s="26">
        <v>31.82</v>
      </c>
      <c r="BG131" s="26">
        <v>7.0640000000000001</v>
      </c>
      <c r="BH131" s="26">
        <v>10.917</v>
      </c>
      <c r="BI131" s="26">
        <v>55.676000000000002</v>
      </c>
      <c r="BJ131" s="26">
        <v>7.3632999999999997</v>
      </c>
      <c r="BK131" s="26">
        <v>23.169</v>
      </c>
      <c r="BL131" s="26">
        <v>1.3867</v>
      </c>
      <c r="BM131" s="26">
        <v>40.881</v>
      </c>
      <c r="BN131" s="26">
        <v>52.6</v>
      </c>
      <c r="BO131" s="26">
        <v>31.390999999999998</v>
      </c>
      <c r="BP131" s="26">
        <v>52.966000000000001</v>
      </c>
      <c r="BQ131" s="26">
        <v>29.914000000000001</v>
      </c>
      <c r="BR131" s="26">
        <v>33.103000000000002</v>
      </c>
      <c r="BS131" s="26">
        <v>39.031999999999996</v>
      </c>
      <c r="BT131" s="26">
        <v>66.454999999999998</v>
      </c>
      <c r="BU131" s="26">
        <v>36.404000000000003</v>
      </c>
      <c r="BV131" s="26">
        <v>57.401000000000003</v>
      </c>
      <c r="BW131" s="26">
        <v>42.762</v>
      </c>
      <c r="BX131" s="26">
        <v>48.027000000000001</v>
      </c>
      <c r="BY131" s="26">
        <v>41.534999999999997</v>
      </c>
      <c r="BZ131" s="26">
        <v>28.888000000000002</v>
      </c>
      <c r="CA131" s="26">
        <v>46.777999999999999</v>
      </c>
      <c r="CB131" s="26">
        <v>51.115000000000002</v>
      </c>
      <c r="CC131" s="26">
        <v>29.693999999999999</v>
      </c>
      <c r="CD131" s="26">
        <v>5.8670999999999998</v>
      </c>
      <c r="CE131" s="26">
        <v>57.335999999999999</v>
      </c>
      <c r="CF131" s="26">
        <v>47.515000000000001</v>
      </c>
      <c r="CG131" s="26">
        <v>53.253999999999998</v>
      </c>
      <c r="CH131" s="26">
        <v>53.26</v>
      </c>
      <c r="CI131" s="26">
        <v>28.925000000000001</v>
      </c>
      <c r="CJ131" s="26">
        <v>20.943999999999999</v>
      </c>
      <c r="CK131" s="26">
        <v>34.033999999999999</v>
      </c>
      <c r="CL131" s="26">
        <v>49.218000000000004</v>
      </c>
      <c r="CM131" s="26">
        <v>45.694000000000003</v>
      </c>
      <c r="CN131" s="26">
        <v>48.353000000000002</v>
      </c>
      <c r="CO131" s="26">
        <v>45.258000000000003</v>
      </c>
      <c r="CP131" s="26">
        <v>42.628999999999998</v>
      </c>
      <c r="CQ131" s="26">
        <v>53.738999999999997</v>
      </c>
      <c r="CR131" s="26">
        <v>55.838999999999999</v>
      </c>
      <c r="CS131" s="26">
        <v>31.295999999999999</v>
      </c>
      <c r="CT131" s="26">
        <v>47.845999999999997</v>
      </c>
      <c r="CU131" s="26">
        <v>47.277000000000001</v>
      </c>
      <c r="CV131" s="26">
        <v>53.731999999999999</v>
      </c>
      <c r="CW131" s="26">
        <v>49.008000000000003</v>
      </c>
      <c r="CX131" s="26">
        <v>40.573</v>
      </c>
      <c r="CY131" s="61"/>
      <c r="CZ131" s="537"/>
      <c r="DA131" s="61"/>
    </row>
    <row r="132" spans="1:16384">
      <c r="A132" s="279">
        <v>41913</v>
      </c>
      <c r="B132" s="26">
        <v>49.173999999999999</v>
      </c>
      <c r="C132" s="26">
        <v>43.259</v>
      </c>
      <c r="D132" s="26">
        <v>52.978000000000002</v>
      </c>
      <c r="E132" s="26">
        <v>54.128999999999998</v>
      </c>
      <c r="F132" s="26">
        <v>57.401000000000003</v>
      </c>
      <c r="G132" s="26">
        <v>42.902000000000001</v>
      </c>
      <c r="H132" s="26">
        <v>28.606000000000002</v>
      </c>
      <c r="I132" s="26">
        <v>57.591000000000001</v>
      </c>
      <c r="J132" s="26">
        <v>48.018000000000001</v>
      </c>
      <c r="K132" s="26">
        <v>53.207999999999998</v>
      </c>
      <c r="L132" s="26">
        <v>15.394</v>
      </c>
      <c r="M132" s="26">
        <v>55.543999999999997</v>
      </c>
      <c r="N132" s="26">
        <v>50.11</v>
      </c>
      <c r="O132" s="26">
        <v>42.289000000000001</v>
      </c>
      <c r="P132" s="26">
        <v>40.270000000000003</v>
      </c>
      <c r="Q132" s="26">
        <v>30.117000000000001</v>
      </c>
      <c r="R132" s="26">
        <v>36.54</v>
      </c>
      <c r="S132" s="26">
        <v>49.198</v>
      </c>
      <c r="T132" s="26">
        <v>43.616999999999997</v>
      </c>
      <c r="U132" s="26">
        <v>20.89</v>
      </c>
      <c r="V132" s="26">
        <v>37.615000000000002</v>
      </c>
      <c r="W132" s="26">
        <v>51.122999999999998</v>
      </c>
      <c r="X132" s="26">
        <v>28.119</v>
      </c>
      <c r="Y132" s="26">
        <v>59.448</v>
      </c>
      <c r="Z132" s="26">
        <v>26.568999999999999</v>
      </c>
      <c r="AA132" s="26">
        <v>22.649000000000001</v>
      </c>
      <c r="AB132" s="26">
        <v>28.936</v>
      </c>
      <c r="AC132" s="26">
        <v>45.1</v>
      </c>
      <c r="AD132" s="26">
        <v>30.428999999999998</v>
      </c>
      <c r="AE132" s="26">
        <v>55.62</v>
      </c>
      <c r="AF132" s="26">
        <v>68.938999999999993</v>
      </c>
      <c r="AG132" s="26">
        <v>66.518000000000001</v>
      </c>
      <c r="AH132" s="26">
        <v>43.259</v>
      </c>
      <c r="AI132" s="26">
        <v>37.097999999999999</v>
      </c>
      <c r="AJ132" s="26">
        <v>33.85</v>
      </c>
      <c r="AK132" s="26">
        <v>36.279000000000003</v>
      </c>
      <c r="AL132" s="26">
        <v>42.210999999999999</v>
      </c>
      <c r="AM132" s="26">
        <v>38.500999999999998</v>
      </c>
      <c r="AN132" s="26">
        <v>57.606000000000002</v>
      </c>
      <c r="AO132" s="26">
        <v>43.911999999999999</v>
      </c>
      <c r="AP132" s="26">
        <v>44.558</v>
      </c>
      <c r="AQ132" s="26">
        <v>15.778</v>
      </c>
      <c r="AR132" s="26">
        <v>54.755000000000003</v>
      </c>
      <c r="AS132" s="26">
        <v>33.89</v>
      </c>
      <c r="AT132" s="26">
        <v>53.493000000000002</v>
      </c>
      <c r="AU132" s="26">
        <v>72.995000000000005</v>
      </c>
      <c r="AV132" s="26">
        <v>61.636000000000003</v>
      </c>
      <c r="AW132" s="26">
        <v>42.482999999999997</v>
      </c>
      <c r="AX132" s="26">
        <v>49.5</v>
      </c>
      <c r="AY132" s="26">
        <v>41.771000000000001</v>
      </c>
      <c r="AZ132" s="26">
        <v>57.222000000000001</v>
      </c>
      <c r="BA132" s="26">
        <v>49.441000000000003</v>
      </c>
      <c r="BB132" s="26">
        <v>55.661000000000001</v>
      </c>
      <c r="BC132" s="26">
        <v>15.458</v>
      </c>
      <c r="BD132" s="26">
        <v>48.896000000000001</v>
      </c>
      <c r="BE132" s="26">
        <v>51.96</v>
      </c>
      <c r="BF132" s="26">
        <v>45.158000000000001</v>
      </c>
      <c r="BG132" s="26">
        <v>1.3440000000000001</v>
      </c>
      <c r="BH132" s="26">
        <v>14.188000000000001</v>
      </c>
      <c r="BI132" s="26">
        <v>55.537999999999997</v>
      </c>
      <c r="BJ132" s="26">
        <v>15.586</v>
      </c>
      <c r="BK132" s="26">
        <v>31.048999999999999</v>
      </c>
      <c r="BL132" s="26">
        <v>1.3440000000000001</v>
      </c>
      <c r="BM132" s="26">
        <v>48.37</v>
      </c>
      <c r="BN132" s="26">
        <v>46.390999999999998</v>
      </c>
      <c r="BO132" s="26">
        <v>43.261000000000003</v>
      </c>
      <c r="BP132" s="26">
        <v>55.609000000000002</v>
      </c>
      <c r="BQ132" s="26">
        <v>46.113</v>
      </c>
      <c r="BR132" s="26">
        <v>28.152000000000001</v>
      </c>
      <c r="BS132" s="26">
        <v>41.189</v>
      </c>
      <c r="BT132" s="26">
        <v>62.968000000000004</v>
      </c>
      <c r="BU132" s="26">
        <v>42.222999999999999</v>
      </c>
      <c r="BV132" s="26">
        <v>65.739000000000004</v>
      </c>
      <c r="BW132" s="26">
        <v>51.557000000000002</v>
      </c>
      <c r="BX132" s="26">
        <v>55.598999999999997</v>
      </c>
      <c r="BY132" s="26">
        <v>49.835999999999999</v>
      </c>
      <c r="BZ132" s="26">
        <v>26.14</v>
      </c>
      <c r="CA132" s="26">
        <v>52.767000000000003</v>
      </c>
      <c r="CB132" s="26">
        <v>55.627000000000002</v>
      </c>
      <c r="CC132" s="26">
        <v>45.33</v>
      </c>
      <c r="CD132" s="26">
        <v>1.3440000000000001</v>
      </c>
      <c r="CE132" s="26">
        <v>55.615000000000002</v>
      </c>
      <c r="CF132" s="26">
        <v>55.567999999999998</v>
      </c>
      <c r="CG132" s="26">
        <v>55.598999999999997</v>
      </c>
      <c r="CH132" s="26">
        <v>54.348999999999997</v>
      </c>
      <c r="CI132" s="26">
        <v>35.747999999999998</v>
      </c>
      <c r="CJ132" s="26">
        <v>43.261000000000003</v>
      </c>
      <c r="CK132" s="26">
        <v>16.454999999999998</v>
      </c>
      <c r="CL132" s="26">
        <v>55.537999999999997</v>
      </c>
      <c r="CM132" s="26">
        <v>35.698</v>
      </c>
      <c r="CN132" s="26">
        <v>51.939</v>
      </c>
      <c r="CO132" s="26">
        <v>33.360999999999997</v>
      </c>
      <c r="CP132" s="26">
        <v>49.173999999999999</v>
      </c>
      <c r="CQ132" s="26">
        <v>58.85</v>
      </c>
      <c r="CR132" s="26">
        <v>48.466000000000001</v>
      </c>
      <c r="CS132" s="26">
        <v>48.795000000000002</v>
      </c>
      <c r="CT132" s="26">
        <v>55.615000000000002</v>
      </c>
      <c r="CU132" s="26">
        <v>41.872</v>
      </c>
      <c r="CV132" s="26">
        <v>61.636000000000003</v>
      </c>
      <c r="CW132" s="26">
        <v>61.636000000000003</v>
      </c>
      <c r="CX132" s="26">
        <v>40.835999999999999</v>
      </c>
      <c r="CY132" s="61"/>
      <c r="CZ132" s="537"/>
      <c r="DA132" s="61"/>
    </row>
    <row r="133" spans="1:16384">
      <c r="A133" s="279">
        <v>41944</v>
      </c>
      <c r="B133" s="26">
        <v>46.134999999999998</v>
      </c>
      <c r="C133" s="26">
        <v>49.72</v>
      </c>
      <c r="D133" s="26">
        <v>55.203000000000003</v>
      </c>
      <c r="E133" s="26">
        <v>53.284999999999997</v>
      </c>
      <c r="F133" s="26">
        <v>57.661999999999999</v>
      </c>
      <c r="G133" s="26">
        <v>55.021000000000001</v>
      </c>
      <c r="H133" s="26">
        <v>24.021000000000001</v>
      </c>
      <c r="I133" s="26">
        <v>55.511000000000003</v>
      </c>
      <c r="J133" s="26">
        <v>45.042000000000002</v>
      </c>
      <c r="K133" s="26">
        <v>55.286999999999999</v>
      </c>
      <c r="L133" s="26">
        <v>22.719000000000001</v>
      </c>
      <c r="M133" s="26">
        <v>55.021000000000001</v>
      </c>
      <c r="N133" s="26">
        <v>55.286999999999999</v>
      </c>
      <c r="O133" s="26">
        <v>43.738</v>
      </c>
      <c r="P133" s="26">
        <v>44.543999999999997</v>
      </c>
      <c r="Q133" s="26">
        <v>20.501000000000001</v>
      </c>
      <c r="R133" s="26">
        <v>30.946000000000002</v>
      </c>
      <c r="S133" s="26">
        <v>52.35</v>
      </c>
      <c r="T133" s="26">
        <v>53.877000000000002</v>
      </c>
      <c r="U133" s="26">
        <v>22.004000000000001</v>
      </c>
      <c r="V133" s="26">
        <v>42.89</v>
      </c>
      <c r="W133" s="26">
        <v>43.543999999999997</v>
      </c>
      <c r="X133" s="26">
        <v>21.559000000000001</v>
      </c>
      <c r="Y133" s="26">
        <v>66.277000000000001</v>
      </c>
      <c r="Z133" s="26">
        <v>31.655000000000001</v>
      </c>
      <c r="AA133" s="26">
        <v>30.986999999999998</v>
      </c>
      <c r="AB133" s="26">
        <v>23.634</v>
      </c>
      <c r="AC133" s="26">
        <v>49.680999999999997</v>
      </c>
      <c r="AD133" s="26">
        <v>39.622</v>
      </c>
      <c r="AE133" s="26">
        <v>57.116999999999997</v>
      </c>
      <c r="AF133" s="26">
        <v>63.481999999999999</v>
      </c>
      <c r="AG133" s="26">
        <v>65.575999999999993</v>
      </c>
      <c r="AH133" s="26">
        <v>24.76</v>
      </c>
      <c r="AI133" s="26">
        <v>15.24</v>
      </c>
      <c r="AJ133" s="26">
        <v>36.54</v>
      </c>
      <c r="AK133" s="26">
        <v>39.283000000000001</v>
      </c>
      <c r="AL133" s="26">
        <v>49.643999999999998</v>
      </c>
      <c r="AM133" s="26">
        <v>42.936</v>
      </c>
      <c r="AN133" s="26">
        <v>56.59</v>
      </c>
      <c r="AO133" s="26">
        <v>49.256999999999998</v>
      </c>
      <c r="AP133" s="26">
        <v>39.113999999999997</v>
      </c>
      <c r="AQ133" s="26">
        <v>20.55</v>
      </c>
      <c r="AR133" s="26">
        <v>57.271999999999998</v>
      </c>
      <c r="AS133" s="26">
        <v>47.722999999999999</v>
      </c>
      <c r="AT133" s="26">
        <v>55.453000000000003</v>
      </c>
      <c r="AU133" s="26">
        <v>69.06</v>
      </c>
      <c r="AV133" s="26">
        <v>55.283999999999999</v>
      </c>
      <c r="AW133" s="26">
        <v>51.61</v>
      </c>
      <c r="AX133" s="26">
        <v>55.283999999999999</v>
      </c>
      <c r="AY133" s="26">
        <v>35.552999999999997</v>
      </c>
      <c r="AZ133" s="26">
        <v>61.241999999999997</v>
      </c>
      <c r="BA133" s="26">
        <v>39.780999999999999</v>
      </c>
      <c r="BB133" s="26">
        <v>51.771999999999998</v>
      </c>
      <c r="BC133" s="26">
        <v>11.189</v>
      </c>
      <c r="BD133" s="26">
        <v>46.107999999999997</v>
      </c>
      <c r="BE133" s="26">
        <v>48.676000000000002</v>
      </c>
      <c r="BF133" s="26">
        <v>53.996000000000002</v>
      </c>
      <c r="BG133" s="26">
        <v>8.6798999999999999</v>
      </c>
      <c r="BH133" s="26">
        <v>20.684000000000001</v>
      </c>
      <c r="BI133" s="26">
        <v>45.098999999999997</v>
      </c>
      <c r="BJ133" s="26">
        <v>21.428000000000001</v>
      </c>
      <c r="BK133" s="26">
        <v>23.887</v>
      </c>
      <c r="BL133" s="26">
        <v>1.0371999999999999</v>
      </c>
      <c r="BM133" s="26">
        <v>45.488</v>
      </c>
      <c r="BN133" s="26">
        <v>48.095999999999997</v>
      </c>
      <c r="BO133" s="26">
        <v>48.146000000000001</v>
      </c>
      <c r="BP133" s="26">
        <v>55.283999999999999</v>
      </c>
      <c r="BQ133" s="26">
        <v>42.009</v>
      </c>
      <c r="BR133" s="26">
        <v>39.654000000000003</v>
      </c>
      <c r="BS133" s="26">
        <v>52.595999999999997</v>
      </c>
      <c r="BT133" s="26">
        <v>68.929000000000002</v>
      </c>
      <c r="BU133" s="26">
        <v>44.232999999999997</v>
      </c>
      <c r="BV133" s="26">
        <v>49.027999999999999</v>
      </c>
      <c r="BW133" s="26">
        <v>49.515999999999998</v>
      </c>
      <c r="BX133" s="26">
        <v>56.329000000000001</v>
      </c>
      <c r="BY133" s="26">
        <v>55.283999999999999</v>
      </c>
      <c r="BZ133" s="26">
        <v>21.571999999999999</v>
      </c>
      <c r="CA133" s="26">
        <v>47.738999999999997</v>
      </c>
      <c r="CB133" s="26">
        <v>57.661000000000001</v>
      </c>
      <c r="CC133" s="26">
        <v>55.021000000000001</v>
      </c>
      <c r="CD133" s="26">
        <v>1.0371999999999999</v>
      </c>
      <c r="CE133" s="26">
        <v>57.389000000000003</v>
      </c>
      <c r="CF133" s="26">
        <v>35.71</v>
      </c>
      <c r="CG133" s="26">
        <v>55.337000000000003</v>
      </c>
      <c r="CH133" s="26">
        <v>55.283999999999999</v>
      </c>
      <c r="CI133" s="26">
        <v>49.59</v>
      </c>
      <c r="CJ133" s="26">
        <v>42.899000000000001</v>
      </c>
      <c r="CK133" s="26">
        <v>30.361000000000001</v>
      </c>
      <c r="CL133" s="26">
        <v>57.02</v>
      </c>
      <c r="CM133" s="26">
        <v>32.253</v>
      </c>
      <c r="CN133" s="26">
        <v>46.115000000000002</v>
      </c>
      <c r="CO133" s="26">
        <v>44.887999999999998</v>
      </c>
      <c r="CP133" s="26">
        <v>55.021000000000001</v>
      </c>
      <c r="CQ133" s="26">
        <v>58.435000000000002</v>
      </c>
      <c r="CR133" s="26">
        <v>46.107999999999997</v>
      </c>
      <c r="CS133" s="26">
        <v>56.844000000000001</v>
      </c>
      <c r="CT133" s="26">
        <v>58.33</v>
      </c>
      <c r="CU133" s="26">
        <v>39.353000000000002</v>
      </c>
      <c r="CV133" s="26">
        <v>57.389000000000003</v>
      </c>
      <c r="CW133" s="26">
        <v>61.814</v>
      </c>
      <c r="CX133" s="26">
        <v>42.183</v>
      </c>
      <c r="CY133" s="61"/>
      <c r="CZ133" s="537"/>
      <c r="DA133" s="61"/>
    </row>
    <row r="134" spans="1:16384">
      <c r="A134" s="279">
        <v>41974</v>
      </c>
      <c r="B134" s="26">
        <v>53.415999999999997</v>
      </c>
      <c r="C134" s="26">
        <v>55.631999999999998</v>
      </c>
      <c r="D134" s="26">
        <v>39.337000000000003</v>
      </c>
      <c r="E134" s="26">
        <v>52.075000000000003</v>
      </c>
      <c r="F134" s="26">
        <v>56.125</v>
      </c>
      <c r="G134" s="26">
        <v>48.423000000000002</v>
      </c>
      <c r="H134" s="26">
        <v>19.154</v>
      </c>
      <c r="I134" s="26">
        <v>53.070999999999998</v>
      </c>
      <c r="J134" s="26">
        <v>46.902999999999999</v>
      </c>
      <c r="K134" s="26">
        <v>53.491</v>
      </c>
      <c r="L134" s="26">
        <v>23.588000000000001</v>
      </c>
      <c r="M134" s="26">
        <v>52.075000000000003</v>
      </c>
      <c r="N134" s="26">
        <v>44.720999999999997</v>
      </c>
      <c r="O134" s="26">
        <v>42.667000000000002</v>
      </c>
      <c r="P134" s="26">
        <v>44.527999999999999</v>
      </c>
      <c r="Q134" s="26">
        <v>32.71</v>
      </c>
      <c r="R134" s="26">
        <v>39.765000000000001</v>
      </c>
      <c r="S134" s="26">
        <v>55.826000000000001</v>
      </c>
      <c r="T134" s="26">
        <v>47.737000000000002</v>
      </c>
      <c r="U134" s="26">
        <v>12.182</v>
      </c>
      <c r="V134" s="26">
        <v>49.034999999999997</v>
      </c>
      <c r="W134" s="26">
        <v>51.308</v>
      </c>
      <c r="X134" s="26">
        <v>18.163</v>
      </c>
      <c r="Y134" s="26">
        <v>83.204999999999998</v>
      </c>
      <c r="Z134" s="26">
        <v>36.639000000000003</v>
      </c>
      <c r="AA134" s="26">
        <v>18.323</v>
      </c>
      <c r="AB134" s="26">
        <v>23.341999999999999</v>
      </c>
      <c r="AC134" s="26">
        <v>48.070999999999998</v>
      </c>
      <c r="AD134" s="26">
        <v>46.234999999999999</v>
      </c>
      <c r="AE134" s="26">
        <v>55.64</v>
      </c>
      <c r="AF134" s="26">
        <v>56.133000000000003</v>
      </c>
      <c r="AG134" s="26">
        <v>56.134</v>
      </c>
      <c r="AH134" s="26">
        <v>24.545000000000002</v>
      </c>
      <c r="AI134" s="26">
        <v>13.189</v>
      </c>
      <c r="AJ134" s="26">
        <v>42.569000000000003</v>
      </c>
      <c r="AK134" s="26">
        <v>41.250999999999998</v>
      </c>
      <c r="AL134" s="26">
        <v>55.399000000000001</v>
      </c>
      <c r="AM134" s="26">
        <v>52.075000000000003</v>
      </c>
      <c r="AN134" s="26">
        <v>55.478000000000002</v>
      </c>
      <c r="AO134" s="26">
        <v>20.158000000000001</v>
      </c>
      <c r="AP134" s="26">
        <v>43.088999999999999</v>
      </c>
      <c r="AQ134" s="26">
        <v>18.77</v>
      </c>
      <c r="AR134" s="26">
        <v>55.125999999999998</v>
      </c>
      <c r="AS134" s="26">
        <v>44.871000000000002</v>
      </c>
      <c r="AT134" s="26">
        <v>55.609000000000002</v>
      </c>
      <c r="AU134" s="26">
        <v>58.965000000000003</v>
      </c>
      <c r="AV134" s="26">
        <v>45.316000000000003</v>
      </c>
      <c r="AW134" s="26">
        <v>50.843000000000004</v>
      </c>
      <c r="AX134" s="26">
        <v>47.713999999999999</v>
      </c>
      <c r="AY134" s="26">
        <v>44.515000000000001</v>
      </c>
      <c r="AZ134" s="26">
        <v>56.478999999999999</v>
      </c>
      <c r="BA134" s="26">
        <v>48.88</v>
      </c>
      <c r="BB134" s="26">
        <v>55.783000000000001</v>
      </c>
      <c r="BC134" s="26">
        <v>11.382</v>
      </c>
      <c r="BD134" s="26">
        <v>47.212000000000003</v>
      </c>
      <c r="BE134" s="26">
        <v>53.317999999999998</v>
      </c>
      <c r="BF134" s="26">
        <v>52.924999999999997</v>
      </c>
      <c r="BG134" s="26">
        <v>11.382</v>
      </c>
      <c r="BH134" s="26">
        <v>14.67</v>
      </c>
      <c r="BI134" s="26">
        <v>50.902000000000001</v>
      </c>
      <c r="BJ134" s="26">
        <v>14.721</v>
      </c>
      <c r="BK134" s="26">
        <v>30.312000000000001</v>
      </c>
      <c r="BL134" s="26">
        <v>0</v>
      </c>
      <c r="BM134" s="26">
        <v>50.168999999999997</v>
      </c>
      <c r="BN134" s="26">
        <v>48.070999999999998</v>
      </c>
      <c r="BO134" s="26">
        <v>44.780999999999999</v>
      </c>
      <c r="BP134" s="26">
        <v>47.494</v>
      </c>
      <c r="BQ134" s="26">
        <v>39.813000000000002</v>
      </c>
      <c r="BR134" s="26">
        <v>42.765000000000001</v>
      </c>
      <c r="BS134" s="26">
        <v>46.786000000000001</v>
      </c>
      <c r="BT134" s="26">
        <v>83.606999999999999</v>
      </c>
      <c r="BU134" s="26">
        <v>25.536999999999999</v>
      </c>
      <c r="BV134" s="26">
        <v>39.301000000000002</v>
      </c>
      <c r="BW134" s="26">
        <v>51.444000000000003</v>
      </c>
      <c r="BX134" s="26">
        <v>52.89</v>
      </c>
      <c r="BY134" s="26">
        <v>56.125</v>
      </c>
      <c r="BZ134" s="26">
        <v>20.428999999999998</v>
      </c>
      <c r="CA134" s="26">
        <v>30.983000000000001</v>
      </c>
      <c r="CB134" s="26">
        <v>56.125</v>
      </c>
      <c r="CC134" s="26">
        <v>55.503</v>
      </c>
      <c r="CD134" s="26">
        <v>8.8402999999999992</v>
      </c>
      <c r="CE134" s="26">
        <v>55.881</v>
      </c>
      <c r="CF134" s="26">
        <v>42.667000000000002</v>
      </c>
      <c r="CG134" s="26">
        <v>55.511000000000003</v>
      </c>
      <c r="CH134" s="26">
        <v>56.125</v>
      </c>
      <c r="CI134" s="26">
        <v>42.396000000000001</v>
      </c>
      <c r="CJ134" s="26">
        <v>45.915999999999997</v>
      </c>
      <c r="CK134" s="26">
        <v>22.916</v>
      </c>
      <c r="CL134" s="26">
        <v>53.264000000000003</v>
      </c>
      <c r="CM134" s="26">
        <v>32.222999999999999</v>
      </c>
      <c r="CN134" s="26">
        <v>46.902999999999999</v>
      </c>
      <c r="CO134" s="26">
        <v>52.075000000000003</v>
      </c>
      <c r="CP134" s="26">
        <v>53.000999999999998</v>
      </c>
      <c r="CQ134" s="26">
        <v>56.148000000000003</v>
      </c>
      <c r="CR134" s="26">
        <v>46.665999999999997</v>
      </c>
      <c r="CS134" s="26">
        <v>52.075000000000003</v>
      </c>
      <c r="CT134" s="26">
        <v>55.569000000000003</v>
      </c>
      <c r="CU134" s="26">
        <v>32.625</v>
      </c>
      <c r="CV134" s="26">
        <v>56.125</v>
      </c>
      <c r="CW134" s="26">
        <v>56.478999999999999</v>
      </c>
      <c r="CX134" s="26">
        <v>42.768999999999998</v>
      </c>
      <c r="CY134" s="61"/>
      <c r="CZ134" s="537"/>
      <c r="DA134" s="61"/>
    </row>
    <row r="135" spans="1:16384" s="540" customFormat="1">
      <c r="A135" s="538" t="s">
        <v>126</v>
      </c>
      <c r="B135" s="539">
        <f>AVERAGE(B129:B134)</f>
        <v>48.833499999999994</v>
      </c>
      <c r="C135" s="539">
        <f t="shared" ref="C135:BN135" si="9">AVERAGE(C129:C134)</f>
        <v>47.398833333333329</v>
      </c>
      <c r="D135" s="539">
        <f t="shared" si="9"/>
        <v>49.430666666666667</v>
      </c>
      <c r="E135" s="539">
        <f t="shared" si="9"/>
        <v>48.783499999999997</v>
      </c>
      <c r="F135" s="539">
        <f t="shared" si="9"/>
        <v>55.133333333333333</v>
      </c>
      <c r="G135" s="539">
        <f t="shared" si="9"/>
        <v>39.899000000000001</v>
      </c>
      <c r="H135" s="539">
        <f t="shared" si="9"/>
        <v>29.592000000000002</v>
      </c>
      <c r="I135" s="539">
        <f t="shared" si="9"/>
        <v>53.373833333333344</v>
      </c>
      <c r="J135" s="539">
        <f t="shared" si="9"/>
        <v>40.596499999999999</v>
      </c>
      <c r="K135" s="539">
        <f t="shared" si="9"/>
        <v>46.550333333333334</v>
      </c>
      <c r="L135" s="539">
        <f t="shared" si="9"/>
        <v>19.334783333333334</v>
      </c>
      <c r="M135" s="539">
        <f t="shared" si="9"/>
        <v>49.737166666666667</v>
      </c>
      <c r="N135" s="539">
        <f t="shared" si="9"/>
        <v>47.835999999999991</v>
      </c>
      <c r="O135" s="539">
        <f t="shared" si="9"/>
        <v>35.122</v>
      </c>
      <c r="P135" s="539">
        <f t="shared" si="9"/>
        <v>34.958333333333329</v>
      </c>
      <c r="Q135" s="539">
        <f t="shared" si="9"/>
        <v>27.349833333333336</v>
      </c>
      <c r="R135" s="539">
        <f t="shared" si="9"/>
        <v>43.546500000000002</v>
      </c>
      <c r="S135" s="539">
        <f t="shared" si="9"/>
        <v>45.838333333333338</v>
      </c>
      <c r="T135" s="539">
        <f t="shared" si="9"/>
        <v>37.081166666666668</v>
      </c>
      <c r="U135" s="539">
        <f t="shared" si="9"/>
        <v>21.957333333333334</v>
      </c>
      <c r="V135" s="539">
        <f t="shared" si="9"/>
        <v>38.979666666666667</v>
      </c>
      <c r="W135" s="539">
        <f t="shared" si="9"/>
        <v>49.43866666666667</v>
      </c>
      <c r="X135" s="539">
        <f t="shared" si="9"/>
        <v>24.002166666666668</v>
      </c>
      <c r="Y135" s="539">
        <f t="shared" si="9"/>
        <v>63.195500000000003</v>
      </c>
      <c r="Z135" s="539">
        <f t="shared" si="9"/>
        <v>29.632833333333338</v>
      </c>
      <c r="AA135" s="539">
        <f t="shared" si="9"/>
        <v>29.151499999999999</v>
      </c>
      <c r="AB135" s="539">
        <f t="shared" si="9"/>
        <v>35.175333333333327</v>
      </c>
      <c r="AC135" s="539">
        <f t="shared" si="9"/>
        <v>50.780166666666673</v>
      </c>
      <c r="AD135" s="539">
        <f t="shared" si="9"/>
        <v>40.857499999999995</v>
      </c>
      <c r="AE135" s="539">
        <f t="shared" si="9"/>
        <v>50.086999999999996</v>
      </c>
      <c r="AF135" s="539">
        <f t="shared" si="9"/>
        <v>60.67433333333333</v>
      </c>
      <c r="AG135" s="539">
        <f t="shared" si="9"/>
        <v>60.999166666666667</v>
      </c>
      <c r="AH135" s="539">
        <f t="shared" si="9"/>
        <v>31.318000000000001</v>
      </c>
      <c r="AI135" s="539">
        <f t="shared" si="9"/>
        <v>25.75</v>
      </c>
      <c r="AJ135" s="539">
        <f t="shared" si="9"/>
        <v>35.235833333333325</v>
      </c>
      <c r="AK135" s="539">
        <f t="shared" si="9"/>
        <v>33.810333333333332</v>
      </c>
      <c r="AL135" s="539">
        <f t="shared" si="9"/>
        <v>41.080999999999996</v>
      </c>
      <c r="AM135" s="539">
        <f t="shared" si="9"/>
        <v>36.533666666666669</v>
      </c>
      <c r="AN135" s="539">
        <f t="shared" si="9"/>
        <v>54.537499999999994</v>
      </c>
      <c r="AO135" s="539">
        <f t="shared" si="9"/>
        <v>36.848999999999997</v>
      </c>
      <c r="AP135" s="539">
        <f t="shared" si="9"/>
        <v>43.986333333333334</v>
      </c>
      <c r="AQ135" s="539">
        <f t="shared" si="9"/>
        <v>21.104499999999998</v>
      </c>
      <c r="AR135" s="539">
        <f t="shared" si="9"/>
        <v>49.929833333333328</v>
      </c>
      <c r="AS135" s="539">
        <f t="shared" si="9"/>
        <v>34.224833333333336</v>
      </c>
      <c r="AT135" s="539">
        <f t="shared" si="9"/>
        <v>54.50066666666666</v>
      </c>
      <c r="AU135" s="539">
        <f t="shared" si="9"/>
        <v>62.666666666666664</v>
      </c>
      <c r="AV135" s="539">
        <f t="shared" si="9"/>
        <v>48.038833333333336</v>
      </c>
      <c r="AW135" s="539">
        <f t="shared" si="9"/>
        <v>43.624666666666677</v>
      </c>
      <c r="AX135" s="539">
        <f t="shared" si="9"/>
        <v>45.905499999999996</v>
      </c>
      <c r="AY135" s="539">
        <f t="shared" si="9"/>
        <v>41.342000000000006</v>
      </c>
      <c r="AZ135" s="539">
        <f t="shared" si="9"/>
        <v>49.67883333333333</v>
      </c>
      <c r="BA135" s="539">
        <f t="shared" si="9"/>
        <v>45.017000000000003</v>
      </c>
      <c r="BB135" s="539">
        <f t="shared" si="9"/>
        <v>48.427166666666665</v>
      </c>
      <c r="BC135" s="539">
        <f t="shared" si="9"/>
        <v>15.56516666666667</v>
      </c>
      <c r="BD135" s="539">
        <f t="shared" si="9"/>
        <v>46.844166666666666</v>
      </c>
      <c r="BE135" s="539">
        <f t="shared" si="9"/>
        <v>44.011500000000005</v>
      </c>
      <c r="BF135" s="539">
        <f t="shared" si="9"/>
        <v>40.717000000000006</v>
      </c>
      <c r="BG135" s="539">
        <f t="shared" si="9"/>
        <v>9.3746666666666663</v>
      </c>
      <c r="BH135" s="539">
        <f t="shared" si="9"/>
        <v>13.666600000000001</v>
      </c>
      <c r="BI135" s="539">
        <f t="shared" si="9"/>
        <v>50.050166666666662</v>
      </c>
      <c r="BJ135" s="539">
        <f t="shared" si="9"/>
        <v>14.448333333333332</v>
      </c>
      <c r="BK135" s="539">
        <f t="shared" si="9"/>
        <v>29.046333333333333</v>
      </c>
      <c r="BL135" s="539">
        <f t="shared" si="9"/>
        <v>4.2157166666666663</v>
      </c>
      <c r="BM135" s="539">
        <f t="shared" si="9"/>
        <v>43.189</v>
      </c>
      <c r="BN135" s="539">
        <f t="shared" si="9"/>
        <v>50.05983333333333</v>
      </c>
      <c r="BO135" s="539">
        <f t="shared" ref="BO135:CX135" si="10">AVERAGE(BO129:BO134)</f>
        <v>37.699333333333335</v>
      </c>
      <c r="BP135" s="539">
        <f t="shared" si="10"/>
        <v>49.042499999999997</v>
      </c>
      <c r="BQ135" s="539">
        <f t="shared" si="10"/>
        <v>37.434666666666665</v>
      </c>
      <c r="BR135" s="539">
        <f t="shared" si="10"/>
        <v>31.769833333333338</v>
      </c>
      <c r="BS135" s="539">
        <f t="shared" si="10"/>
        <v>46.157999999999994</v>
      </c>
      <c r="BT135" s="539">
        <f t="shared" si="10"/>
        <v>63.29666666666666</v>
      </c>
      <c r="BU135" s="539">
        <f t="shared" si="10"/>
        <v>35.696333333333335</v>
      </c>
      <c r="BV135" s="539">
        <f t="shared" si="10"/>
        <v>53.362666666666662</v>
      </c>
      <c r="BW135" s="539">
        <f t="shared" si="10"/>
        <v>50.076666666666661</v>
      </c>
      <c r="BX135" s="539">
        <f t="shared" si="10"/>
        <v>48.92433333333333</v>
      </c>
      <c r="BY135" s="539">
        <f t="shared" si="10"/>
        <v>46.855499999999999</v>
      </c>
      <c r="BZ135" s="539">
        <f t="shared" si="10"/>
        <v>29.388666666666669</v>
      </c>
      <c r="CA135" s="539">
        <f t="shared" si="10"/>
        <v>43.113499999999995</v>
      </c>
      <c r="CB135" s="539">
        <f t="shared" si="10"/>
        <v>53.878166666666665</v>
      </c>
      <c r="CC135" s="539">
        <f t="shared" si="10"/>
        <v>49.274666666666661</v>
      </c>
      <c r="CD135" s="539">
        <f t="shared" si="10"/>
        <v>7.6739666666666659</v>
      </c>
      <c r="CE135" s="539">
        <f t="shared" si="10"/>
        <v>52.770500000000006</v>
      </c>
      <c r="CF135" s="539">
        <f t="shared" si="10"/>
        <v>44.942499999999995</v>
      </c>
      <c r="CG135" s="539">
        <f t="shared" si="10"/>
        <v>53.61783333333333</v>
      </c>
      <c r="CH135" s="539">
        <f t="shared" si="10"/>
        <v>53.431833333333337</v>
      </c>
      <c r="CI135" s="539">
        <f t="shared" si="10"/>
        <v>36.6</v>
      </c>
      <c r="CJ135" s="539">
        <f t="shared" si="10"/>
        <v>37.326833333333333</v>
      </c>
      <c r="CK135" s="539">
        <f t="shared" si="10"/>
        <v>23.953333333333333</v>
      </c>
      <c r="CL135" s="539">
        <f t="shared" si="10"/>
        <v>49.597499999999997</v>
      </c>
      <c r="CM135" s="539">
        <f t="shared" si="10"/>
        <v>39.822833333333335</v>
      </c>
      <c r="CN135" s="539">
        <f t="shared" si="10"/>
        <v>46.736333333333334</v>
      </c>
      <c r="CO135" s="539">
        <f t="shared" si="10"/>
        <v>40.576500000000003</v>
      </c>
      <c r="CP135" s="539">
        <f t="shared" si="10"/>
        <v>47.171999999999997</v>
      </c>
      <c r="CQ135" s="539">
        <f t="shared" si="10"/>
        <v>54.459833333333336</v>
      </c>
      <c r="CR135" s="539">
        <f t="shared" si="10"/>
        <v>50.256499999999996</v>
      </c>
      <c r="CS135" s="539">
        <f t="shared" si="10"/>
        <v>39.99</v>
      </c>
      <c r="CT135" s="539">
        <f t="shared" si="10"/>
        <v>52.648333333333341</v>
      </c>
      <c r="CU135" s="539">
        <f t="shared" si="10"/>
        <v>40.67966666666667</v>
      </c>
      <c r="CV135" s="539">
        <f t="shared" si="10"/>
        <v>52.68483333333333</v>
      </c>
      <c r="CW135" s="539">
        <f t="shared" si="10"/>
        <v>50.771333333333331</v>
      </c>
      <c r="CX135" s="539">
        <f t="shared" si="10"/>
        <v>39.474499999999999</v>
      </c>
      <c r="CY135" s="61"/>
      <c r="CZ135" s="537"/>
      <c r="DA135" s="537"/>
      <c r="DB135" s="537"/>
      <c r="DC135" s="537"/>
      <c r="DD135" s="537"/>
      <c r="DE135" s="537"/>
      <c r="DF135" s="537"/>
      <c r="DG135" s="537"/>
      <c r="DH135" s="537"/>
      <c r="DI135" s="537"/>
      <c r="DJ135" s="537"/>
      <c r="DK135" s="537"/>
      <c r="DL135" s="537"/>
      <c r="DM135" s="537"/>
      <c r="DN135" s="537"/>
      <c r="DO135" s="537"/>
      <c r="DP135" s="537"/>
      <c r="DQ135" s="537"/>
      <c r="DR135" s="537"/>
      <c r="DS135" s="537"/>
      <c r="DT135" s="537"/>
      <c r="DU135" s="537"/>
      <c r="DV135" s="537"/>
      <c r="DW135" s="537"/>
      <c r="DX135" s="537"/>
      <c r="DY135" s="537"/>
      <c r="DZ135" s="537"/>
      <c r="EA135" s="537"/>
      <c r="EB135" s="537"/>
      <c r="EC135" s="537"/>
      <c r="ED135" s="537"/>
      <c r="EE135" s="537"/>
      <c r="EF135" s="537"/>
      <c r="EG135" s="537"/>
      <c r="EH135" s="537"/>
      <c r="EI135" s="537"/>
      <c r="EJ135" s="537"/>
      <c r="EK135" s="537"/>
      <c r="EL135" s="537"/>
      <c r="EM135" s="537"/>
      <c r="EN135" s="537"/>
      <c r="EO135" s="537"/>
      <c r="EP135" s="537"/>
      <c r="EQ135" s="537"/>
      <c r="ER135" s="537"/>
      <c r="ES135" s="537"/>
      <c r="ET135" s="537"/>
      <c r="EU135" s="537"/>
      <c r="EV135" s="537"/>
      <c r="EW135" s="537"/>
      <c r="EX135" s="537"/>
      <c r="EY135" s="537"/>
      <c r="EZ135" s="537"/>
      <c r="FA135" s="537"/>
      <c r="FB135" s="537"/>
      <c r="FC135" s="537"/>
      <c r="FD135" s="537"/>
      <c r="FE135" s="537"/>
      <c r="FF135" s="537"/>
      <c r="FG135" s="537"/>
      <c r="FH135" s="537"/>
      <c r="FI135" s="537"/>
      <c r="FJ135" s="537"/>
      <c r="FK135" s="537"/>
      <c r="FL135" s="537"/>
      <c r="FM135" s="537"/>
      <c r="FN135" s="537"/>
      <c r="FO135" s="537"/>
      <c r="FP135" s="537"/>
      <c r="FQ135" s="537"/>
      <c r="FR135" s="537"/>
      <c r="FS135" s="537"/>
      <c r="FT135" s="537"/>
      <c r="FU135" s="537"/>
      <c r="FV135" s="537"/>
      <c r="FW135" s="537"/>
      <c r="FX135" s="537"/>
      <c r="FY135" s="537"/>
      <c r="FZ135" s="537"/>
      <c r="GA135" s="537"/>
      <c r="GB135" s="537"/>
      <c r="GC135" s="537"/>
      <c r="GD135" s="537"/>
      <c r="GE135" s="537"/>
      <c r="GF135" s="537"/>
      <c r="GG135" s="537"/>
      <c r="GH135" s="537"/>
      <c r="GI135" s="537"/>
      <c r="GJ135" s="537"/>
      <c r="GK135" s="537"/>
      <c r="GL135" s="537"/>
      <c r="GM135" s="537"/>
      <c r="GN135" s="537"/>
      <c r="GO135" s="537"/>
      <c r="GP135" s="537"/>
      <c r="GQ135" s="537"/>
      <c r="GR135" s="537"/>
      <c r="GS135" s="537"/>
      <c r="GT135" s="537"/>
      <c r="GU135" s="537"/>
      <c r="GV135" s="537"/>
      <c r="GW135" s="537"/>
      <c r="GX135" s="537"/>
      <c r="GY135" s="537"/>
      <c r="GZ135" s="537"/>
      <c r="HA135" s="537"/>
      <c r="HB135" s="537"/>
      <c r="HC135" s="537"/>
      <c r="HD135" s="537"/>
      <c r="HE135" s="537"/>
      <c r="HF135" s="537"/>
      <c r="HG135" s="537"/>
      <c r="HH135" s="537"/>
      <c r="HI135" s="537"/>
      <c r="HJ135" s="537"/>
      <c r="HK135" s="537"/>
      <c r="HL135" s="537"/>
      <c r="HM135" s="537"/>
      <c r="HN135" s="537"/>
      <c r="HO135" s="537"/>
      <c r="HP135" s="537"/>
      <c r="HQ135" s="537"/>
      <c r="HR135" s="537"/>
      <c r="HS135" s="537"/>
      <c r="HT135" s="537"/>
      <c r="HU135" s="537"/>
      <c r="HV135" s="537"/>
      <c r="HW135" s="537"/>
      <c r="HX135" s="537"/>
      <c r="HY135" s="537"/>
      <c r="HZ135" s="537"/>
      <c r="IA135" s="537"/>
      <c r="IB135" s="537"/>
      <c r="IC135" s="537"/>
      <c r="ID135" s="537"/>
      <c r="IE135" s="537"/>
      <c r="IF135" s="537"/>
      <c r="IG135" s="537"/>
      <c r="IH135" s="537"/>
      <c r="II135" s="537"/>
      <c r="IJ135" s="537"/>
      <c r="IK135" s="537"/>
      <c r="IL135" s="537"/>
      <c r="IM135" s="537"/>
      <c r="IN135" s="537"/>
      <c r="IO135" s="537"/>
      <c r="IP135" s="537"/>
      <c r="IQ135" s="537"/>
      <c r="IR135" s="537"/>
      <c r="IS135" s="537"/>
      <c r="IT135" s="537"/>
      <c r="IU135" s="537"/>
      <c r="IV135" s="537"/>
      <c r="IW135" s="537"/>
      <c r="IX135" s="537"/>
      <c r="IY135" s="537"/>
      <c r="IZ135" s="537"/>
      <c r="JA135" s="537"/>
      <c r="JB135" s="537"/>
      <c r="JC135" s="537"/>
      <c r="JD135" s="537"/>
      <c r="JE135" s="537"/>
      <c r="JF135" s="537"/>
      <c r="JG135" s="537"/>
      <c r="JH135" s="537"/>
      <c r="JI135" s="537"/>
      <c r="JJ135" s="537"/>
      <c r="JK135" s="537"/>
      <c r="JL135" s="537"/>
      <c r="JM135" s="537"/>
      <c r="JN135" s="537"/>
      <c r="JO135" s="537"/>
      <c r="JP135" s="537"/>
      <c r="JQ135" s="537"/>
      <c r="JR135" s="537"/>
      <c r="JS135" s="537"/>
      <c r="JT135" s="537"/>
      <c r="JU135" s="537"/>
      <c r="JV135" s="537"/>
      <c r="JW135" s="537"/>
      <c r="JX135" s="537"/>
      <c r="JY135" s="537"/>
      <c r="JZ135" s="537"/>
      <c r="KA135" s="537"/>
      <c r="KB135" s="537"/>
      <c r="KC135" s="537"/>
      <c r="KD135" s="537"/>
      <c r="KE135" s="537"/>
      <c r="KF135" s="537"/>
      <c r="KG135" s="537"/>
      <c r="KH135" s="537"/>
      <c r="KI135" s="537"/>
      <c r="KJ135" s="537"/>
      <c r="KK135" s="537"/>
      <c r="KL135" s="537"/>
      <c r="KM135" s="537"/>
      <c r="KN135" s="537"/>
      <c r="KO135" s="537"/>
      <c r="KP135" s="537"/>
      <c r="KQ135" s="537"/>
      <c r="KR135" s="537"/>
      <c r="KS135" s="537"/>
      <c r="KT135" s="537"/>
      <c r="KU135" s="537"/>
      <c r="KV135" s="537"/>
      <c r="KW135" s="537"/>
      <c r="KX135" s="537"/>
      <c r="KY135" s="537"/>
      <c r="KZ135" s="537"/>
      <c r="LA135" s="537"/>
      <c r="LB135" s="537"/>
      <c r="LC135" s="537"/>
      <c r="LD135" s="537"/>
      <c r="LE135" s="537"/>
      <c r="LF135" s="537"/>
      <c r="LG135" s="537"/>
      <c r="LH135" s="537"/>
      <c r="LI135" s="537"/>
      <c r="LJ135" s="537"/>
      <c r="LK135" s="537"/>
      <c r="LL135" s="537"/>
      <c r="LM135" s="537"/>
      <c r="LN135" s="537"/>
      <c r="LO135" s="537"/>
      <c r="LP135" s="537"/>
      <c r="LQ135" s="537"/>
      <c r="LR135" s="537"/>
      <c r="LS135" s="537"/>
      <c r="LT135" s="537"/>
      <c r="LU135" s="537"/>
      <c r="LV135" s="537"/>
      <c r="LW135" s="537"/>
      <c r="LX135" s="537"/>
      <c r="LY135" s="537"/>
      <c r="LZ135" s="537"/>
      <c r="MA135" s="537"/>
      <c r="MB135" s="537"/>
      <c r="MC135" s="537"/>
      <c r="MD135" s="537"/>
      <c r="ME135" s="537"/>
      <c r="MF135" s="537"/>
      <c r="MG135" s="537"/>
      <c r="MH135" s="537"/>
      <c r="MI135" s="537"/>
      <c r="MJ135" s="537"/>
      <c r="MK135" s="537"/>
      <c r="ML135" s="537"/>
      <c r="MM135" s="537"/>
      <c r="MN135" s="537"/>
      <c r="MO135" s="537"/>
      <c r="MP135" s="537"/>
      <c r="MQ135" s="537"/>
      <c r="MR135" s="537"/>
      <c r="MS135" s="537"/>
      <c r="MT135" s="537"/>
      <c r="MU135" s="537"/>
      <c r="MV135" s="537"/>
      <c r="MW135" s="537"/>
      <c r="MX135" s="537"/>
      <c r="MY135" s="537"/>
      <c r="MZ135" s="537"/>
      <c r="NA135" s="537"/>
      <c r="NB135" s="537"/>
      <c r="NC135" s="537"/>
      <c r="ND135" s="537"/>
      <c r="NE135" s="537"/>
      <c r="NF135" s="537"/>
      <c r="NG135" s="537"/>
      <c r="NH135" s="537"/>
      <c r="NI135" s="537"/>
      <c r="NJ135" s="537"/>
      <c r="NK135" s="537"/>
      <c r="NL135" s="537"/>
      <c r="NM135" s="537"/>
      <c r="NN135" s="537"/>
      <c r="NO135" s="537"/>
      <c r="NP135" s="537"/>
      <c r="NQ135" s="537"/>
      <c r="NR135" s="537"/>
      <c r="NS135" s="537"/>
      <c r="NT135" s="537"/>
      <c r="NU135" s="537"/>
      <c r="NV135" s="537"/>
      <c r="NW135" s="537"/>
      <c r="NX135" s="537"/>
      <c r="NY135" s="537"/>
      <c r="NZ135" s="537"/>
      <c r="OA135" s="537"/>
      <c r="OB135" s="537"/>
      <c r="OC135" s="537"/>
      <c r="OD135" s="537"/>
      <c r="OE135" s="537"/>
      <c r="OF135" s="537"/>
      <c r="OG135" s="537"/>
      <c r="OH135" s="537"/>
      <c r="OI135" s="537"/>
      <c r="OJ135" s="537"/>
      <c r="OK135" s="537"/>
      <c r="OL135" s="537"/>
      <c r="OM135" s="537"/>
      <c r="ON135" s="537"/>
      <c r="OO135" s="537"/>
      <c r="OP135" s="537"/>
      <c r="OQ135" s="537"/>
      <c r="OR135" s="537"/>
      <c r="OS135" s="537"/>
      <c r="OT135" s="537"/>
      <c r="OU135" s="537"/>
      <c r="OV135" s="537"/>
      <c r="OW135" s="537"/>
      <c r="OX135" s="537"/>
      <c r="OY135" s="537"/>
      <c r="OZ135" s="537"/>
      <c r="PA135" s="537"/>
      <c r="PB135" s="537"/>
      <c r="PC135" s="537"/>
      <c r="PD135" s="537"/>
      <c r="PE135" s="537"/>
      <c r="PF135" s="537"/>
      <c r="PG135" s="537"/>
      <c r="PH135" s="537"/>
      <c r="PI135" s="537"/>
      <c r="PJ135" s="537"/>
      <c r="PK135" s="537"/>
      <c r="PL135" s="537"/>
      <c r="PM135" s="537"/>
      <c r="PN135" s="537"/>
      <c r="PO135" s="537"/>
      <c r="PP135" s="537"/>
      <c r="PQ135" s="537"/>
      <c r="PR135" s="537"/>
      <c r="PS135" s="537"/>
      <c r="PT135" s="537"/>
      <c r="PU135" s="537"/>
      <c r="PV135" s="537"/>
      <c r="PW135" s="537"/>
      <c r="PX135" s="537"/>
      <c r="PY135" s="537"/>
      <c r="PZ135" s="537"/>
      <c r="QA135" s="537"/>
      <c r="QB135" s="537"/>
      <c r="QC135" s="537"/>
      <c r="QD135" s="537"/>
      <c r="QE135" s="537"/>
      <c r="QF135" s="537"/>
      <c r="QG135" s="537"/>
      <c r="QH135" s="537"/>
      <c r="QI135" s="537"/>
      <c r="QJ135" s="537"/>
      <c r="QK135" s="537"/>
      <c r="QL135" s="537"/>
      <c r="QM135" s="537"/>
      <c r="QN135" s="537"/>
      <c r="QO135" s="537"/>
      <c r="QP135" s="537"/>
      <c r="QQ135" s="537"/>
      <c r="QR135" s="537"/>
      <c r="QS135" s="537"/>
      <c r="QT135" s="537"/>
      <c r="QU135" s="537"/>
      <c r="QV135" s="537"/>
      <c r="QW135" s="537"/>
      <c r="QX135" s="537"/>
      <c r="QY135" s="537"/>
      <c r="QZ135" s="537"/>
      <c r="RA135" s="537"/>
      <c r="RB135" s="537"/>
      <c r="RC135" s="537"/>
      <c r="RD135" s="537"/>
      <c r="RE135" s="537"/>
      <c r="RF135" s="537"/>
      <c r="RG135" s="537"/>
      <c r="RH135" s="537"/>
      <c r="RI135" s="537"/>
      <c r="RJ135" s="537"/>
      <c r="RK135" s="537"/>
      <c r="RL135" s="537"/>
      <c r="RM135" s="537"/>
      <c r="RN135" s="537"/>
      <c r="RO135" s="537"/>
      <c r="RP135" s="537"/>
      <c r="RQ135" s="537"/>
      <c r="RR135" s="537"/>
      <c r="RS135" s="537"/>
      <c r="RT135" s="537"/>
      <c r="RU135" s="537"/>
      <c r="RV135" s="537"/>
      <c r="RW135" s="537"/>
      <c r="RX135" s="537"/>
      <c r="RY135" s="537"/>
      <c r="RZ135" s="537"/>
      <c r="SA135" s="537"/>
      <c r="SB135" s="537"/>
      <c r="SC135" s="537"/>
      <c r="SD135" s="537"/>
      <c r="SE135" s="537"/>
      <c r="SF135" s="537"/>
      <c r="SG135" s="537"/>
      <c r="SH135" s="537"/>
      <c r="SI135" s="537"/>
      <c r="SJ135" s="537"/>
      <c r="SK135" s="537"/>
      <c r="SL135" s="537"/>
      <c r="SM135" s="537"/>
      <c r="SN135" s="537"/>
      <c r="SO135" s="537"/>
      <c r="SP135" s="537"/>
      <c r="SQ135" s="537"/>
      <c r="SR135" s="537"/>
      <c r="SS135" s="537"/>
      <c r="ST135" s="537"/>
      <c r="SU135" s="537"/>
      <c r="SV135" s="537"/>
      <c r="SW135" s="537"/>
      <c r="SX135" s="537"/>
      <c r="SY135" s="537"/>
      <c r="SZ135" s="537"/>
      <c r="TA135" s="537"/>
      <c r="TB135" s="537"/>
      <c r="TC135" s="537"/>
      <c r="TD135" s="537"/>
      <c r="TE135" s="537"/>
      <c r="TF135" s="537"/>
      <c r="TG135" s="537"/>
      <c r="TH135" s="537"/>
      <c r="TI135" s="537"/>
      <c r="TJ135" s="537"/>
      <c r="TK135" s="537"/>
      <c r="TL135" s="537"/>
      <c r="TM135" s="537"/>
      <c r="TN135" s="537"/>
      <c r="TO135" s="537"/>
      <c r="TP135" s="537"/>
      <c r="TQ135" s="537"/>
      <c r="TR135" s="537"/>
      <c r="TS135" s="537"/>
      <c r="TT135" s="537"/>
      <c r="TU135" s="537"/>
      <c r="TV135" s="537"/>
      <c r="TW135" s="537"/>
      <c r="TX135" s="537"/>
      <c r="TY135" s="537"/>
      <c r="TZ135" s="537"/>
      <c r="UA135" s="537"/>
      <c r="UB135" s="537"/>
      <c r="UC135" s="537"/>
      <c r="UD135" s="537"/>
      <c r="UE135" s="537"/>
      <c r="UF135" s="537"/>
      <c r="UG135" s="537"/>
      <c r="UH135" s="537"/>
      <c r="UI135" s="537"/>
      <c r="UJ135" s="537"/>
      <c r="UK135" s="537"/>
      <c r="UL135" s="537"/>
      <c r="UM135" s="537"/>
      <c r="UN135" s="537"/>
      <c r="UO135" s="537"/>
      <c r="UP135" s="537"/>
      <c r="UQ135" s="537"/>
      <c r="UR135" s="537"/>
      <c r="US135" s="537"/>
      <c r="UT135" s="537"/>
      <c r="UU135" s="537"/>
      <c r="UV135" s="537"/>
      <c r="UW135" s="537"/>
      <c r="UX135" s="537"/>
      <c r="UY135" s="537"/>
      <c r="UZ135" s="537"/>
      <c r="VA135" s="537"/>
      <c r="VB135" s="537"/>
      <c r="VC135" s="537"/>
      <c r="VD135" s="537"/>
      <c r="VE135" s="537"/>
      <c r="VF135" s="537"/>
      <c r="VG135" s="537"/>
      <c r="VH135" s="537"/>
      <c r="VI135" s="537"/>
      <c r="VJ135" s="537"/>
      <c r="VK135" s="537"/>
      <c r="VL135" s="537"/>
      <c r="VM135" s="537"/>
      <c r="VN135" s="537"/>
      <c r="VO135" s="537"/>
      <c r="VP135" s="537"/>
      <c r="VQ135" s="537"/>
      <c r="VR135" s="537"/>
      <c r="VS135" s="537"/>
      <c r="VT135" s="537"/>
      <c r="VU135" s="537"/>
      <c r="VV135" s="537"/>
      <c r="VW135" s="537"/>
      <c r="VX135" s="537"/>
      <c r="VY135" s="537"/>
      <c r="VZ135" s="537"/>
      <c r="WA135" s="537"/>
      <c r="WB135" s="537"/>
      <c r="WC135" s="537"/>
      <c r="WD135" s="537"/>
      <c r="WE135" s="537"/>
      <c r="WF135" s="537"/>
      <c r="WG135" s="537"/>
      <c r="WH135" s="537"/>
      <c r="WI135" s="537"/>
      <c r="WJ135" s="537"/>
      <c r="WK135" s="537"/>
      <c r="WL135" s="537"/>
      <c r="WM135" s="537"/>
      <c r="WN135" s="537"/>
      <c r="WO135" s="537"/>
      <c r="WP135" s="537"/>
      <c r="WQ135" s="537"/>
      <c r="WR135" s="537"/>
      <c r="WS135" s="537"/>
      <c r="WT135" s="537"/>
      <c r="WU135" s="537"/>
      <c r="WV135" s="537"/>
      <c r="WW135" s="537"/>
      <c r="WX135" s="537"/>
      <c r="WY135" s="537"/>
      <c r="WZ135" s="537"/>
      <c r="XA135" s="537"/>
      <c r="XB135" s="537"/>
      <c r="XC135" s="537"/>
      <c r="XD135" s="537"/>
      <c r="XE135" s="537"/>
      <c r="XF135" s="537"/>
      <c r="XG135" s="537"/>
      <c r="XH135" s="537"/>
      <c r="XI135" s="537"/>
      <c r="XJ135" s="537"/>
      <c r="XK135" s="537"/>
      <c r="XL135" s="537"/>
      <c r="XM135" s="537"/>
      <c r="XN135" s="537"/>
      <c r="XO135" s="537"/>
      <c r="XP135" s="537"/>
      <c r="XQ135" s="537"/>
      <c r="XR135" s="537"/>
      <c r="XS135" s="537"/>
      <c r="XT135" s="537"/>
      <c r="XU135" s="537"/>
      <c r="XV135" s="537"/>
      <c r="XW135" s="537"/>
      <c r="XX135" s="537"/>
      <c r="XY135" s="537"/>
      <c r="XZ135" s="537"/>
      <c r="YA135" s="537"/>
      <c r="YB135" s="537"/>
      <c r="YC135" s="537"/>
      <c r="YD135" s="537"/>
      <c r="YE135" s="537"/>
      <c r="YF135" s="537"/>
      <c r="YG135" s="537"/>
      <c r="YH135" s="537"/>
      <c r="YI135" s="537"/>
      <c r="YJ135" s="537"/>
      <c r="YK135" s="537"/>
      <c r="YL135" s="537"/>
      <c r="YM135" s="537"/>
      <c r="YN135" s="537"/>
      <c r="YO135" s="537"/>
      <c r="YP135" s="537"/>
      <c r="YQ135" s="537"/>
      <c r="YR135" s="537"/>
      <c r="YS135" s="537"/>
      <c r="YT135" s="537"/>
      <c r="YU135" s="537"/>
      <c r="YV135" s="537"/>
      <c r="YW135" s="537"/>
      <c r="YX135" s="537"/>
      <c r="YY135" s="537"/>
      <c r="YZ135" s="537"/>
      <c r="ZA135" s="537"/>
      <c r="ZB135" s="537"/>
      <c r="ZC135" s="537"/>
      <c r="ZD135" s="537"/>
      <c r="ZE135" s="537"/>
      <c r="ZF135" s="537"/>
      <c r="ZG135" s="537"/>
      <c r="ZH135" s="537"/>
      <c r="ZI135" s="537"/>
      <c r="ZJ135" s="537"/>
      <c r="ZK135" s="537"/>
      <c r="ZL135" s="537"/>
      <c r="ZM135" s="537"/>
      <c r="ZN135" s="537"/>
      <c r="ZO135" s="537"/>
      <c r="ZP135" s="537"/>
      <c r="ZQ135" s="537"/>
      <c r="ZR135" s="537"/>
      <c r="ZS135" s="537"/>
      <c r="ZT135" s="537"/>
      <c r="ZU135" s="537"/>
      <c r="ZV135" s="537"/>
      <c r="ZW135" s="537"/>
      <c r="ZX135" s="537"/>
      <c r="ZY135" s="537"/>
      <c r="ZZ135" s="537"/>
      <c r="AAA135" s="537"/>
      <c r="AAB135" s="537"/>
      <c r="AAC135" s="537"/>
      <c r="AAD135" s="537"/>
      <c r="AAE135" s="537"/>
      <c r="AAF135" s="537"/>
      <c r="AAG135" s="537"/>
      <c r="AAH135" s="537"/>
      <c r="AAI135" s="537"/>
      <c r="AAJ135" s="537"/>
      <c r="AAK135" s="537"/>
      <c r="AAL135" s="537"/>
      <c r="AAM135" s="537"/>
      <c r="AAN135" s="537"/>
      <c r="AAO135" s="537"/>
      <c r="AAP135" s="537"/>
      <c r="AAQ135" s="537"/>
      <c r="AAR135" s="537"/>
      <c r="AAS135" s="537"/>
      <c r="AAT135" s="537"/>
      <c r="AAU135" s="537"/>
      <c r="AAV135" s="537"/>
      <c r="AAW135" s="537"/>
      <c r="AAX135" s="537"/>
      <c r="AAY135" s="537"/>
      <c r="AAZ135" s="537"/>
      <c r="ABA135" s="537"/>
      <c r="ABB135" s="537"/>
      <c r="ABC135" s="537"/>
      <c r="ABD135" s="537"/>
      <c r="ABE135" s="537"/>
      <c r="ABF135" s="537"/>
      <c r="ABG135" s="537"/>
      <c r="ABH135" s="537"/>
      <c r="ABI135" s="537"/>
      <c r="ABJ135" s="537"/>
      <c r="ABK135" s="537"/>
      <c r="ABL135" s="537"/>
      <c r="ABM135" s="537"/>
      <c r="ABN135" s="537"/>
      <c r="ABO135" s="537"/>
      <c r="ABP135" s="537"/>
      <c r="ABQ135" s="537"/>
      <c r="ABR135" s="537"/>
      <c r="ABS135" s="537"/>
      <c r="ABT135" s="537"/>
      <c r="ABU135" s="537"/>
      <c r="ABV135" s="537"/>
      <c r="ABW135" s="537"/>
      <c r="ABX135" s="537"/>
      <c r="ABY135" s="537"/>
      <c r="ABZ135" s="537"/>
      <c r="ACA135" s="537"/>
      <c r="ACB135" s="537"/>
      <c r="ACC135" s="537"/>
      <c r="ACD135" s="537"/>
      <c r="ACE135" s="537"/>
      <c r="ACF135" s="537"/>
      <c r="ACG135" s="537"/>
      <c r="ACH135" s="537"/>
      <c r="ACI135" s="537"/>
      <c r="ACJ135" s="537"/>
      <c r="ACK135" s="537"/>
      <c r="ACL135" s="537"/>
      <c r="ACM135" s="537"/>
      <c r="ACN135" s="537"/>
      <c r="ACO135" s="537"/>
      <c r="ACP135" s="537"/>
      <c r="ACQ135" s="537"/>
      <c r="ACR135" s="537"/>
      <c r="ACS135" s="537"/>
      <c r="ACT135" s="537"/>
      <c r="ACU135" s="537"/>
      <c r="ACV135" s="537"/>
      <c r="ACW135" s="537"/>
      <c r="ACX135" s="537"/>
      <c r="ACY135" s="537"/>
      <c r="ACZ135" s="537"/>
      <c r="ADA135" s="537"/>
      <c r="ADB135" s="537"/>
      <c r="ADC135" s="537"/>
      <c r="ADD135" s="537"/>
      <c r="ADE135" s="537"/>
      <c r="ADF135" s="537"/>
      <c r="ADG135" s="537"/>
      <c r="ADH135" s="537"/>
      <c r="ADI135" s="537"/>
      <c r="ADJ135" s="537"/>
      <c r="ADK135" s="537"/>
      <c r="ADL135" s="537"/>
      <c r="ADM135" s="537"/>
      <c r="ADN135" s="537"/>
      <c r="ADO135" s="537"/>
      <c r="ADP135" s="537"/>
      <c r="ADQ135" s="537"/>
      <c r="ADR135" s="537"/>
      <c r="ADS135" s="537"/>
      <c r="ADT135" s="537"/>
      <c r="ADU135" s="537"/>
      <c r="ADV135" s="537"/>
      <c r="ADW135" s="537"/>
      <c r="ADX135" s="537"/>
      <c r="ADY135" s="537"/>
      <c r="ADZ135" s="537"/>
      <c r="AEA135" s="537"/>
      <c r="AEB135" s="537"/>
      <c r="AEC135" s="537"/>
      <c r="AED135" s="537"/>
      <c r="AEE135" s="537"/>
      <c r="AEF135" s="537"/>
      <c r="AEG135" s="537"/>
      <c r="AEH135" s="537"/>
      <c r="AEI135" s="537"/>
      <c r="AEJ135" s="537"/>
      <c r="AEK135" s="537"/>
      <c r="AEL135" s="537"/>
      <c r="AEM135" s="537"/>
      <c r="AEN135" s="537"/>
      <c r="AEO135" s="537"/>
      <c r="AEP135" s="537"/>
      <c r="AEQ135" s="537"/>
      <c r="AER135" s="537"/>
      <c r="AES135" s="537"/>
      <c r="AET135" s="537"/>
      <c r="AEU135" s="537"/>
      <c r="AEV135" s="537"/>
      <c r="AEW135" s="537"/>
      <c r="AEX135" s="537"/>
      <c r="AEY135" s="537"/>
      <c r="AEZ135" s="537"/>
      <c r="AFA135" s="537"/>
      <c r="AFB135" s="537"/>
      <c r="AFC135" s="537"/>
      <c r="AFD135" s="537"/>
      <c r="AFE135" s="537"/>
      <c r="AFF135" s="537"/>
      <c r="AFG135" s="537"/>
      <c r="AFH135" s="537"/>
      <c r="AFI135" s="537"/>
      <c r="AFJ135" s="537"/>
      <c r="AFK135" s="537"/>
      <c r="AFL135" s="537"/>
      <c r="AFM135" s="537"/>
      <c r="AFN135" s="537"/>
      <c r="AFO135" s="537"/>
      <c r="AFP135" s="537"/>
      <c r="AFQ135" s="537"/>
      <c r="AFR135" s="537"/>
      <c r="AFS135" s="537"/>
      <c r="AFT135" s="537"/>
      <c r="AFU135" s="537"/>
      <c r="AFV135" s="537"/>
      <c r="AFW135" s="537"/>
      <c r="AFX135" s="537"/>
      <c r="AFY135" s="537"/>
      <c r="AFZ135" s="537"/>
      <c r="AGA135" s="537"/>
      <c r="AGB135" s="537"/>
      <c r="AGC135" s="537"/>
      <c r="AGD135" s="537"/>
      <c r="AGE135" s="537"/>
      <c r="AGF135" s="537"/>
      <c r="AGG135" s="537"/>
      <c r="AGH135" s="537"/>
      <c r="AGI135" s="537"/>
      <c r="AGJ135" s="537"/>
      <c r="AGK135" s="537"/>
      <c r="AGL135" s="537"/>
      <c r="AGM135" s="537"/>
      <c r="AGN135" s="537"/>
      <c r="AGO135" s="537"/>
      <c r="AGP135" s="537"/>
      <c r="AGQ135" s="537"/>
      <c r="AGR135" s="537"/>
      <c r="AGS135" s="537"/>
      <c r="AGT135" s="537"/>
      <c r="AGU135" s="537"/>
      <c r="AGV135" s="537"/>
      <c r="AGW135" s="537"/>
      <c r="AGX135" s="537"/>
      <c r="AGY135" s="537"/>
      <c r="AGZ135" s="537"/>
      <c r="AHA135" s="537"/>
      <c r="AHB135" s="537"/>
      <c r="AHC135" s="537"/>
      <c r="AHD135" s="537"/>
      <c r="AHE135" s="537"/>
      <c r="AHF135" s="537"/>
      <c r="AHG135" s="537"/>
      <c r="AHH135" s="537"/>
      <c r="AHI135" s="537"/>
      <c r="AHJ135" s="537"/>
      <c r="AHK135" s="537"/>
      <c r="AHL135" s="537"/>
      <c r="AHM135" s="537"/>
      <c r="AHN135" s="537"/>
      <c r="AHO135" s="537"/>
      <c r="AHP135" s="537"/>
      <c r="AHQ135" s="537"/>
      <c r="AHR135" s="537"/>
      <c r="AHS135" s="537"/>
      <c r="AHT135" s="537"/>
      <c r="AHU135" s="537"/>
      <c r="AHV135" s="537"/>
      <c r="AHW135" s="537"/>
      <c r="AHX135" s="537"/>
      <c r="AHY135" s="537"/>
      <c r="AHZ135" s="537"/>
      <c r="AIA135" s="537"/>
      <c r="AIB135" s="537"/>
      <c r="AIC135" s="537"/>
      <c r="AID135" s="537"/>
      <c r="AIE135" s="537"/>
      <c r="AIF135" s="537"/>
      <c r="AIG135" s="537"/>
      <c r="AIH135" s="537"/>
      <c r="AII135" s="537"/>
      <c r="AIJ135" s="537"/>
      <c r="AIK135" s="537"/>
      <c r="AIL135" s="537"/>
      <c r="AIM135" s="537"/>
      <c r="AIN135" s="537"/>
      <c r="AIO135" s="537"/>
      <c r="AIP135" s="537"/>
      <c r="AIQ135" s="537"/>
      <c r="AIR135" s="537"/>
      <c r="AIS135" s="537"/>
      <c r="AIT135" s="537"/>
      <c r="AIU135" s="537"/>
      <c r="AIV135" s="537"/>
      <c r="AIW135" s="537"/>
      <c r="AIX135" s="537"/>
      <c r="AIY135" s="537"/>
      <c r="AIZ135" s="537"/>
      <c r="AJA135" s="537"/>
      <c r="AJB135" s="537"/>
      <c r="AJC135" s="537"/>
      <c r="AJD135" s="537"/>
      <c r="AJE135" s="537"/>
      <c r="AJF135" s="537"/>
      <c r="AJG135" s="537"/>
      <c r="AJH135" s="537"/>
      <c r="AJI135" s="537"/>
      <c r="AJJ135" s="537"/>
      <c r="AJK135" s="537"/>
      <c r="AJL135" s="537"/>
      <c r="AJM135" s="537"/>
      <c r="AJN135" s="537"/>
      <c r="AJO135" s="537"/>
      <c r="AJP135" s="537"/>
      <c r="AJQ135" s="537"/>
      <c r="AJR135" s="537"/>
      <c r="AJS135" s="537"/>
      <c r="AJT135" s="537"/>
      <c r="AJU135" s="537"/>
      <c r="AJV135" s="537"/>
      <c r="AJW135" s="537"/>
      <c r="AJX135" s="537"/>
      <c r="AJY135" s="537"/>
      <c r="AJZ135" s="537"/>
      <c r="AKA135" s="537"/>
      <c r="AKB135" s="537"/>
      <c r="AKC135" s="537"/>
      <c r="AKD135" s="537"/>
      <c r="AKE135" s="537"/>
      <c r="AKF135" s="537"/>
      <c r="AKG135" s="537"/>
      <c r="AKH135" s="537"/>
      <c r="AKI135" s="537"/>
      <c r="AKJ135" s="537"/>
      <c r="AKK135" s="537"/>
      <c r="AKL135" s="537"/>
      <c r="AKM135" s="537"/>
      <c r="AKN135" s="537"/>
      <c r="AKO135" s="537"/>
      <c r="AKP135" s="537"/>
      <c r="AKQ135" s="537"/>
      <c r="AKR135" s="537"/>
      <c r="AKS135" s="537"/>
      <c r="AKT135" s="537"/>
      <c r="AKU135" s="537"/>
      <c r="AKV135" s="537"/>
      <c r="AKW135" s="537"/>
      <c r="AKX135" s="537"/>
      <c r="AKY135" s="537"/>
      <c r="AKZ135" s="537"/>
      <c r="ALA135" s="537"/>
      <c r="ALB135" s="537"/>
      <c r="ALC135" s="537"/>
      <c r="ALD135" s="537"/>
      <c r="ALE135" s="537"/>
      <c r="ALF135" s="537"/>
      <c r="ALG135" s="537"/>
      <c r="ALH135" s="537"/>
      <c r="ALI135" s="537"/>
      <c r="ALJ135" s="537"/>
      <c r="ALK135" s="537"/>
      <c r="ALL135" s="537"/>
      <c r="ALM135" s="537"/>
      <c r="ALN135" s="537"/>
      <c r="ALO135" s="537"/>
      <c r="ALP135" s="537"/>
      <c r="ALQ135" s="537"/>
      <c r="ALR135" s="537"/>
      <c r="ALS135" s="537"/>
      <c r="ALT135" s="537"/>
      <c r="ALU135" s="537"/>
      <c r="ALV135" s="537"/>
      <c r="ALW135" s="537"/>
      <c r="ALX135" s="537"/>
      <c r="ALY135" s="537"/>
      <c r="ALZ135" s="537"/>
      <c r="AMA135" s="537"/>
      <c r="AMB135" s="537"/>
      <c r="AMC135" s="537"/>
      <c r="AMD135" s="537"/>
      <c r="AME135" s="537"/>
      <c r="AMF135" s="537"/>
      <c r="AMG135" s="537"/>
      <c r="AMH135" s="537"/>
      <c r="AMI135" s="537"/>
      <c r="AMJ135" s="537"/>
      <c r="AMK135" s="537"/>
      <c r="AML135" s="537"/>
      <c r="AMM135" s="537"/>
      <c r="AMN135" s="537"/>
      <c r="AMO135" s="537"/>
      <c r="AMP135" s="537"/>
      <c r="AMQ135" s="537"/>
      <c r="AMR135" s="537"/>
      <c r="AMS135" s="537"/>
      <c r="AMT135" s="537"/>
      <c r="AMU135" s="537"/>
      <c r="AMV135" s="537"/>
      <c r="AMW135" s="537"/>
      <c r="AMX135" s="537"/>
      <c r="AMY135" s="537"/>
      <c r="AMZ135" s="537"/>
      <c r="ANA135" s="537"/>
      <c r="ANB135" s="537"/>
      <c r="ANC135" s="537"/>
      <c r="AND135" s="537"/>
      <c r="ANE135" s="537"/>
      <c r="ANF135" s="537"/>
      <c r="ANG135" s="537"/>
      <c r="ANH135" s="537"/>
      <c r="ANI135" s="537"/>
      <c r="ANJ135" s="537"/>
      <c r="ANK135" s="537"/>
      <c r="ANL135" s="537"/>
      <c r="ANM135" s="537"/>
      <c r="ANN135" s="537"/>
      <c r="ANO135" s="537"/>
      <c r="ANP135" s="537"/>
      <c r="ANQ135" s="537"/>
      <c r="ANR135" s="537"/>
      <c r="ANS135" s="537"/>
      <c r="ANT135" s="537"/>
      <c r="ANU135" s="537"/>
      <c r="ANV135" s="537"/>
      <c r="ANW135" s="537"/>
      <c r="ANX135" s="537"/>
      <c r="ANY135" s="537"/>
      <c r="ANZ135" s="537"/>
      <c r="AOA135" s="537"/>
      <c r="AOB135" s="537"/>
      <c r="AOC135" s="537"/>
      <c r="AOD135" s="537"/>
      <c r="AOE135" s="537"/>
      <c r="AOF135" s="537"/>
      <c r="AOG135" s="537"/>
      <c r="AOH135" s="537"/>
      <c r="AOI135" s="537"/>
      <c r="AOJ135" s="537"/>
      <c r="AOK135" s="537"/>
      <c r="AOL135" s="537"/>
      <c r="AOM135" s="537"/>
      <c r="AON135" s="537"/>
      <c r="AOO135" s="537"/>
      <c r="AOP135" s="537"/>
      <c r="AOQ135" s="537"/>
      <c r="AOR135" s="537"/>
      <c r="AOS135" s="537"/>
      <c r="AOT135" s="537"/>
      <c r="AOU135" s="537"/>
      <c r="AOV135" s="537"/>
      <c r="AOW135" s="537"/>
      <c r="AOX135" s="537"/>
      <c r="AOY135" s="537"/>
      <c r="AOZ135" s="537"/>
      <c r="APA135" s="537"/>
      <c r="APB135" s="537"/>
      <c r="APC135" s="537"/>
      <c r="APD135" s="537"/>
      <c r="APE135" s="537"/>
      <c r="APF135" s="537"/>
      <c r="APG135" s="537"/>
      <c r="APH135" s="537"/>
      <c r="API135" s="537"/>
      <c r="APJ135" s="537"/>
      <c r="APK135" s="537"/>
      <c r="APL135" s="537"/>
      <c r="APM135" s="537"/>
      <c r="APN135" s="537"/>
      <c r="APO135" s="537"/>
      <c r="APP135" s="537"/>
      <c r="APQ135" s="537"/>
      <c r="APR135" s="537"/>
      <c r="APS135" s="537"/>
      <c r="APT135" s="537"/>
      <c r="APU135" s="537"/>
      <c r="APV135" s="537"/>
      <c r="APW135" s="537"/>
      <c r="APX135" s="537"/>
      <c r="APY135" s="537"/>
      <c r="APZ135" s="537"/>
      <c r="AQA135" s="537"/>
      <c r="AQB135" s="537"/>
      <c r="AQC135" s="537"/>
      <c r="AQD135" s="537"/>
      <c r="AQE135" s="537"/>
      <c r="AQF135" s="537"/>
      <c r="AQG135" s="537"/>
      <c r="AQH135" s="537"/>
      <c r="AQI135" s="537"/>
      <c r="AQJ135" s="537"/>
      <c r="AQK135" s="537"/>
      <c r="AQL135" s="537"/>
      <c r="AQM135" s="537"/>
      <c r="AQN135" s="537"/>
      <c r="AQO135" s="537"/>
      <c r="AQP135" s="537"/>
      <c r="AQQ135" s="537"/>
      <c r="AQR135" s="537"/>
      <c r="AQS135" s="537"/>
      <c r="AQT135" s="537"/>
      <c r="AQU135" s="537"/>
      <c r="AQV135" s="537"/>
      <c r="AQW135" s="537"/>
      <c r="AQX135" s="537"/>
      <c r="AQY135" s="537"/>
      <c r="AQZ135" s="537"/>
      <c r="ARA135" s="537"/>
      <c r="ARB135" s="537"/>
      <c r="ARC135" s="537"/>
      <c r="ARD135" s="537"/>
      <c r="ARE135" s="537"/>
      <c r="ARF135" s="537"/>
      <c r="ARG135" s="537"/>
      <c r="ARH135" s="537"/>
      <c r="ARI135" s="537"/>
      <c r="ARJ135" s="537"/>
      <c r="ARK135" s="537"/>
      <c r="ARL135" s="537"/>
      <c r="ARM135" s="537"/>
      <c r="ARN135" s="537"/>
      <c r="ARO135" s="537"/>
      <c r="ARP135" s="537"/>
      <c r="ARQ135" s="537"/>
      <c r="ARR135" s="537"/>
      <c r="ARS135" s="537"/>
      <c r="ART135" s="537"/>
      <c r="ARU135" s="537"/>
      <c r="ARV135" s="537"/>
      <c r="ARW135" s="537"/>
      <c r="ARX135" s="537"/>
      <c r="ARY135" s="537"/>
      <c r="ARZ135" s="537"/>
      <c r="ASA135" s="537"/>
      <c r="ASB135" s="537"/>
      <c r="ASC135" s="537"/>
      <c r="ASD135" s="537"/>
      <c r="ASE135" s="537"/>
      <c r="ASF135" s="537"/>
      <c r="ASG135" s="537"/>
      <c r="ASH135" s="537"/>
      <c r="ASI135" s="537"/>
      <c r="ASJ135" s="537"/>
      <c r="ASK135" s="537"/>
      <c r="ASL135" s="537"/>
      <c r="ASM135" s="537"/>
      <c r="ASN135" s="537"/>
      <c r="ASO135" s="537"/>
      <c r="ASP135" s="537"/>
      <c r="ASQ135" s="537"/>
      <c r="ASR135" s="537"/>
      <c r="ASS135" s="537"/>
      <c r="AST135" s="537"/>
      <c r="ASU135" s="537"/>
      <c r="ASV135" s="537"/>
      <c r="ASW135" s="537"/>
      <c r="ASX135" s="537"/>
      <c r="ASY135" s="537"/>
      <c r="ASZ135" s="537"/>
      <c r="ATA135" s="537"/>
      <c r="ATB135" s="537"/>
      <c r="ATC135" s="537"/>
      <c r="ATD135" s="537"/>
      <c r="ATE135" s="537"/>
      <c r="ATF135" s="537"/>
      <c r="ATG135" s="537"/>
      <c r="ATH135" s="537"/>
      <c r="ATI135" s="537"/>
      <c r="ATJ135" s="537"/>
      <c r="ATK135" s="537"/>
      <c r="ATL135" s="537"/>
      <c r="ATM135" s="537"/>
      <c r="ATN135" s="537"/>
      <c r="ATO135" s="537"/>
      <c r="ATP135" s="537"/>
      <c r="ATQ135" s="537"/>
      <c r="ATR135" s="537"/>
      <c r="ATS135" s="537"/>
      <c r="ATT135" s="537"/>
      <c r="ATU135" s="537"/>
      <c r="ATV135" s="537"/>
      <c r="ATW135" s="537"/>
      <c r="ATX135" s="537"/>
      <c r="ATY135" s="537"/>
      <c r="ATZ135" s="537"/>
      <c r="AUA135" s="537"/>
      <c r="AUB135" s="537"/>
      <c r="AUC135" s="537"/>
      <c r="AUD135" s="537"/>
      <c r="AUE135" s="537"/>
      <c r="AUF135" s="537"/>
      <c r="AUG135" s="537"/>
      <c r="AUH135" s="537"/>
      <c r="AUI135" s="537"/>
      <c r="AUJ135" s="537"/>
      <c r="AUK135" s="537"/>
      <c r="AUL135" s="537"/>
      <c r="AUM135" s="537"/>
      <c r="AUN135" s="537"/>
      <c r="AUO135" s="537"/>
      <c r="AUP135" s="537"/>
      <c r="AUQ135" s="537"/>
      <c r="AUR135" s="537"/>
      <c r="AUS135" s="537"/>
      <c r="AUT135" s="537"/>
      <c r="AUU135" s="537"/>
      <c r="AUV135" s="537"/>
      <c r="AUW135" s="537"/>
      <c r="AUX135" s="537"/>
      <c r="AUY135" s="537"/>
      <c r="AUZ135" s="537"/>
      <c r="AVA135" s="537"/>
      <c r="AVB135" s="537"/>
      <c r="AVC135" s="537"/>
      <c r="AVD135" s="537"/>
      <c r="AVE135" s="537"/>
      <c r="AVF135" s="537"/>
      <c r="AVG135" s="537"/>
      <c r="AVH135" s="537"/>
      <c r="AVI135" s="537"/>
      <c r="AVJ135" s="537"/>
      <c r="AVK135" s="537"/>
      <c r="AVL135" s="537"/>
      <c r="AVM135" s="537"/>
      <c r="AVN135" s="537"/>
      <c r="AVO135" s="537"/>
      <c r="AVP135" s="537"/>
      <c r="AVQ135" s="537"/>
      <c r="AVR135" s="537"/>
      <c r="AVS135" s="537"/>
      <c r="AVT135" s="537"/>
      <c r="AVU135" s="537"/>
      <c r="AVV135" s="537"/>
      <c r="AVW135" s="537"/>
      <c r="AVX135" s="537"/>
      <c r="AVY135" s="537"/>
      <c r="AVZ135" s="537"/>
      <c r="AWA135" s="537"/>
      <c r="AWB135" s="537"/>
      <c r="AWC135" s="537"/>
      <c r="AWD135" s="537"/>
      <c r="AWE135" s="537"/>
      <c r="AWF135" s="537"/>
      <c r="AWG135" s="537"/>
      <c r="AWH135" s="537"/>
      <c r="AWI135" s="537"/>
      <c r="AWJ135" s="537"/>
      <c r="AWK135" s="537"/>
      <c r="AWL135" s="537"/>
      <c r="AWM135" s="537"/>
      <c r="AWN135" s="537"/>
      <c r="AWO135" s="537"/>
      <c r="AWP135" s="537"/>
      <c r="AWQ135" s="537"/>
      <c r="AWR135" s="537"/>
      <c r="AWS135" s="537"/>
      <c r="AWT135" s="537"/>
      <c r="AWU135" s="537"/>
      <c r="AWV135" s="537"/>
      <c r="AWW135" s="537"/>
      <c r="AWX135" s="537"/>
      <c r="AWY135" s="537"/>
      <c r="AWZ135" s="537"/>
      <c r="AXA135" s="537"/>
      <c r="AXB135" s="537"/>
      <c r="AXC135" s="537"/>
      <c r="AXD135" s="537"/>
      <c r="AXE135" s="537"/>
      <c r="AXF135" s="537"/>
      <c r="AXG135" s="537"/>
      <c r="AXH135" s="537"/>
      <c r="AXI135" s="537"/>
      <c r="AXJ135" s="537"/>
      <c r="AXK135" s="537"/>
      <c r="AXL135" s="537"/>
      <c r="AXM135" s="537"/>
      <c r="AXN135" s="537"/>
      <c r="AXO135" s="537"/>
      <c r="AXP135" s="537"/>
      <c r="AXQ135" s="537"/>
      <c r="AXR135" s="537"/>
      <c r="AXS135" s="537"/>
      <c r="AXT135" s="537"/>
      <c r="AXU135" s="537"/>
      <c r="AXV135" s="537"/>
      <c r="AXW135" s="537"/>
      <c r="AXX135" s="537"/>
      <c r="AXY135" s="537"/>
      <c r="AXZ135" s="537"/>
      <c r="AYA135" s="537"/>
      <c r="AYB135" s="537"/>
      <c r="AYC135" s="537"/>
      <c r="AYD135" s="537"/>
      <c r="AYE135" s="537"/>
      <c r="AYF135" s="537"/>
      <c r="AYG135" s="537"/>
      <c r="AYH135" s="537"/>
      <c r="AYI135" s="537"/>
      <c r="AYJ135" s="537"/>
      <c r="AYK135" s="537"/>
      <c r="AYL135" s="537"/>
      <c r="AYM135" s="537"/>
      <c r="AYN135" s="537"/>
      <c r="AYO135" s="537"/>
      <c r="AYP135" s="537"/>
      <c r="AYQ135" s="537"/>
      <c r="AYR135" s="537"/>
      <c r="AYS135" s="537"/>
      <c r="AYT135" s="537"/>
      <c r="AYU135" s="537"/>
      <c r="AYV135" s="537"/>
      <c r="AYW135" s="537"/>
      <c r="AYX135" s="537"/>
      <c r="AYY135" s="537"/>
      <c r="AYZ135" s="537"/>
      <c r="AZA135" s="537"/>
      <c r="AZB135" s="537"/>
      <c r="AZC135" s="537"/>
      <c r="AZD135" s="537"/>
      <c r="AZE135" s="537"/>
      <c r="AZF135" s="537"/>
      <c r="AZG135" s="537"/>
      <c r="AZH135" s="537"/>
      <c r="AZI135" s="537"/>
      <c r="AZJ135" s="537"/>
      <c r="AZK135" s="537"/>
      <c r="AZL135" s="537"/>
      <c r="AZM135" s="537"/>
      <c r="AZN135" s="537"/>
      <c r="AZO135" s="537"/>
      <c r="AZP135" s="537"/>
      <c r="AZQ135" s="537"/>
      <c r="AZR135" s="537"/>
      <c r="AZS135" s="537"/>
      <c r="AZT135" s="537"/>
      <c r="AZU135" s="537"/>
      <c r="AZV135" s="537"/>
      <c r="AZW135" s="537"/>
      <c r="AZX135" s="537"/>
      <c r="AZY135" s="537"/>
      <c r="AZZ135" s="537"/>
      <c r="BAA135" s="537"/>
      <c r="BAB135" s="537"/>
      <c r="BAC135" s="537"/>
      <c r="BAD135" s="537"/>
      <c r="BAE135" s="537"/>
      <c r="BAF135" s="537"/>
      <c r="BAG135" s="537"/>
      <c r="BAH135" s="537"/>
      <c r="BAI135" s="537"/>
      <c r="BAJ135" s="537"/>
      <c r="BAK135" s="537"/>
      <c r="BAL135" s="537"/>
      <c r="BAM135" s="537"/>
      <c r="BAN135" s="537"/>
      <c r="BAO135" s="537"/>
      <c r="BAP135" s="537"/>
      <c r="BAQ135" s="537"/>
      <c r="BAR135" s="537"/>
      <c r="BAS135" s="537"/>
      <c r="BAT135" s="537"/>
      <c r="BAU135" s="537"/>
      <c r="BAV135" s="537"/>
      <c r="BAW135" s="537"/>
      <c r="BAX135" s="537"/>
      <c r="BAY135" s="537"/>
      <c r="BAZ135" s="537"/>
      <c r="BBA135" s="537"/>
      <c r="BBB135" s="537"/>
      <c r="BBC135" s="537"/>
      <c r="BBD135" s="537"/>
      <c r="BBE135" s="537"/>
      <c r="BBF135" s="537"/>
      <c r="BBG135" s="537"/>
      <c r="BBH135" s="537"/>
      <c r="BBI135" s="537"/>
      <c r="BBJ135" s="537"/>
      <c r="BBK135" s="537"/>
      <c r="BBL135" s="537"/>
      <c r="BBM135" s="537"/>
      <c r="BBN135" s="537"/>
      <c r="BBO135" s="537"/>
      <c r="BBP135" s="537"/>
      <c r="BBQ135" s="537"/>
      <c r="BBR135" s="537"/>
      <c r="BBS135" s="537"/>
      <c r="BBT135" s="537"/>
      <c r="BBU135" s="537"/>
      <c r="BBV135" s="537"/>
      <c r="BBW135" s="537"/>
      <c r="BBX135" s="537"/>
      <c r="BBY135" s="537"/>
      <c r="BBZ135" s="537"/>
      <c r="BCA135" s="537"/>
      <c r="BCB135" s="537"/>
      <c r="BCC135" s="537"/>
      <c r="BCD135" s="537"/>
      <c r="BCE135" s="537"/>
      <c r="BCF135" s="537"/>
      <c r="BCG135" s="537"/>
      <c r="BCH135" s="537"/>
      <c r="BCI135" s="537"/>
      <c r="BCJ135" s="537"/>
      <c r="BCK135" s="537"/>
      <c r="BCL135" s="537"/>
      <c r="BCM135" s="537"/>
      <c r="BCN135" s="537"/>
      <c r="BCO135" s="537"/>
      <c r="BCP135" s="537"/>
      <c r="BCQ135" s="537"/>
      <c r="BCR135" s="537"/>
      <c r="BCS135" s="537"/>
      <c r="BCT135" s="537"/>
      <c r="BCU135" s="537"/>
      <c r="BCV135" s="537"/>
      <c r="BCW135" s="537"/>
      <c r="BCX135" s="537"/>
      <c r="BCY135" s="537"/>
      <c r="BCZ135" s="537"/>
      <c r="BDA135" s="537"/>
      <c r="BDB135" s="537"/>
      <c r="BDC135" s="537"/>
      <c r="BDD135" s="537"/>
      <c r="BDE135" s="537"/>
      <c r="BDF135" s="537"/>
      <c r="BDG135" s="537"/>
      <c r="BDH135" s="537"/>
      <c r="BDI135" s="537"/>
      <c r="BDJ135" s="537"/>
      <c r="BDK135" s="537"/>
      <c r="BDL135" s="537"/>
      <c r="BDM135" s="537"/>
      <c r="BDN135" s="537"/>
      <c r="BDO135" s="537"/>
      <c r="BDP135" s="537"/>
      <c r="BDQ135" s="537"/>
      <c r="BDR135" s="537"/>
      <c r="BDS135" s="537"/>
      <c r="BDT135" s="537"/>
      <c r="BDU135" s="537"/>
      <c r="BDV135" s="537"/>
      <c r="BDW135" s="537"/>
      <c r="BDX135" s="537"/>
      <c r="BDY135" s="537"/>
      <c r="BDZ135" s="537"/>
      <c r="BEA135" s="537"/>
      <c r="BEB135" s="537"/>
      <c r="BEC135" s="537"/>
      <c r="BED135" s="537"/>
      <c r="BEE135" s="537"/>
      <c r="BEF135" s="537"/>
      <c r="BEG135" s="537"/>
      <c r="BEH135" s="537"/>
      <c r="BEI135" s="537"/>
      <c r="BEJ135" s="537"/>
      <c r="BEK135" s="537"/>
      <c r="BEL135" s="537"/>
      <c r="BEM135" s="537"/>
      <c r="BEN135" s="537"/>
      <c r="BEO135" s="537"/>
      <c r="BEP135" s="537"/>
      <c r="BEQ135" s="537"/>
      <c r="BER135" s="537"/>
      <c r="BES135" s="537"/>
      <c r="BET135" s="537"/>
      <c r="BEU135" s="537"/>
      <c r="BEV135" s="537"/>
      <c r="BEW135" s="537"/>
      <c r="BEX135" s="537"/>
      <c r="BEY135" s="537"/>
      <c r="BEZ135" s="537"/>
      <c r="BFA135" s="537"/>
      <c r="BFB135" s="537"/>
      <c r="BFC135" s="537"/>
      <c r="BFD135" s="537"/>
      <c r="BFE135" s="537"/>
      <c r="BFF135" s="537"/>
      <c r="BFG135" s="537"/>
      <c r="BFH135" s="537"/>
      <c r="BFI135" s="537"/>
      <c r="BFJ135" s="537"/>
      <c r="BFK135" s="537"/>
      <c r="BFL135" s="537"/>
      <c r="BFM135" s="537"/>
      <c r="BFN135" s="537"/>
      <c r="BFO135" s="537"/>
      <c r="BFP135" s="537"/>
      <c r="BFQ135" s="537"/>
      <c r="BFR135" s="537"/>
      <c r="BFS135" s="537"/>
      <c r="BFT135" s="537"/>
      <c r="BFU135" s="537"/>
      <c r="BFV135" s="537"/>
      <c r="BFW135" s="537"/>
      <c r="BFX135" s="537"/>
      <c r="BFY135" s="537"/>
      <c r="BFZ135" s="537"/>
      <c r="BGA135" s="537"/>
      <c r="BGB135" s="537"/>
      <c r="BGC135" s="537"/>
      <c r="BGD135" s="537"/>
      <c r="BGE135" s="537"/>
      <c r="BGF135" s="537"/>
      <c r="BGG135" s="537"/>
      <c r="BGH135" s="537"/>
      <c r="BGI135" s="537"/>
      <c r="BGJ135" s="537"/>
      <c r="BGK135" s="537"/>
      <c r="BGL135" s="537"/>
      <c r="BGM135" s="537"/>
      <c r="BGN135" s="537"/>
      <c r="BGO135" s="537"/>
      <c r="BGP135" s="537"/>
      <c r="BGQ135" s="537"/>
      <c r="BGR135" s="537"/>
      <c r="BGS135" s="537"/>
      <c r="BGT135" s="537"/>
      <c r="BGU135" s="537"/>
      <c r="BGV135" s="537"/>
      <c r="BGW135" s="537"/>
      <c r="BGX135" s="537"/>
      <c r="BGY135" s="537"/>
      <c r="BGZ135" s="537"/>
      <c r="BHA135" s="537"/>
      <c r="BHB135" s="537"/>
      <c r="BHC135" s="537"/>
      <c r="BHD135" s="537"/>
      <c r="BHE135" s="537"/>
      <c r="BHF135" s="537"/>
      <c r="BHG135" s="537"/>
      <c r="BHH135" s="537"/>
      <c r="BHI135" s="537"/>
      <c r="BHJ135" s="537"/>
      <c r="BHK135" s="537"/>
      <c r="BHL135" s="537"/>
      <c r="BHM135" s="537"/>
      <c r="BHN135" s="537"/>
      <c r="BHO135" s="537"/>
      <c r="BHP135" s="537"/>
      <c r="BHQ135" s="537"/>
      <c r="BHR135" s="537"/>
      <c r="BHS135" s="537"/>
      <c r="BHT135" s="537"/>
      <c r="BHU135" s="537"/>
      <c r="BHV135" s="537"/>
      <c r="BHW135" s="537"/>
      <c r="BHX135" s="537"/>
      <c r="BHY135" s="537"/>
      <c r="BHZ135" s="537"/>
      <c r="BIA135" s="537"/>
      <c r="BIB135" s="537"/>
      <c r="BIC135" s="537"/>
      <c r="BID135" s="537"/>
      <c r="BIE135" s="537"/>
      <c r="BIF135" s="537"/>
      <c r="BIG135" s="537"/>
      <c r="BIH135" s="537"/>
      <c r="BII135" s="537"/>
      <c r="BIJ135" s="537"/>
      <c r="BIK135" s="537"/>
      <c r="BIL135" s="537"/>
      <c r="BIM135" s="537"/>
      <c r="BIN135" s="537"/>
      <c r="BIO135" s="537"/>
      <c r="BIP135" s="537"/>
      <c r="BIQ135" s="537"/>
      <c r="BIR135" s="537"/>
      <c r="BIS135" s="537"/>
      <c r="BIT135" s="537"/>
      <c r="BIU135" s="537"/>
      <c r="BIV135" s="537"/>
      <c r="BIW135" s="537"/>
      <c r="BIX135" s="537"/>
      <c r="BIY135" s="537"/>
      <c r="BIZ135" s="537"/>
      <c r="BJA135" s="537"/>
      <c r="BJB135" s="537"/>
      <c r="BJC135" s="537"/>
      <c r="BJD135" s="537"/>
      <c r="BJE135" s="537"/>
      <c r="BJF135" s="537"/>
      <c r="BJG135" s="537"/>
      <c r="BJH135" s="537"/>
      <c r="BJI135" s="537"/>
      <c r="BJJ135" s="537"/>
      <c r="BJK135" s="537"/>
      <c r="BJL135" s="537"/>
      <c r="BJM135" s="537"/>
      <c r="BJN135" s="537"/>
      <c r="BJO135" s="537"/>
      <c r="BJP135" s="537"/>
      <c r="BJQ135" s="537"/>
      <c r="BJR135" s="537"/>
      <c r="BJS135" s="537"/>
      <c r="BJT135" s="537"/>
      <c r="BJU135" s="537"/>
      <c r="BJV135" s="537"/>
      <c r="BJW135" s="537"/>
      <c r="BJX135" s="537"/>
      <c r="BJY135" s="537"/>
      <c r="BJZ135" s="537"/>
      <c r="BKA135" s="537"/>
      <c r="BKB135" s="537"/>
      <c r="BKC135" s="537"/>
      <c r="BKD135" s="537"/>
      <c r="BKE135" s="537"/>
      <c r="BKF135" s="537"/>
      <c r="BKG135" s="537"/>
      <c r="BKH135" s="537"/>
      <c r="BKI135" s="537"/>
      <c r="BKJ135" s="537"/>
      <c r="BKK135" s="537"/>
      <c r="BKL135" s="537"/>
      <c r="BKM135" s="537"/>
      <c r="BKN135" s="537"/>
      <c r="BKO135" s="537"/>
      <c r="BKP135" s="537"/>
      <c r="BKQ135" s="537"/>
      <c r="BKR135" s="537"/>
      <c r="BKS135" s="537"/>
      <c r="BKT135" s="537"/>
      <c r="BKU135" s="537"/>
      <c r="BKV135" s="537"/>
      <c r="BKW135" s="537"/>
      <c r="BKX135" s="537"/>
      <c r="BKY135" s="537"/>
      <c r="BKZ135" s="537"/>
      <c r="BLA135" s="537"/>
      <c r="BLB135" s="537"/>
      <c r="BLC135" s="537"/>
      <c r="BLD135" s="537"/>
      <c r="BLE135" s="537"/>
      <c r="BLF135" s="537"/>
      <c r="BLG135" s="537"/>
      <c r="BLH135" s="537"/>
      <c r="BLI135" s="537"/>
      <c r="BLJ135" s="537"/>
      <c r="BLK135" s="537"/>
      <c r="BLL135" s="537"/>
      <c r="BLM135" s="537"/>
      <c r="BLN135" s="537"/>
      <c r="BLO135" s="537"/>
      <c r="BLP135" s="537"/>
      <c r="BLQ135" s="537"/>
      <c r="BLR135" s="537"/>
      <c r="BLS135" s="537"/>
      <c r="BLT135" s="537"/>
      <c r="BLU135" s="537"/>
      <c r="BLV135" s="537"/>
      <c r="BLW135" s="537"/>
      <c r="BLX135" s="537"/>
      <c r="BLY135" s="537"/>
      <c r="BLZ135" s="537"/>
      <c r="BMA135" s="537"/>
      <c r="BMB135" s="537"/>
      <c r="BMC135" s="537"/>
      <c r="BMD135" s="537"/>
      <c r="BME135" s="537"/>
      <c r="BMF135" s="537"/>
      <c r="BMG135" s="537"/>
      <c r="BMH135" s="537"/>
      <c r="BMI135" s="537"/>
      <c r="BMJ135" s="537"/>
      <c r="BMK135" s="537"/>
      <c r="BML135" s="537"/>
      <c r="BMM135" s="537"/>
      <c r="BMN135" s="537"/>
      <c r="BMO135" s="537"/>
      <c r="BMP135" s="537"/>
      <c r="BMQ135" s="537"/>
      <c r="BMR135" s="537"/>
      <c r="BMS135" s="537"/>
      <c r="BMT135" s="537"/>
      <c r="BMU135" s="537"/>
      <c r="BMV135" s="537"/>
      <c r="BMW135" s="537"/>
      <c r="BMX135" s="537"/>
      <c r="BMY135" s="537"/>
      <c r="BMZ135" s="537"/>
      <c r="BNA135" s="537"/>
      <c r="BNB135" s="537"/>
      <c r="BNC135" s="537"/>
      <c r="BND135" s="537"/>
      <c r="BNE135" s="537"/>
      <c r="BNF135" s="537"/>
      <c r="BNG135" s="537"/>
      <c r="BNH135" s="537"/>
      <c r="BNI135" s="537"/>
      <c r="BNJ135" s="537"/>
      <c r="BNK135" s="537"/>
      <c r="BNL135" s="537"/>
      <c r="BNM135" s="537"/>
      <c r="BNN135" s="537"/>
      <c r="BNO135" s="537"/>
      <c r="BNP135" s="537"/>
      <c r="BNQ135" s="537"/>
      <c r="BNR135" s="537"/>
      <c r="BNS135" s="537"/>
      <c r="BNT135" s="537"/>
      <c r="BNU135" s="537"/>
      <c r="BNV135" s="537"/>
      <c r="BNW135" s="537"/>
      <c r="BNX135" s="537"/>
      <c r="BNY135" s="537"/>
      <c r="BNZ135" s="537"/>
      <c r="BOA135" s="537"/>
      <c r="BOB135" s="537"/>
      <c r="BOC135" s="537"/>
      <c r="BOD135" s="537"/>
      <c r="BOE135" s="537"/>
      <c r="BOF135" s="537"/>
      <c r="BOG135" s="537"/>
      <c r="BOH135" s="537"/>
      <c r="BOI135" s="537"/>
      <c r="BOJ135" s="537"/>
      <c r="BOK135" s="537"/>
      <c r="BOL135" s="537"/>
      <c r="BOM135" s="537"/>
      <c r="BON135" s="537"/>
      <c r="BOO135" s="537"/>
      <c r="BOP135" s="537"/>
      <c r="BOQ135" s="537"/>
      <c r="BOR135" s="537"/>
      <c r="BOS135" s="537"/>
      <c r="BOT135" s="537"/>
      <c r="BOU135" s="537"/>
      <c r="BOV135" s="537"/>
      <c r="BOW135" s="537"/>
      <c r="BOX135" s="537"/>
      <c r="BOY135" s="537"/>
      <c r="BOZ135" s="537"/>
      <c r="BPA135" s="537"/>
      <c r="BPB135" s="537"/>
      <c r="BPC135" s="537"/>
      <c r="BPD135" s="537"/>
      <c r="BPE135" s="537"/>
      <c r="BPF135" s="537"/>
      <c r="BPG135" s="537"/>
      <c r="BPH135" s="537"/>
      <c r="BPI135" s="537"/>
      <c r="BPJ135" s="537"/>
      <c r="BPK135" s="537"/>
      <c r="BPL135" s="537"/>
      <c r="BPM135" s="537"/>
      <c r="BPN135" s="537"/>
      <c r="BPO135" s="537"/>
      <c r="BPP135" s="537"/>
      <c r="BPQ135" s="537"/>
      <c r="BPR135" s="537"/>
      <c r="BPS135" s="537"/>
      <c r="BPT135" s="537"/>
      <c r="BPU135" s="537"/>
      <c r="BPV135" s="537"/>
      <c r="BPW135" s="537"/>
      <c r="BPX135" s="537"/>
      <c r="BPY135" s="537"/>
      <c r="BPZ135" s="537"/>
      <c r="BQA135" s="537"/>
      <c r="BQB135" s="537"/>
      <c r="BQC135" s="537"/>
      <c r="BQD135" s="537"/>
      <c r="BQE135" s="537"/>
      <c r="BQF135" s="537"/>
      <c r="BQG135" s="537"/>
      <c r="BQH135" s="537"/>
      <c r="BQI135" s="537"/>
      <c r="BQJ135" s="537"/>
      <c r="BQK135" s="537"/>
      <c r="BQL135" s="537"/>
      <c r="BQM135" s="537"/>
      <c r="BQN135" s="537"/>
      <c r="BQO135" s="537"/>
      <c r="BQP135" s="537"/>
      <c r="BQQ135" s="537"/>
      <c r="BQR135" s="537"/>
      <c r="BQS135" s="537"/>
      <c r="BQT135" s="537"/>
      <c r="BQU135" s="537"/>
      <c r="BQV135" s="537"/>
      <c r="BQW135" s="537"/>
      <c r="BQX135" s="537"/>
      <c r="BQY135" s="537"/>
      <c r="BQZ135" s="537"/>
      <c r="BRA135" s="537"/>
      <c r="BRB135" s="537"/>
      <c r="BRC135" s="537"/>
      <c r="BRD135" s="537"/>
      <c r="BRE135" s="537"/>
      <c r="BRF135" s="537"/>
      <c r="BRG135" s="537"/>
      <c r="BRH135" s="537"/>
      <c r="BRI135" s="537"/>
      <c r="BRJ135" s="537"/>
      <c r="BRK135" s="537"/>
      <c r="BRL135" s="537"/>
      <c r="BRM135" s="537"/>
      <c r="BRN135" s="537"/>
      <c r="BRO135" s="537"/>
      <c r="BRP135" s="537"/>
      <c r="BRQ135" s="537"/>
      <c r="BRR135" s="537"/>
      <c r="BRS135" s="537"/>
      <c r="BRT135" s="537"/>
      <c r="BRU135" s="537"/>
      <c r="BRV135" s="537"/>
      <c r="BRW135" s="537"/>
      <c r="BRX135" s="537"/>
      <c r="BRY135" s="537"/>
      <c r="BRZ135" s="537"/>
      <c r="BSA135" s="537"/>
      <c r="BSB135" s="537"/>
      <c r="BSC135" s="537"/>
      <c r="BSD135" s="537"/>
      <c r="BSE135" s="537"/>
      <c r="BSF135" s="537"/>
      <c r="BSG135" s="537"/>
      <c r="BSH135" s="537"/>
      <c r="BSI135" s="537"/>
      <c r="BSJ135" s="537"/>
      <c r="BSK135" s="537"/>
      <c r="BSL135" s="537"/>
      <c r="BSM135" s="537"/>
      <c r="BSN135" s="537"/>
      <c r="BSO135" s="537"/>
      <c r="BSP135" s="537"/>
      <c r="BSQ135" s="537"/>
      <c r="BSR135" s="537"/>
      <c r="BSS135" s="537"/>
      <c r="BST135" s="537"/>
      <c r="BSU135" s="537"/>
      <c r="BSV135" s="537"/>
      <c r="BSW135" s="537"/>
      <c r="BSX135" s="537"/>
      <c r="BSY135" s="537"/>
      <c r="BSZ135" s="537"/>
      <c r="BTA135" s="537"/>
      <c r="BTB135" s="537"/>
      <c r="BTC135" s="537"/>
      <c r="BTD135" s="537"/>
      <c r="BTE135" s="537"/>
      <c r="BTF135" s="537"/>
      <c r="BTG135" s="537"/>
      <c r="BTH135" s="537"/>
      <c r="BTI135" s="537"/>
      <c r="BTJ135" s="537"/>
      <c r="BTK135" s="537"/>
      <c r="BTL135" s="537"/>
      <c r="BTM135" s="537"/>
      <c r="BTN135" s="537"/>
      <c r="BTO135" s="537"/>
      <c r="BTP135" s="537"/>
      <c r="BTQ135" s="537"/>
      <c r="BTR135" s="537"/>
      <c r="BTS135" s="537"/>
      <c r="BTT135" s="537"/>
      <c r="BTU135" s="537"/>
      <c r="BTV135" s="537"/>
      <c r="BTW135" s="537"/>
      <c r="BTX135" s="537"/>
      <c r="BTY135" s="537"/>
      <c r="BTZ135" s="537"/>
      <c r="BUA135" s="537"/>
      <c r="BUB135" s="537"/>
      <c r="BUC135" s="537"/>
      <c r="BUD135" s="537"/>
      <c r="BUE135" s="537"/>
      <c r="BUF135" s="537"/>
      <c r="BUG135" s="537"/>
      <c r="BUH135" s="537"/>
      <c r="BUI135" s="537"/>
      <c r="BUJ135" s="537"/>
      <c r="BUK135" s="537"/>
      <c r="BUL135" s="537"/>
      <c r="BUM135" s="537"/>
      <c r="BUN135" s="537"/>
      <c r="BUO135" s="537"/>
      <c r="BUP135" s="537"/>
      <c r="BUQ135" s="537"/>
      <c r="BUR135" s="537"/>
      <c r="BUS135" s="537"/>
      <c r="BUT135" s="537"/>
      <c r="BUU135" s="537"/>
      <c r="BUV135" s="537"/>
      <c r="BUW135" s="537"/>
      <c r="BUX135" s="537"/>
      <c r="BUY135" s="537"/>
      <c r="BUZ135" s="537"/>
      <c r="BVA135" s="537"/>
      <c r="BVB135" s="537"/>
      <c r="BVC135" s="537"/>
      <c r="BVD135" s="537"/>
      <c r="BVE135" s="537"/>
      <c r="BVF135" s="537"/>
      <c r="BVG135" s="537"/>
      <c r="BVH135" s="537"/>
      <c r="BVI135" s="537"/>
      <c r="BVJ135" s="537"/>
      <c r="BVK135" s="537"/>
      <c r="BVL135" s="537"/>
      <c r="BVM135" s="537"/>
      <c r="BVN135" s="537"/>
      <c r="BVO135" s="537"/>
      <c r="BVP135" s="537"/>
      <c r="BVQ135" s="537"/>
      <c r="BVR135" s="537"/>
      <c r="BVS135" s="537"/>
      <c r="BVT135" s="537"/>
      <c r="BVU135" s="537"/>
      <c r="BVV135" s="537"/>
      <c r="BVW135" s="537"/>
      <c r="BVX135" s="537"/>
      <c r="BVY135" s="537"/>
      <c r="BVZ135" s="537"/>
      <c r="BWA135" s="537"/>
      <c r="BWB135" s="537"/>
      <c r="BWC135" s="537"/>
      <c r="BWD135" s="537"/>
      <c r="BWE135" s="537"/>
      <c r="BWF135" s="537"/>
      <c r="BWG135" s="537"/>
      <c r="BWH135" s="537"/>
      <c r="BWI135" s="537"/>
      <c r="BWJ135" s="537"/>
      <c r="BWK135" s="537"/>
      <c r="BWL135" s="537"/>
      <c r="BWM135" s="537"/>
      <c r="BWN135" s="537"/>
      <c r="BWO135" s="537"/>
      <c r="BWP135" s="537"/>
      <c r="BWQ135" s="537"/>
      <c r="BWR135" s="537"/>
      <c r="BWS135" s="537"/>
      <c r="BWT135" s="537"/>
      <c r="BWU135" s="537"/>
      <c r="BWV135" s="537"/>
      <c r="BWW135" s="537"/>
      <c r="BWX135" s="537"/>
      <c r="BWY135" s="537"/>
      <c r="BWZ135" s="537"/>
      <c r="BXA135" s="537"/>
      <c r="BXB135" s="537"/>
      <c r="BXC135" s="537"/>
      <c r="BXD135" s="537"/>
      <c r="BXE135" s="537"/>
      <c r="BXF135" s="537"/>
      <c r="BXG135" s="537"/>
      <c r="BXH135" s="537"/>
      <c r="BXI135" s="537"/>
      <c r="BXJ135" s="537"/>
      <c r="BXK135" s="537"/>
      <c r="BXL135" s="537"/>
      <c r="BXM135" s="537"/>
      <c r="BXN135" s="537"/>
      <c r="BXO135" s="537"/>
      <c r="BXP135" s="537"/>
      <c r="BXQ135" s="537"/>
      <c r="BXR135" s="537"/>
      <c r="BXS135" s="537"/>
      <c r="BXT135" s="537"/>
      <c r="BXU135" s="537"/>
      <c r="BXV135" s="537"/>
      <c r="BXW135" s="537"/>
      <c r="BXX135" s="537"/>
      <c r="BXY135" s="537"/>
      <c r="BXZ135" s="537"/>
      <c r="BYA135" s="537"/>
      <c r="BYB135" s="537"/>
      <c r="BYC135" s="537"/>
      <c r="BYD135" s="537"/>
      <c r="BYE135" s="537"/>
      <c r="BYF135" s="537"/>
      <c r="BYG135" s="537"/>
      <c r="BYH135" s="537"/>
      <c r="BYI135" s="537"/>
      <c r="BYJ135" s="537"/>
      <c r="BYK135" s="537"/>
      <c r="BYL135" s="537"/>
      <c r="BYM135" s="537"/>
      <c r="BYN135" s="537"/>
      <c r="BYO135" s="537"/>
      <c r="BYP135" s="537"/>
      <c r="BYQ135" s="537"/>
      <c r="BYR135" s="537"/>
      <c r="BYS135" s="537"/>
      <c r="BYT135" s="537"/>
      <c r="BYU135" s="537"/>
      <c r="BYV135" s="537"/>
      <c r="BYW135" s="537"/>
      <c r="BYX135" s="537"/>
      <c r="BYY135" s="537"/>
      <c r="BYZ135" s="537"/>
      <c r="BZA135" s="537"/>
      <c r="BZB135" s="537"/>
      <c r="BZC135" s="537"/>
      <c r="BZD135" s="537"/>
      <c r="BZE135" s="537"/>
      <c r="BZF135" s="537"/>
      <c r="BZG135" s="537"/>
      <c r="BZH135" s="537"/>
      <c r="BZI135" s="537"/>
      <c r="BZJ135" s="537"/>
      <c r="BZK135" s="537"/>
      <c r="BZL135" s="537"/>
      <c r="BZM135" s="537"/>
      <c r="BZN135" s="537"/>
      <c r="BZO135" s="537"/>
      <c r="BZP135" s="537"/>
      <c r="BZQ135" s="537"/>
      <c r="BZR135" s="537"/>
      <c r="BZS135" s="537"/>
      <c r="BZT135" s="537"/>
      <c r="BZU135" s="537"/>
      <c r="BZV135" s="537"/>
      <c r="BZW135" s="537"/>
      <c r="BZX135" s="537"/>
      <c r="BZY135" s="537"/>
      <c r="BZZ135" s="537"/>
      <c r="CAA135" s="537"/>
      <c r="CAB135" s="537"/>
      <c r="CAC135" s="537"/>
      <c r="CAD135" s="537"/>
      <c r="CAE135" s="537"/>
      <c r="CAF135" s="537"/>
      <c r="CAG135" s="537"/>
      <c r="CAH135" s="537"/>
      <c r="CAI135" s="537"/>
      <c r="CAJ135" s="537"/>
      <c r="CAK135" s="537"/>
      <c r="CAL135" s="537"/>
      <c r="CAM135" s="537"/>
      <c r="CAN135" s="537"/>
      <c r="CAO135" s="537"/>
      <c r="CAP135" s="537"/>
      <c r="CAQ135" s="537"/>
      <c r="CAR135" s="537"/>
      <c r="CAS135" s="537"/>
      <c r="CAT135" s="537"/>
      <c r="CAU135" s="537"/>
      <c r="CAV135" s="537"/>
      <c r="CAW135" s="537"/>
      <c r="CAX135" s="537"/>
      <c r="CAY135" s="537"/>
      <c r="CAZ135" s="537"/>
      <c r="CBA135" s="537"/>
      <c r="CBB135" s="537"/>
      <c r="CBC135" s="537"/>
      <c r="CBD135" s="537"/>
      <c r="CBE135" s="537"/>
      <c r="CBF135" s="537"/>
      <c r="CBG135" s="537"/>
      <c r="CBH135" s="537"/>
      <c r="CBI135" s="537"/>
      <c r="CBJ135" s="537"/>
      <c r="CBK135" s="537"/>
      <c r="CBL135" s="537"/>
      <c r="CBM135" s="537"/>
      <c r="CBN135" s="537"/>
      <c r="CBO135" s="537"/>
      <c r="CBP135" s="537"/>
      <c r="CBQ135" s="537"/>
      <c r="CBR135" s="537"/>
      <c r="CBS135" s="537"/>
      <c r="CBT135" s="537"/>
      <c r="CBU135" s="537"/>
      <c r="CBV135" s="537"/>
      <c r="CBW135" s="537"/>
      <c r="CBX135" s="537"/>
      <c r="CBY135" s="537"/>
      <c r="CBZ135" s="537"/>
      <c r="CCA135" s="537"/>
      <c r="CCB135" s="537"/>
      <c r="CCC135" s="537"/>
      <c r="CCD135" s="537"/>
      <c r="CCE135" s="537"/>
      <c r="CCF135" s="537"/>
      <c r="CCG135" s="537"/>
      <c r="CCH135" s="537"/>
      <c r="CCI135" s="537"/>
      <c r="CCJ135" s="537"/>
      <c r="CCK135" s="537"/>
      <c r="CCL135" s="537"/>
      <c r="CCM135" s="537"/>
      <c r="CCN135" s="537"/>
      <c r="CCO135" s="537"/>
      <c r="CCP135" s="537"/>
      <c r="CCQ135" s="537"/>
      <c r="CCR135" s="537"/>
      <c r="CCS135" s="537"/>
      <c r="CCT135" s="537"/>
      <c r="CCU135" s="537"/>
      <c r="CCV135" s="537"/>
      <c r="CCW135" s="537"/>
      <c r="CCX135" s="537"/>
      <c r="CCY135" s="537"/>
      <c r="CCZ135" s="537"/>
      <c r="CDA135" s="537"/>
      <c r="CDB135" s="537"/>
      <c r="CDC135" s="537"/>
      <c r="CDD135" s="537"/>
      <c r="CDE135" s="537"/>
      <c r="CDF135" s="537"/>
      <c r="CDG135" s="537"/>
      <c r="CDH135" s="537"/>
      <c r="CDI135" s="537"/>
      <c r="CDJ135" s="537"/>
      <c r="CDK135" s="537"/>
      <c r="CDL135" s="537"/>
      <c r="CDM135" s="537"/>
      <c r="CDN135" s="537"/>
      <c r="CDO135" s="537"/>
      <c r="CDP135" s="537"/>
      <c r="CDQ135" s="537"/>
      <c r="CDR135" s="537"/>
      <c r="CDS135" s="537"/>
      <c r="CDT135" s="537"/>
      <c r="CDU135" s="537"/>
      <c r="CDV135" s="537"/>
      <c r="CDW135" s="537"/>
      <c r="CDX135" s="537"/>
      <c r="CDY135" s="537"/>
      <c r="CDZ135" s="537"/>
      <c r="CEA135" s="537"/>
      <c r="CEB135" s="537"/>
      <c r="CEC135" s="537"/>
      <c r="CED135" s="537"/>
      <c r="CEE135" s="537"/>
      <c r="CEF135" s="537"/>
      <c r="CEG135" s="537"/>
      <c r="CEH135" s="537"/>
      <c r="CEI135" s="537"/>
      <c r="CEJ135" s="537"/>
      <c r="CEK135" s="537"/>
      <c r="CEL135" s="537"/>
      <c r="CEM135" s="537"/>
      <c r="CEN135" s="537"/>
      <c r="CEO135" s="537"/>
      <c r="CEP135" s="537"/>
      <c r="CEQ135" s="537"/>
      <c r="CER135" s="537"/>
      <c r="CES135" s="537"/>
      <c r="CET135" s="537"/>
      <c r="CEU135" s="537"/>
      <c r="CEV135" s="537"/>
      <c r="CEW135" s="537"/>
      <c r="CEX135" s="537"/>
      <c r="CEY135" s="537"/>
      <c r="CEZ135" s="537"/>
      <c r="CFA135" s="537"/>
      <c r="CFB135" s="537"/>
      <c r="CFC135" s="537"/>
      <c r="CFD135" s="537"/>
      <c r="CFE135" s="537"/>
      <c r="CFF135" s="537"/>
      <c r="CFG135" s="537"/>
      <c r="CFH135" s="537"/>
      <c r="CFI135" s="537"/>
      <c r="CFJ135" s="537"/>
      <c r="CFK135" s="537"/>
      <c r="CFL135" s="537"/>
      <c r="CFM135" s="537"/>
      <c r="CFN135" s="537"/>
      <c r="CFO135" s="537"/>
      <c r="CFP135" s="537"/>
      <c r="CFQ135" s="537"/>
      <c r="CFR135" s="537"/>
      <c r="CFS135" s="537"/>
      <c r="CFT135" s="537"/>
      <c r="CFU135" s="537"/>
      <c r="CFV135" s="537"/>
      <c r="CFW135" s="537"/>
      <c r="CFX135" s="537"/>
      <c r="CFY135" s="537"/>
      <c r="CFZ135" s="537"/>
      <c r="CGA135" s="537"/>
      <c r="CGB135" s="537"/>
      <c r="CGC135" s="537"/>
      <c r="CGD135" s="537"/>
      <c r="CGE135" s="537"/>
      <c r="CGF135" s="537"/>
      <c r="CGG135" s="537"/>
      <c r="CGH135" s="537"/>
      <c r="CGI135" s="537"/>
      <c r="CGJ135" s="537"/>
      <c r="CGK135" s="537"/>
      <c r="CGL135" s="537"/>
      <c r="CGM135" s="537"/>
      <c r="CGN135" s="537"/>
      <c r="CGO135" s="537"/>
      <c r="CGP135" s="537"/>
      <c r="CGQ135" s="537"/>
      <c r="CGR135" s="537"/>
      <c r="CGS135" s="537"/>
      <c r="CGT135" s="537"/>
      <c r="CGU135" s="537"/>
      <c r="CGV135" s="537"/>
      <c r="CGW135" s="537"/>
      <c r="CGX135" s="537"/>
      <c r="CGY135" s="537"/>
      <c r="CGZ135" s="537"/>
      <c r="CHA135" s="537"/>
      <c r="CHB135" s="537"/>
      <c r="CHC135" s="537"/>
      <c r="CHD135" s="537"/>
      <c r="CHE135" s="537"/>
      <c r="CHF135" s="537"/>
      <c r="CHG135" s="537"/>
      <c r="CHH135" s="537"/>
      <c r="CHI135" s="537"/>
      <c r="CHJ135" s="537"/>
      <c r="CHK135" s="537"/>
      <c r="CHL135" s="537"/>
      <c r="CHM135" s="537"/>
      <c r="CHN135" s="537"/>
      <c r="CHO135" s="537"/>
      <c r="CHP135" s="537"/>
      <c r="CHQ135" s="537"/>
      <c r="CHR135" s="537"/>
      <c r="CHS135" s="537"/>
      <c r="CHT135" s="537"/>
      <c r="CHU135" s="537"/>
      <c r="CHV135" s="537"/>
      <c r="CHW135" s="537"/>
      <c r="CHX135" s="537"/>
      <c r="CHY135" s="537"/>
      <c r="CHZ135" s="537"/>
      <c r="CIA135" s="537"/>
      <c r="CIB135" s="537"/>
      <c r="CIC135" s="537"/>
      <c r="CID135" s="537"/>
      <c r="CIE135" s="537"/>
      <c r="CIF135" s="537"/>
      <c r="CIG135" s="537"/>
      <c r="CIH135" s="537"/>
      <c r="CII135" s="537"/>
      <c r="CIJ135" s="537"/>
      <c r="CIK135" s="537"/>
      <c r="CIL135" s="537"/>
      <c r="CIM135" s="537"/>
      <c r="CIN135" s="537"/>
      <c r="CIO135" s="537"/>
      <c r="CIP135" s="537"/>
      <c r="CIQ135" s="537"/>
      <c r="CIR135" s="537"/>
      <c r="CIS135" s="537"/>
      <c r="CIT135" s="537"/>
      <c r="CIU135" s="537"/>
      <c r="CIV135" s="537"/>
      <c r="CIW135" s="537"/>
      <c r="CIX135" s="537"/>
      <c r="CIY135" s="537"/>
      <c r="CIZ135" s="537"/>
      <c r="CJA135" s="537"/>
      <c r="CJB135" s="537"/>
      <c r="CJC135" s="537"/>
      <c r="CJD135" s="537"/>
      <c r="CJE135" s="537"/>
      <c r="CJF135" s="537"/>
      <c r="CJG135" s="537"/>
      <c r="CJH135" s="537"/>
      <c r="CJI135" s="537"/>
      <c r="CJJ135" s="537"/>
      <c r="CJK135" s="537"/>
      <c r="CJL135" s="537"/>
      <c r="CJM135" s="537"/>
      <c r="CJN135" s="537"/>
      <c r="CJO135" s="537"/>
      <c r="CJP135" s="537"/>
      <c r="CJQ135" s="537"/>
      <c r="CJR135" s="537"/>
      <c r="CJS135" s="537"/>
      <c r="CJT135" s="537"/>
      <c r="CJU135" s="537"/>
      <c r="CJV135" s="537"/>
      <c r="CJW135" s="537"/>
      <c r="CJX135" s="537"/>
      <c r="CJY135" s="537"/>
      <c r="CJZ135" s="537"/>
      <c r="CKA135" s="537"/>
      <c r="CKB135" s="537"/>
      <c r="CKC135" s="537"/>
      <c r="CKD135" s="537"/>
      <c r="CKE135" s="537"/>
      <c r="CKF135" s="537"/>
      <c r="CKG135" s="537"/>
      <c r="CKH135" s="537"/>
      <c r="CKI135" s="537"/>
      <c r="CKJ135" s="537"/>
      <c r="CKK135" s="537"/>
      <c r="CKL135" s="537"/>
      <c r="CKM135" s="537"/>
      <c r="CKN135" s="537"/>
      <c r="CKO135" s="537"/>
      <c r="CKP135" s="537"/>
      <c r="CKQ135" s="537"/>
      <c r="CKR135" s="537"/>
      <c r="CKS135" s="537"/>
      <c r="CKT135" s="537"/>
      <c r="CKU135" s="537"/>
      <c r="CKV135" s="537"/>
      <c r="CKW135" s="537"/>
      <c r="CKX135" s="537"/>
      <c r="CKY135" s="537"/>
      <c r="CKZ135" s="537"/>
      <c r="CLA135" s="537"/>
      <c r="CLB135" s="537"/>
      <c r="CLC135" s="537"/>
      <c r="CLD135" s="537"/>
      <c r="CLE135" s="537"/>
      <c r="CLF135" s="537"/>
      <c r="CLG135" s="537"/>
      <c r="CLH135" s="537"/>
      <c r="CLI135" s="537"/>
      <c r="CLJ135" s="537"/>
      <c r="CLK135" s="537"/>
      <c r="CLL135" s="537"/>
      <c r="CLM135" s="537"/>
      <c r="CLN135" s="537"/>
      <c r="CLO135" s="537"/>
      <c r="CLP135" s="537"/>
      <c r="CLQ135" s="537"/>
      <c r="CLR135" s="537"/>
      <c r="CLS135" s="537"/>
      <c r="CLT135" s="537"/>
      <c r="CLU135" s="537"/>
      <c r="CLV135" s="537"/>
      <c r="CLW135" s="537"/>
      <c r="CLX135" s="537"/>
      <c r="CLY135" s="537"/>
      <c r="CLZ135" s="537"/>
      <c r="CMA135" s="537"/>
      <c r="CMB135" s="537"/>
      <c r="CMC135" s="537"/>
      <c r="CMD135" s="537"/>
      <c r="CME135" s="537"/>
      <c r="CMF135" s="537"/>
      <c r="CMG135" s="537"/>
      <c r="CMH135" s="537"/>
      <c r="CMI135" s="537"/>
      <c r="CMJ135" s="537"/>
      <c r="CMK135" s="537"/>
      <c r="CML135" s="537"/>
      <c r="CMM135" s="537"/>
      <c r="CMN135" s="537"/>
      <c r="CMO135" s="537"/>
      <c r="CMP135" s="537"/>
      <c r="CMQ135" s="537"/>
      <c r="CMR135" s="537"/>
      <c r="CMS135" s="537"/>
      <c r="CMT135" s="537"/>
      <c r="CMU135" s="537"/>
      <c r="CMV135" s="537"/>
      <c r="CMW135" s="537"/>
      <c r="CMX135" s="537"/>
      <c r="CMY135" s="537"/>
      <c r="CMZ135" s="537"/>
      <c r="CNA135" s="537"/>
      <c r="CNB135" s="537"/>
      <c r="CNC135" s="537"/>
      <c r="CND135" s="537"/>
      <c r="CNE135" s="537"/>
      <c r="CNF135" s="537"/>
      <c r="CNG135" s="537"/>
      <c r="CNH135" s="537"/>
      <c r="CNI135" s="537"/>
      <c r="CNJ135" s="537"/>
      <c r="CNK135" s="537"/>
      <c r="CNL135" s="537"/>
      <c r="CNM135" s="537"/>
      <c r="CNN135" s="537"/>
      <c r="CNO135" s="537"/>
      <c r="CNP135" s="537"/>
      <c r="CNQ135" s="537"/>
      <c r="CNR135" s="537"/>
      <c r="CNS135" s="537"/>
      <c r="CNT135" s="537"/>
      <c r="CNU135" s="537"/>
      <c r="CNV135" s="537"/>
      <c r="CNW135" s="537"/>
      <c r="CNX135" s="537"/>
      <c r="CNY135" s="537"/>
      <c r="CNZ135" s="537"/>
      <c r="COA135" s="537"/>
      <c r="COB135" s="537"/>
      <c r="COC135" s="537"/>
      <c r="COD135" s="537"/>
      <c r="COE135" s="537"/>
      <c r="COF135" s="537"/>
      <c r="COG135" s="537"/>
      <c r="COH135" s="537"/>
      <c r="COI135" s="537"/>
      <c r="COJ135" s="537"/>
      <c r="COK135" s="537"/>
      <c r="COL135" s="537"/>
      <c r="COM135" s="537"/>
      <c r="CON135" s="537"/>
      <c r="COO135" s="537"/>
      <c r="COP135" s="537"/>
      <c r="COQ135" s="537"/>
      <c r="COR135" s="537"/>
      <c r="COS135" s="537"/>
      <c r="COT135" s="537"/>
      <c r="COU135" s="537"/>
      <c r="COV135" s="537"/>
      <c r="COW135" s="537"/>
      <c r="COX135" s="537"/>
      <c r="COY135" s="537"/>
      <c r="COZ135" s="537"/>
      <c r="CPA135" s="537"/>
      <c r="CPB135" s="537"/>
      <c r="CPC135" s="537"/>
      <c r="CPD135" s="537"/>
      <c r="CPE135" s="537"/>
      <c r="CPF135" s="537"/>
      <c r="CPG135" s="537"/>
      <c r="CPH135" s="537"/>
      <c r="CPI135" s="537"/>
      <c r="CPJ135" s="537"/>
      <c r="CPK135" s="537"/>
      <c r="CPL135" s="537"/>
      <c r="CPM135" s="537"/>
      <c r="CPN135" s="537"/>
      <c r="CPO135" s="537"/>
      <c r="CPP135" s="537"/>
      <c r="CPQ135" s="537"/>
      <c r="CPR135" s="537"/>
      <c r="CPS135" s="537"/>
      <c r="CPT135" s="537"/>
      <c r="CPU135" s="537"/>
      <c r="CPV135" s="537"/>
      <c r="CPW135" s="537"/>
      <c r="CPX135" s="537"/>
      <c r="CPY135" s="537"/>
      <c r="CPZ135" s="537"/>
      <c r="CQA135" s="537"/>
      <c r="CQB135" s="537"/>
      <c r="CQC135" s="537"/>
      <c r="CQD135" s="537"/>
      <c r="CQE135" s="537"/>
      <c r="CQF135" s="537"/>
      <c r="CQG135" s="537"/>
      <c r="CQH135" s="537"/>
      <c r="CQI135" s="537"/>
      <c r="CQJ135" s="537"/>
      <c r="CQK135" s="537"/>
      <c r="CQL135" s="537"/>
      <c r="CQM135" s="537"/>
      <c r="CQN135" s="537"/>
      <c r="CQO135" s="537"/>
      <c r="CQP135" s="537"/>
      <c r="CQQ135" s="537"/>
      <c r="CQR135" s="537"/>
      <c r="CQS135" s="537"/>
      <c r="CQT135" s="537"/>
      <c r="CQU135" s="537"/>
      <c r="CQV135" s="537"/>
      <c r="CQW135" s="537"/>
      <c r="CQX135" s="537"/>
      <c r="CQY135" s="537"/>
      <c r="CQZ135" s="537"/>
      <c r="CRA135" s="537"/>
      <c r="CRB135" s="537"/>
      <c r="CRC135" s="537"/>
      <c r="CRD135" s="537"/>
      <c r="CRE135" s="537"/>
      <c r="CRF135" s="537"/>
      <c r="CRG135" s="537"/>
      <c r="CRH135" s="537"/>
      <c r="CRI135" s="537"/>
      <c r="CRJ135" s="537"/>
      <c r="CRK135" s="537"/>
      <c r="CRL135" s="537"/>
      <c r="CRM135" s="537"/>
      <c r="CRN135" s="537"/>
      <c r="CRO135" s="537"/>
      <c r="CRP135" s="537"/>
      <c r="CRQ135" s="537"/>
      <c r="CRR135" s="537"/>
      <c r="CRS135" s="537"/>
      <c r="CRT135" s="537"/>
      <c r="CRU135" s="537"/>
      <c r="CRV135" s="537"/>
      <c r="CRW135" s="537"/>
      <c r="CRX135" s="537"/>
      <c r="CRY135" s="537"/>
      <c r="CRZ135" s="537"/>
      <c r="CSA135" s="537"/>
      <c r="CSB135" s="537"/>
      <c r="CSC135" s="537"/>
      <c r="CSD135" s="537"/>
      <c r="CSE135" s="537"/>
      <c r="CSF135" s="537"/>
      <c r="CSG135" s="537"/>
      <c r="CSH135" s="537"/>
      <c r="CSI135" s="537"/>
      <c r="CSJ135" s="537"/>
      <c r="CSK135" s="537"/>
      <c r="CSL135" s="537"/>
      <c r="CSM135" s="537"/>
      <c r="CSN135" s="537"/>
      <c r="CSO135" s="537"/>
      <c r="CSP135" s="537"/>
      <c r="CSQ135" s="537"/>
      <c r="CSR135" s="537"/>
      <c r="CSS135" s="537"/>
      <c r="CST135" s="537"/>
      <c r="CSU135" s="537"/>
      <c r="CSV135" s="537"/>
      <c r="CSW135" s="537"/>
      <c r="CSX135" s="537"/>
      <c r="CSY135" s="537"/>
      <c r="CSZ135" s="537"/>
      <c r="CTA135" s="537"/>
      <c r="CTB135" s="537"/>
      <c r="CTC135" s="537"/>
      <c r="CTD135" s="537"/>
      <c r="CTE135" s="537"/>
      <c r="CTF135" s="537"/>
      <c r="CTG135" s="537"/>
      <c r="CTH135" s="537"/>
      <c r="CTI135" s="537"/>
      <c r="CTJ135" s="537"/>
      <c r="CTK135" s="537"/>
      <c r="CTL135" s="537"/>
      <c r="CTM135" s="537"/>
      <c r="CTN135" s="537"/>
      <c r="CTO135" s="537"/>
      <c r="CTP135" s="537"/>
      <c r="CTQ135" s="537"/>
      <c r="CTR135" s="537"/>
      <c r="CTS135" s="537"/>
      <c r="CTT135" s="537"/>
      <c r="CTU135" s="537"/>
      <c r="CTV135" s="537"/>
      <c r="CTW135" s="537"/>
      <c r="CTX135" s="537"/>
      <c r="CTY135" s="537"/>
      <c r="CTZ135" s="537"/>
      <c r="CUA135" s="537"/>
      <c r="CUB135" s="537"/>
      <c r="CUC135" s="537"/>
      <c r="CUD135" s="537"/>
      <c r="CUE135" s="537"/>
      <c r="CUF135" s="537"/>
      <c r="CUG135" s="537"/>
      <c r="CUH135" s="537"/>
      <c r="CUI135" s="537"/>
      <c r="CUJ135" s="537"/>
      <c r="CUK135" s="537"/>
      <c r="CUL135" s="537"/>
      <c r="CUM135" s="537"/>
      <c r="CUN135" s="537"/>
      <c r="CUO135" s="537"/>
      <c r="CUP135" s="537"/>
      <c r="CUQ135" s="537"/>
      <c r="CUR135" s="537"/>
      <c r="CUS135" s="537"/>
      <c r="CUT135" s="537"/>
      <c r="CUU135" s="537"/>
      <c r="CUV135" s="537"/>
      <c r="CUW135" s="537"/>
      <c r="CUX135" s="537"/>
      <c r="CUY135" s="537"/>
      <c r="CUZ135" s="537"/>
      <c r="CVA135" s="537"/>
      <c r="CVB135" s="537"/>
      <c r="CVC135" s="537"/>
      <c r="CVD135" s="537"/>
      <c r="CVE135" s="537"/>
      <c r="CVF135" s="537"/>
      <c r="CVG135" s="537"/>
      <c r="CVH135" s="537"/>
      <c r="CVI135" s="537"/>
      <c r="CVJ135" s="537"/>
      <c r="CVK135" s="537"/>
      <c r="CVL135" s="537"/>
      <c r="CVM135" s="537"/>
      <c r="CVN135" s="537"/>
      <c r="CVO135" s="537"/>
      <c r="CVP135" s="537"/>
      <c r="CVQ135" s="537"/>
      <c r="CVR135" s="537"/>
      <c r="CVS135" s="537"/>
      <c r="CVT135" s="537"/>
      <c r="CVU135" s="537"/>
      <c r="CVV135" s="537"/>
      <c r="CVW135" s="537"/>
      <c r="CVX135" s="537"/>
      <c r="CVY135" s="537"/>
      <c r="CVZ135" s="537"/>
      <c r="CWA135" s="537"/>
      <c r="CWB135" s="537"/>
      <c r="CWC135" s="537"/>
      <c r="CWD135" s="537"/>
      <c r="CWE135" s="537"/>
      <c r="CWF135" s="537"/>
      <c r="CWG135" s="537"/>
      <c r="CWH135" s="537"/>
      <c r="CWI135" s="537"/>
      <c r="CWJ135" s="537"/>
      <c r="CWK135" s="537"/>
      <c r="CWL135" s="537"/>
      <c r="CWM135" s="537"/>
      <c r="CWN135" s="537"/>
      <c r="CWO135" s="537"/>
      <c r="CWP135" s="537"/>
      <c r="CWQ135" s="537"/>
      <c r="CWR135" s="537"/>
      <c r="CWS135" s="537"/>
      <c r="CWT135" s="537"/>
      <c r="CWU135" s="537"/>
      <c r="CWV135" s="537"/>
      <c r="CWW135" s="537"/>
      <c r="CWX135" s="537"/>
      <c r="CWY135" s="537"/>
      <c r="CWZ135" s="537"/>
      <c r="CXA135" s="537"/>
      <c r="CXB135" s="537"/>
      <c r="CXC135" s="537"/>
      <c r="CXD135" s="537"/>
      <c r="CXE135" s="537"/>
      <c r="CXF135" s="537"/>
      <c r="CXG135" s="537"/>
      <c r="CXH135" s="537"/>
      <c r="CXI135" s="537"/>
      <c r="CXJ135" s="537"/>
      <c r="CXK135" s="537"/>
      <c r="CXL135" s="537"/>
      <c r="CXM135" s="537"/>
      <c r="CXN135" s="537"/>
      <c r="CXO135" s="537"/>
      <c r="CXP135" s="537"/>
      <c r="CXQ135" s="537"/>
      <c r="CXR135" s="537"/>
      <c r="CXS135" s="537"/>
      <c r="CXT135" s="537"/>
      <c r="CXU135" s="537"/>
      <c r="CXV135" s="537"/>
      <c r="CXW135" s="537"/>
      <c r="CXX135" s="537"/>
      <c r="CXY135" s="537"/>
      <c r="CXZ135" s="537"/>
      <c r="CYA135" s="537"/>
      <c r="CYB135" s="537"/>
      <c r="CYC135" s="537"/>
      <c r="CYD135" s="537"/>
      <c r="CYE135" s="537"/>
      <c r="CYF135" s="537"/>
      <c r="CYG135" s="537"/>
      <c r="CYH135" s="537"/>
      <c r="CYI135" s="537"/>
      <c r="CYJ135" s="537"/>
      <c r="CYK135" s="537"/>
      <c r="CYL135" s="537"/>
      <c r="CYM135" s="537"/>
      <c r="CYN135" s="537"/>
      <c r="CYO135" s="537"/>
      <c r="CYP135" s="537"/>
      <c r="CYQ135" s="537"/>
      <c r="CYR135" s="537"/>
      <c r="CYS135" s="537"/>
      <c r="CYT135" s="537"/>
      <c r="CYU135" s="537"/>
      <c r="CYV135" s="537"/>
      <c r="CYW135" s="537"/>
      <c r="CYX135" s="537"/>
      <c r="CYY135" s="537"/>
      <c r="CYZ135" s="537"/>
      <c r="CZA135" s="537"/>
      <c r="CZB135" s="537"/>
      <c r="CZC135" s="537"/>
      <c r="CZD135" s="537"/>
      <c r="CZE135" s="537"/>
      <c r="CZF135" s="537"/>
      <c r="CZG135" s="537"/>
      <c r="CZH135" s="537"/>
      <c r="CZI135" s="537"/>
      <c r="CZJ135" s="537"/>
      <c r="CZK135" s="537"/>
      <c r="CZL135" s="537"/>
      <c r="CZM135" s="537"/>
      <c r="CZN135" s="537"/>
      <c r="CZO135" s="537"/>
      <c r="CZP135" s="537"/>
      <c r="CZQ135" s="537"/>
      <c r="CZR135" s="537"/>
      <c r="CZS135" s="537"/>
      <c r="CZT135" s="537"/>
      <c r="CZU135" s="537"/>
      <c r="CZV135" s="537"/>
      <c r="CZW135" s="537"/>
      <c r="CZX135" s="537"/>
      <c r="CZY135" s="537"/>
      <c r="CZZ135" s="537"/>
      <c r="DAA135" s="537"/>
      <c r="DAB135" s="537"/>
      <c r="DAC135" s="537"/>
      <c r="DAD135" s="537"/>
      <c r="DAE135" s="537"/>
      <c r="DAF135" s="537"/>
      <c r="DAG135" s="537"/>
      <c r="DAH135" s="537"/>
      <c r="DAI135" s="537"/>
      <c r="DAJ135" s="537"/>
      <c r="DAK135" s="537"/>
      <c r="DAL135" s="537"/>
      <c r="DAM135" s="537"/>
      <c r="DAN135" s="537"/>
      <c r="DAO135" s="537"/>
      <c r="DAP135" s="537"/>
      <c r="DAQ135" s="537"/>
      <c r="DAR135" s="537"/>
      <c r="DAS135" s="537"/>
      <c r="DAT135" s="537"/>
      <c r="DAU135" s="537"/>
      <c r="DAV135" s="537"/>
      <c r="DAW135" s="537"/>
      <c r="DAX135" s="537"/>
      <c r="DAY135" s="537"/>
      <c r="DAZ135" s="537"/>
      <c r="DBA135" s="537"/>
      <c r="DBB135" s="537"/>
      <c r="DBC135" s="537"/>
      <c r="DBD135" s="537"/>
      <c r="DBE135" s="537"/>
      <c r="DBF135" s="537"/>
      <c r="DBG135" s="537"/>
      <c r="DBH135" s="537"/>
      <c r="DBI135" s="537"/>
      <c r="DBJ135" s="537"/>
      <c r="DBK135" s="537"/>
      <c r="DBL135" s="537"/>
      <c r="DBM135" s="537"/>
      <c r="DBN135" s="537"/>
      <c r="DBO135" s="537"/>
      <c r="DBP135" s="537"/>
      <c r="DBQ135" s="537"/>
      <c r="DBR135" s="537"/>
      <c r="DBS135" s="537"/>
      <c r="DBT135" s="537"/>
      <c r="DBU135" s="537"/>
      <c r="DBV135" s="537"/>
      <c r="DBW135" s="537"/>
      <c r="DBX135" s="537"/>
      <c r="DBY135" s="537"/>
      <c r="DBZ135" s="537"/>
      <c r="DCA135" s="537"/>
      <c r="DCB135" s="537"/>
      <c r="DCC135" s="537"/>
      <c r="DCD135" s="537"/>
      <c r="DCE135" s="537"/>
      <c r="DCF135" s="537"/>
      <c r="DCG135" s="537"/>
      <c r="DCH135" s="537"/>
      <c r="DCI135" s="537"/>
      <c r="DCJ135" s="537"/>
      <c r="DCK135" s="537"/>
      <c r="DCL135" s="537"/>
      <c r="DCM135" s="537"/>
      <c r="DCN135" s="537"/>
      <c r="DCO135" s="537"/>
      <c r="DCP135" s="537"/>
      <c r="DCQ135" s="537"/>
      <c r="DCR135" s="537"/>
      <c r="DCS135" s="537"/>
      <c r="DCT135" s="537"/>
      <c r="DCU135" s="537"/>
      <c r="DCV135" s="537"/>
      <c r="DCW135" s="537"/>
      <c r="DCX135" s="537"/>
      <c r="DCY135" s="537"/>
      <c r="DCZ135" s="537"/>
      <c r="DDA135" s="537"/>
      <c r="DDB135" s="537"/>
      <c r="DDC135" s="537"/>
      <c r="DDD135" s="537"/>
      <c r="DDE135" s="537"/>
      <c r="DDF135" s="537"/>
      <c r="DDG135" s="537"/>
      <c r="DDH135" s="537"/>
      <c r="DDI135" s="537"/>
      <c r="DDJ135" s="537"/>
      <c r="DDK135" s="537"/>
      <c r="DDL135" s="537"/>
      <c r="DDM135" s="537"/>
      <c r="DDN135" s="537"/>
      <c r="DDO135" s="537"/>
      <c r="DDP135" s="537"/>
      <c r="DDQ135" s="537"/>
      <c r="DDR135" s="537"/>
      <c r="DDS135" s="537"/>
      <c r="DDT135" s="537"/>
      <c r="DDU135" s="537"/>
      <c r="DDV135" s="537"/>
      <c r="DDW135" s="537"/>
      <c r="DDX135" s="537"/>
      <c r="DDY135" s="537"/>
      <c r="DDZ135" s="537"/>
      <c r="DEA135" s="537"/>
      <c r="DEB135" s="537"/>
      <c r="DEC135" s="537"/>
      <c r="DED135" s="537"/>
      <c r="DEE135" s="537"/>
      <c r="DEF135" s="537"/>
      <c r="DEG135" s="537"/>
      <c r="DEH135" s="537"/>
      <c r="DEI135" s="537"/>
      <c r="DEJ135" s="537"/>
      <c r="DEK135" s="537"/>
      <c r="DEL135" s="537"/>
      <c r="DEM135" s="537"/>
      <c r="DEN135" s="537"/>
      <c r="DEO135" s="537"/>
      <c r="DEP135" s="537"/>
      <c r="DEQ135" s="537"/>
      <c r="DER135" s="537"/>
      <c r="DES135" s="537"/>
      <c r="DET135" s="537"/>
      <c r="DEU135" s="537"/>
      <c r="DEV135" s="537"/>
      <c r="DEW135" s="537"/>
      <c r="DEX135" s="537"/>
      <c r="DEY135" s="537"/>
      <c r="DEZ135" s="537"/>
      <c r="DFA135" s="537"/>
      <c r="DFB135" s="537"/>
      <c r="DFC135" s="537"/>
      <c r="DFD135" s="537"/>
      <c r="DFE135" s="537"/>
      <c r="DFF135" s="537"/>
      <c r="DFG135" s="537"/>
      <c r="DFH135" s="537"/>
      <c r="DFI135" s="537"/>
      <c r="DFJ135" s="537"/>
      <c r="DFK135" s="537"/>
      <c r="DFL135" s="537"/>
      <c r="DFM135" s="537"/>
      <c r="DFN135" s="537"/>
      <c r="DFO135" s="537"/>
      <c r="DFP135" s="537"/>
      <c r="DFQ135" s="537"/>
      <c r="DFR135" s="537"/>
      <c r="DFS135" s="537"/>
      <c r="DFT135" s="537"/>
      <c r="DFU135" s="537"/>
      <c r="DFV135" s="537"/>
      <c r="DFW135" s="537"/>
      <c r="DFX135" s="537"/>
      <c r="DFY135" s="537"/>
      <c r="DFZ135" s="537"/>
      <c r="DGA135" s="537"/>
      <c r="DGB135" s="537"/>
      <c r="DGC135" s="537"/>
      <c r="DGD135" s="537"/>
      <c r="DGE135" s="537"/>
      <c r="DGF135" s="537"/>
      <c r="DGG135" s="537"/>
      <c r="DGH135" s="537"/>
      <c r="DGI135" s="537"/>
      <c r="DGJ135" s="537"/>
      <c r="DGK135" s="537"/>
      <c r="DGL135" s="537"/>
      <c r="DGM135" s="537"/>
      <c r="DGN135" s="537"/>
      <c r="DGO135" s="537"/>
      <c r="DGP135" s="537"/>
      <c r="DGQ135" s="537"/>
      <c r="DGR135" s="537"/>
      <c r="DGS135" s="537"/>
      <c r="DGT135" s="537"/>
      <c r="DGU135" s="537"/>
      <c r="DGV135" s="537"/>
      <c r="DGW135" s="537"/>
      <c r="DGX135" s="537"/>
      <c r="DGY135" s="537"/>
      <c r="DGZ135" s="537"/>
      <c r="DHA135" s="537"/>
      <c r="DHB135" s="537"/>
      <c r="DHC135" s="537"/>
      <c r="DHD135" s="537"/>
      <c r="DHE135" s="537"/>
      <c r="DHF135" s="537"/>
      <c r="DHG135" s="537"/>
      <c r="DHH135" s="537"/>
      <c r="DHI135" s="537"/>
      <c r="DHJ135" s="537"/>
      <c r="DHK135" s="537"/>
      <c r="DHL135" s="537"/>
      <c r="DHM135" s="537"/>
      <c r="DHN135" s="537"/>
      <c r="DHO135" s="537"/>
      <c r="DHP135" s="537"/>
      <c r="DHQ135" s="537"/>
      <c r="DHR135" s="537"/>
      <c r="DHS135" s="537"/>
      <c r="DHT135" s="537"/>
      <c r="DHU135" s="537"/>
      <c r="DHV135" s="537"/>
      <c r="DHW135" s="537"/>
      <c r="DHX135" s="537"/>
      <c r="DHY135" s="537"/>
      <c r="DHZ135" s="537"/>
      <c r="DIA135" s="537"/>
      <c r="DIB135" s="537"/>
      <c r="DIC135" s="537"/>
      <c r="DID135" s="537"/>
      <c r="DIE135" s="537"/>
      <c r="DIF135" s="537"/>
      <c r="DIG135" s="537"/>
      <c r="DIH135" s="537"/>
      <c r="DII135" s="537"/>
      <c r="DIJ135" s="537"/>
      <c r="DIK135" s="537"/>
      <c r="DIL135" s="537"/>
      <c r="DIM135" s="537"/>
      <c r="DIN135" s="537"/>
      <c r="DIO135" s="537"/>
      <c r="DIP135" s="537"/>
      <c r="DIQ135" s="537"/>
      <c r="DIR135" s="537"/>
      <c r="DIS135" s="537"/>
      <c r="DIT135" s="537"/>
      <c r="DIU135" s="537"/>
      <c r="DIV135" s="537"/>
      <c r="DIW135" s="537"/>
      <c r="DIX135" s="537"/>
      <c r="DIY135" s="537"/>
      <c r="DIZ135" s="537"/>
      <c r="DJA135" s="537"/>
      <c r="DJB135" s="537"/>
      <c r="DJC135" s="537"/>
      <c r="DJD135" s="537"/>
      <c r="DJE135" s="537"/>
      <c r="DJF135" s="537"/>
      <c r="DJG135" s="537"/>
      <c r="DJH135" s="537"/>
      <c r="DJI135" s="537"/>
      <c r="DJJ135" s="537"/>
      <c r="DJK135" s="537"/>
      <c r="DJL135" s="537"/>
      <c r="DJM135" s="537"/>
      <c r="DJN135" s="537"/>
      <c r="DJO135" s="537"/>
      <c r="DJP135" s="537"/>
      <c r="DJQ135" s="537"/>
      <c r="DJR135" s="537"/>
      <c r="DJS135" s="537"/>
      <c r="DJT135" s="537"/>
      <c r="DJU135" s="537"/>
      <c r="DJV135" s="537"/>
      <c r="DJW135" s="537"/>
      <c r="DJX135" s="537"/>
      <c r="DJY135" s="537"/>
      <c r="DJZ135" s="537"/>
      <c r="DKA135" s="537"/>
      <c r="DKB135" s="537"/>
      <c r="DKC135" s="537"/>
      <c r="DKD135" s="537"/>
      <c r="DKE135" s="537"/>
      <c r="DKF135" s="537"/>
      <c r="DKG135" s="537"/>
      <c r="DKH135" s="537"/>
      <c r="DKI135" s="537"/>
      <c r="DKJ135" s="537"/>
      <c r="DKK135" s="537"/>
      <c r="DKL135" s="537"/>
      <c r="DKM135" s="537"/>
      <c r="DKN135" s="537"/>
      <c r="DKO135" s="537"/>
      <c r="DKP135" s="537"/>
      <c r="DKQ135" s="537"/>
      <c r="DKR135" s="537"/>
      <c r="DKS135" s="537"/>
      <c r="DKT135" s="537"/>
      <c r="DKU135" s="537"/>
      <c r="DKV135" s="537"/>
      <c r="DKW135" s="537"/>
      <c r="DKX135" s="537"/>
      <c r="DKY135" s="537"/>
      <c r="DKZ135" s="537"/>
      <c r="DLA135" s="537"/>
      <c r="DLB135" s="537"/>
      <c r="DLC135" s="537"/>
      <c r="DLD135" s="537"/>
      <c r="DLE135" s="537"/>
      <c r="DLF135" s="537"/>
      <c r="DLG135" s="537"/>
      <c r="DLH135" s="537"/>
      <c r="DLI135" s="537"/>
      <c r="DLJ135" s="537"/>
      <c r="DLK135" s="537"/>
      <c r="DLL135" s="537"/>
      <c r="DLM135" s="537"/>
      <c r="DLN135" s="537"/>
      <c r="DLO135" s="537"/>
      <c r="DLP135" s="537"/>
      <c r="DLQ135" s="537"/>
      <c r="DLR135" s="537"/>
      <c r="DLS135" s="537"/>
      <c r="DLT135" s="537"/>
      <c r="DLU135" s="537"/>
      <c r="DLV135" s="537"/>
      <c r="DLW135" s="537"/>
      <c r="DLX135" s="537"/>
      <c r="DLY135" s="537"/>
      <c r="DLZ135" s="537"/>
      <c r="DMA135" s="537"/>
      <c r="DMB135" s="537"/>
      <c r="DMC135" s="537"/>
      <c r="DMD135" s="537"/>
      <c r="DME135" s="537"/>
      <c r="DMF135" s="537"/>
      <c r="DMG135" s="537"/>
      <c r="DMH135" s="537"/>
      <c r="DMI135" s="537"/>
      <c r="DMJ135" s="537"/>
      <c r="DMK135" s="537"/>
      <c r="DML135" s="537"/>
      <c r="DMM135" s="537"/>
      <c r="DMN135" s="537"/>
      <c r="DMO135" s="537"/>
      <c r="DMP135" s="537"/>
      <c r="DMQ135" s="537"/>
      <c r="DMR135" s="537"/>
      <c r="DMS135" s="537"/>
      <c r="DMT135" s="537"/>
      <c r="DMU135" s="537"/>
      <c r="DMV135" s="537"/>
      <c r="DMW135" s="537"/>
      <c r="DMX135" s="537"/>
      <c r="DMY135" s="537"/>
      <c r="DMZ135" s="537"/>
      <c r="DNA135" s="537"/>
      <c r="DNB135" s="537"/>
      <c r="DNC135" s="537"/>
      <c r="DND135" s="537"/>
      <c r="DNE135" s="537"/>
      <c r="DNF135" s="537"/>
      <c r="DNG135" s="537"/>
      <c r="DNH135" s="537"/>
      <c r="DNI135" s="537"/>
      <c r="DNJ135" s="537"/>
      <c r="DNK135" s="537"/>
      <c r="DNL135" s="537"/>
      <c r="DNM135" s="537"/>
      <c r="DNN135" s="537"/>
      <c r="DNO135" s="537"/>
      <c r="DNP135" s="537"/>
      <c r="DNQ135" s="537"/>
      <c r="DNR135" s="537"/>
      <c r="DNS135" s="537"/>
      <c r="DNT135" s="537"/>
      <c r="DNU135" s="537"/>
      <c r="DNV135" s="537"/>
      <c r="DNW135" s="537"/>
      <c r="DNX135" s="537"/>
      <c r="DNY135" s="537"/>
      <c r="DNZ135" s="537"/>
      <c r="DOA135" s="537"/>
      <c r="DOB135" s="537"/>
      <c r="DOC135" s="537"/>
      <c r="DOD135" s="537"/>
      <c r="DOE135" s="537"/>
      <c r="DOF135" s="537"/>
      <c r="DOG135" s="537"/>
      <c r="DOH135" s="537"/>
      <c r="DOI135" s="537"/>
      <c r="DOJ135" s="537"/>
      <c r="DOK135" s="537"/>
      <c r="DOL135" s="537"/>
      <c r="DOM135" s="537"/>
      <c r="DON135" s="537"/>
      <c r="DOO135" s="537"/>
      <c r="DOP135" s="537"/>
      <c r="DOQ135" s="537"/>
      <c r="DOR135" s="537"/>
      <c r="DOS135" s="537"/>
      <c r="DOT135" s="537"/>
      <c r="DOU135" s="537"/>
      <c r="DOV135" s="537"/>
      <c r="DOW135" s="537"/>
      <c r="DOX135" s="537"/>
      <c r="DOY135" s="537"/>
      <c r="DOZ135" s="537"/>
      <c r="DPA135" s="537"/>
      <c r="DPB135" s="537"/>
      <c r="DPC135" s="537"/>
      <c r="DPD135" s="537"/>
      <c r="DPE135" s="537"/>
      <c r="DPF135" s="537"/>
      <c r="DPG135" s="537"/>
      <c r="DPH135" s="537"/>
      <c r="DPI135" s="537"/>
      <c r="DPJ135" s="537"/>
      <c r="DPK135" s="537"/>
      <c r="DPL135" s="537"/>
      <c r="DPM135" s="537"/>
      <c r="DPN135" s="537"/>
      <c r="DPO135" s="537"/>
      <c r="DPP135" s="537"/>
      <c r="DPQ135" s="537"/>
      <c r="DPR135" s="537"/>
      <c r="DPS135" s="537"/>
      <c r="DPT135" s="537"/>
      <c r="DPU135" s="537"/>
      <c r="DPV135" s="537"/>
      <c r="DPW135" s="537"/>
      <c r="DPX135" s="537"/>
      <c r="DPY135" s="537"/>
      <c r="DPZ135" s="537"/>
      <c r="DQA135" s="537"/>
      <c r="DQB135" s="537"/>
      <c r="DQC135" s="537"/>
      <c r="DQD135" s="537"/>
      <c r="DQE135" s="537"/>
      <c r="DQF135" s="537"/>
      <c r="DQG135" s="537"/>
      <c r="DQH135" s="537"/>
      <c r="DQI135" s="537"/>
      <c r="DQJ135" s="537"/>
      <c r="DQK135" s="537"/>
      <c r="DQL135" s="537"/>
      <c r="DQM135" s="537"/>
      <c r="DQN135" s="537"/>
      <c r="DQO135" s="537"/>
      <c r="DQP135" s="537"/>
      <c r="DQQ135" s="537"/>
      <c r="DQR135" s="537"/>
      <c r="DQS135" s="537"/>
      <c r="DQT135" s="537"/>
      <c r="DQU135" s="537"/>
      <c r="DQV135" s="537"/>
      <c r="DQW135" s="537"/>
      <c r="DQX135" s="537"/>
      <c r="DQY135" s="537"/>
      <c r="DQZ135" s="537"/>
      <c r="DRA135" s="537"/>
      <c r="DRB135" s="537"/>
      <c r="DRC135" s="537"/>
      <c r="DRD135" s="537"/>
      <c r="DRE135" s="537"/>
      <c r="DRF135" s="537"/>
      <c r="DRG135" s="537"/>
      <c r="DRH135" s="537"/>
      <c r="DRI135" s="537"/>
      <c r="DRJ135" s="537"/>
      <c r="DRK135" s="537"/>
      <c r="DRL135" s="537"/>
      <c r="DRM135" s="537"/>
      <c r="DRN135" s="537"/>
      <c r="DRO135" s="537"/>
      <c r="DRP135" s="537"/>
      <c r="DRQ135" s="537"/>
      <c r="DRR135" s="537"/>
      <c r="DRS135" s="537"/>
      <c r="DRT135" s="537"/>
      <c r="DRU135" s="537"/>
      <c r="DRV135" s="537"/>
      <c r="DRW135" s="537"/>
      <c r="DRX135" s="537"/>
      <c r="DRY135" s="537"/>
      <c r="DRZ135" s="537"/>
      <c r="DSA135" s="537"/>
      <c r="DSB135" s="537"/>
      <c r="DSC135" s="537"/>
      <c r="DSD135" s="537"/>
      <c r="DSE135" s="537"/>
      <c r="DSF135" s="537"/>
      <c r="DSG135" s="537"/>
      <c r="DSH135" s="537"/>
      <c r="DSI135" s="537"/>
      <c r="DSJ135" s="537"/>
      <c r="DSK135" s="537"/>
      <c r="DSL135" s="537"/>
      <c r="DSM135" s="537"/>
      <c r="DSN135" s="537"/>
      <c r="DSO135" s="537"/>
      <c r="DSP135" s="537"/>
      <c r="DSQ135" s="537"/>
      <c r="DSR135" s="537"/>
      <c r="DSS135" s="537"/>
      <c r="DST135" s="537"/>
      <c r="DSU135" s="537"/>
      <c r="DSV135" s="537"/>
      <c r="DSW135" s="537"/>
      <c r="DSX135" s="537"/>
      <c r="DSY135" s="537"/>
      <c r="DSZ135" s="537"/>
      <c r="DTA135" s="537"/>
      <c r="DTB135" s="537"/>
      <c r="DTC135" s="537"/>
      <c r="DTD135" s="537"/>
      <c r="DTE135" s="537"/>
      <c r="DTF135" s="537"/>
      <c r="DTG135" s="537"/>
      <c r="DTH135" s="537"/>
      <c r="DTI135" s="537"/>
      <c r="DTJ135" s="537"/>
      <c r="DTK135" s="537"/>
      <c r="DTL135" s="537"/>
      <c r="DTM135" s="537"/>
      <c r="DTN135" s="537"/>
      <c r="DTO135" s="537"/>
      <c r="DTP135" s="537"/>
      <c r="DTQ135" s="537"/>
      <c r="DTR135" s="537"/>
      <c r="DTS135" s="537"/>
      <c r="DTT135" s="537"/>
      <c r="DTU135" s="537"/>
      <c r="DTV135" s="537"/>
      <c r="DTW135" s="537"/>
      <c r="DTX135" s="537"/>
      <c r="DTY135" s="537"/>
      <c r="DTZ135" s="537"/>
      <c r="DUA135" s="537"/>
      <c r="DUB135" s="537"/>
      <c r="DUC135" s="537"/>
      <c r="DUD135" s="537"/>
      <c r="DUE135" s="537"/>
      <c r="DUF135" s="537"/>
      <c r="DUG135" s="537"/>
      <c r="DUH135" s="537"/>
      <c r="DUI135" s="537"/>
      <c r="DUJ135" s="537"/>
      <c r="DUK135" s="537"/>
      <c r="DUL135" s="537"/>
      <c r="DUM135" s="537"/>
      <c r="DUN135" s="537"/>
      <c r="DUO135" s="537"/>
      <c r="DUP135" s="537"/>
      <c r="DUQ135" s="537"/>
      <c r="DUR135" s="537"/>
      <c r="DUS135" s="537"/>
      <c r="DUT135" s="537"/>
      <c r="DUU135" s="537"/>
      <c r="DUV135" s="537"/>
      <c r="DUW135" s="537"/>
      <c r="DUX135" s="537"/>
      <c r="DUY135" s="537"/>
      <c r="DUZ135" s="537"/>
      <c r="DVA135" s="537"/>
      <c r="DVB135" s="537"/>
      <c r="DVC135" s="537"/>
      <c r="DVD135" s="537"/>
      <c r="DVE135" s="537"/>
      <c r="DVF135" s="537"/>
      <c r="DVG135" s="537"/>
      <c r="DVH135" s="537"/>
      <c r="DVI135" s="537"/>
      <c r="DVJ135" s="537"/>
      <c r="DVK135" s="537"/>
      <c r="DVL135" s="537"/>
      <c r="DVM135" s="537"/>
      <c r="DVN135" s="537"/>
      <c r="DVO135" s="537"/>
      <c r="DVP135" s="537"/>
      <c r="DVQ135" s="537"/>
      <c r="DVR135" s="537"/>
      <c r="DVS135" s="537"/>
      <c r="DVT135" s="537"/>
      <c r="DVU135" s="537"/>
      <c r="DVV135" s="537"/>
      <c r="DVW135" s="537"/>
      <c r="DVX135" s="537"/>
      <c r="DVY135" s="537"/>
      <c r="DVZ135" s="537"/>
      <c r="DWA135" s="537"/>
      <c r="DWB135" s="537"/>
      <c r="DWC135" s="537"/>
      <c r="DWD135" s="537"/>
      <c r="DWE135" s="537"/>
      <c r="DWF135" s="537"/>
      <c r="DWG135" s="537"/>
      <c r="DWH135" s="537"/>
      <c r="DWI135" s="537"/>
      <c r="DWJ135" s="537"/>
      <c r="DWK135" s="537"/>
      <c r="DWL135" s="537"/>
      <c r="DWM135" s="537"/>
      <c r="DWN135" s="537"/>
      <c r="DWO135" s="537"/>
      <c r="DWP135" s="537"/>
      <c r="DWQ135" s="537"/>
      <c r="DWR135" s="537"/>
      <c r="DWS135" s="537"/>
      <c r="DWT135" s="537"/>
      <c r="DWU135" s="537"/>
      <c r="DWV135" s="537"/>
      <c r="DWW135" s="537"/>
      <c r="DWX135" s="537"/>
      <c r="DWY135" s="537"/>
      <c r="DWZ135" s="537"/>
      <c r="DXA135" s="537"/>
      <c r="DXB135" s="537"/>
      <c r="DXC135" s="537"/>
      <c r="DXD135" s="537"/>
      <c r="DXE135" s="537"/>
      <c r="DXF135" s="537"/>
      <c r="DXG135" s="537"/>
      <c r="DXH135" s="537"/>
      <c r="DXI135" s="537"/>
      <c r="DXJ135" s="537"/>
      <c r="DXK135" s="537"/>
      <c r="DXL135" s="537"/>
      <c r="DXM135" s="537"/>
      <c r="DXN135" s="537"/>
      <c r="DXO135" s="537"/>
      <c r="DXP135" s="537"/>
      <c r="DXQ135" s="537"/>
      <c r="DXR135" s="537"/>
      <c r="DXS135" s="537"/>
      <c r="DXT135" s="537"/>
      <c r="DXU135" s="537"/>
      <c r="DXV135" s="537"/>
      <c r="DXW135" s="537"/>
      <c r="DXX135" s="537"/>
      <c r="DXY135" s="537"/>
      <c r="DXZ135" s="537"/>
      <c r="DYA135" s="537"/>
      <c r="DYB135" s="537"/>
      <c r="DYC135" s="537"/>
      <c r="DYD135" s="537"/>
      <c r="DYE135" s="537"/>
      <c r="DYF135" s="537"/>
      <c r="DYG135" s="537"/>
      <c r="DYH135" s="537"/>
      <c r="DYI135" s="537"/>
      <c r="DYJ135" s="537"/>
      <c r="DYK135" s="537"/>
      <c r="DYL135" s="537"/>
      <c r="DYM135" s="537"/>
      <c r="DYN135" s="537"/>
      <c r="DYO135" s="537"/>
      <c r="DYP135" s="537"/>
      <c r="DYQ135" s="537"/>
      <c r="DYR135" s="537"/>
      <c r="DYS135" s="537"/>
      <c r="DYT135" s="537"/>
      <c r="DYU135" s="537"/>
      <c r="DYV135" s="537"/>
      <c r="DYW135" s="537"/>
      <c r="DYX135" s="537"/>
      <c r="DYY135" s="537"/>
      <c r="DYZ135" s="537"/>
      <c r="DZA135" s="537"/>
      <c r="DZB135" s="537"/>
      <c r="DZC135" s="537"/>
      <c r="DZD135" s="537"/>
      <c r="DZE135" s="537"/>
      <c r="DZF135" s="537"/>
      <c r="DZG135" s="537"/>
      <c r="DZH135" s="537"/>
      <c r="DZI135" s="537"/>
      <c r="DZJ135" s="537"/>
      <c r="DZK135" s="537"/>
      <c r="DZL135" s="537"/>
      <c r="DZM135" s="537"/>
      <c r="DZN135" s="537"/>
      <c r="DZO135" s="537"/>
      <c r="DZP135" s="537"/>
      <c r="DZQ135" s="537"/>
      <c r="DZR135" s="537"/>
      <c r="DZS135" s="537"/>
      <c r="DZT135" s="537"/>
      <c r="DZU135" s="537"/>
      <c r="DZV135" s="537"/>
      <c r="DZW135" s="537"/>
      <c r="DZX135" s="537"/>
      <c r="DZY135" s="537"/>
      <c r="DZZ135" s="537"/>
      <c r="EAA135" s="537"/>
      <c r="EAB135" s="537"/>
      <c r="EAC135" s="537"/>
      <c r="EAD135" s="537"/>
      <c r="EAE135" s="537"/>
      <c r="EAF135" s="537"/>
      <c r="EAG135" s="537"/>
      <c r="EAH135" s="537"/>
      <c r="EAI135" s="537"/>
      <c r="EAJ135" s="537"/>
      <c r="EAK135" s="537"/>
      <c r="EAL135" s="537"/>
      <c r="EAM135" s="537"/>
      <c r="EAN135" s="537"/>
      <c r="EAO135" s="537"/>
      <c r="EAP135" s="537"/>
      <c r="EAQ135" s="537"/>
      <c r="EAR135" s="537"/>
      <c r="EAS135" s="537"/>
      <c r="EAT135" s="537"/>
      <c r="EAU135" s="537"/>
      <c r="EAV135" s="537"/>
      <c r="EAW135" s="537"/>
      <c r="EAX135" s="537"/>
      <c r="EAY135" s="537"/>
      <c r="EAZ135" s="537"/>
      <c r="EBA135" s="537"/>
      <c r="EBB135" s="537"/>
      <c r="EBC135" s="537"/>
      <c r="EBD135" s="537"/>
      <c r="EBE135" s="537"/>
      <c r="EBF135" s="537"/>
      <c r="EBG135" s="537"/>
      <c r="EBH135" s="537"/>
      <c r="EBI135" s="537"/>
      <c r="EBJ135" s="537"/>
      <c r="EBK135" s="537"/>
      <c r="EBL135" s="537"/>
      <c r="EBM135" s="537"/>
      <c r="EBN135" s="537"/>
      <c r="EBO135" s="537"/>
      <c r="EBP135" s="537"/>
      <c r="EBQ135" s="537"/>
      <c r="EBR135" s="537"/>
      <c r="EBS135" s="537"/>
      <c r="EBT135" s="537"/>
      <c r="EBU135" s="537"/>
      <c r="EBV135" s="537"/>
      <c r="EBW135" s="537"/>
      <c r="EBX135" s="537"/>
      <c r="EBY135" s="537"/>
      <c r="EBZ135" s="537"/>
      <c r="ECA135" s="537"/>
      <c r="ECB135" s="537"/>
      <c r="ECC135" s="537"/>
      <c r="ECD135" s="537"/>
      <c r="ECE135" s="537"/>
      <c r="ECF135" s="537"/>
      <c r="ECG135" s="537"/>
      <c r="ECH135" s="537"/>
      <c r="ECI135" s="537"/>
      <c r="ECJ135" s="537"/>
      <c r="ECK135" s="537"/>
      <c r="ECL135" s="537"/>
      <c r="ECM135" s="537"/>
      <c r="ECN135" s="537"/>
      <c r="ECO135" s="537"/>
      <c r="ECP135" s="537"/>
      <c r="ECQ135" s="537"/>
      <c r="ECR135" s="537"/>
      <c r="ECS135" s="537"/>
      <c r="ECT135" s="537"/>
      <c r="ECU135" s="537"/>
      <c r="ECV135" s="537"/>
      <c r="ECW135" s="537"/>
      <c r="ECX135" s="537"/>
      <c r="ECY135" s="537"/>
      <c r="ECZ135" s="537"/>
      <c r="EDA135" s="537"/>
      <c r="EDB135" s="537"/>
      <c r="EDC135" s="537"/>
      <c r="EDD135" s="537"/>
      <c r="EDE135" s="537"/>
      <c r="EDF135" s="537"/>
      <c r="EDG135" s="537"/>
      <c r="EDH135" s="537"/>
      <c r="EDI135" s="537"/>
      <c r="EDJ135" s="537"/>
      <c r="EDK135" s="537"/>
      <c r="EDL135" s="537"/>
      <c r="EDM135" s="537"/>
      <c r="EDN135" s="537"/>
      <c r="EDO135" s="537"/>
      <c r="EDP135" s="537"/>
      <c r="EDQ135" s="537"/>
      <c r="EDR135" s="537"/>
      <c r="EDS135" s="537"/>
      <c r="EDT135" s="537"/>
      <c r="EDU135" s="537"/>
      <c r="EDV135" s="537"/>
      <c r="EDW135" s="537"/>
      <c r="EDX135" s="537"/>
      <c r="EDY135" s="537"/>
      <c r="EDZ135" s="537"/>
      <c r="EEA135" s="537"/>
      <c r="EEB135" s="537"/>
      <c r="EEC135" s="537"/>
      <c r="EED135" s="537"/>
      <c r="EEE135" s="537"/>
      <c r="EEF135" s="537"/>
      <c r="EEG135" s="537"/>
      <c r="EEH135" s="537"/>
      <c r="EEI135" s="537"/>
      <c r="EEJ135" s="537"/>
      <c r="EEK135" s="537"/>
      <c r="EEL135" s="537"/>
      <c r="EEM135" s="537"/>
      <c r="EEN135" s="537"/>
      <c r="EEO135" s="537"/>
      <c r="EEP135" s="537"/>
      <c r="EEQ135" s="537"/>
      <c r="EER135" s="537"/>
      <c r="EES135" s="537"/>
      <c r="EET135" s="537"/>
      <c r="EEU135" s="537"/>
      <c r="EEV135" s="537"/>
      <c r="EEW135" s="537"/>
      <c r="EEX135" s="537"/>
      <c r="EEY135" s="537"/>
      <c r="EEZ135" s="537"/>
      <c r="EFA135" s="537"/>
      <c r="EFB135" s="537"/>
      <c r="EFC135" s="537"/>
      <c r="EFD135" s="537"/>
      <c r="EFE135" s="537"/>
      <c r="EFF135" s="537"/>
      <c r="EFG135" s="537"/>
      <c r="EFH135" s="537"/>
      <c r="EFI135" s="537"/>
      <c r="EFJ135" s="537"/>
      <c r="EFK135" s="537"/>
      <c r="EFL135" s="537"/>
      <c r="EFM135" s="537"/>
      <c r="EFN135" s="537"/>
      <c r="EFO135" s="537"/>
      <c r="EFP135" s="537"/>
      <c r="EFQ135" s="537"/>
      <c r="EFR135" s="537"/>
      <c r="EFS135" s="537"/>
      <c r="EFT135" s="537"/>
      <c r="EFU135" s="537"/>
      <c r="EFV135" s="537"/>
      <c r="EFW135" s="537"/>
      <c r="EFX135" s="537"/>
      <c r="EFY135" s="537"/>
      <c r="EFZ135" s="537"/>
      <c r="EGA135" s="537"/>
      <c r="EGB135" s="537"/>
      <c r="EGC135" s="537"/>
      <c r="EGD135" s="537"/>
      <c r="EGE135" s="537"/>
      <c r="EGF135" s="537"/>
      <c r="EGG135" s="537"/>
      <c r="EGH135" s="537"/>
      <c r="EGI135" s="537"/>
      <c r="EGJ135" s="537"/>
      <c r="EGK135" s="537"/>
      <c r="EGL135" s="537"/>
      <c r="EGM135" s="537"/>
      <c r="EGN135" s="537"/>
      <c r="EGO135" s="537"/>
      <c r="EGP135" s="537"/>
      <c r="EGQ135" s="537"/>
      <c r="EGR135" s="537"/>
      <c r="EGS135" s="537"/>
      <c r="EGT135" s="537"/>
      <c r="EGU135" s="537"/>
      <c r="EGV135" s="537"/>
      <c r="EGW135" s="537"/>
      <c r="EGX135" s="537"/>
      <c r="EGY135" s="537"/>
      <c r="EGZ135" s="537"/>
      <c r="EHA135" s="537"/>
      <c r="EHB135" s="537"/>
      <c r="EHC135" s="537"/>
      <c r="EHD135" s="537"/>
      <c r="EHE135" s="537"/>
      <c r="EHF135" s="537"/>
      <c r="EHG135" s="537"/>
      <c r="EHH135" s="537"/>
      <c r="EHI135" s="537"/>
      <c r="EHJ135" s="537"/>
      <c r="EHK135" s="537"/>
      <c r="EHL135" s="537"/>
      <c r="EHM135" s="537"/>
      <c r="EHN135" s="537"/>
      <c r="EHO135" s="537"/>
      <c r="EHP135" s="537"/>
      <c r="EHQ135" s="537"/>
      <c r="EHR135" s="537"/>
      <c r="EHS135" s="537"/>
      <c r="EHT135" s="537"/>
      <c r="EHU135" s="537"/>
      <c r="EHV135" s="537"/>
      <c r="EHW135" s="537"/>
      <c r="EHX135" s="537"/>
      <c r="EHY135" s="537"/>
      <c r="EHZ135" s="537"/>
      <c r="EIA135" s="537"/>
      <c r="EIB135" s="537"/>
      <c r="EIC135" s="537"/>
      <c r="EID135" s="537"/>
      <c r="EIE135" s="537"/>
      <c r="EIF135" s="537"/>
      <c r="EIG135" s="537"/>
      <c r="EIH135" s="537"/>
      <c r="EII135" s="537"/>
      <c r="EIJ135" s="537"/>
      <c r="EIK135" s="537"/>
      <c r="EIL135" s="537"/>
      <c r="EIM135" s="537"/>
      <c r="EIN135" s="537"/>
      <c r="EIO135" s="537"/>
      <c r="EIP135" s="537"/>
      <c r="EIQ135" s="537"/>
      <c r="EIR135" s="537"/>
      <c r="EIS135" s="537"/>
      <c r="EIT135" s="537"/>
      <c r="EIU135" s="537"/>
      <c r="EIV135" s="537"/>
      <c r="EIW135" s="537"/>
      <c r="EIX135" s="537"/>
      <c r="EIY135" s="537"/>
      <c r="EIZ135" s="537"/>
      <c r="EJA135" s="537"/>
      <c r="EJB135" s="537"/>
      <c r="EJC135" s="537"/>
      <c r="EJD135" s="537"/>
      <c r="EJE135" s="537"/>
      <c r="EJF135" s="537"/>
      <c r="EJG135" s="537"/>
      <c r="EJH135" s="537"/>
      <c r="EJI135" s="537"/>
      <c r="EJJ135" s="537"/>
      <c r="EJK135" s="537"/>
      <c r="EJL135" s="537"/>
      <c r="EJM135" s="537"/>
      <c r="EJN135" s="537"/>
      <c r="EJO135" s="537"/>
      <c r="EJP135" s="537"/>
      <c r="EJQ135" s="537"/>
      <c r="EJR135" s="537"/>
      <c r="EJS135" s="537"/>
      <c r="EJT135" s="537"/>
      <c r="EJU135" s="537"/>
      <c r="EJV135" s="537"/>
      <c r="EJW135" s="537"/>
      <c r="EJX135" s="537"/>
      <c r="EJY135" s="537"/>
      <c r="EJZ135" s="537"/>
      <c r="EKA135" s="537"/>
      <c r="EKB135" s="537"/>
      <c r="EKC135" s="537"/>
      <c r="EKD135" s="537"/>
      <c r="EKE135" s="537"/>
      <c r="EKF135" s="537"/>
      <c r="EKG135" s="537"/>
      <c r="EKH135" s="537"/>
      <c r="EKI135" s="537"/>
      <c r="EKJ135" s="537"/>
      <c r="EKK135" s="537"/>
      <c r="EKL135" s="537"/>
      <c r="EKM135" s="537"/>
      <c r="EKN135" s="537"/>
      <c r="EKO135" s="537"/>
      <c r="EKP135" s="537"/>
      <c r="EKQ135" s="537"/>
      <c r="EKR135" s="537"/>
      <c r="EKS135" s="537"/>
      <c r="EKT135" s="537"/>
      <c r="EKU135" s="537"/>
      <c r="EKV135" s="537"/>
      <c r="EKW135" s="537"/>
      <c r="EKX135" s="537"/>
      <c r="EKY135" s="537"/>
      <c r="EKZ135" s="537"/>
      <c r="ELA135" s="537"/>
      <c r="ELB135" s="537"/>
      <c r="ELC135" s="537"/>
      <c r="ELD135" s="537"/>
      <c r="ELE135" s="537"/>
      <c r="ELF135" s="537"/>
      <c r="ELG135" s="537"/>
      <c r="ELH135" s="537"/>
      <c r="ELI135" s="537"/>
      <c r="ELJ135" s="537"/>
      <c r="ELK135" s="537"/>
      <c r="ELL135" s="537"/>
      <c r="ELM135" s="537"/>
      <c r="ELN135" s="537"/>
      <c r="ELO135" s="537"/>
      <c r="ELP135" s="537"/>
      <c r="ELQ135" s="537"/>
      <c r="ELR135" s="537"/>
      <c r="ELS135" s="537"/>
      <c r="ELT135" s="537"/>
      <c r="ELU135" s="537"/>
      <c r="ELV135" s="537"/>
      <c r="ELW135" s="537"/>
      <c r="ELX135" s="537"/>
      <c r="ELY135" s="537"/>
      <c r="ELZ135" s="537"/>
      <c r="EMA135" s="537"/>
      <c r="EMB135" s="537"/>
      <c r="EMC135" s="537"/>
      <c r="EMD135" s="537"/>
      <c r="EME135" s="537"/>
      <c r="EMF135" s="537"/>
      <c r="EMG135" s="537"/>
      <c r="EMH135" s="537"/>
      <c r="EMI135" s="537"/>
      <c r="EMJ135" s="537"/>
      <c r="EMK135" s="537"/>
      <c r="EML135" s="537"/>
      <c r="EMM135" s="537"/>
      <c r="EMN135" s="537"/>
      <c r="EMO135" s="537"/>
      <c r="EMP135" s="537"/>
      <c r="EMQ135" s="537"/>
      <c r="EMR135" s="537"/>
      <c r="EMS135" s="537"/>
      <c r="EMT135" s="537"/>
      <c r="EMU135" s="537"/>
      <c r="EMV135" s="537"/>
      <c r="EMW135" s="537"/>
      <c r="EMX135" s="537"/>
      <c r="EMY135" s="537"/>
      <c r="EMZ135" s="537"/>
      <c r="ENA135" s="537"/>
      <c r="ENB135" s="537"/>
      <c r="ENC135" s="537"/>
      <c r="END135" s="537"/>
      <c r="ENE135" s="537"/>
      <c r="ENF135" s="537"/>
      <c r="ENG135" s="537"/>
      <c r="ENH135" s="537"/>
      <c r="ENI135" s="537"/>
      <c r="ENJ135" s="537"/>
      <c r="ENK135" s="537"/>
      <c r="ENL135" s="537"/>
      <c r="ENM135" s="537"/>
      <c r="ENN135" s="537"/>
      <c r="ENO135" s="537"/>
      <c r="ENP135" s="537"/>
      <c r="ENQ135" s="537"/>
      <c r="ENR135" s="537"/>
      <c r="ENS135" s="537"/>
      <c r="ENT135" s="537"/>
      <c r="ENU135" s="537"/>
      <c r="ENV135" s="537"/>
      <c r="ENW135" s="537"/>
      <c r="ENX135" s="537"/>
      <c r="ENY135" s="537"/>
      <c r="ENZ135" s="537"/>
      <c r="EOA135" s="537"/>
      <c r="EOB135" s="537"/>
      <c r="EOC135" s="537"/>
      <c r="EOD135" s="537"/>
      <c r="EOE135" s="537"/>
      <c r="EOF135" s="537"/>
      <c r="EOG135" s="537"/>
      <c r="EOH135" s="537"/>
      <c r="EOI135" s="537"/>
      <c r="EOJ135" s="537"/>
      <c r="EOK135" s="537"/>
      <c r="EOL135" s="537"/>
      <c r="EOM135" s="537"/>
      <c r="EON135" s="537"/>
      <c r="EOO135" s="537"/>
      <c r="EOP135" s="537"/>
      <c r="EOQ135" s="537"/>
      <c r="EOR135" s="537"/>
      <c r="EOS135" s="537"/>
      <c r="EOT135" s="537"/>
      <c r="EOU135" s="537"/>
      <c r="EOV135" s="537"/>
      <c r="EOW135" s="537"/>
      <c r="EOX135" s="537"/>
      <c r="EOY135" s="537"/>
      <c r="EOZ135" s="537"/>
      <c r="EPA135" s="537"/>
      <c r="EPB135" s="537"/>
      <c r="EPC135" s="537"/>
      <c r="EPD135" s="537"/>
      <c r="EPE135" s="537"/>
      <c r="EPF135" s="537"/>
      <c r="EPG135" s="537"/>
      <c r="EPH135" s="537"/>
      <c r="EPI135" s="537"/>
      <c r="EPJ135" s="537"/>
      <c r="EPK135" s="537"/>
      <c r="EPL135" s="537"/>
      <c r="EPM135" s="537"/>
      <c r="EPN135" s="537"/>
      <c r="EPO135" s="537"/>
      <c r="EPP135" s="537"/>
      <c r="EPQ135" s="537"/>
      <c r="EPR135" s="537"/>
      <c r="EPS135" s="537"/>
      <c r="EPT135" s="537"/>
      <c r="EPU135" s="537"/>
      <c r="EPV135" s="537"/>
      <c r="EPW135" s="537"/>
      <c r="EPX135" s="537"/>
      <c r="EPY135" s="537"/>
      <c r="EPZ135" s="537"/>
      <c r="EQA135" s="537"/>
      <c r="EQB135" s="537"/>
      <c r="EQC135" s="537"/>
      <c r="EQD135" s="537"/>
      <c r="EQE135" s="537"/>
      <c r="EQF135" s="537"/>
      <c r="EQG135" s="537"/>
      <c r="EQH135" s="537"/>
      <c r="EQI135" s="537"/>
      <c r="EQJ135" s="537"/>
      <c r="EQK135" s="537"/>
      <c r="EQL135" s="537"/>
      <c r="EQM135" s="537"/>
      <c r="EQN135" s="537"/>
      <c r="EQO135" s="537"/>
      <c r="EQP135" s="537"/>
      <c r="EQQ135" s="537"/>
      <c r="EQR135" s="537"/>
      <c r="EQS135" s="537"/>
      <c r="EQT135" s="537"/>
      <c r="EQU135" s="537"/>
      <c r="EQV135" s="537"/>
      <c r="EQW135" s="537"/>
      <c r="EQX135" s="537"/>
      <c r="EQY135" s="537"/>
      <c r="EQZ135" s="537"/>
      <c r="ERA135" s="537"/>
      <c r="ERB135" s="537"/>
      <c r="ERC135" s="537"/>
      <c r="ERD135" s="537"/>
      <c r="ERE135" s="537"/>
      <c r="ERF135" s="537"/>
      <c r="ERG135" s="537"/>
      <c r="ERH135" s="537"/>
      <c r="ERI135" s="537"/>
      <c r="ERJ135" s="537"/>
      <c r="ERK135" s="537"/>
      <c r="ERL135" s="537"/>
      <c r="ERM135" s="537"/>
      <c r="ERN135" s="537"/>
      <c r="ERO135" s="537"/>
      <c r="ERP135" s="537"/>
      <c r="ERQ135" s="537"/>
      <c r="ERR135" s="537"/>
      <c r="ERS135" s="537"/>
      <c r="ERT135" s="537"/>
      <c r="ERU135" s="537"/>
      <c r="ERV135" s="537"/>
      <c r="ERW135" s="537"/>
      <c r="ERX135" s="537"/>
      <c r="ERY135" s="537"/>
      <c r="ERZ135" s="537"/>
      <c r="ESA135" s="537"/>
      <c r="ESB135" s="537"/>
      <c r="ESC135" s="537"/>
      <c r="ESD135" s="537"/>
      <c r="ESE135" s="537"/>
      <c r="ESF135" s="537"/>
      <c r="ESG135" s="537"/>
      <c r="ESH135" s="537"/>
      <c r="ESI135" s="537"/>
      <c r="ESJ135" s="537"/>
      <c r="ESK135" s="537"/>
      <c r="ESL135" s="537"/>
      <c r="ESM135" s="537"/>
      <c r="ESN135" s="537"/>
      <c r="ESO135" s="537"/>
      <c r="ESP135" s="537"/>
      <c r="ESQ135" s="537"/>
      <c r="ESR135" s="537"/>
      <c r="ESS135" s="537"/>
      <c r="EST135" s="537"/>
      <c r="ESU135" s="537"/>
      <c r="ESV135" s="537"/>
      <c r="ESW135" s="537"/>
      <c r="ESX135" s="537"/>
      <c r="ESY135" s="537"/>
      <c r="ESZ135" s="537"/>
      <c r="ETA135" s="537"/>
      <c r="ETB135" s="537"/>
      <c r="ETC135" s="537"/>
      <c r="ETD135" s="537"/>
      <c r="ETE135" s="537"/>
      <c r="ETF135" s="537"/>
      <c r="ETG135" s="537"/>
      <c r="ETH135" s="537"/>
      <c r="ETI135" s="537"/>
      <c r="ETJ135" s="537"/>
      <c r="ETK135" s="537"/>
      <c r="ETL135" s="537"/>
      <c r="ETM135" s="537"/>
      <c r="ETN135" s="537"/>
      <c r="ETO135" s="537"/>
      <c r="ETP135" s="537"/>
      <c r="ETQ135" s="537"/>
      <c r="ETR135" s="537"/>
      <c r="ETS135" s="537"/>
      <c r="ETT135" s="537"/>
      <c r="ETU135" s="537"/>
      <c r="ETV135" s="537"/>
      <c r="ETW135" s="537"/>
      <c r="ETX135" s="537"/>
      <c r="ETY135" s="537"/>
      <c r="ETZ135" s="537"/>
      <c r="EUA135" s="537"/>
      <c r="EUB135" s="537"/>
      <c r="EUC135" s="537"/>
      <c r="EUD135" s="537"/>
      <c r="EUE135" s="537"/>
      <c r="EUF135" s="537"/>
      <c r="EUG135" s="537"/>
      <c r="EUH135" s="537"/>
      <c r="EUI135" s="537"/>
      <c r="EUJ135" s="537"/>
      <c r="EUK135" s="537"/>
      <c r="EUL135" s="537"/>
      <c r="EUM135" s="537"/>
      <c r="EUN135" s="537"/>
      <c r="EUO135" s="537"/>
      <c r="EUP135" s="537"/>
      <c r="EUQ135" s="537"/>
      <c r="EUR135" s="537"/>
      <c r="EUS135" s="537"/>
      <c r="EUT135" s="537"/>
      <c r="EUU135" s="537"/>
      <c r="EUV135" s="537"/>
      <c r="EUW135" s="537"/>
      <c r="EUX135" s="537"/>
      <c r="EUY135" s="537"/>
      <c r="EUZ135" s="537"/>
      <c r="EVA135" s="537"/>
      <c r="EVB135" s="537"/>
      <c r="EVC135" s="537"/>
      <c r="EVD135" s="537"/>
      <c r="EVE135" s="537"/>
      <c r="EVF135" s="537"/>
      <c r="EVG135" s="537"/>
      <c r="EVH135" s="537"/>
      <c r="EVI135" s="537"/>
      <c r="EVJ135" s="537"/>
      <c r="EVK135" s="537"/>
      <c r="EVL135" s="537"/>
      <c r="EVM135" s="537"/>
      <c r="EVN135" s="537"/>
      <c r="EVO135" s="537"/>
      <c r="EVP135" s="537"/>
      <c r="EVQ135" s="537"/>
      <c r="EVR135" s="537"/>
      <c r="EVS135" s="537"/>
      <c r="EVT135" s="537"/>
      <c r="EVU135" s="537"/>
      <c r="EVV135" s="537"/>
      <c r="EVW135" s="537"/>
      <c r="EVX135" s="537"/>
      <c r="EVY135" s="537"/>
      <c r="EVZ135" s="537"/>
      <c r="EWA135" s="537"/>
      <c r="EWB135" s="537"/>
      <c r="EWC135" s="537"/>
      <c r="EWD135" s="537"/>
      <c r="EWE135" s="537"/>
      <c r="EWF135" s="537"/>
      <c r="EWG135" s="537"/>
      <c r="EWH135" s="537"/>
      <c r="EWI135" s="537"/>
      <c r="EWJ135" s="537"/>
      <c r="EWK135" s="537"/>
      <c r="EWL135" s="537"/>
      <c r="EWM135" s="537"/>
      <c r="EWN135" s="537"/>
      <c r="EWO135" s="537"/>
      <c r="EWP135" s="537"/>
      <c r="EWQ135" s="537"/>
      <c r="EWR135" s="537"/>
      <c r="EWS135" s="537"/>
      <c r="EWT135" s="537"/>
      <c r="EWU135" s="537"/>
      <c r="EWV135" s="537"/>
      <c r="EWW135" s="537"/>
      <c r="EWX135" s="537"/>
      <c r="EWY135" s="537"/>
      <c r="EWZ135" s="537"/>
      <c r="EXA135" s="537"/>
      <c r="EXB135" s="537"/>
      <c r="EXC135" s="537"/>
      <c r="EXD135" s="537"/>
      <c r="EXE135" s="537"/>
      <c r="EXF135" s="537"/>
      <c r="EXG135" s="537"/>
      <c r="EXH135" s="537"/>
      <c r="EXI135" s="537"/>
      <c r="EXJ135" s="537"/>
      <c r="EXK135" s="537"/>
      <c r="EXL135" s="537"/>
      <c r="EXM135" s="537"/>
      <c r="EXN135" s="537"/>
      <c r="EXO135" s="537"/>
      <c r="EXP135" s="537"/>
      <c r="EXQ135" s="537"/>
      <c r="EXR135" s="537"/>
      <c r="EXS135" s="537"/>
      <c r="EXT135" s="537"/>
      <c r="EXU135" s="537"/>
      <c r="EXV135" s="537"/>
      <c r="EXW135" s="537"/>
      <c r="EXX135" s="537"/>
      <c r="EXY135" s="537"/>
      <c r="EXZ135" s="537"/>
      <c r="EYA135" s="537"/>
      <c r="EYB135" s="537"/>
      <c r="EYC135" s="537"/>
      <c r="EYD135" s="537"/>
      <c r="EYE135" s="537"/>
      <c r="EYF135" s="537"/>
      <c r="EYG135" s="537"/>
      <c r="EYH135" s="537"/>
      <c r="EYI135" s="537"/>
      <c r="EYJ135" s="537"/>
      <c r="EYK135" s="537"/>
      <c r="EYL135" s="537"/>
      <c r="EYM135" s="537"/>
      <c r="EYN135" s="537"/>
      <c r="EYO135" s="537"/>
      <c r="EYP135" s="537"/>
      <c r="EYQ135" s="537"/>
      <c r="EYR135" s="537"/>
      <c r="EYS135" s="537"/>
      <c r="EYT135" s="537"/>
      <c r="EYU135" s="537"/>
      <c r="EYV135" s="537"/>
      <c r="EYW135" s="537"/>
      <c r="EYX135" s="537"/>
      <c r="EYY135" s="537"/>
      <c r="EYZ135" s="537"/>
      <c r="EZA135" s="537"/>
      <c r="EZB135" s="537"/>
      <c r="EZC135" s="537"/>
      <c r="EZD135" s="537"/>
      <c r="EZE135" s="537"/>
      <c r="EZF135" s="537"/>
      <c r="EZG135" s="537"/>
      <c r="EZH135" s="537"/>
      <c r="EZI135" s="537"/>
      <c r="EZJ135" s="537"/>
      <c r="EZK135" s="537"/>
      <c r="EZL135" s="537"/>
      <c r="EZM135" s="537"/>
      <c r="EZN135" s="537"/>
      <c r="EZO135" s="537"/>
      <c r="EZP135" s="537"/>
      <c r="EZQ135" s="537"/>
      <c r="EZR135" s="537"/>
      <c r="EZS135" s="537"/>
      <c r="EZT135" s="537"/>
      <c r="EZU135" s="537"/>
      <c r="EZV135" s="537"/>
      <c r="EZW135" s="537"/>
      <c r="EZX135" s="537"/>
      <c r="EZY135" s="537"/>
      <c r="EZZ135" s="537"/>
      <c r="FAA135" s="537"/>
      <c r="FAB135" s="537"/>
      <c r="FAC135" s="537"/>
      <c r="FAD135" s="537"/>
      <c r="FAE135" s="537"/>
      <c r="FAF135" s="537"/>
      <c r="FAG135" s="537"/>
      <c r="FAH135" s="537"/>
      <c r="FAI135" s="537"/>
      <c r="FAJ135" s="537"/>
      <c r="FAK135" s="537"/>
      <c r="FAL135" s="537"/>
      <c r="FAM135" s="537"/>
      <c r="FAN135" s="537"/>
      <c r="FAO135" s="537"/>
      <c r="FAP135" s="537"/>
      <c r="FAQ135" s="537"/>
      <c r="FAR135" s="537"/>
      <c r="FAS135" s="537"/>
      <c r="FAT135" s="537"/>
      <c r="FAU135" s="537"/>
      <c r="FAV135" s="537"/>
      <c r="FAW135" s="537"/>
      <c r="FAX135" s="537"/>
      <c r="FAY135" s="537"/>
      <c r="FAZ135" s="537"/>
      <c r="FBA135" s="537"/>
      <c r="FBB135" s="537"/>
      <c r="FBC135" s="537"/>
      <c r="FBD135" s="537"/>
      <c r="FBE135" s="537"/>
      <c r="FBF135" s="537"/>
      <c r="FBG135" s="537"/>
      <c r="FBH135" s="537"/>
      <c r="FBI135" s="537"/>
      <c r="FBJ135" s="537"/>
      <c r="FBK135" s="537"/>
      <c r="FBL135" s="537"/>
      <c r="FBM135" s="537"/>
      <c r="FBN135" s="537"/>
      <c r="FBO135" s="537"/>
      <c r="FBP135" s="537"/>
      <c r="FBQ135" s="537"/>
      <c r="FBR135" s="537"/>
      <c r="FBS135" s="537"/>
      <c r="FBT135" s="537"/>
      <c r="FBU135" s="537"/>
      <c r="FBV135" s="537"/>
      <c r="FBW135" s="537"/>
      <c r="FBX135" s="537"/>
      <c r="FBY135" s="537"/>
      <c r="FBZ135" s="537"/>
      <c r="FCA135" s="537"/>
      <c r="FCB135" s="537"/>
      <c r="FCC135" s="537"/>
      <c r="FCD135" s="537"/>
      <c r="FCE135" s="537"/>
      <c r="FCF135" s="537"/>
      <c r="FCG135" s="537"/>
      <c r="FCH135" s="537"/>
      <c r="FCI135" s="537"/>
      <c r="FCJ135" s="537"/>
      <c r="FCK135" s="537"/>
      <c r="FCL135" s="537"/>
      <c r="FCM135" s="537"/>
      <c r="FCN135" s="537"/>
      <c r="FCO135" s="537"/>
      <c r="FCP135" s="537"/>
      <c r="FCQ135" s="537"/>
      <c r="FCR135" s="537"/>
      <c r="FCS135" s="537"/>
      <c r="FCT135" s="537"/>
      <c r="FCU135" s="537"/>
      <c r="FCV135" s="537"/>
      <c r="FCW135" s="537"/>
      <c r="FCX135" s="537"/>
      <c r="FCY135" s="537"/>
      <c r="FCZ135" s="537"/>
      <c r="FDA135" s="537"/>
      <c r="FDB135" s="537"/>
      <c r="FDC135" s="537"/>
      <c r="FDD135" s="537"/>
      <c r="FDE135" s="537"/>
      <c r="FDF135" s="537"/>
      <c r="FDG135" s="537"/>
      <c r="FDH135" s="537"/>
      <c r="FDI135" s="537"/>
      <c r="FDJ135" s="537"/>
      <c r="FDK135" s="537"/>
      <c r="FDL135" s="537"/>
      <c r="FDM135" s="537"/>
      <c r="FDN135" s="537"/>
      <c r="FDO135" s="537"/>
      <c r="FDP135" s="537"/>
      <c r="FDQ135" s="537"/>
      <c r="FDR135" s="537"/>
      <c r="FDS135" s="537"/>
      <c r="FDT135" s="537"/>
      <c r="FDU135" s="537"/>
      <c r="FDV135" s="537"/>
      <c r="FDW135" s="537"/>
      <c r="FDX135" s="537"/>
      <c r="FDY135" s="537"/>
      <c r="FDZ135" s="537"/>
      <c r="FEA135" s="537"/>
      <c r="FEB135" s="537"/>
      <c r="FEC135" s="537"/>
      <c r="FED135" s="537"/>
      <c r="FEE135" s="537"/>
      <c r="FEF135" s="537"/>
      <c r="FEG135" s="537"/>
      <c r="FEH135" s="537"/>
      <c r="FEI135" s="537"/>
      <c r="FEJ135" s="537"/>
      <c r="FEK135" s="537"/>
      <c r="FEL135" s="537"/>
      <c r="FEM135" s="537"/>
      <c r="FEN135" s="537"/>
      <c r="FEO135" s="537"/>
      <c r="FEP135" s="537"/>
      <c r="FEQ135" s="537"/>
      <c r="FER135" s="537"/>
      <c r="FES135" s="537"/>
      <c r="FET135" s="537"/>
      <c r="FEU135" s="537"/>
      <c r="FEV135" s="537"/>
      <c r="FEW135" s="537"/>
      <c r="FEX135" s="537"/>
      <c r="FEY135" s="537"/>
      <c r="FEZ135" s="537"/>
      <c r="FFA135" s="537"/>
      <c r="FFB135" s="537"/>
      <c r="FFC135" s="537"/>
      <c r="FFD135" s="537"/>
      <c r="FFE135" s="537"/>
      <c r="FFF135" s="537"/>
      <c r="FFG135" s="537"/>
      <c r="FFH135" s="537"/>
      <c r="FFI135" s="537"/>
      <c r="FFJ135" s="537"/>
      <c r="FFK135" s="537"/>
      <c r="FFL135" s="537"/>
      <c r="FFM135" s="537"/>
      <c r="FFN135" s="537"/>
      <c r="FFO135" s="537"/>
      <c r="FFP135" s="537"/>
      <c r="FFQ135" s="537"/>
      <c r="FFR135" s="537"/>
      <c r="FFS135" s="537"/>
      <c r="FFT135" s="537"/>
      <c r="FFU135" s="537"/>
      <c r="FFV135" s="537"/>
      <c r="FFW135" s="537"/>
      <c r="FFX135" s="537"/>
      <c r="FFY135" s="537"/>
      <c r="FFZ135" s="537"/>
      <c r="FGA135" s="537"/>
      <c r="FGB135" s="537"/>
      <c r="FGC135" s="537"/>
      <c r="FGD135" s="537"/>
      <c r="FGE135" s="537"/>
      <c r="FGF135" s="537"/>
      <c r="FGG135" s="537"/>
      <c r="FGH135" s="537"/>
      <c r="FGI135" s="537"/>
      <c r="FGJ135" s="537"/>
      <c r="FGK135" s="537"/>
      <c r="FGL135" s="537"/>
      <c r="FGM135" s="537"/>
      <c r="FGN135" s="537"/>
      <c r="FGO135" s="537"/>
      <c r="FGP135" s="537"/>
      <c r="FGQ135" s="537"/>
      <c r="FGR135" s="537"/>
      <c r="FGS135" s="537"/>
      <c r="FGT135" s="537"/>
      <c r="FGU135" s="537"/>
      <c r="FGV135" s="537"/>
      <c r="FGW135" s="537"/>
      <c r="FGX135" s="537"/>
      <c r="FGY135" s="537"/>
      <c r="FGZ135" s="537"/>
      <c r="FHA135" s="537"/>
      <c r="FHB135" s="537"/>
      <c r="FHC135" s="537"/>
      <c r="FHD135" s="537"/>
      <c r="FHE135" s="537"/>
      <c r="FHF135" s="537"/>
      <c r="FHG135" s="537"/>
      <c r="FHH135" s="537"/>
      <c r="FHI135" s="537"/>
      <c r="FHJ135" s="537"/>
      <c r="FHK135" s="537"/>
      <c r="FHL135" s="537"/>
      <c r="FHM135" s="537"/>
      <c r="FHN135" s="537"/>
      <c r="FHO135" s="537"/>
      <c r="FHP135" s="537"/>
      <c r="FHQ135" s="537"/>
      <c r="FHR135" s="537"/>
      <c r="FHS135" s="537"/>
      <c r="FHT135" s="537"/>
      <c r="FHU135" s="537"/>
      <c r="FHV135" s="537"/>
      <c r="FHW135" s="537"/>
      <c r="FHX135" s="537"/>
      <c r="FHY135" s="537"/>
      <c r="FHZ135" s="537"/>
      <c r="FIA135" s="537"/>
      <c r="FIB135" s="537"/>
      <c r="FIC135" s="537"/>
      <c r="FID135" s="537"/>
      <c r="FIE135" s="537"/>
      <c r="FIF135" s="537"/>
      <c r="FIG135" s="537"/>
      <c r="FIH135" s="537"/>
      <c r="FII135" s="537"/>
      <c r="FIJ135" s="537"/>
      <c r="FIK135" s="537"/>
      <c r="FIL135" s="537"/>
      <c r="FIM135" s="537"/>
      <c r="FIN135" s="537"/>
      <c r="FIO135" s="537"/>
      <c r="FIP135" s="537"/>
      <c r="FIQ135" s="537"/>
      <c r="FIR135" s="537"/>
      <c r="FIS135" s="537"/>
      <c r="FIT135" s="537"/>
      <c r="FIU135" s="537"/>
      <c r="FIV135" s="537"/>
      <c r="FIW135" s="537"/>
      <c r="FIX135" s="537"/>
      <c r="FIY135" s="537"/>
      <c r="FIZ135" s="537"/>
      <c r="FJA135" s="537"/>
      <c r="FJB135" s="537"/>
      <c r="FJC135" s="537"/>
      <c r="FJD135" s="537"/>
      <c r="FJE135" s="537"/>
      <c r="FJF135" s="537"/>
      <c r="FJG135" s="537"/>
      <c r="FJH135" s="537"/>
      <c r="FJI135" s="537"/>
      <c r="FJJ135" s="537"/>
      <c r="FJK135" s="537"/>
      <c r="FJL135" s="537"/>
      <c r="FJM135" s="537"/>
      <c r="FJN135" s="537"/>
      <c r="FJO135" s="537"/>
      <c r="FJP135" s="537"/>
      <c r="FJQ135" s="537"/>
      <c r="FJR135" s="537"/>
      <c r="FJS135" s="537"/>
      <c r="FJT135" s="537"/>
      <c r="FJU135" s="537"/>
      <c r="FJV135" s="537"/>
      <c r="FJW135" s="537"/>
      <c r="FJX135" s="537"/>
      <c r="FJY135" s="537"/>
      <c r="FJZ135" s="537"/>
      <c r="FKA135" s="537"/>
      <c r="FKB135" s="537"/>
      <c r="FKC135" s="537"/>
      <c r="FKD135" s="537"/>
      <c r="FKE135" s="537"/>
      <c r="FKF135" s="537"/>
      <c r="FKG135" s="537"/>
      <c r="FKH135" s="537"/>
      <c r="FKI135" s="537"/>
      <c r="FKJ135" s="537"/>
      <c r="FKK135" s="537"/>
      <c r="FKL135" s="537"/>
      <c r="FKM135" s="537"/>
      <c r="FKN135" s="537"/>
      <c r="FKO135" s="537"/>
      <c r="FKP135" s="537"/>
      <c r="FKQ135" s="537"/>
      <c r="FKR135" s="537"/>
      <c r="FKS135" s="537"/>
      <c r="FKT135" s="537"/>
      <c r="FKU135" s="537"/>
      <c r="FKV135" s="537"/>
      <c r="FKW135" s="537"/>
      <c r="FKX135" s="537"/>
      <c r="FKY135" s="537"/>
      <c r="FKZ135" s="537"/>
      <c r="FLA135" s="537"/>
      <c r="FLB135" s="537"/>
      <c r="FLC135" s="537"/>
      <c r="FLD135" s="537"/>
      <c r="FLE135" s="537"/>
      <c r="FLF135" s="537"/>
      <c r="FLG135" s="537"/>
      <c r="FLH135" s="537"/>
      <c r="FLI135" s="537"/>
      <c r="FLJ135" s="537"/>
      <c r="FLK135" s="537"/>
      <c r="FLL135" s="537"/>
      <c r="FLM135" s="537"/>
      <c r="FLN135" s="537"/>
      <c r="FLO135" s="537"/>
      <c r="FLP135" s="537"/>
      <c r="FLQ135" s="537"/>
      <c r="FLR135" s="537"/>
      <c r="FLS135" s="537"/>
      <c r="FLT135" s="537"/>
      <c r="FLU135" s="537"/>
      <c r="FLV135" s="537"/>
      <c r="FLW135" s="537"/>
      <c r="FLX135" s="537"/>
      <c r="FLY135" s="537"/>
      <c r="FLZ135" s="537"/>
      <c r="FMA135" s="537"/>
      <c r="FMB135" s="537"/>
      <c r="FMC135" s="537"/>
      <c r="FMD135" s="537"/>
      <c r="FME135" s="537"/>
      <c r="FMF135" s="537"/>
      <c r="FMG135" s="537"/>
      <c r="FMH135" s="537"/>
      <c r="FMI135" s="537"/>
      <c r="FMJ135" s="537"/>
      <c r="FMK135" s="537"/>
      <c r="FML135" s="537"/>
      <c r="FMM135" s="537"/>
      <c r="FMN135" s="537"/>
      <c r="FMO135" s="537"/>
      <c r="FMP135" s="537"/>
      <c r="FMQ135" s="537"/>
      <c r="FMR135" s="537"/>
      <c r="FMS135" s="537"/>
      <c r="FMT135" s="537"/>
      <c r="FMU135" s="537"/>
      <c r="FMV135" s="537"/>
      <c r="FMW135" s="537"/>
      <c r="FMX135" s="537"/>
      <c r="FMY135" s="537"/>
      <c r="FMZ135" s="537"/>
      <c r="FNA135" s="537"/>
      <c r="FNB135" s="537"/>
      <c r="FNC135" s="537"/>
      <c r="FND135" s="537"/>
      <c r="FNE135" s="537"/>
      <c r="FNF135" s="537"/>
      <c r="FNG135" s="537"/>
      <c r="FNH135" s="537"/>
      <c r="FNI135" s="537"/>
      <c r="FNJ135" s="537"/>
      <c r="FNK135" s="537"/>
      <c r="FNL135" s="537"/>
      <c r="FNM135" s="537"/>
      <c r="FNN135" s="537"/>
      <c r="FNO135" s="537"/>
      <c r="FNP135" s="537"/>
      <c r="FNQ135" s="537"/>
      <c r="FNR135" s="537"/>
      <c r="FNS135" s="537"/>
      <c r="FNT135" s="537"/>
      <c r="FNU135" s="537"/>
      <c r="FNV135" s="537"/>
      <c r="FNW135" s="537"/>
      <c r="FNX135" s="537"/>
      <c r="FNY135" s="537"/>
      <c r="FNZ135" s="537"/>
      <c r="FOA135" s="537"/>
      <c r="FOB135" s="537"/>
      <c r="FOC135" s="537"/>
      <c r="FOD135" s="537"/>
      <c r="FOE135" s="537"/>
      <c r="FOF135" s="537"/>
      <c r="FOG135" s="537"/>
      <c r="FOH135" s="537"/>
      <c r="FOI135" s="537"/>
      <c r="FOJ135" s="537"/>
      <c r="FOK135" s="537"/>
      <c r="FOL135" s="537"/>
      <c r="FOM135" s="537"/>
      <c r="FON135" s="537"/>
      <c r="FOO135" s="537"/>
      <c r="FOP135" s="537"/>
      <c r="FOQ135" s="537"/>
      <c r="FOR135" s="537"/>
      <c r="FOS135" s="537"/>
      <c r="FOT135" s="537"/>
      <c r="FOU135" s="537"/>
      <c r="FOV135" s="537"/>
      <c r="FOW135" s="537"/>
      <c r="FOX135" s="537"/>
      <c r="FOY135" s="537"/>
      <c r="FOZ135" s="537"/>
      <c r="FPA135" s="537"/>
      <c r="FPB135" s="537"/>
      <c r="FPC135" s="537"/>
      <c r="FPD135" s="537"/>
      <c r="FPE135" s="537"/>
      <c r="FPF135" s="537"/>
      <c r="FPG135" s="537"/>
      <c r="FPH135" s="537"/>
      <c r="FPI135" s="537"/>
      <c r="FPJ135" s="537"/>
      <c r="FPK135" s="537"/>
      <c r="FPL135" s="537"/>
      <c r="FPM135" s="537"/>
      <c r="FPN135" s="537"/>
      <c r="FPO135" s="537"/>
      <c r="FPP135" s="537"/>
      <c r="FPQ135" s="537"/>
      <c r="FPR135" s="537"/>
      <c r="FPS135" s="537"/>
      <c r="FPT135" s="537"/>
      <c r="FPU135" s="537"/>
      <c r="FPV135" s="537"/>
      <c r="FPW135" s="537"/>
      <c r="FPX135" s="537"/>
      <c r="FPY135" s="537"/>
      <c r="FPZ135" s="537"/>
      <c r="FQA135" s="537"/>
      <c r="FQB135" s="537"/>
      <c r="FQC135" s="537"/>
      <c r="FQD135" s="537"/>
      <c r="FQE135" s="537"/>
      <c r="FQF135" s="537"/>
      <c r="FQG135" s="537"/>
      <c r="FQH135" s="537"/>
      <c r="FQI135" s="537"/>
      <c r="FQJ135" s="537"/>
      <c r="FQK135" s="537"/>
      <c r="FQL135" s="537"/>
      <c r="FQM135" s="537"/>
      <c r="FQN135" s="537"/>
      <c r="FQO135" s="537"/>
      <c r="FQP135" s="537"/>
      <c r="FQQ135" s="537"/>
      <c r="FQR135" s="537"/>
      <c r="FQS135" s="537"/>
      <c r="FQT135" s="537"/>
      <c r="FQU135" s="537"/>
      <c r="FQV135" s="537"/>
      <c r="FQW135" s="537"/>
      <c r="FQX135" s="537"/>
      <c r="FQY135" s="537"/>
      <c r="FQZ135" s="537"/>
      <c r="FRA135" s="537"/>
      <c r="FRB135" s="537"/>
      <c r="FRC135" s="537"/>
      <c r="FRD135" s="537"/>
      <c r="FRE135" s="537"/>
      <c r="FRF135" s="537"/>
      <c r="FRG135" s="537"/>
      <c r="FRH135" s="537"/>
      <c r="FRI135" s="537"/>
      <c r="FRJ135" s="537"/>
      <c r="FRK135" s="537"/>
      <c r="FRL135" s="537"/>
      <c r="FRM135" s="537"/>
      <c r="FRN135" s="537"/>
      <c r="FRO135" s="537"/>
      <c r="FRP135" s="537"/>
      <c r="FRQ135" s="537"/>
      <c r="FRR135" s="537"/>
      <c r="FRS135" s="537"/>
      <c r="FRT135" s="537"/>
      <c r="FRU135" s="537"/>
      <c r="FRV135" s="537"/>
      <c r="FRW135" s="537"/>
      <c r="FRX135" s="537"/>
      <c r="FRY135" s="537"/>
      <c r="FRZ135" s="537"/>
      <c r="FSA135" s="537"/>
      <c r="FSB135" s="537"/>
      <c r="FSC135" s="537"/>
      <c r="FSD135" s="537"/>
      <c r="FSE135" s="537"/>
      <c r="FSF135" s="537"/>
      <c r="FSG135" s="537"/>
      <c r="FSH135" s="537"/>
      <c r="FSI135" s="537"/>
      <c r="FSJ135" s="537"/>
      <c r="FSK135" s="537"/>
      <c r="FSL135" s="537"/>
      <c r="FSM135" s="537"/>
      <c r="FSN135" s="537"/>
      <c r="FSO135" s="537"/>
      <c r="FSP135" s="537"/>
      <c r="FSQ135" s="537"/>
      <c r="FSR135" s="537"/>
      <c r="FSS135" s="537"/>
      <c r="FST135" s="537"/>
      <c r="FSU135" s="537"/>
      <c r="FSV135" s="537"/>
      <c r="FSW135" s="537"/>
      <c r="FSX135" s="537"/>
      <c r="FSY135" s="537"/>
      <c r="FSZ135" s="537"/>
      <c r="FTA135" s="537"/>
      <c r="FTB135" s="537"/>
      <c r="FTC135" s="537"/>
      <c r="FTD135" s="537"/>
      <c r="FTE135" s="537"/>
      <c r="FTF135" s="537"/>
      <c r="FTG135" s="537"/>
      <c r="FTH135" s="537"/>
      <c r="FTI135" s="537"/>
      <c r="FTJ135" s="537"/>
      <c r="FTK135" s="537"/>
      <c r="FTL135" s="537"/>
      <c r="FTM135" s="537"/>
      <c r="FTN135" s="537"/>
      <c r="FTO135" s="537"/>
      <c r="FTP135" s="537"/>
      <c r="FTQ135" s="537"/>
      <c r="FTR135" s="537"/>
      <c r="FTS135" s="537"/>
      <c r="FTT135" s="537"/>
      <c r="FTU135" s="537"/>
      <c r="FTV135" s="537"/>
      <c r="FTW135" s="537"/>
      <c r="FTX135" s="537"/>
      <c r="FTY135" s="537"/>
      <c r="FTZ135" s="537"/>
      <c r="FUA135" s="537"/>
      <c r="FUB135" s="537"/>
      <c r="FUC135" s="537"/>
      <c r="FUD135" s="537"/>
      <c r="FUE135" s="537"/>
      <c r="FUF135" s="537"/>
      <c r="FUG135" s="537"/>
      <c r="FUH135" s="537"/>
      <c r="FUI135" s="537"/>
      <c r="FUJ135" s="537"/>
      <c r="FUK135" s="537"/>
      <c r="FUL135" s="537"/>
      <c r="FUM135" s="537"/>
      <c r="FUN135" s="537"/>
      <c r="FUO135" s="537"/>
      <c r="FUP135" s="537"/>
      <c r="FUQ135" s="537"/>
      <c r="FUR135" s="537"/>
      <c r="FUS135" s="537"/>
      <c r="FUT135" s="537"/>
      <c r="FUU135" s="537"/>
      <c r="FUV135" s="537"/>
      <c r="FUW135" s="537"/>
      <c r="FUX135" s="537"/>
      <c r="FUY135" s="537"/>
      <c r="FUZ135" s="537"/>
      <c r="FVA135" s="537"/>
      <c r="FVB135" s="537"/>
      <c r="FVC135" s="537"/>
      <c r="FVD135" s="537"/>
      <c r="FVE135" s="537"/>
      <c r="FVF135" s="537"/>
      <c r="FVG135" s="537"/>
      <c r="FVH135" s="537"/>
      <c r="FVI135" s="537"/>
      <c r="FVJ135" s="537"/>
      <c r="FVK135" s="537"/>
      <c r="FVL135" s="537"/>
      <c r="FVM135" s="537"/>
      <c r="FVN135" s="537"/>
      <c r="FVO135" s="537"/>
      <c r="FVP135" s="537"/>
      <c r="FVQ135" s="537"/>
      <c r="FVR135" s="537"/>
      <c r="FVS135" s="537"/>
      <c r="FVT135" s="537"/>
      <c r="FVU135" s="537"/>
      <c r="FVV135" s="537"/>
      <c r="FVW135" s="537"/>
      <c r="FVX135" s="537"/>
      <c r="FVY135" s="537"/>
      <c r="FVZ135" s="537"/>
      <c r="FWA135" s="537"/>
      <c r="FWB135" s="537"/>
      <c r="FWC135" s="537"/>
      <c r="FWD135" s="537"/>
      <c r="FWE135" s="537"/>
      <c r="FWF135" s="537"/>
      <c r="FWG135" s="537"/>
      <c r="FWH135" s="537"/>
      <c r="FWI135" s="537"/>
      <c r="FWJ135" s="537"/>
      <c r="FWK135" s="537"/>
      <c r="FWL135" s="537"/>
      <c r="FWM135" s="537"/>
      <c r="FWN135" s="537"/>
      <c r="FWO135" s="537"/>
      <c r="FWP135" s="537"/>
      <c r="FWQ135" s="537"/>
      <c r="FWR135" s="537"/>
      <c r="FWS135" s="537"/>
      <c r="FWT135" s="537"/>
      <c r="FWU135" s="537"/>
      <c r="FWV135" s="537"/>
      <c r="FWW135" s="537"/>
      <c r="FWX135" s="537"/>
      <c r="FWY135" s="537"/>
      <c r="FWZ135" s="537"/>
      <c r="FXA135" s="537"/>
      <c r="FXB135" s="537"/>
      <c r="FXC135" s="537"/>
      <c r="FXD135" s="537"/>
      <c r="FXE135" s="537"/>
      <c r="FXF135" s="537"/>
      <c r="FXG135" s="537"/>
      <c r="FXH135" s="537"/>
      <c r="FXI135" s="537"/>
      <c r="FXJ135" s="537"/>
      <c r="FXK135" s="537"/>
      <c r="FXL135" s="537"/>
      <c r="FXM135" s="537"/>
      <c r="FXN135" s="537"/>
      <c r="FXO135" s="537"/>
      <c r="FXP135" s="537"/>
      <c r="FXQ135" s="537"/>
      <c r="FXR135" s="537"/>
      <c r="FXS135" s="537"/>
      <c r="FXT135" s="537"/>
      <c r="FXU135" s="537"/>
      <c r="FXV135" s="537"/>
      <c r="FXW135" s="537"/>
      <c r="FXX135" s="537"/>
      <c r="FXY135" s="537"/>
      <c r="FXZ135" s="537"/>
      <c r="FYA135" s="537"/>
      <c r="FYB135" s="537"/>
      <c r="FYC135" s="537"/>
      <c r="FYD135" s="537"/>
      <c r="FYE135" s="537"/>
      <c r="FYF135" s="537"/>
      <c r="FYG135" s="537"/>
      <c r="FYH135" s="537"/>
      <c r="FYI135" s="537"/>
      <c r="FYJ135" s="537"/>
      <c r="FYK135" s="537"/>
      <c r="FYL135" s="537"/>
      <c r="FYM135" s="537"/>
      <c r="FYN135" s="537"/>
      <c r="FYO135" s="537"/>
      <c r="FYP135" s="537"/>
      <c r="FYQ135" s="537"/>
      <c r="FYR135" s="537"/>
      <c r="FYS135" s="537"/>
      <c r="FYT135" s="537"/>
      <c r="FYU135" s="537"/>
      <c r="FYV135" s="537"/>
      <c r="FYW135" s="537"/>
      <c r="FYX135" s="537"/>
      <c r="FYY135" s="537"/>
      <c r="FYZ135" s="537"/>
      <c r="FZA135" s="537"/>
      <c r="FZB135" s="537"/>
      <c r="FZC135" s="537"/>
      <c r="FZD135" s="537"/>
      <c r="FZE135" s="537"/>
      <c r="FZF135" s="537"/>
      <c r="FZG135" s="537"/>
      <c r="FZH135" s="537"/>
      <c r="FZI135" s="537"/>
      <c r="FZJ135" s="537"/>
      <c r="FZK135" s="537"/>
      <c r="FZL135" s="537"/>
      <c r="FZM135" s="537"/>
      <c r="FZN135" s="537"/>
      <c r="FZO135" s="537"/>
      <c r="FZP135" s="537"/>
      <c r="FZQ135" s="537"/>
      <c r="FZR135" s="537"/>
      <c r="FZS135" s="537"/>
      <c r="FZT135" s="537"/>
      <c r="FZU135" s="537"/>
      <c r="FZV135" s="537"/>
      <c r="FZW135" s="537"/>
      <c r="FZX135" s="537"/>
      <c r="FZY135" s="537"/>
      <c r="FZZ135" s="537"/>
      <c r="GAA135" s="537"/>
      <c r="GAB135" s="537"/>
      <c r="GAC135" s="537"/>
      <c r="GAD135" s="537"/>
      <c r="GAE135" s="537"/>
      <c r="GAF135" s="537"/>
      <c r="GAG135" s="537"/>
      <c r="GAH135" s="537"/>
      <c r="GAI135" s="537"/>
      <c r="GAJ135" s="537"/>
      <c r="GAK135" s="537"/>
      <c r="GAL135" s="537"/>
      <c r="GAM135" s="537"/>
      <c r="GAN135" s="537"/>
      <c r="GAO135" s="537"/>
      <c r="GAP135" s="537"/>
      <c r="GAQ135" s="537"/>
      <c r="GAR135" s="537"/>
      <c r="GAS135" s="537"/>
      <c r="GAT135" s="537"/>
      <c r="GAU135" s="537"/>
      <c r="GAV135" s="537"/>
      <c r="GAW135" s="537"/>
      <c r="GAX135" s="537"/>
      <c r="GAY135" s="537"/>
      <c r="GAZ135" s="537"/>
      <c r="GBA135" s="537"/>
      <c r="GBB135" s="537"/>
      <c r="GBC135" s="537"/>
      <c r="GBD135" s="537"/>
      <c r="GBE135" s="537"/>
      <c r="GBF135" s="537"/>
      <c r="GBG135" s="537"/>
      <c r="GBH135" s="537"/>
      <c r="GBI135" s="537"/>
      <c r="GBJ135" s="537"/>
      <c r="GBK135" s="537"/>
      <c r="GBL135" s="537"/>
      <c r="GBM135" s="537"/>
      <c r="GBN135" s="537"/>
      <c r="GBO135" s="537"/>
      <c r="GBP135" s="537"/>
      <c r="GBQ135" s="537"/>
      <c r="GBR135" s="537"/>
      <c r="GBS135" s="537"/>
      <c r="GBT135" s="537"/>
      <c r="GBU135" s="537"/>
      <c r="GBV135" s="537"/>
      <c r="GBW135" s="537"/>
      <c r="GBX135" s="537"/>
      <c r="GBY135" s="537"/>
      <c r="GBZ135" s="537"/>
      <c r="GCA135" s="537"/>
      <c r="GCB135" s="537"/>
      <c r="GCC135" s="537"/>
      <c r="GCD135" s="537"/>
      <c r="GCE135" s="537"/>
      <c r="GCF135" s="537"/>
      <c r="GCG135" s="537"/>
      <c r="GCH135" s="537"/>
      <c r="GCI135" s="537"/>
      <c r="GCJ135" s="537"/>
      <c r="GCK135" s="537"/>
      <c r="GCL135" s="537"/>
      <c r="GCM135" s="537"/>
      <c r="GCN135" s="537"/>
      <c r="GCO135" s="537"/>
      <c r="GCP135" s="537"/>
      <c r="GCQ135" s="537"/>
      <c r="GCR135" s="537"/>
      <c r="GCS135" s="537"/>
      <c r="GCT135" s="537"/>
      <c r="GCU135" s="537"/>
      <c r="GCV135" s="537"/>
      <c r="GCW135" s="537"/>
      <c r="GCX135" s="537"/>
      <c r="GCY135" s="537"/>
      <c r="GCZ135" s="537"/>
      <c r="GDA135" s="537"/>
      <c r="GDB135" s="537"/>
      <c r="GDC135" s="537"/>
      <c r="GDD135" s="537"/>
      <c r="GDE135" s="537"/>
      <c r="GDF135" s="537"/>
      <c r="GDG135" s="537"/>
      <c r="GDH135" s="537"/>
      <c r="GDI135" s="537"/>
      <c r="GDJ135" s="537"/>
      <c r="GDK135" s="537"/>
      <c r="GDL135" s="537"/>
      <c r="GDM135" s="537"/>
      <c r="GDN135" s="537"/>
      <c r="GDO135" s="537"/>
      <c r="GDP135" s="537"/>
      <c r="GDQ135" s="537"/>
      <c r="GDR135" s="537"/>
      <c r="GDS135" s="537"/>
      <c r="GDT135" s="537"/>
      <c r="GDU135" s="537"/>
      <c r="GDV135" s="537"/>
      <c r="GDW135" s="537"/>
      <c r="GDX135" s="537"/>
      <c r="GDY135" s="537"/>
      <c r="GDZ135" s="537"/>
      <c r="GEA135" s="537"/>
      <c r="GEB135" s="537"/>
      <c r="GEC135" s="537"/>
      <c r="GED135" s="537"/>
      <c r="GEE135" s="537"/>
      <c r="GEF135" s="537"/>
      <c r="GEG135" s="537"/>
      <c r="GEH135" s="537"/>
      <c r="GEI135" s="537"/>
      <c r="GEJ135" s="537"/>
      <c r="GEK135" s="537"/>
      <c r="GEL135" s="537"/>
      <c r="GEM135" s="537"/>
      <c r="GEN135" s="537"/>
      <c r="GEO135" s="537"/>
      <c r="GEP135" s="537"/>
      <c r="GEQ135" s="537"/>
      <c r="GER135" s="537"/>
      <c r="GES135" s="537"/>
      <c r="GET135" s="537"/>
      <c r="GEU135" s="537"/>
      <c r="GEV135" s="537"/>
      <c r="GEW135" s="537"/>
      <c r="GEX135" s="537"/>
      <c r="GEY135" s="537"/>
      <c r="GEZ135" s="537"/>
      <c r="GFA135" s="537"/>
      <c r="GFB135" s="537"/>
      <c r="GFC135" s="537"/>
      <c r="GFD135" s="537"/>
      <c r="GFE135" s="537"/>
      <c r="GFF135" s="537"/>
      <c r="GFG135" s="537"/>
      <c r="GFH135" s="537"/>
      <c r="GFI135" s="537"/>
      <c r="GFJ135" s="537"/>
      <c r="GFK135" s="537"/>
      <c r="GFL135" s="537"/>
      <c r="GFM135" s="537"/>
      <c r="GFN135" s="537"/>
      <c r="GFO135" s="537"/>
      <c r="GFP135" s="537"/>
      <c r="GFQ135" s="537"/>
      <c r="GFR135" s="537"/>
      <c r="GFS135" s="537"/>
      <c r="GFT135" s="537"/>
      <c r="GFU135" s="537"/>
      <c r="GFV135" s="537"/>
      <c r="GFW135" s="537"/>
      <c r="GFX135" s="537"/>
      <c r="GFY135" s="537"/>
      <c r="GFZ135" s="537"/>
      <c r="GGA135" s="537"/>
      <c r="GGB135" s="537"/>
      <c r="GGC135" s="537"/>
      <c r="GGD135" s="537"/>
      <c r="GGE135" s="537"/>
      <c r="GGF135" s="537"/>
      <c r="GGG135" s="537"/>
      <c r="GGH135" s="537"/>
      <c r="GGI135" s="537"/>
      <c r="GGJ135" s="537"/>
      <c r="GGK135" s="537"/>
      <c r="GGL135" s="537"/>
      <c r="GGM135" s="537"/>
      <c r="GGN135" s="537"/>
      <c r="GGO135" s="537"/>
      <c r="GGP135" s="537"/>
      <c r="GGQ135" s="537"/>
      <c r="GGR135" s="537"/>
      <c r="GGS135" s="537"/>
      <c r="GGT135" s="537"/>
      <c r="GGU135" s="537"/>
      <c r="GGV135" s="537"/>
      <c r="GGW135" s="537"/>
      <c r="GGX135" s="537"/>
      <c r="GGY135" s="537"/>
      <c r="GGZ135" s="537"/>
      <c r="GHA135" s="537"/>
      <c r="GHB135" s="537"/>
      <c r="GHC135" s="537"/>
      <c r="GHD135" s="537"/>
      <c r="GHE135" s="537"/>
      <c r="GHF135" s="537"/>
      <c r="GHG135" s="537"/>
      <c r="GHH135" s="537"/>
      <c r="GHI135" s="537"/>
      <c r="GHJ135" s="537"/>
      <c r="GHK135" s="537"/>
      <c r="GHL135" s="537"/>
      <c r="GHM135" s="537"/>
      <c r="GHN135" s="537"/>
      <c r="GHO135" s="537"/>
      <c r="GHP135" s="537"/>
      <c r="GHQ135" s="537"/>
      <c r="GHR135" s="537"/>
      <c r="GHS135" s="537"/>
      <c r="GHT135" s="537"/>
      <c r="GHU135" s="537"/>
      <c r="GHV135" s="537"/>
      <c r="GHW135" s="537"/>
      <c r="GHX135" s="537"/>
      <c r="GHY135" s="537"/>
      <c r="GHZ135" s="537"/>
      <c r="GIA135" s="537"/>
      <c r="GIB135" s="537"/>
      <c r="GIC135" s="537"/>
      <c r="GID135" s="537"/>
      <c r="GIE135" s="537"/>
      <c r="GIF135" s="537"/>
      <c r="GIG135" s="537"/>
      <c r="GIH135" s="537"/>
      <c r="GII135" s="537"/>
      <c r="GIJ135" s="537"/>
      <c r="GIK135" s="537"/>
      <c r="GIL135" s="537"/>
      <c r="GIM135" s="537"/>
      <c r="GIN135" s="537"/>
      <c r="GIO135" s="537"/>
      <c r="GIP135" s="537"/>
      <c r="GIQ135" s="537"/>
      <c r="GIR135" s="537"/>
      <c r="GIS135" s="537"/>
      <c r="GIT135" s="537"/>
      <c r="GIU135" s="537"/>
      <c r="GIV135" s="537"/>
      <c r="GIW135" s="537"/>
      <c r="GIX135" s="537"/>
      <c r="GIY135" s="537"/>
      <c r="GIZ135" s="537"/>
      <c r="GJA135" s="537"/>
      <c r="GJB135" s="537"/>
      <c r="GJC135" s="537"/>
      <c r="GJD135" s="537"/>
      <c r="GJE135" s="537"/>
      <c r="GJF135" s="537"/>
      <c r="GJG135" s="537"/>
      <c r="GJH135" s="537"/>
      <c r="GJI135" s="537"/>
      <c r="GJJ135" s="537"/>
      <c r="GJK135" s="537"/>
      <c r="GJL135" s="537"/>
      <c r="GJM135" s="537"/>
      <c r="GJN135" s="537"/>
      <c r="GJO135" s="537"/>
      <c r="GJP135" s="537"/>
      <c r="GJQ135" s="537"/>
      <c r="GJR135" s="537"/>
      <c r="GJS135" s="537"/>
      <c r="GJT135" s="537"/>
      <c r="GJU135" s="537"/>
      <c r="GJV135" s="537"/>
      <c r="GJW135" s="537"/>
      <c r="GJX135" s="537"/>
      <c r="GJY135" s="537"/>
      <c r="GJZ135" s="537"/>
      <c r="GKA135" s="537"/>
      <c r="GKB135" s="537"/>
      <c r="GKC135" s="537"/>
      <c r="GKD135" s="537"/>
      <c r="GKE135" s="537"/>
      <c r="GKF135" s="537"/>
      <c r="GKG135" s="537"/>
      <c r="GKH135" s="537"/>
      <c r="GKI135" s="537"/>
      <c r="GKJ135" s="537"/>
      <c r="GKK135" s="537"/>
      <c r="GKL135" s="537"/>
      <c r="GKM135" s="537"/>
      <c r="GKN135" s="537"/>
      <c r="GKO135" s="537"/>
      <c r="GKP135" s="537"/>
      <c r="GKQ135" s="537"/>
      <c r="GKR135" s="537"/>
      <c r="GKS135" s="537"/>
      <c r="GKT135" s="537"/>
      <c r="GKU135" s="537"/>
      <c r="GKV135" s="537"/>
      <c r="GKW135" s="537"/>
      <c r="GKX135" s="537"/>
      <c r="GKY135" s="537"/>
      <c r="GKZ135" s="537"/>
      <c r="GLA135" s="537"/>
      <c r="GLB135" s="537"/>
      <c r="GLC135" s="537"/>
      <c r="GLD135" s="537"/>
      <c r="GLE135" s="537"/>
      <c r="GLF135" s="537"/>
      <c r="GLG135" s="537"/>
      <c r="GLH135" s="537"/>
      <c r="GLI135" s="537"/>
      <c r="GLJ135" s="537"/>
      <c r="GLK135" s="537"/>
      <c r="GLL135" s="537"/>
      <c r="GLM135" s="537"/>
      <c r="GLN135" s="537"/>
      <c r="GLO135" s="537"/>
      <c r="GLP135" s="537"/>
      <c r="GLQ135" s="537"/>
      <c r="GLR135" s="537"/>
      <c r="GLS135" s="537"/>
      <c r="GLT135" s="537"/>
      <c r="GLU135" s="537"/>
      <c r="GLV135" s="537"/>
      <c r="GLW135" s="537"/>
      <c r="GLX135" s="537"/>
      <c r="GLY135" s="537"/>
      <c r="GLZ135" s="537"/>
      <c r="GMA135" s="537"/>
      <c r="GMB135" s="537"/>
      <c r="GMC135" s="537"/>
      <c r="GMD135" s="537"/>
      <c r="GME135" s="537"/>
      <c r="GMF135" s="537"/>
      <c r="GMG135" s="537"/>
      <c r="GMH135" s="537"/>
      <c r="GMI135" s="537"/>
      <c r="GMJ135" s="537"/>
      <c r="GMK135" s="537"/>
      <c r="GML135" s="537"/>
      <c r="GMM135" s="537"/>
      <c r="GMN135" s="537"/>
      <c r="GMO135" s="537"/>
      <c r="GMP135" s="537"/>
      <c r="GMQ135" s="537"/>
      <c r="GMR135" s="537"/>
      <c r="GMS135" s="537"/>
      <c r="GMT135" s="537"/>
      <c r="GMU135" s="537"/>
      <c r="GMV135" s="537"/>
      <c r="GMW135" s="537"/>
      <c r="GMX135" s="537"/>
      <c r="GMY135" s="537"/>
      <c r="GMZ135" s="537"/>
      <c r="GNA135" s="537"/>
      <c r="GNB135" s="537"/>
      <c r="GNC135" s="537"/>
      <c r="GND135" s="537"/>
      <c r="GNE135" s="537"/>
      <c r="GNF135" s="537"/>
      <c r="GNG135" s="537"/>
      <c r="GNH135" s="537"/>
      <c r="GNI135" s="537"/>
      <c r="GNJ135" s="537"/>
      <c r="GNK135" s="537"/>
      <c r="GNL135" s="537"/>
      <c r="GNM135" s="537"/>
      <c r="GNN135" s="537"/>
      <c r="GNO135" s="537"/>
      <c r="GNP135" s="537"/>
      <c r="GNQ135" s="537"/>
      <c r="GNR135" s="537"/>
      <c r="GNS135" s="537"/>
      <c r="GNT135" s="537"/>
      <c r="GNU135" s="537"/>
      <c r="GNV135" s="537"/>
      <c r="GNW135" s="537"/>
      <c r="GNX135" s="537"/>
      <c r="GNY135" s="537"/>
      <c r="GNZ135" s="537"/>
      <c r="GOA135" s="537"/>
      <c r="GOB135" s="537"/>
      <c r="GOC135" s="537"/>
      <c r="GOD135" s="537"/>
      <c r="GOE135" s="537"/>
      <c r="GOF135" s="537"/>
      <c r="GOG135" s="537"/>
      <c r="GOH135" s="537"/>
      <c r="GOI135" s="537"/>
      <c r="GOJ135" s="537"/>
      <c r="GOK135" s="537"/>
      <c r="GOL135" s="537"/>
      <c r="GOM135" s="537"/>
      <c r="GON135" s="537"/>
      <c r="GOO135" s="537"/>
      <c r="GOP135" s="537"/>
      <c r="GOQ135" s="537"/>
      <c r="GOR135" s="537"/>
      <c r="GOS135" s="537"/>
      <c r="GOT135" s="537"/>
      <c r="GOU135" s="537"/>
      <c r="GOV135" s="537"/>
      <c r="GOW135" s="537"/>
      <c r="GOX135" s="537"/>
      <c r="GOY135" s="537"/>
      <c r="GOZ135" s="537"/>
      <c r="GPA135" s="537"/>
      <c r="GPB135" s="537"/>
      <c r="GPC135" s="537"/>
      <c r="GPD135" s="537"/>
      <c r="GPE135" s="537"/>
      <c r="GPF135" s="537"/>
      <c r="GPG135" s="537"/>
      <c r="GPH135" s="537"/>
      <c r="GPI135" s="537"/>
      <c r="GPJ135" s="537"/>
      <c r="GPK135" s="537"/>
      <c r="GPL135" s="537"/>
      <c r="GPM135" s="537"/>
      <c r="GPN135" s="537"/>
      <c r="GPO135" s="537"/>
      <c r="GPP135" s="537"/>
      <c r="GPQ135" s="537"/>
      <c r="GPR135" s="537"/>
      <c r="GPS135" s="537"/>
      <c r="GPT135" s="537"/>
      <c r="GPU135" s="537"/>
      <c r="GPV135" s="537"/>
      <c r="GPW135" s="537"/>
      <c r="GPX135" s="537"/>
      <c r="GPY135" s="537"/>
      <c r="GPZ135" s="537"/>
      <c r="GQA135" s="537"/>
      <c r="GQB135" s="537"/>
      <c r="GQC135" s="537"/>
      <c r="GQD135" s="537"/>
      <c r="GQE135" s="537"/>
      <c r="GQF135" s="537"/>
      <c r="GQG135" s="537"/>
      <c r="GQH135" s="537"/>
      <c r="GQI135" s="537"/>
      <c r="GQJ135" s="537"/>
      <c r="GQK135" s="537"/>
      <c r="GQL135" s="537"/>
      <c r="GQM135" s="537"/>
      <c r="GQN135" s="537"/>
      <c r="GQO135" s="537"/>
      <c r="GQP135" s="537"/>
      <c r="GQQ135" s="537"/>
      <c r="GQR135" s="537"/>
      <c r="GQS135" s="537"/>
      <c r="GQT135" s="537"/>
      <c r="GQU135" s="537"/>
      <c r="GQV135" s="537"/>
      <c r="GQW135" s="537"/>
      <c r="GQX135" s="537"/>
      <c r="GQY135" s="537"/>
      <c r="GQZ135" s="537"/>
      <c r="GRA135" s="537"/>
      <c r="GRB135" s="537"/>
      <c r="GRC135" s="537"/>
      <c r="GRD135" s="537"/>
      <c r="GRE135" s="537"/>
      <c r="GRF135" s="537"/>
      <c r="GRG135" s="537"/>
      <c r="GRH135" s="537"/>
      <c r="GRI135" s="537"/>
      <c r="GRJ135" s="537"/>
      <c r="GRK135" s="537"/>
      <c r="GRL135" s="537"/>
      <c r="GRM135" s="537"/>
      <c r="GRN135" s="537"/>
      <c r="GRO135" s="537"/>
      <c r="GRP135" s="537"/>
      <c r="GRQ135" s="537"/>
      <c r="GRR135" s="537"/>
      <c r="GRS135" s="537"/>
      <c r="GRT135" s="537"/>
      <c r="GRU135" s="537"/>
      <c r="GRV135" s="537"/>
      <c r="GRW135" s="537"/>
      <c r="GRX135" s="537"/>
      <c r="GRY135" s="537"/>
      <c r="GRZ135" s="537"/>
      <c r="GSA135" s="537"/>
      <c r="GSB135" s="537"/>
      <c r="GSC135" s="537"/>
      <c r="GSD135" s="537"/>
      <c r="GSE135" s="537"/>
      <c r="GSF135" s="537"/>
      <c r="GSG135" s="537"/>
      <c r="GSH135" s="537"/>
      <c r="GSI135" s="537"/>
      <c r="GSJ135" s="537"/>
      <c r="GSK135" s="537"/>
      <c r="GSL135" s="537"/>
      <c r="GSM135" s="537"/>
      <c r="GSN135" s="537"/>
      <c r="GSO135" s="537"/>
      <c r="GSP135" s="537"/>
      <c r="GSQ135" s="537"/>
      <c r="GSR135" s="537"/>
      <c r="GSS135" s="537"/>
      <c r="GST135" s="537"/>
      <c r="GSU135" s="537"/>
      <c r="GSV135" s="537"/>
      <c r="GSW135" s="537"/>
      <c r="GSX135" s="537"/>
      <c r="GSY135" s="537"/>
      <c r="GSZ135" s="537"/>
      <c r="GTA135" s="537"/>
      <c r="GTB135" s="537"/>
      <c r="GTC135" s="537"/>
      <c r="GTD135" s="537"/>
      <c r="GTE135" s="537"/>
      <c r="GTF135" s="537"/>
      <c r="GTG135" s="537"/>
      <c r="GTH135" s="537"/>
      <c r="GTI135" s="537"/>
      <c r="GTJ135" s="537"/>
      <c r="GTK135" s="537"/>
      <c r="GTL135" s="537"/>
      <c r="GTM135" s="537"/>
      <c r="GTN135" s="537"/>
      <c r="GTO135" s="537"/>
      <c r="GTP135" s="537"/>
      <c r="GTQ135" s="537"/>
      <c r="GTR135" s="537"/>
      <c r="GTS135" s="537"/>
      <c r="GTT135" s="537"/>
      <c r="GTU135" s="537"/>
      <c r="GTV135" s="537"/>
      <c r="GTW135" s="537"/>
      <c r="GTX135" s="537"/>
      <c r="GTY135" s="537"/>
      <c r="GTZ135" s="537"/>
      <c r="GUA135" s="537"/>
      <c r="GUB135" s="537"/>
      <c r="GUC135" s="537"/>
      <c r="GUD135" s="537"/>
      <c r="GUE135" s="537"/>
      <c r="GUF135" s="537"/>
      <c r="GUG135" s="537"/>
      <c r="GUH135" s="537"/>
      <c r="GUI135" s="537"/>
      <c r="GUJ135" s="537"/>
      <c r="GUK135" s="537"/>
      <c r="GUL135" s="537"/>
      <c r="GUM135" s="537"/>
      <c r="GUN135" s="537"/>
      <c r="GUO135" s="537"/>
      <c r="GUP135" s="537"/>
      <c r="GUQ135" s="537"/>
      <c r="GUR135" s="537"/>
      <c r="GUS135" s="537"/>
      <c r="GUT135" s="537"/>
      <c r="GUU135" s="537"/>
      <c r="GUV135" s="537"/>
      <c r="GUW135" s="537"/>
      <c r="GUX135" s="537"/>
      <c r="GUY135" s="537"/>
      <c r="GUZ135" s="537"/>
      <c r="GVA135" s="537"/>
      <c r="GVB135" s="537"/>
      <c r="GVC135" s="537"/>
      <c r="GVD135" s="537"/>
      <c r="GVE135" s="537"/>
      <c r="GVF135" s="537"/>
      <c r="GVG135" s="537"/>
      <c r="GVH135" s="537"/>
      <c r="GVI135" s="537"/>
      <c r="GVJ135" s="537"/>
      <c r="GVK135" s="537"/>
      <c r="GVL135" s="537"/>
      <c r="GVM135" s="537"/>
      <c r="GVN135" s="537"/>
      <c r="GVO135" s="537"/>
      <c r="GVP135" s="537"/>
      <c r="GVQ135" s="537"/>
      <c r="GVR135" s="537"/>
      <c r="GVS135" s="537"/>
      <c r="GVT135" s="537"/>
      <c r="GVU135" s="537"/>
      <c r="GVV135" s="537"/>
      <c r="GVW135" s="537"/>
      <c r="GVX135" s="537"/>
      <c r="GVY135" s="537"/>
      <c r="GVZ135" s="537"/>
      <c r="GWA135" s="537"/>
      <c r="GWB135" s="537"/>
      <c r="GWC135" s="537"/>
      <c r="GWD135" s="537"/>
      <c r="GWE135" s="537"/>
      <c r="GWF135" s="537"/>
      <c r="GWG135" s="537"/>
      <c r="GWH135" s="537"/>
      <c r="GWI135" s="537"/>
      <c r="GWJ135" s="537"/>
      <c r="GWK135" s="537"/>
      <c r="GWL135" s="537"/>
      <c r="GWM135" s="537"/>
      <c r="GWN135" s="537"/>
      <c r="GWO135" s="537"/>
      <c r="GWP135" s="537"/>
      <c r="GWQ135" s="537"/>
      <c r="GWR135" s="537"/>
      <c r="GWS135" s="537"/>
      <c r="GWT135" s="537"/>
      <c r="GWU135" s="537"/>
      <c r="GWV135" s="537"/>
      <c r="GWW135" s="537"/>
      <c r="GWX135" s="537"/>
      <c r="GWY135" s="537"/>
      <c r="GWZ135" s="537"/>
      <c r="GXA135" s="537"/>
      <c r="GXB135" s="537"/>
      <c r="GXC135" s="537"/>
      <c r="GXD135" s="537"/>
      <c r="GXE135" s="537"/>
      <c r="GXF135" s="537"/>
      <c r="GXG135" s="537"/>
      <c r="GXH135" s="537"/>
      <c r="GXI135" s="537"/>
      <c r="GXJ135" s="537"/>
      <c r="GXK135" s="537"/>
      <c r="GXL135" s="537"/>
      <c r="GXM135" s="537"/>
      <c r="GXN135" s="537"/>
      <c r="GXO135" s="537"/>
      <c r="GXP135" s="537"/>
      <c r="GXQ135" s="537"/>
      <c r="GXR135" s="537"/>
      <c r="GXS135" s="537"/>
      <c r="GXT135" s="537"/>
      <c r="GXU135" s="537"/>
      <c r="GXV135" s="537"/>
      <c r="GXW135" s="537"/>
      <c r="GXX135" s="537"/>
      <c r="GXY135" s="537"/>
      <c r="GXZ135" s="537"/>
      <c r="GYA135" s="537"/>
      <c r="GYB135" s="537"/>
      <c r="GYC135" s="537"/>
      <c r="GYD135" s="537"/>
      <c r="GYE135" s="537"/>
      <c r="GYF135" s="537"/>
      <c r="GYG135" s="537"/>
      <c r="GYH135" s="537"/>
      <c r="GYI135" s="537"/>
      <c r="GYJ135" s="537"/>
      <c r="GYK135" s="537"/>
      <c r="GYL135" s="537"/>
      <c r="GYM135" s="537"/>
      <c r="GYN135" s="537"/>
      <c r="GYO135" s="537"/>
      <c r="GYP135" s="537"/>
      <c r="GYQ135" s="537"/>
      <c r="GYR135" s="537"/>
      <c r="GYS135" s="537"/>
      <c r="GYT135" s="537"/>
      <c r="GYU135" s="537"/>
      <c r="GYV135" s="537"/>
      <c r="GYW135" s="537"/>
      <c r="GYX135" s="537"/>
      <c r="GYY135" s="537"/>
      <c r="GYZ135" s="537"/>
      <c r="GZA135" s="537"/>
      <c r="GZB135" s="537"/>
      <c r="GZC135" s="537"/>
      <c r="GZD135" s="537"/>
      <c r="GZE135" s="537"/>
      <c r="GZF135" s="537"/>
      <c r="GZG135" s="537"/>
      <c r="GZH135" s="537"/>
      <c r="GZI135" s="537"/>
      <c r="GZJ135" s="537"/>
      <c r="GZK135" s="537"/>
      <c r="GZL135" s="537"/>
      <c r="GZM135" s="537"/>
      <c r="GZN135" s="537"/>
      <c r="GZO135" s="537"/>
      <c r="GZP135" s="537"/>
      <c r="GZQ135" s="537"/>
      <c r="GZR135" s="537"/>
      <c r="GZS135" s="537"/>
      <c r="GZT135" s="537"/>
      <c r="GZU135" s="537"/>
      <c r="GZV135" s="537"/>
      <c r="GZW135" s="537"/>
      <c r="GZX135" s="537"/>
      <c r="GZY135" s="537"/>
      <c r="GZZ135" s="537"/>
      <c r="HAA135" s="537"/>
      <c r="HAB135" s="537"/>
      <c r="HAC135" s="537"/>
      <c r="HAD135" s="537"/>
      <c r="HAE135" s="537"/>
      <c r="HAF135" s="537"/>
      <c r="HAG135" s="537"/>
      <c r="HAH135" s="537"/>
      <c r="HAI135" s="537"/>
      <c r="HAJ135" s="537"/>
      <c r="HAK135" s="537"/>
      <c r="HAL135" s="537"/>
      <c r="HAM135" s="537"/>
      <c r="HAN135" s="537"/>
      <c r="HAO135" s="537"/>
      <c r="HAP135" s="537"/>
      <c r="HAQ135" s="537"/>
      <c r="HAR135" s="537"/>
      <c r="HAS135" s="537"/>
      <c r="HAT135" s="537"/>
      <c r="HAU135" s="537"/>
      <c r="HAV135" s="537"/>
      <c r="HAW135" s="537"/>
      <c r="HAX135" s="537"/>
      <c r="HAY135" s="537"/>
      <c r="HAZ135" s="537"/>
      <c r="HBA135" s="537"/>
      <c r="HBB135" s="537"/>
      <c r="HBC135" s="537"/>
      <c r="HBD135" s="537"/>
      <c r="HBE135" s="537"/>
      <c r="HBF135" s="537"/>
      <c r="HBG135" s="537"/>
      <c r="HBH135" s="537"/>
      <c r="HBI135" s="537"/>
      <c r="HBJ135" s="537"/>
      <c r="HBK135" s="537"/>
      <c r="HBL135" s="537"/>
      <c r="HBM135" s="537"/>
      <c r="HBN135" s="537"/>
      <c r="HBO135" s="537"/>
      <c r="HBP135" s="537"/>
      <c r="HBQ135" s="537"/>
      <c r="HBR135" s="537"/>
      <c r="HBS135" s="537"/>
      <c r="HBT135" s="537"/>
      <c r="HBU135" s="537"/>
      <c r="HBV135" s="537"/>
      <c r="HBW135" s="537"/>
      <c r="HBX135" s="537"/>
      <c r="HBY135" s="537"/>
      <c r="HBZ135" s="537"/>
      <c r="HCA135" s="537"/>
      <c r="HCB135" s="537"/>
      <c r="HCC135" s="537"/>
      <c r="HCD135" s="537"/>
      <c r="HCE135" s="537"/>
      <c r="HCF135" s="537"/>
      <c r="HCG135" s="537"/>
      <c r="HCH135" s="537"/>
      <c r="HCI135" s="537"/>
      <c r="HCJ135" s="537"/>
      <c r="HCK135" s="537"/>
      <c r="HCL135" s="537"/>
      <c r="HCM135" s="537"/>
      <c r="HCN135" s="537"/>
      <c r="HCO135" s="537"/>
      <c r="HCP135" s="537"/>
      <c r="HCQ135" s="537"/>
      <c r="HCR135" s="537"/>
      <c r="HCS135" s="537"/>
      <c r="HCT135" s="537"/>
      <c r="HCU135" s="537"/>
      <c r="HCV135" s="537"/>
      <c r="HCW135" s="537"/>
      <c r="HCX135" s="537"/>
      <c r="HCY135" s="537"/>
      <c r="HCZ135" s="537"/>
      <c r="HDA135" s="537"/>
      <c r="HDB135" s="537"/>
      <c r="HDC135" s="537"/>
      <c r="HDD135" s="537"/>
      <c r="HDE135" s="537"/>
      <c r="HDF135" s="537"/>
      <c r="HDG135" s="537"/>
      <c r="HDH135" s="537"/>
      <c r="HDI135" s="537"/>
      <c r="HDJ135" s="537"/>
      <c r="HDK135" s="537"/>
      <c r="HDL135" s="537"/>
      <c r="HDM135" s="537"/>
      <c r="HDN135" s="537"/>
      <c r="HDO135" s="537"/>
      <c r="HDP135" s="537"/>
      <c r="HDQ135" s="537"/>
      <c r="HDR135" s="537"/>
      <c r="HDS135" s="537"/>
      <c r="HDT135" s="537"/>
      <c r="HDU135" s="537"/>
      <c r="HDV135" s="537"/>
      <c r="HDW135" s="537"/>
      <c r="HDX135" s="537"/>
      <c r="HDY135" s="537"/>
      <c r="HDZ135" s="537"/>
      <c r="HEA135" s="537"/>
      <c r="HEB135" s="537"/>
      <c r="HEC135" s="537"/>
      <c r="HED135" s="537"/>
      <c r="HEE135" s="537"/>
      <c r="HEF135" s="537"/>
      <c r="HEG135" s="537"/>
      <c r="HEH135" s="537"/>
      <c r="HEI135" s="537"/>
      <c r="HEJ135" s="537"/>
      <c r="HEK135" s="537"/>
      <c r="HEL135" s="537"/>
      <c r="HEM135" s="537"/>
      <c r="HEN135" s="537"/>
      <c r="HEO135" s="537"/>
      <c r="HEP135" s="537"/>
      <c r="HEQ135" s="537"/>
      <c r="HER135" s="537"/>
      <c r="HES135" s="537"/>
      <c r="HET135" s="537"/>
      <c r="HEU135" s="537"/>
      <c r="HEV135" s="537"/>
      <c r="HEW135" s="537"/>
      <c r="HEX135" s="537"/>
      <c r="HEY135" s="537"/>
      <c r="HEZ135" s="537"/>
      <c r="HFA135" s="537"/>
      <c r="HFB135" s="537"/>
      <c r="HFC135" s="537"/>
      <c r="HFD135" s="537"/>
      <c r="HFE135" s="537"/>
      <c r="HFF135" s="537"/>
      <c r="HFG135" s="537"/>
      <c r="HFH135" s="537"/>
      <c r="HFI135" s="537"/>
      <c r="HFJ135" s="537"/>
      <c r="HFK135" s="537"/>
      <c r="HFL135" s="537"/>
      <c r="HFM135" s="537"/>
      <c r="HFN135" s="537"/>
      <c r="HFO135" s="537"/>
      <c r="HFP135" s="537"/>
      <c r="HFQ135" s="537"/>
      <c r="HFR135" s="537"/>
      <c r="HFS135" s="537"/>
      <c r="HFT135" s="537"/>
      <c r="HFU135" s="537"/>
      <c r="HFV135" s="537"/>
      <c r="HFW135" s="537"/>
      <c r="HFX135" s="537"/>
      <c r="HFY135" s="537"/>
      <c r="HFZ135" s="537"/>
      <c r="HGA135" s="537"/>
      <c r="HGB135" s="537"/>
      <c r="HGC135" s="537"/>
      <c r="HGD135" s="537"/>
      <c r="HGE135" s="537"/>
      <c r="HGF135" s="537"/>
      <c r="HGG135" s="537"/>
      <c r="HGH135" s="537"/>
      <c r="HGI135" s="537"/>
      <c r="HGJ135" s="537"/>
      <c r="HGK135" s="537"/>
      <c r="HGL135" s="537"/>
      <c r="HGM135" s="537"/>
      <c r="HGN135" s="537"/>
      <c r="HGO135" s="537"/>
      <c r="HGP135" s="537"/>
      <c r="HGQ135" s="537"/>
      <c r="HGR135" s="537"/>
      <c r="HGS135" s="537"/>
      <c r="HGT135" s="537"/>
      <c r="HGU135" s="537"/>
      <c r="HGV135" s="537"/>
      <c r="HGW135" s="537"/>
      <c r="HGX135" s="537"/>
      <c r="HGY135" s="537"/>
      <c r="HGZ135" s="537"/>
      <c r="HHA135" s="537"/>
      <c r="HHB135" s="537"/>
      <c r="HHC135" s="537"/>
      <c r="HHD135" s="537"/>
      <c r="HHE135" s="537"/>
      <c r="HHF135" s="537"/>
      <c r="HHG135" s="537"/>
      <c r="HHH135" s="537"/>
      <c r="HHI135" s="537"/>
      <c r="HHJ135" s="537"/>
      <c r="HHK135" s="537"/>
      <c r="HHL135" s="537"/>
      <c r="HHM135" s="537"/>
      <c r="HHN135" s="537"/>
      <c r="HHO135" s="537"/>
      <c r="HHP135" s="537"/>
      <c r="HHQ135" s="537"/>
      <c r="HHR135" s="537"/>
      <c r="HHS135" s="537"/>
      <c r="HHT135" s="537"/>
      <c r="HHU135" s="537"/>
      <c r="HHV135" s="537"/>
      <c r="HHW135" s="537"/>
      <c r="HHX135" s="537"/>
      <c r="HHY135" s="537"/>
      <c r="HHZ135" s="537"/>
      <c r="HIA135" s="537"/>
      <c r="HIB135" s="537"/>
      <c r="HIC135" s="537"/>
      <c r="HID135" s="537"/>
      <c r="HIE135" s="537"/>
      <c r="HIF135" s="537"/>
      <c r="HIG135" s="537"/>
      <c r="HIH135" s="537"/>
      <c r="HII135" s="537"/>
      <c r="HIJ135" s="537"/>
      <c r="HIK135" s="537"/>
      <c r="HIL135" s="537"/>
      <c r="HIM135" s="537"/>
      <c r="HIN135" s="537"/>
      <c r="HIO135" s="537"/>
      <c r="HIP135" s="537"/>
      <c r="HIQ135" s="537"/>
      <c r="HIR135" s="537"/>
      <c r="HIS135" s="537"/>
      <c r="HIT135" s="537"/>
      <c r="HIU135" s="537"/>
      <c r="HIV135" s="537"/>
      <c r="HIW135" s="537"/>
      <c r="HIX135" s="537"/>
      <c r="HIY135" s="537"/>
      <c r="HIZ135" s="537"/>
      <c r="HJA135" s="537"/>
      <c r="HJB135" s="537"/>
      <c r="HJC135" s="537"/>
      <c r="HJD135" s="537"/>
      <c r="HJE135" s="537"/>
      <c r="HJF135" s="537"/>
      <c r="HJG135" s="537"/>
      <c r="HJH135" s="537"/>
      <c r="HJI135" s="537"/>
      <c r="HJJ135" s="537"/>
      <c r="HJK135" s="537"/>
      <c r="HJL135" s="537"/>
      <c r="HJM135" s="537"/>
      <c r="HJN135" s="537"/>
      <c r="HJO135" s="537"/>
      <c r="HJP135" s="537"/>
      <c r="HJQ135" s="537"/>
      <c r="HJR135" s="537"/>
      <c r="HJS135" s="537"/>
      <c r="HJT135" s="537"/>
      <c r="HJU135" s="537"/>
      <c r="HJV135" s="537"/>
      <c r="HJW135" s="537"/>
      <c r="HJX135" s="537"/>
      <c r="HJY135" s="537"/>
      <c r="HJZ135" s="537"/>
      <c r="HKA135" s="537"/>
      <c r="HKB135" s="537"/>
      <c r="HKC135" s="537"/>
      <c r="HKD135" s="537"/>
      <c r="HKE135" s="537"/>
      <c r="HKF135" s="537"/>
      <c r="HKG135" s="537"/>
      <c r="HKH135" s="537"/>
      <c r="HKI135" s="537"/>
      <c r="HKJ135" s="537"/>
      <c r="HKK135" s="537"/>
      <c r="HKL135" s="537"/>
      <c r="HKM135" s="537"/>
      <c r="HKN135" s="537"/>
      <c r="HKO135" s="537"/>
      <c r="HKP135" s="537"/>
      <c r="HKQ135" s="537"/>
      <c r="HKR135" s="537"/>
      <c r="HKS135" s="537"/>
      <c r="HKT135" s="537"/>
      <c r="HKU135" s="537"/>
      <c r="HKV135" s="537"/>
      <c r="HKW135" s="537"/>
      <c r="HKX135" s="537"/>
      <c r="HKY135" s="537"/>
      <c r="HKZ135" s="537"/>
      <c r="HLA135" s="537"/>
      <c r="HLB135" s="537"/>
      <c r="HLC135" s="537"/>
      <c r="HLD135" s="537"/>
      <c r="HLE135" s="537"/>
      <c r="HLF135" s="537"/>
      <c r="HLG135" s="537"/>
      <c r="HLH135" s="537"/>
      <c r="HLI135" s="537"/>
      <c r="HLJ135" s="537"/>
      <c r="HLK135" s="537"/>
      <c r="HLL135" s="537"/>
      <c r="HLM135" s="537"/>
      <c r="HLN135" s="537"/>
      <c r="HLO135" s="537"/>
      <c r="HLP135" s="537"/>
      <c r="HLQ135" s="537"/>
      <c r="HLR135" s="537"/>
      <c r="HLS135" s="537"/>
      <c r="HLT135" s="537"/>
      <c r="HLU135" s="537"/>
      <c r="HLV135" s="537"/>
      <c r="HLW135" s="537"/>
      <c r="HLX135" s="537"/>
      <c r="HLY135" s="537"/>
      <c r="HLZ135" s="537"/>
      <c r="HMA135" s="537"/>
      <c r="HMB135" s="537"/>
      <c r="HMC135" s="537"/>
      <c r="HMD135" s="537"/>
      <c r="HME135" s="537"/>
      <c r="HMF135" s="537"/>
      <c r="HMG135" s="537"/>
      <c r="HMH135" s="537"/>
      <c r="HMI135" s="537"/>
      <c r="HMJ135" s="537"/>
      <c r="HMK135" s="537"/>
      <c r="HML135" s="537"/>
      <c r="HMM135" s="537"/>
      <c r="HMN135" s="537"/>
      <c r="HMO135" s="537"/>
      <c r="HMP135" s="537"/>
      <c r="HMQ135" s="537"/>
      <c r="HMR135" s="537"/>
      <c r="HMS135" s="537"/>
      <c r="HMT135" s="537"/>
      <c r="HMU135" s="537"/>
      <c r="HMV135" s="537"/>
      <c r="HMW135" s="537"/>
      <c r="HMX135" s="537"/>
      <c r="HMY135" s="537"/>
      <c r="HMZ135" s="537"/>
      <c r="HNA135" s="537"/>
      <c r="HNB135" s="537"/>
      <c r="HNC135" s="537"/>
      <c r="HND135" s="537"/>
      <c r="HNE135" s="537"/>
      <c r="HNF135" s="537"/>
      <c r="HNG135" s="537"/>
      <c r="HNH135" s="537"/>
      <c r="HNI135" s="537"/>
      <c r="HNJ135" s="537"/>
      <c r="HNK135" s="537"/>
      <c r="HNL135" s="537"/>
      <c r="HNM135" s="537"/>
      <c r="HNN135" s="537"/>
      <c r="HNO135" s="537"/>
      <c r="HNP135" s="537"/>
      <c r="HNQ135" s="537"/>
      <c r="HNR135" s="537"/>
      <c r="HNS135" s="537"/>
      <c r="HNT135" s="537"/>
      <c r="HNU135" s="537"/>
      <c r="HNV135" s="537"/>
      <c r="HNW135" s="537"/>
      <c r="HNX135" s="537"/>
      <c r="HNY135" s="537"/>
      <c r="HNZ135" s="537"/>
      <c r="HOA135" s="537"/>
      <c r="HOB135" s="537"/>
      <c r="HOC135" s="537"/>
      <c r="HOD135" s="537"/>
      <c r="HOE135" s="537"/>
      <c r="HOF135" s="537"/>
      <c r="HOG135" s="537"/>
      <c r="HOH135" s="537"/>
      <c r="HOI135" s="537"/>
      <c r="HOJ135" s="537"/>
      <c r="HOK135" s="537"/>
      <c r="HOL135" s="537"/>
      <c r="HOM135" s="537"/>
      <c r="HON135" s="537"/>
      <c r="HOO135" s="537"/>
      <c r="HOP135" s="537"/>
      <c r="HOQ135" s="537"/>
      <c r="HOR135" s="537"/>
      <c r="HOS135" s="537"/>
      <c r="HOT135" s="537"/>
      <c r="HOU135" s="537"/>
      <c r="HOV135" s="537"/>
      <c r="HOW135" s="537"/>
      <c r="HOX135" s="537"/>
      <c r="HOY135" s="537"/>
      <c r="HOZ135" s="537"/>
      <c r="HPA135" s="537"/>
      <c r="HPB135" s="537"/>
      <c r="HPC135" s="537"/>
      <c r="HPD135" s="537"/>
      <c r="HPE135" s="537"/>
      <c r="HPF135" s="537"/>
      <c r="HPG135" s="537"/>
      <c r="HPH135" s="537"/>
      <c r="HPI135" s="537"/>
      <c r="HPJ135" s="537"/>
      <c r="HPK135" s="537"/>
      <c r="HPL135" s="537"/>
      <c r="HPM135" s="537"/>
      <c r="HPN135" s="537"/>
      <c r="HPO135" s="537"/>
      <c r="HPP135" s="537"/>
      <c r="HPQ135" s="537"/>
      <c r="HPR135" s="537"/>
      <c r="HPS135" s="537"/>
      <c r="HPT135" s="537"/>
      <c r="HPU135" s="537"/>
      <c r="HPV135" s="537"/>
      <c r="HPW135" s="537"/>
      <c r="HPX135" s="537"/>
      <c r="HPY135" s="537"/>
      <c r="HPZ135" s="537"/>
      <c r="HQA135" s="537"/>
      <c r="HQB135" s="537"/>
      <c r="HQC135" s="537"/>
      <c r="HQD135" s="537"/>
      <c r="HQE135" s="537"/>
      <c r="HQF135" s="537"/>
      <c r="HQG135" s="537"/>
      <c r="HQH135" s="537"/>
      <c r="HQI135" s="537"/>
      <c r="HQJ135" s="537"/>
      <c r="HQK135" s="537"/>
      <c r="HQL135" s="537"/>
      <c r="HQM135" s="537"/>
      <c r="HQN135" s="537"/>
      <c r="HQO135" s="537"/>
      <c r="HQP135" s="537"/>
      <c r="HQQ135" s="537"/>
      <c r="HQR135" s="537"/>
      <c r="HQS135" s="537"/>
      <c r="HQT135" s="537"/>
      <c r="HQU135" s="537"/>
      <c r="HQV135" s="537"/>
      <c r="HQW135" s="537"/>
      <c r="HQX135" s="537"/>
      <c r="HQY135" s="537"/>
      <c r="HQZ135" s="537"/>
      <c r="HRA135" s="537"/>
      <c r="HRB135" s="537"/>
      <c r="HRC135" s="537"/>
      <c r="HRD135" s="537"/>
      <c r="HRE135" s="537"/>
      <c r="HRF135" s="537"/>
      <c r="HRG135" s="537"/>
      <c r="HRH135" s="537"/>
      <c r="HRI135" s="537"/>
      <c r="HRJ135" s="537"/>
      <c r="HRK135" s="537"/>
      <c r="HRL135" s="537"/>
      <c r="HRM135" s="537"/>
      <c r="HRN135" s="537"/>
      <c r="HRO135" s="537"/>
      <c r="HRP135" s="537"/>
      <c r="HRQ135" s="537"/>
      <c r="HRR135" s="537"/>
      <c r="HRS135" s="537"/>
      <c r="HRT135" s="537"/>
      <c r="HRU135" s="537"/>
      <c r="HRV135" s="537"/>
      <c r="HRW135" s="537"/>
      <c r="HRX135" s="537"/>
      <c r="HRY135" s="537"/>
      <c r="HRZ135" s="537"/>
      <c r="HSA135" s="537"/>
      <c r="HSB135" s="537"/>
      <c r="HSC135" s="537"/>
      <c r="HSD135" s="537"/>
      <c r="HSE135" s="537"/>
      <c r="HSF135" s="537"/>
      <c r="HSG135" s="537"/>
      <c r="HSH135" s="537"/>
      <c r="HSI135" s="537"/>
      <c r="HSJ135" s="537"/>
      <c r="HSK135" s="537"/>
      <c r="HSL135" s="537"/>
      <c r="HSM135" s="537"/>
      <c r="HSN135" s="537"/>
      <c r="HSO135" s="537"/>
      <c r="HSP135" s="537"/>
      <c r="HSQ135" s="537"/>
      <c r="HSR135" s="537"/>
      <c r="HSS135" s="537"/>
      <c r="HST135" s="537"/>
      <c r="HSU135" s="537"/>
      <c r="HSV135" s="537"/>
      <c r="HSW135" s="537"/>
      <c r="HSX135" s="537"/>
      <c r="HSY135" s="537"/>
      <c r="HSZ135" s="537"/>
      <c r="HTA135" s="537"/>
      <c r="HTB135" s="537"/>
      <c r="HTC135" s="537"/>
      <c r="HTD135" s="537"/>
      <c r="HTE135" s="537"/>
      <c r="HTF135" s="537"/>
      <c r="HTG135" s="537"/>
      <c r="HTH135" s="537"/>
      <c r="HTI135" s="537"/>
      <c r="HTJ135" s="537"/>
      <c r="HTK135" s="537"/>
      <c r="HTL135" s="537"/>
      <c r="HTM135" s="537"/>
      <c r="HTN135" s="537"/>
      <c r="HTO135" s="537"/>
      <c r="HTP135" s="537"/>
      <c r="HTQ135" s="537"/>
      <c r="HTR135" s="537"/>
      <c r="HTS135" s="537"/>
      <c r="HTT135" s="537"/>
      <c r="HTU135" s="537"/>
      <c r="HTV135" s="537"/>
      <c r="HTW135" s="537"/>
      <c r="HTX135" s="537"/>
      <c r="HTY135" s="537"/>
      <c r="HTZ135" s="537"/>
      <c r="HUA135" s="537"/>
      <c r="HUB135" s="537"/>
      <c r="HUC135" s="537"/>
      <c r="HUD135" s="537"/>
      <c r="HUE135" s="537"/>
      <c r="HUF135" s="537"/>
      <c r="HUG135" s="537"/>
      <c r="HUH135" s="537"/>
      <c r="HUI135" s="537"/>
      <c r="HUJ135" s="537"/>
      <c r="HUK135" s="537"/>
      <c r="HUL135" s="537"/>
      <c r="HUM135" s="537"/>
      <c r="HUN135" s="537"/>
      <c r="HUO135" s="537"/>
      <c r="HUP135" s="537"/>
      <c r="HUQ135" s="537"/>
      <c r="HUR135" s="537"/>
      <c r="HUS135" s="537"/>
      <c r="HUT135" s="537"/>
      <c r="HUU135" s="537"/>
      <c r="HUV135" s="537"/>
      <c r="HUW135" s="537"/>
      <c r="HUX135" s="537"/>
      <c r="HUY135" s="537"/>
      <c r="HUZ135" s="537"/>
      <c r="HVA135" s="537"/>
      <c r="HVB135" s="537"/>
      <c r="HVC135" s="537"/>
      <c r="HVD135" s="537"/>
      <c r="HVE135" s="537"/>
      <c r="HVF135" s="537"/>
      <c r="HVG135" s="537"/>
      <c r="HVH135" s="537"/>
      <c r="HVI135" s="537"/>
      <c r="HVJ135" s="537"/>
      <c r="HVK135" s="537"/>
      <c r="HVL135" s="537"/>
      <c r="HVM135" s="537"/>
      <c r="HVN135" s="537"/>
      <c r="HVO135" s="537"/>
      <c r="HVP135" s="537"/>
      <c r="HVQ135" s="537"/>
      <c r="HVR135" s="537"/>
      <c r="HVS135" s="537"/>
      <c r="HVT135" s="537"/>
      <c r="HVU135" s="537"/>
      <c r="HVV135" s="537"/>
      <c r="HVW135" s="537"/>
      <c r="HVX135" s="537"/>
      <c r="HVY135" s="537"/>
      <c r="HVZ135" s="537"/>
      <c r="HWA135" s="537"/>
      <c r="HWB135" s="537"/>
      <c r="HWC135" s="537"/>
      <c r="HWD135" s="537"/>
      <c r="HWE135" s="537"/>
      <c r="HWF135" s="537"/>
      <c r="HWG135" s="537"/>
      <c r="HWH135" s="537"/>
      <c r="HWI135" s="537"/>
      <c r="HWJ135" s="537"/>
      <c r="HWK135" s="537"/>
      <c r="HWL135" s="537"/>
      <c r="HWM135" s="537"/>
      <c r="HWN135" s="537"/>
      <c r="HWO135" s="537"/>
      <c r="HWP135" s="537"/>
      <c r="HWQ135" s="537"/>
      <c r="HWR135" s="537"/>
      <c r="HWS135" s="537"/>
      <c r="HWT135" s="537"/>
      <c r="HWU135" s="537"/>
      <c r="HWV135" s="537"/>
      <c r="HWW135" s="537"/>
      <c r="HWX135" s="537"/>
      <c r="HWY135" s="537"/>
      <c r="HWZ135" s="537"/>
      <c r="HXA135" s="537"/>
      <c r="HXB135" s="537"/>
      <c r="HXC135" s="537"/>
      <c r="HXD135" s="537"/>
      <c r="HXE135" s="537"/>
      <c r="HXF135" s="537"/>
      <c r="HXG135" s="537"/>
      <c r="HXH135" s="537"/>
      <c r="HXI135" s="537"/>
      <c r="HXJ135" s="537"/>
      <c r="HXK135" s="537"/>
      <c r="HXL135" s="537"/>
      <c r="HXM135" s="537"/>
      <c r="HXN135" s="537"/>
      <c r="HXO135" s="537"/>
      <c r="HXP135" s="537"/>
      <c r="HXQ135" s="537"/>
      <c r="HXR135" s="537"/>
      <c r="HXS135" s="537"/>
      <c r="HXT135" s="537"/>
      <c r="HXU135" s="537"/>
      <c r="HXV135" s="537"/>
      <c r="HXW135" s="537"/>
      <c r="HXX135" s="537"/>
      <c r="HXY135" s="537"/>
      <c r="HXZ135" s="537"/>
      <c r="HYA135" s="537"/>
      <c r="HYB135" s="537"/>
      <c r="HYC135" s="537"/>
      <c r="HYD135" s="537"/>
      <c r="HYE135" s="537"/>
      <c r="HYF135" s="537"/>
      <c r="HYG135" s="537"/>
      <c r="HYH135" s="537"/>
      <c r="HYI135" s="537"/>
      <c r="HYJ135" s="537"/>
      <c r="HYK135" s="537"/>
      <c r="HYL135" s="537"/>
      <c r="HYM135" s="537"/>
      <c r="HYN135" s="537"/>
      <c r="HYO135" s="537"/>
      <c r="HYP135" s="537"/>
      <c r="HYQ135" s="537"/>
      <c r="HYR135" s="537"/>
      <c r="HYS135" s="537"/>
      <c r="HYT135" s="537"/>
      <c r="HYU135" s="537"/>
      <c r="HYV135" s="537"/>
      <c r="HYW135" s="537"/>
      <c r="HYX135" s="537"/>
      <c r="HYY135" s="537"/>
      <c r="HYZ135" s="537"/>
      <c r="HZA135" s="537"/>
      <c r="HZB135" s="537"/>
      <c r="HZC135" s="537"/>
      <c r="HZD135" s="537"/>
      <c r="HZE135" s="537"/>
      <c r="HZF135" s="537"/>
      <c r="HZG135" s="537"/>
      <c r="HZH135" s="537"/>
      <c r="HZI135" s="537"/>
      <c r="HZJ135" s="537"/>
      <c r="HZK135" s="537"/>
      <c r="HZL135" s="537"/>
      <c r="HZM135" s="537"/>
      <c r="HZN135" s="537"/>
      <c r="HZO135" s="537"/>
      <c r="HZP135" s="537"/>
      <c r="HZQ135" s="537"/>
      <c r="HZR135" s="537"/>
      <c r="HZS135" s="537"/>
      <c r="HZT135" s="537"/>
      <c r="HZU135" s="537"/>
      <c r="HZV135" s="537"/>
      <c r="HZW135" s="537"/>
      <c r="HZX135" s="537"/>
      <c r="HZY135" s="537"/>
      <c r="HZZ135" s="537"/>
      <c r="IAA135" s="537"/>
      <c r="IAB135" s="537"/>
      <c r="IAC135" s="537"/>
      <c r="IAD135" s="537"/>
      <c r="IAE135" s="537"/>
      <c r="IAF135" s="537"/>
      <c r="IAG135" s="537"/>
      <c r="IAH135" s="537"/>
      <c r="IAI135" s="537"/>
      <c r="IAJ135" s="537"/>
      <c r="IAK135" s="537"/>
      <c r="IAL135" s="537"/>
      <c r="IAM135" s="537"/>
      <c r="IAN135" s="537"/>
      <c r="IAO135" s="537"/>
      <c r="IAP135" s="537"/>
      <c r="IAQ135" s="537"/>
      <c r="IAR135" s="537"/>
      <c r="IAS135" s="537"/>
      <c r="IAT135" s="537"/>
      <c r="IAU135" s="537"/>
      <c r="IAV135" s="537"/>
      <c r="IAW135" s="537"/>
      <c r="IAX135" s="537"/>
      <c r="IAY135" s="537"/>
      <c r="IAZ135" s="537"/>
      <c r="IBA135" s="537"/>
      <c r="IBB135" s="537"/>
      <c r="IBC135" s="537"/>
      <c r="IBD135" s="537"/>
      <c r="IBE135" s="537"/>
      <c r="IBF135" s="537"/>
      <c r="IBG135" s="537"/>
      <c r="IBH135" s="537"/>
      <c r="IBI135" s="537"/>
      <c r="IBJ135" s="537"/>
      <c r="IBK135" s="537"/>
      <c r="IBL135" s="537"/>
      <c r="IBM135" s="537"/>
      <c r="IBN135" s="537"/>
      <c r="IBO135" s="537"/>
      <c r="IBP135" s="537"/>
      <c r="IBQ135" s="537"/>
      <c r="IBR135" s="537"/>
      <c r="IBS135" s="537"/>
      <c r="IBT135" s="537"/>
      <c r="IBU135" s="537"/>
      <c r="IBV135" s="537"/>
      <c r="IBW135" s="537"/>
      <c r="IBX135" s="537"/>
      <c r="IBY135" s="537"/>
      <c r="IBZ135" s="537"/>
      <c r="ICA135" s="537"/>
      <c r="ICB135" s="537"/>
      <c r="ICC135" s="537"/>
      <c r="ICD135" s="537"/>
      <c r="ICE135" s="537"/>
      <c r="ICF135" s="537"/>
      <c r="ICG135" s="537"/>
      <c r="ICH135" s="537"/>
      <c r="ICI135" s="537"/>
      <c r="ICJ135" s="537"/>
      <c r="ICK135" s="537"/>
      <c r="ICL135" s="537"/>
      <c r="ICM135" s="537"/>
      <c r="ICN135" s="537"/>
      <c r="ICO135" s="537"/>
      <c r="ICP135" s="537"/>
      <c r="ICQ135" s="537"/>
      <c r="ICR135" s="537"/>
      <c r="ICS135" s="537"/>
      <c r="ICT135" s="537"/>
      <c r="ICU135" s="537"/>
      <c r="ICV135" s="537"/>
      <c r="ICW135" s="537"/>
      <c r="ICX135" s="537"/>
      <c r="ICY135" s="537"/>
      <c r="ICZ135" s="537"/>
      <c r="IDA135" s="537"/>
      <c r="IDB135" s="537"/>
      <c r="IDC135" s="537"/>
      <c r="IDD135" s="537"/>
      <c r="IDE135" s="537"/>
      <c r="IDF135" s="537"/>
      <c r="IDG135" s="537"/>
      <c r="IDH135" s="537"/>
      <c r="IDI135" s="537"/>
      <c r="IDJ135" s="537"/>
      <c r="IDK135" s="537"/>
      <c r="IDL135" s="537"/>
      <c r="IDM135" s="537"/>
      <c r="IDN135" s="537"/>
      <c r="IDO135" s="537"/>
      <c r="IDP135" s="537"/>
      <c r="IDQ135" s="537"/>
      <c r="IDR135" s="537"/>
      <c r="IDS135" s="537"/>
      <c r="IDT135" s="537"/>
      <c r="IDU135" s="537"/>
      <c r="IDV135" s="537"/>
      <c r="IDW135" s="537"/>
      <c r="IDX135" s="537"/>
      <c r="IDY135" s="537"/>
      <c r="IDZ135" s="537"/>
      <c r="IEA135" s="537"/>
      <c r="IEB135" s="537"/>
      <c r="IEC135" s="537"/>
      <c r="IED135" s="537"/>
      <c r="IEE135" s="537"/>
      <c r="IEF135" s="537"/>
      <c r="IEG135" s="537"/>
      <c r="IEH135" s="537"/>
      <c r="IEI135" s="537"/>
      <c r="IEJ135" s="537"/>
      <c r="IEK135" s="537"/>
      <c r="IEL135" s="537"/>
      <c r="IEM135" s="537"/>
      <c r="IEN135" s="537"/>
      <c r="IEO135" s="537"/>
      <c r="IEP135" s="537"/>
      <c r="IEQ135" s="537"/>
      <c r="IER135" s="537"/>
      <c r="IES135" s="537"/>
      <c r="IET135" s="537"/>
      <c r="IEU135" s="537"/>
      <c r="IEV135" s="537"/>
      <c r="IEW135" s="537"/>
      <c r="IEX135" s="537"/>
      <c r="IEY135" s="537"/>
      <c r="IEZ135" s="537"/>
      <c r="IFA135" s="537"/>
      <c r="IFB135" s="537"/>
      <c r="IFC135" s="537"/>
      <c r="IFD135" s="537"/>
      <c r="IFE135" s="537"/>
      <c r="IFF135" s="537"/>
      <c r="IFG135" s="537"/>
      <c r="IFH135" s="537"/>
      <c r="IFI135" s="537"/>
      <c r="IFJ135" s="537"/>
      <c r="IFK135" s="537"/>
      <c r="IFL135" s="537"/>
      <c r="IFM135" s="537"/>
      <c r="IFN135" s="537"/>
      <c r="IFO135" s="537"/>
      <c r="IFP135" s="537"/>
      <c r="IFQ135" s="537"/>
      <c r="IFR135" s="537"/>
      <c r="IFS135" s="537"/>
      <c r="IFT135" s="537"/>
      <c r="IFU135" s="537"/>
      <c r="IFV135" s="537"/>
      <c r="IFW135" s="537"/>
      <c r="IFX135" s="537"/>
      <c r="IFY135" s="537"/>
      <c r="IFZ135" s="537"/>
      <c r="IGA135" s="537"/>
      <c r="IGB135" s="537"/>
      <c r="IGC135" s="537"/>
      <c r="IGD135" s="537"/>
      <c r="IGE135" s="537"/>
      <c r="IGF135" s="537"/>
      <c r="IGG135" s="537"/>
      <c r="IGH135" s="537"/>
      <c r="IGI135" s="537"/>
      <c r="IGJ135" s="537"/>
      <c r="IGK135" s="537"/>
      <c r="IGL135" s="537"/>
      <c r="IGM135" s="537"/>
      <c r="IGN135" s="537"/>
      <c r="IGO135" s="537"/>
      <c r="IGP135" s="537"/>
      <c r="IGQ135" s="537"/>
      <c r="IGR135" s="537"/>
      <c r="IGS135" s="537"/>
      <c r="IGT135" s="537"/>
      <c r="IGU135" s="537"/>
      <c r="IGV135" s="537"/>
      <c r="IGW135" s="537"/>
      <c r="IGX135" s="537"/>
      <c r="IGY135" s="537"/>
      <c r="IGZ135" s="537"/>
      <c r="IHA135" s="537"/>
      <c r="IHB135" s="537"/>
      <c r="IHC135" s="537"/>
      <c r="IHD135" s="537"/>
      <c r="IHE135" s="537"/>
      <c r="IHF135" s="537"/>
      <c r="IHG135" s="537"/>
      <c r="IHH135" s="537"/>
      <c r="IHI135" s="537"/>
      <c r="IHJ135" s="537"/>
      <c r="IHK135" s="537"/>
      <c r="IHL135" s="537"/>
      <c r="IHM135" s="537"/>
      <c r="IHN135" s="537"/>
      <c r="IHO135" s="537"/>
      <c r="IHP135" s="537"/>
      <c r="IHQ135" s="537"/>
      <c r="IHR135" s="537"/>
      <c r="IHS135" s="537"/>
      <c r="IHT135" s="537"/>
      <c r="IHU135" s="537"/>
      <c r="IHV135" s="537"/>
      <c r="IHW135" s="537"/>
      <c r="IHX135" s="537"/>
      <c r="IHY135" s="537"/>
      <c r="IHZ135" s="537"/>
      <c r="IIA135" s="537"/>
      <c r="IIB135" s="537"/>
      <c r="IIC135" s="537"/>
      <c r="IID135" s="537"/>
      <c r="IIE135" s="537"/>
      <c r="IIF135" s="537"/>
      <c r="IIG135" s="537"/>
      <c r="IIH135" s="537"/>
      <c r="III135" s="537"/>
      <c r="IIJ135" s="537"/>
      <c r="IIK135" s="537"/>
      <c r="IIL135" s="537"/>
      <c r="IIM135" s="537"/>
      <c r="IIN135" s="537"/>
      <c r="IIO135" s="537"/>
      <c r="IIP135" s="537"/>
      <c r="IIQ135" s="537"/>
      <c r="IIR135" s="537"/>
      <c r="IIS135" s="537"/>
      <c r="IIT135" s="537"/>
      <c r="IIU135" s="537"/>
      <c r="IIV135" s="537"/>
      <c r="IIW135" s="537"/>
      <c r="IIX135" s="537"/>
      <c r="IIY135" s="537"/>
      <c r="IIZ135" s="537"/>
      <c r="IJA135" s="537"/>
      <c r="IJB135" s="537"/>
      <c r="IJC135" s="537"/>
      <c r="IJD135" s="537"/>
      <c r="IJE135" s="537"/>
      <c r="IJF135" s="537"/>
      <c r="IJG135" s="537"/>
      <c r="IJH135" s="537"/>
      <c r="IJI135" s="537"/>
      <c r="IJJ135" s="537"/>
      <c r="IJK135" s="537"/>
      <c r="IJL135" s="537"/>
      <c r="IJM135" s="537"/>
      <c r="IJN135" s="537"/>
      <c r="IJO135" s="537"/>
      <c r="IJP135" s="537"/>
      <c r="IJQ135" s="537"/>
      <c r="IJR135" s="537"/>
      <c r="IJS135" s="537"/>
      <c r="IJT135" s="537"/>
      <c r="IJU135" s="537"/>
      <c r="IJV135" s="537"/>
      <c r="IJW135" s="537"/>
      <c r="IJX135" s="537"/>
      <c r="IJY135" s="537"/>
      <c r="IJZ135" s="537"/>
      <c r="IKA135" s="537"/>
      <c r="IKB135" s="537"/>
      <c r="IKC135" s="537"/>
      <c r="IKD135" s="537"/>
      <c r="IKE135" s="537"/>
      <c r="IKF135" s="537"/>
      <c r="IKG135" s="537"/>
      <c r="IKH135" s="537"/>
      <c r="IKI135" s="537"/>
      <c r="IKJ135" s="537"/>
      <c r="IKK135" s="537"/>
      <c r="IKL135" s="537"/>
      <c r="IKM135" s="537"/>
      <c r="IKN135" s="537"/>
      <c r="IKO135" s="537"/>
      <c r="IKP135" s="537"/>
      <c r="IKQ135" s="537"/>
      <c r="IKR135" s="537"/>
      <c r="IKS135" s="537"/>
      <c r="IKT135" s="537"/>
      <c r="IKU135" s="537"/>
      <c r="IKV135" s="537"/>
      <c r="IKW135" s="537"/>
      <c r="IKX135" s="537"/>
      <c r="IKY135" s="537"/>
      <c r="IKZ135" s="537"/>
      <c r="ILA135" s="537"/>
      <c r="ILB135" s="537"/>
      <c r="ILC135" s="537"/>
      <c r="ILD135" s="537"/>
      <c r="ILE135" s="537"/>
      <c r="ILF135" s="537"/>
      <c r="ILG135" s="537"/>
      <c r="ILH135" s="537"/>
      <c r="ILI135" s="537"/>
      <c r="ILJ135" s="537"/>
      <c r="ILK135" s="537"/>
      <c r="ILL135" s="537"/>
      <c r="ILM135" s="537"/>
      <c r="ILN135" s="537"/>
      <c r="ILO135" s="537"/>
      <c r="ILP135" s="537"/>
      <c r="ILQ135" s="537"/>
      <c r="ILR135" s="537"/>
      <c r="ILS135" s="537"/>
      <c r="ILT135" s="537"/>
      <c r="ILU135" s="537"/>
      <c r="ILV135" s="537"/>
      <c r="ILW135" s="537"/>
      <c r="ILX135" s="537"/>
      <c r="ILY135" s="537"/>
      <c r="ILZ135" s="537"/>
      <c r="IMA135" s="537"/>
      <c r="IMB135" s="537"/>
      <c r="IMC135" s="537"/>
      <c r="IMD135" s="537"/>
      <c r="IME135" s="537"/>
      <c r="IMF135" s="537"/>
      <c r="IMG135" s="537"/>
      <c r="IMH135" s="537"/>
      <c r="IMI135" s="537"/>
      <c r="IMJ135" s="537"/>
      <c r="IMK135" s="537"/>
      <c r="IML135" s="537"/>
      <c r="IMM135" s="537"/>
      <c r="IMN135" s="537"/>
      <c r="IMO135" s="537"/>
      <c r="IMP135" s="537"/>
      <c r="IMQ135" s="537"/>
      <c r="IMR135" s="537"/>
      <c r="IMS135" s="537"/>
      <c r="IMT135" s="537"/>
      <c r="IMU135" s="537"/>
      <c r="IMV135" s="537"/>
      <c r="IMW135" s="537"/>
      <c r="IMX135" s="537"/>
      <c r="IMY135" s="537"/>
      <c r="IMZ135" s="537"/>
      <c r="INA135" s="537"/>
      <c r="INB135" s="537"/>
      <c r="INC135" s="537"/>
      <c r="IND135" s="537"/>
      <c r="INE135" s="537"/>
      <c r="INF135" s="537"/>
      <c r="ING135" s="537"/>
      <c r="INH135" s="537"/>
      <c r="INI135" s="537"/>
      <c r="INJ135" s="537"/>
      <c r="INK135" s="537"/>
      <c r="INL135" s="537"/>
      <c r="INM135" s="537"/>
      <c r="INN135" s="537"/>
      <c r="INO135" s="537"/>
      <c r="INP135" s="537"/>
      <c r="INQ135" s="537"/>
      <c r="INR135" s="537"/>
      <c r="INS135" s="537"/>
      <c r="INT135" s="537"/>
      <c r="INU135" s="537"/>
      <c r="INV135" s="537"/>
      <c r="INW135" s="537"/>
      <c r="INX135" s="537"/>
      <c r="INY135" s="537"/>
      <c r="INZ135" s="537"/>
      <c r="IOA135" s="537"/>
      <c r="IOB135" s="537"/>
      <c r="IOC135" s="537"/>
      <c r="IOD135" s="537"/>
      <c r="IOE135" s="537"/>
      <c r="IOF135" s="537"/>
      <c r="IOG135" s="537"/>
      <c r="IOH135" s="537"/>
      <c r="IOI135" s="537"/>
      <c r="IOJ135" s="537"/>
      <c r="IOK135" s="537"/>
      <c r="IOL135" s="537"/>
      <c r="IOM135" s="537"/>
      <c r="ION135" s="537"/>
      <c r="IOO135" s="537"/>
      <c r="IOP135" s="537"/>
      <c r="IOQ135" s="537"/>
      <c r="IOR135" s="537"/>
      <c r="IOS135" s="537"/>
      <c r="IOT135" s="537"/>
      <c r="IOU135" s="537"/>
      <c r="IOV135" s="537"/>
      <c r="IOW135" s="537"/>
      <c r="IOX135" s="537"/>
      <c r="IOY135" s="537"/>
      <c r="IOZ135" s="537"/>
      <c r="IPA135" s="537"/>
      <c r="IPB135" s="537"/>
      <c r="IPC135" s="537"/>
      <c r="IPD135" s="537"/>
      <c r="IPE135" s="537"/>
      <c r="IPF135" s="537"/>
      <c r="IPG135" s="537"/>
      <c r="IPH135" s="537"/>
      <c r="IPI135" s="537"/>
      <c r="IPJ135" s="537"/>
      <c r="IPK135" s="537"/>
      <c r="IPL135" s="537"/>
      <c r="IPM135" s="537"/>
      <c r="IPN135" s="537"/>
      <c r="IPO135" s="537"/>
      <c r="IPP135" s="537"/>
      <c r="IPQ135" s="537"/>
      <c r="IPR135" s="537"/>
      <c r="IPS135" s="537"/>
      <c r="IPT135" s="537"/>
      <c r="IPU135" s="537"/>
      <c r="IPV135" s="537"/>
      <c r="IPW135" s="537"/>
      <c r="IPX135" s="537"/>
      <c r="IPY135" s="537"/>
      <c r="IPZ135" s="537"/>
      <c r="IQA135" s="537"/>
      <c r="IQB135" s="537"/>
      <c r="IQC135" s="537"/>
      <c r="IQD135" s="537"/>
      <c r="IQE135" s="537"/>
      <c r="IQF135" s="537"/>
      <c r="IQG135" s="537"/>
      <c r="IQH135" s="537"/>
      <c r="IQI135" s="537"/>
      <c r="IQJ135" s="537"/>
      <c r="IQK135" s="537"/>
      <c r="IQL135" s="537"/>
      <c r="IQM135" s="537"/>
      <c r="IQN135" s="537"/>
      <c r="IQO135" s="537"/>
      <c r="IQP135" s="537"/>
      <c r="IQQ135" s="537"/>
      <c r="IQR135" s="537"/>
      <c r="IQS135" s="537"/>
      <c r="IQT135" s="537"/>
      <c r="IQU135" s="537"/>
      <c r="IQV135" s="537"/>
      <c r="IQW135" s="537"/>
      <c r="IQX135" s="537"/>
      <c r="IQY135" s="537"/>
      <c r="IQZ135" s="537"/>
      <c r="IRA135" s="537"/>
      <c r="IRB135" s="537"/>
      <c r="IRC135" s="537"/>
      <c r="IRD135" s="537"/>
      <c r="IRE135" s="537"/>
      <c r="IRF135" s="537"/>
      <c r="IRG135" s="537"/>
      <c r="IRH135" s="537"/>
      <c r="IRI135" s="537"/>
      <c r="IRJ135" s="537"/>
      <c r="IRK135" s="537"/>
      <c r="IRL135" s="537"/>
      <c r="IRM135" s="537"/>
      <c r="IRN135" s="537"/>
      <c r="IRO135" s="537"/>
      <c r="IRP135" s="537"/>
      <c r="IRQ135" s="537"/>
      <c r="IRR135" s="537"/>
      <c r="IRS135" s="537"/>
      <c r="IRT135" s="537"/>
      <c r="IRU135" s="537"/>
      <c r="IRV135" s="537"/>
      <c r="IRW135" s="537"/>
      <c r="IRX135" s="537"/>
      <c r="IRY135" s="537"/>
      <c r="IRZ135" s="537"/>
      <c r="ISA135" s="537"/>
      <c r="ISB135" s="537"/>
      <c r="ISC135" s="537"/>
      <c r="ISD135" s="537"/>
      <c r="ISE135" s="537"/>
      <c r="ISF135" s="537"/>
      <c r="ISG135" s="537"/>
      <c r="ISH135" s="537"/>
      <c r="ISI135" s="537"/>
      <c r="ISJ135" s="537"/>
      <c r="ISK135" s="537"/>
      <c r="ISL135" s="537"/>
      <c r="ISM135" s="537"/>
      <c r="ISN135" s="537"/>
      <c r="ISO135" s="537"/>
      <c r="ISP135" s="537"/>
      <c r="ISQ135" s="537"/>
      <c r="ISR135" s="537"/>
      <c r="ISS135" s="537"/>
      <c r="IST135" s="537"/>
      <c r="ISU135" s="537"/>
      <c r="ISV135" s="537"/>
      <c r="ISW135" s="537"/>
      <c r="ISX135" s="537"/>
      <c r="ISY135" s="537"/>
      <c r="ISZ135" s="537"/>
      <c r="ITA135" s="537"/>
      <c r="ITB135" s="537"/>
      <c r="ITC135" s="537"/>
      <c r="ITD135" s="537"/>
      <c r="ITE135" s="537"/>
      <c r="ITF135" s="537"/>
      <c r="ITG135" s="537"/>
      <c r="ITH135" s="537"/>
      <c r="ITI135" s="537"/>
      <c r="ITJ135" s="537"/>
      <c r="ITK135" s="537"/>
      <c r="ITL135" s="537"/>
      <c r="ITM135" s="537"/>
      <c r="ITN135" s="537"/>
      <c r="ITO135" s="537"/>
      <c r="ITP135" s="537"/>
      <c r="ITQ135" s="537"/>
      <c r="ITR135" s="537"/>
      <c r="ITS135" s="537"/>
      <c r="ITT135" s="537"/>
      <c r="ITU135" s="537"/>
      <c r="ITV135" s="537"/>
      <c r="ITW135" s="537"/>
      <c r="ITX135" s="537"/>
      <c r="ITY135" s="537"/>
      <c r="ITZ135" s="537"/>
      <c r="IUA135" s="537"/>
      <c r="IUB135" s="537"/>
      <c r="IUC135" s="537"/>
      <c r="IUD135" s="537"/>
      <c r="IUE135" s="537"/>
      <c r="IUF135" s="537"/>
      <c r="IUG135" s="537"/>
      <c r="IUH135" s="537"/>
      <c r="IUI135" s="537"/>
      <c r="IUJ135" s="537"/>
      <c r="IUK135" s="537"/>
      <c r="IUL135" s="537"/>
      <c r="IUM135" s="537"/>
      <c r="IUN135" s="537"/>
      <c r="IUO135" s="537"/>
      <c r="IUP135" s="537"/>
      <c r="IUQ135" s="537"/>
      <c r="IUR135" s="537"/>
      <c r="IUS135" s="537"/>
      <c r="IUT135" s="537"/>
      <c r="IUU135" s="537"/>
      <c r="IUV135" s="537"/>
      <c r="IUW135" s="537"/>
      <c r="IUX135" s="537"/>
      <c r="IUY135" s="537"/>
      <c r="IUZ135" s="537"/>
      <c r="IVA135" s="537"/>
      <c r="IVB135" s="537"/>
      <c r="IVC135" s="537"/>
      <c r="IVD135" s="537"/>
      <c r="IVE135" s="537"/>
      <c r="IVF135" s="537"/>
      <c r="IVG135" s="537"/>
      <c r="IVH135" s="537"/>
      <c r="IVI135" s="537"/>
      <c r="IVJ135" s="537"/>
      <c r="IVK135" s="537"/>
      <c r="IVL135" s="537"/>
      <c r="IVM135" s="537"/>
      <c r="IVN135" s="537"/>
      <c r="IVO135" s="537"/>
      <c r="IVP135" s="537"/>
      <c r="IVQ135" s="537"/>
      <c r="IVR135" s="537"/>
      <c r="IVS135" s="537"/>
      <c r="IVT135" s="537"/>
      <c r="IVU135" s="537"/>
      <c r="IVV135" s="537"/>
      <c r="IVW135" s="537"/>
      <c r="IVX135" s="537"/>
      <c r="IVY135" s="537"/>
      <c r="IVZ135" s="537"/>
      <c r="IWA135" s="537"/>
      <c r="IWB135" s="537"/>
      <c r="IWC135" s="537"/>
      <c r="IWD135" s="537"/>
      <c r="IWE135" s="537"/>
      <c r="IWF135" s="537"/>
      <c r="IWG135" s="537"/>
      <c r="IWH135" s="537"/>
      <c r="IWI135" s="537"/>
      <c r="IWJ135" s="537"/>
      <c r="IWK135" s="537"/>
      <c r="IWL135" s="537"/>
      <c r="IWM135" s="537"/>
      <c r="IWN135" s="537"/>
      <c r="IWO135" s="537"/>
      <c r="IWP135" s="537"/>
      <c r="IWQ135" s="537"/>
      <c r="IWR135" s="537"/>
      <c r="IWS135" s="537"/>
      <c r="IWT135" s="537"/>
      <c r="IWU135" s="537"/>
      <c r="IWV135" s="537"/>
      <c r="IWW135" s="537"/>
      <c r="IWX135" s="537"/>
      <c r="IWY135" s="537"/>
      <c r="IWZ135" s="537"/>
      <c r="IXA135" s="537"/>
      <c r="IXB135" s="537"/>
      <c r="IXC135" s="537"/>
      <c r="IXD135" s="537"/>
      <c r="IXE135" s="537"/>
      <c r="IXF135" s="537"/>
      <c r="IXG135" s="537"/>
      <c r="IXH135" s="537"/>
      <c r="IXI135" s="537"/>
      <c r="IXJ135" s="537"/>
      <c r="IXK135" s="537"/>
      <c r="IXL135" s="537"/>
      <c r="IXM135" s="537"/>
      <c r="IXN135" s="537"/>
      <c r="IXO135" s="537"/>
      <c r="IXP135" s="537"/>
      <c r="IXQ135" s="537"/>
      <c r="IXR135" s="537"/>
      <c r="IXS135" s="537"/>
      <c r="IXT135" s="537"/>
      <c r="IXU135" s="537"/>
      <c r="IXV135" s="537"/>
      <c r="IXW135" s="537"/>
      <c r="IXX135" s="537"/>
      <c r="IXY135" s="537"/>
      <c r="IXZ135" s="537"/>
      <c r="IYA135" s="537"/>
      <c r="IYB135" s="537"/>
      <c r="IYC135" s="537"/>
      <c r="IYD135" s="537"/>
      <c r="IYE135" s="537"/>
      <c r="IYF135" s="537"/>
      <c r="IYG135" s="537"/>
      <c r="IYH135" s="537"/>
      <c r="IYI135" s="537"/>
      <c r="IYJ135" s="537"/>
      <c r="IYK135" s="537"/>
      <c r="IYL135" s="537"/>
      <c r="IYM135" s="537"/>
      <c r="IYN135" s="537"/>
      <c r="IYO135" s="537"/>
      <c r="IYP135" s="537"/>
      <c r="IYQ135" s="537"/>
      <c r="IYR135" s="537"/>
      <c r="IYS135" s="537"/>
      <c r="IYT135" s="537"/>
      <c r="IYU135" s="537"/>
      <c r="IYV135" s="537"/>
      <c r="IYW135" s="537"/>
      <c r="IYX135" s="537"/>
      <c r="IYY135" s="537"/>
      <c r="IYZ135" s="537"/>
      <c r="IZA135" s="537"/>
      <c r="IZB135" s="537"/>
      <c r="IZC135" s="537"/>
      <c r="IZD135" s="537"/>
      <c r="IZE135" s="537"/>
      <c r="IZF135" s="537"/>
      <c r="IZG135" s="537"/>
      <c r="IZH135" s="537"/>
      <c r="IZI135" s="537"/>
      <c r="IZJ135" s="537"/>
      <c r="IZK135" s="537"/>
      <c r="IZL135" s="537"/>
      <c r="IZM135" s="537"/>
      <c r="IZN135" s="537"/>
      <c r="IZO135" s="537"/>
      <c r="IZP135" s="537"/>
      <c r="IZQ135" s="537"/>
      <c r="IZR135" s="537"/>
      <c r="IZS135" s="537"/>
      <c r="IZT135" s="537"/>
      <c r="IZU135" s="537"/>
      <c r="IZV135" s="537"/>
      <c r="IZW135" s="537"/>
      <c r="IZX135" s="537"/>
      <c r="IZY135" s="537"/>
      <c r="IZZ135" s="537"/>
      <c r="JAA135" s="537"/>
      <c r="JAB135" s="537"/>
      <c r="JAC135" s="537"/>
      <c r="JAD135" s="537"/>
      <c r="JAE135" s="537"/>
      <c r="JAF135" s="537"/>
      <c r="JAG135" s="537"/>
      <c r="JAH135" s="537"/>
      <c r="JAI135" s="537"/>
      <c r="JAJ135" s="537"/>
      <c r="JAK135" s="537"/>
      <c r="JAL135" s="537"/>
      <c r="JAM135" s="537"/>
      <c r="JAN135" s="537"/>
      <c r="JAO135" s="537"/>
      <c r="JAP135" s="537"/>
      <c r="JAQ135" s="537"/>
      <c r="JAR135" s="537"/>
      <c r="JAS135" s="537"/>
      <c r="JAT135" s="537"/>
      <c r="JAU135" s="537"/>
      <c r="JAV135" s="537"/>
      <c r="JAW135" s="537"/>
      <c r="JAX135" s="537"/>
      <c r="JAY135" s="537"/>
      <c r="JAZ135" s="537"/>
      <c r="JBA135" s="537"/>
      <c r="JBB135" s="537"/>
      <c r="JBC135" s="537"/>
      <c r="JBD135" s="537"/>
      <c r="JBE135" s="537"/>
      <c r="JBF135" s="537"/>
      <c r="JBG135" s="537"/>
      <c r="JBH135" s="537"/>
      <c r="JBI135" s="537"/>
      <c r="JBJ135" s="537"/>
      <c r="JBK135" s="537"/>
      <c r="JBL135" s="537"/>
      <c r="JBM135" s="537"/>
      <c r="JBN135" s="537"/>
      <c r="JBO135" s="537"/>
      <c r="JBP135" s="537"/>
      <c r="JBQ135" s="537"/>
      <c r="JBR135" s="537"/>
      <c r="JBS135" s="537"/>
      <c r="JBT135" s="537"/>
      <c r="JBU135" s="537"/>
      <c r="JBV135" s="537"/>
      <c r="JBW135" s="537"/>
      <c r="JBX135" s="537"/>
      <c r="JBY135" s="537"/>
      <c r="JBZ135" s="537"/>
      <c r="JCA135" s="537"/>
      <c r="JCB135" s="537"/>
      <c r="JCC135" s="537"/>
      <c r="JCD135" s="537"/>
      <c r="JCE135" s="537"/>
      <c r="JCF135" s="537"/>
      <c r="JCG135" s="537"/>
      <c r="JCH135" s="537"/>
      <c r="JCI135" s="537"/>
      <c r="JCJ135" s="537"/>
      <c r="JCK135" s="537"/>
      <c r="JCL135" s="537"/>
      <c r="JCM135" s="537"/>
      <c r="JCN135" s="537"/>
      <c r="JCO135" s="537"/>
      <c r="JCP135" s="537"/>
      <c r="JCQ135" s="537"/>
      <c r="JCR135" s="537"/>
      <c r="JCS135" s="537"/>
      <c r="JCT135" s="537"/>
      <c r="JCU135" s="537"/>
      <c r="JCV135" s="537"/>
      <c r="JCW135" s="537"/>
      <c r="JCX135" s="537"/>
      <c r="JCY135" s="537"/>
      <c r="JCZ135" s="537"/>
      <c r="JDA135" s="537"/>
      <c r="JDB135" s="537"/>
      <c r="JDC135" s="537"/>
      <c r="JDD135" s="537"/>
      <c r="JDE135" s="537"/>
      <c r="JDF135" s="537"/>
      <c r="JDG135" s="537"/>
      <c r="JDH135" s="537"/>
      <c r="JDI135" s="537"/>
      <c r="JDJ135" s="537"/>
      <c r="JDK135" s="537"/>
      <c r="JDL135" s="537"/>
      <c r="JDM135" s="537"/>
      <c r="JDN135" s="537"/>
      <c r="JDO135" s="537"/>
      <c r="JDP135" s="537"/>
      <c r="JDQ135" s="537"/>
      <c r="JDR135" s="537"/>
      <c r="JDS135" s="537"/>
      <c r="JDT135" s="537"/>
      <c r="JDU135" s="537"/>
      <c r="JDV135" s="537"/>
      <c r="JDW135" s="537"/>
      <c r="JDX135" s="537"/>
      <c r="JDY135" s="537"/>
      <c r="JDZ135" s="537"/>
      <c r="JEA135" s="537"/>
      <c r="JEB135" s="537"/>
      <c r="JEC135" s="537"/>
      <c r="JED135" s="537"/>
      <c r="JEE135" s="537"/>
      <c r="JEF135" s="537"/>
      <c r="JEG135" s="537"/>
      <c r="JEH135" s="537"/>
      <c r="JEI135" s="537"/>
      <c r="JEJ135" s="537"/>
      <c r="JEK135" s="537"/>
      <c r="JEL135" s="537"/>
      <c r="JEM135" s="537"/>
      <c r="JEN135" s="537"/>
      <c r="JEO135" s="537"/>
      <c r="JEP135" s="537"/>
      <c r="JEQ135" s="537"/>
      <c r="JER135" s="537"/>
      <c r="JES135" s="537"/>
      <c r="JET135" s="537"/>
      <c r="JEU135" s="537"/>
      <c r="JEV135" s="537"/>
      <c r="JEW135" s="537"/>
      <c r="JEX135" s="537"/>
      <c r="JEY135" s="537"/>
      <c r="JEZ135" s="537"/>
      <c r="JFA135" s="537"/>
      <c r="JFB135" s="537"/>
      <c r="JFC135" s="537"/>
      <c r="JFD135" s="537"/>
      <c r="JFE135" s="537"/>
      <c r="JFF135" s="537"/>
      <c r="JFG135" s="537"/>
      <c r="JFH135" s="537"/>
      <c r="JFI135" s="537"/>
      <c r="JFJ135" s="537"/>
      <c r="JFK135" s="537"/>
      <c r="JFL135" s="537"/>
      <c r="JFM135" s="537"/>
      <c r="JFN135" s="537"/>
      <c r="JFO135" s="537"/>
      <c r="JFP135" s="537"/>
      <c r="JFQ135" s="537"/>
      <c r="JFR135" s="537"/>
      <c r="JFS135" s="537"/>
      <c r="JFT135" s="537"/>
      <c r="JFU135" s="537"/>
      <c r="JFV135" s="537"/>
      <c r="JFW135" s="537"/>
      <c r="JFX135" s="537"/>
      <c r="JFY135" s="537"/>
      <c r="JFZ135" s="537"/>
      <c r="JGA135" s="537"/>
      <c r="JGB135" s="537"/>
      <c r="JGC135" s="537"/>
      <c r="JGD135" s="537"/>
      <c r="JGE135" s="537"/>
      <c r="JGF135" s="537"/>
      <c r="JGG135" s="537"/>
      <c r="JGH135" s="537"/>
      <c r="JGI135" s="537"/>
      <c r="JGJ135" s="537"/>
      <c r="JGK135" s="537"/>
      <c r="JGL135" s="537"/>
      <c r="JGM135" s="537"/>
      <c r="JGN135" s="537"/>
      <c r="JGO135" s="537"/>
      <c r="JGP135" s="537"/>
      <c r="JGQ135" s="537"/>
      <c r="JGR135" s="537"/>
      <c r="JGS135" s="537"/>
      <c r="JGT135" s="537"/>
      <c r="JGU135" s="537"/>
      <c r="JGV135" s="537"/>
      <c r="JGW135" s="537"/>
      <c r="JGX135" s="537"/>
      <c r="JGY135" s="537"/>
      <c r="JGZ135" s="537"/>
      <c r="JHA135" s="537"/>
      <c r="JHB135" s="537"/>
      <c r="JHC135" s="537"/>
      <c r="JHD135" s="537"/>
      <c r="JHE135" s="537"/>
      <c r="JHF135" s="537"/>
      <c r="JHG135" s="537"/>
      <c r="JHH135" s="537"/>
      <c r="JHI135" s="537"/>
      <c r="JHJ135" s="537"/>
      <c r="JHK135" s="537"/>
      <c r="JHL135" s="537"/>
      <c r="JHM135" s="537"/>
      <c r="JHN135" s="537"/>
      <c r="JHO135" s="537"/>
      <c r="JHP135" s="537"/>
      <c r="JHQ135" s="537"/>
      <c r="JHR135" s="537"/>
      <c r="JHS135" s="537"/>
      <c r="JHT135" s="537"/>
      <c r="JHU135" s="537"/>
      <c r="JHV135" s="537"/>
      <c r="JHW135" s="537"/>
      <c r="JHX135" s="537"/>
      <c r="JHY135" s="537"/>
      <c r="JHZ135" s="537"/>
      <c r="JIA135" s="537"/>
      <c r="JIB135" s="537"/>
      <c r="JIC135" s="537"/>
      <c r="JID135" s="537"/>
      <c r="JIE135" s="537"/>
      <c r="JIF135" s="537"/>
      <c r="JIG135" s="537"/>
      <c r="JIH135" s="537"/>
      <c r="JII135" s="537"/>
      <c r="JIJ135" s="537"/>
      <c r="JIK135" s="537"/>
      <c r="JIL135" s="537"/>
      <c r="JIM135" s="537"/>
      <c r="JIN135" s="537"/>
      <c r="JIO135" s="537"/>
      <c r="JIP135" s="537"/>
      <c r="JIQ135" s="537"/>
      <c r="JIR135" s="537"/>
      <c r="JIS135" s="537"/>
      <c r="JIT135" s="537"/>
      <c r="JIU135" s="537"/>
      <c r="JIV135" s="537"/>
      <c r="JIW135" s="537"/>
      <c r="JIX135" s="537"/>
      <c r="JIY135" s="537"/>
      <c r="JIZ135" s="537"/>
      <c r="JJA135" s="537"/>
      <c r="JJB135" s="537"/>
      <c r="JJC135" s="537"/>
      <c r="JJD135" s="537"/>
      <c r="JJE135" s="537"/>
      <c r="JJF135" s="537"/>
      <c r="JJG135" s="537"/>
      <c r="JJH135" s="537"/>
      <c r="JJI135" s="537"/>
      <c r="JJJ135" s="537"/>
      <c r="JJK135" s="537"/>
      <c r="JJL135" s="537"/>
      <c r="JJM135" s="537"/>
      <c r="JJN135" s="537"/>
      <c r="JJO135" s="537"/>
      <c r="JJP135" s="537"/>
      <c r="JJQ135" s="537"/>
      <c r="JJR135" s="537"/>
      <c r="JJS135" s="537"/>
      <c r="JJT135" s="537"/>
      <c r="JJU135" s="537"/>
      <c r="JJV135" s="537"/>
      <c r="JJW135" s="537"/>
      <c r="JJX135" s="537"/>
      <c r="JJY135" s="537"/>
      <c r="JJZ135" s="537"/>
      <c r="JKA135" s="537"/>
      <c r="JKB135" s="537"/>
      <c r="JKC135" s="537"/>
      <c r="JKD135" s="537"/>
      <c r="JKE135" s="537"/>
      <c r="JKF135" s="537"/>
      <c r="JKG135" s="537"/>
      <c r="JKH135" s="537"/>
      <c r="JKI135" s="537"/>
      <c r="JKJ135" s="537"/>
      <c r="JKK135" s="537"/>
      <c r="JKL135" s="537"/>
      <c r="JKM135" s="537"/>
      <c r="JKN135" s="537"/>
      <c r="JKO135" s="537"/>
      <c r="JKP135" s="537"/>
      <c r="JKQ135" s="537"/>
      <c r="JKR135" s="537"/>
      <c r="JKS135" s="537"/>
      <c r="JKT135" s="537"/>
      <c r="JKU135" s="537"/>
      <c r="JKV135" s="537"/>
      <c r="JKW135" s="537"/>
      <c r="JKX135" s="537"/>
      <c r="JKY135" s="537"/>
      <c r="JKZ135" s="537"/>
      <c r="JLA135" s="537"/>
      <c r="JLB135" s="537"/>
      <c r="JLC135" s="537"/>
      <c r="JLD135" s="537"/>
      <c r="JLE135" s="537"/>
      <c r="JLF135" s="537"/>
      <c r="JLG135" s="537"/>
      <c r="JLH135" s="537"/>
      <c r="JLI135" s="537"/>
      <c r="JLJ135" s="537"/>
      <c r="JLK135" s="537"/>
      <c r="JLL135" s="537"/>
      <c r="JLM135" s="537"/>
      <c r="JLN135" s="537"/>
      <c r="JLO135" s="537"/>
      <c r="JLP135" s="537"/>
      <c r="JLQ135" s="537"/>
      <c r="JLR135" s="537"/>
      <c r="JLS135" s="537"/>
      <c r="JLT135" s="537"/>
      <c r="JLU135" s="537"/>
      <c r="JLV135" s="537"/>
      <c r="JLW135" s="537"/>
      <c r="JLX135" s="537"/>
      <c r="JLY135" s="537"/>
      <c r="JLZ135" s="537"/>
      <c r="JMA135" s="537"/>
      <c r="JMB135" s="537"/>
      <c r="JMC135" s="537"/>
      <c r="JMD135" s="537"/>
      <c r="JME135" s="537"/>
      <c r="JMF135" s="537"/>
      <c r="JMG135" s="537"/>
      <c r="JMH135" s="537"/>
      <c r="JMI135" s="537"/>
      <c r="JMJ135" s="537"/>
      <c r="JMK135" s="537"/>
      <c r="JML135" s="537"/>
      <c r="JMM135" s="537"/>
      <c r="JMN135" s="537"/>
      <c r="JMO135" s="537"/>
      <c r="JMP135" s="537"/>
      <c r="JMQ135" s="537"/>
      <c r="JMR135" s="537"/>
      <c r="JMS135" s="537"/>
      <c r="JMT135" s="537"/>
      <c r="JMU135" s="537"/>
      <c r="JMV135" s="537"/>
      <c r="JMW135" s="537"/>
      <c r="JMX135" s="537"/>
      <c r="JMY135" s="537"/>
      <c r="JMZ135" s="537"/>
      <c r="JNA135" s="537"/>
      <c r="JNB135" s="537"/>
      <c r="JNC135" s="537"/>
      <c r="JND135" s="537"/>
      <c r="JNE135" s="537"/>
      <c r="JNF135" s="537"/>
      <c r="JNG135" s="537"/>
      <c r="JNH135" s="537"/>
      <c r="JNI135" s="537"/>
      <c r="JNJ135" s="537"/>
      <c r="JNK135" s="537"/>
      <c r="JNL135" s="537"/>
      <c r="JNM135" s="537"/>
      <c r="JNN135" s="537"/>
      <c r="JNO135" s="537"/>
      <c r="JNP135" s="537"/>
      <c r="JNQ135" s="537"/>
      <c r="JNR135" s="537"/>
      <c r="JNS135" s="537"/>
      <c r="JNT135" s="537"/>
      <c r="JNU135" s="537"/>
      <c r="JNV135" s="537"/>
      <c r="JNW135" s="537"/>
      <c r="JNX135" s="537"/>
      <c r="JNY135" s="537"/>
      <c r="JNZ135" s="537"/>
      <c r="JOA135" s="537"/>
      <c r="JOB135" s="537"/>
      <c r="JOC135" s="537"/>
      <c r="JOD135" s="537"/>
      <c r="JOE135" s="537"/>
      <c r="JOF135" s="537"/>
      <c r="JOG135" s="537"/>
      <c r="JOH135" s="537"/>
      <c r="JOI135" s="537"/>
      <c r="JOJ135" s="537"/>
      <c r="JOK135" s="537"/>
      <c r="JOL135" s="537"/>
      <c r="JOM135" s="537"/>
      <c r="JON135" s="537"/>
      <c r="JOO135" s="537"/>
      <c r="JOP135" s="537"/>
      <c r="JOQ135" s="537"/>
      <c r="JOR135" s="537"/>
      <c r="JOS135" s="537"/>
      <c r="JOT135" s="537"/>
      <c r="JOU135" s="537"/>
      <c r="JOV135" s="537"/>
      <c r="JOW135" s="537"/>
      <c r="JOX135" s="537"/>
      <c r="JOY135" s="537"/>
      <c r="JOZ135" s="537"/>
      <c r="JPA135" s="537"/>
      <c r="JPB135" s="537"/>
      <c r="JPC135" s="537"/>
      <c r="JPD135" s="537"/>
      <c r="JPE135" s="537"/>
      <c r="JPF135" s="537"/>
      <c r="JPG135" s="537"/>
      <c r="JPH135" s="537"/>
      <c r="JPI135" s="537"/>
      <c r="JPJ135" s="537"/>
      <c r="JPK135" s="537"/>
      <c r="JPL135" s="537"/>
      <c r="JPM135" s="537"/>
      <c r="JPN135" s="537"/>
      <c r="JPO135" s="537"/>
      <c r="JPP135" s="537"/>
      <c r="JPQ135" s="537"/>
      <c r="JPR135" s="537"/>
      <c r="JPS135" s="537"/>
      <c r="JPT135" s="537"/>
      <c r="JPU135" s="537"/>
      <c r="JPV135" s="537"/>
      <c r="JPW135" s="537"/>
      <c r="JPX135" s="537"/>
      <c r="JPY135" s="537"/>
      <c r="JPZ135" s="537"/>
      <c r="JQA135" s="537"/>
      <c r="JQB135" s="537"/>
      <c r="JQC135" s="537"/>
      <c r="JQD135" s="537"/>
      <c r="JQE135" s="537"/>
      <c r="JQF135" s="537"/>
      <c r="JQG135" s="537"/>
      <c r="JQH135" s="537"/>
      <c r="JQI135" s="537"/>
      <c r="JQJ135" s="537"/>
      <c r="JQK135" s="537"/>
      <c r="JQL135" s="537"/>
      <c r="JQM135" s="537"/>
      <c r="JQN135" s="537"/>
      <c r="JQO135" s="537"/>
      <c r="JQP135" s="537"/>
      <c r="JQQ135" s="537"/>
      <c r="JQR135" s="537"/>
      <c r="JQS135" s="537"/>
      <c r="JQT135" s="537"/>
      <c r="JQU135" s="537"/>
      <c r="JQV135" s="537"/>
      <c r="JQW135" s="537"/>
      <c r="JQX135" s="537"/>
      <c r="JQY135" s="537"/>
      <c r="JQZ135" s="537"/>
      <c r="JRA135" s="537"/>
      <c r="JRB135" s="537"/>
      <c r="JRC135" s="537"/>
      <c r="JRD135" s="537"/>
      <c r="JRE135" s="537"/>
      <c r="JRF135" s="537"/>
      <c r="JRG135" s="537"/>
      <c r="JRH135" s="537"/>
      <c r="JRI135" s="537"/>
      <c r="JRJ135" s="537"/>
      <c r="JRK135" s="537"/>
      <c r="JRL135" s="537"/>
      <c r="JRM135" s="537"/>
      <c r="JRN135" s="537"/>
      <c r="JRO135" s="537"/>
      <c r="JRP135" s="537"/>
      <c r="JRQ135" s="537"/>
      <c r="JRR135" s="537"/>
      <c r="JRS135" s="537"/>
      <c r="JRT135" s="537"/>
      <c r="JRU135" s="537"/>
      <c r="JRV135" s="537"/>
      <c r="JRW135" s="537"/>
      <c r="JRX135" s="537"/>
      <c r="JRY135" s="537"/>
      <c r="JRZ135" s="537"/>
      <c r="JSA135" s="537"/>
      <c r="JSB135" s="537"/>
      <c r="JSC135" s="537"/>
      <c r="JSD135" s="537"/>
      <c r="JSE135" s="537"/>
      <c r="JSF135" s="537"/>
      <c r="JSG135" s="537"/>
      <c r="JSH135" s="537"/>
      <c r="JSI135" s="537"/>
      <c r="JSJ135" s="537"/>
      <c r="JSK135" s="537"/>
      <c r="JSL135" s="537"/>
      <c r="JSM135" s="537"/>
      <c r="JSN135" s="537"/>
      <c r="JSO135" s="537"/>
      <c r="JSP135" s="537"/>
      <c r="JSQ135" s="537"/>
      <c r="JSR135" s="537"/>
      <c r="JSS135" s="537"/>
      <c r="JST135" s="537"/>
      <c r="JSU135" s="537"/>
      <c r="JSV135" s="537"/>
      <c r="JSW135" s="537"/>
      <c r="JSX135" s="537"/>
      <c r="JSY135" s="537"/>
      <c r="JSZ135" s="537"/>
      <c r="JTA135" s="537"/>
      <c r="JTB135" s="537"/>
      <c r="JTC135" s="537"/>
      <c r="JTD135" s="537"/>
      <c r="JTE135" s="537"/>
      <c r="JTF135" s="537"/>
      <c r="JTG135" s="537"/>
      <c r="JTH135" s="537"/>
      <c r="JTI135" s="537"/>
      <c r="JTJ135" s="537"/>
      <c r="JTK135" s="537"/>
      <c r="JTL135" s="537"/>
      <c r="JTM135" s="537"/>
      <c r="JTN135" s="537"/>
      <c r="JTO135" s="537"/>
      <c r="JTP135" s="537"/>
      <c r="JTQ135" s="537"/>
      <c r="JTR135" s="537"/>
      <c r="JTS135" s="537"/>
      <c r="JTT135" s="537"/>
      <c r="JTU135" s="537"/>
      <c r="JTV135" s="537"/>
      <c r="JTW135" s="537"/>
      <c r="JTX135" s="537"/>
      <c r="JTY135" s="537"/>
      <c r="JTZ135" s="537"/>
      <c r="JUA135" s="537"/>
      <c r="JUB135" s="537"/>
      <c r="JUC135" s="537"/>
      <c r="JUD135" s="537"/>
      <c r="JUE135" s="537"/>
      <c r="JUF135" s="537"/>
      <c r="JUG135" s="537"/>
      <c r="JUH135" s="537"/>
      <c r="JUI135" s="537"/>
      <c r="JUJ135" s="537"/>
      <c r="JUK135" s="537"/>
      <c r="JUL135" s="537"/>
      <c r="JUM135" s="537"/>
      <c r="JUN135" s="537"/>
      <c r="JUO135" s="537"/>
      <c r="JUP135" s="537"/>
      <c r="JUQ135" s="537"/>
      <c r="JUR135" s="537"/>
      <c r="JUS135" s="537"/>
      <c r="JUT135" s="537"/>
      <c r="JUU135" s="537"/>
      <c r="JUV135" s="537"/>
      <c r="JUW135" s="537"/>
      <c r="JUX135" s="537"/>
      <c r="JUY135" s="537"/>
      <c r="JUZ135" s="537"/>
      <c r="JVA135" s="537"/>
      <c r="JVB135" s="537"/>
      <c r="JVC135" s="537"/>
      <c r="JVD135" s="537"/>
      <c r="JVE135" s="537"/>
      <c r="JVF135" s="537"/>
      <c r="JVG135" s="537"/>
      <c r="JVH135" s="537"/>
      <c r="JVI135" s="537"/>
      <c r="JVJ135" s="537"/>
      <c r="JVK135" s="537"/>
      <c r="JVL135" s="537"/>
      <c r="JVM135" s="537"/>
      <c r="JVN135" s="537"/>
      <c r="JVO135" s="537"/>
      <c r="JVP135" s="537"/>
      <c r="JVQ135" s="537"/>
      <c r="JVR135" s="537"/>
      <c r="JVS135" s="537"/>
      <c r="JVT135" s="537"/>
      <c r="JVU135" s="537"/>
      <c r="JVV135" s="537"/>
      <c r="JVW135" s="537"/>
      <c r="JVX135" s="537"/>
      <c r="JVY135" s="537"/>
      <c r="JVZ135" s="537"/>
      <c r="JWA135" s="537"/>
      <c r="JWB135" s="537"/>
      <c r="JWC135" s="537"/>
      <c r="JWD135" s="537"/>
      <c r="JWE135" s="537"/>
      <c r="JWF135" s="537"/>
      <c r="JWG135" s="537"/>
      <c r="JWH135" s="537"/>
      <c r="JWI135" s="537"/>
      <c r="JWJ135" s="537"/>
      <c r="JWK135" s="537"/>
      <c r="JWL135" s="537"/>
      <c r="JWM135" s="537"/>
      <c r="JWN135" s="537"/>
      <c r="JWO135" s="537"/>
      <c r="JWP135" s="537"/>
      <c r="JWQ135" s="537"/>
      <c r="JWR135" s="537"/>
      <c r="JWS135" s="537"/>
      <c r="JWT135" s="537"/>
      <c r="JWU135" s="537"/>
      <c r="JWV135" s="537"/>
      <c r="JWW135" s="537"/>
      <c r="JWX135" s="537"/>
      <c r="JWY135" s="537"/>
      <c r="JWZ135" s="537"/>
      <c r="JXA135" s="537"/>
      <c r="JXB135" s="537"/>
      <c r="JXC135" s="537"/>
      <c r="JXD135" s="537"/>
      <c r="JXE135" s="537"/>
      <c r="JXF135" s="537"/>
      <c r="JXG135" s="537"/>
      <c r="JXH135" s="537"/>
      <c r="JXI135" s="537"/>
      <c r="JXJ135" s="537"/>
      <c r="JXK135" s="537"/>
      <c r="JXL135" s="537"/>
      <c r="JXM135" s="537"/>
      <c r="JXN135" s="537"/>
      <c r="JXO135" s="537"/>
      <c r="JXP135" s="537"/>
      <c r="JXQ135" s="537"/>
      <c r="JXR135" s="537"/>
      <c r="JXS135" s="537"/>
      <c r="JXT135" s="537"/>
      <c r="JXU135" s="537"/>
      <c r="JXV135" s="537"/>
      <c r="JXW135" s="537"/>
      <c r="JXX135" s="537"/>
      <c r="JXY135" s="537"/>
      <c r="JXZ135" s="537"/>
      <c r="JYA135" s="537"/>
      <c r="JYB135" s="537"/>
      <c r="JYC135" s="537"/>
      <c r="JYD135" s="537"/>
      <c r="JYE135" s="537"/>
      <c r="JYF135" s="537"/>
      <c r="JYG135" s="537"/>
      <c r="JYH135" s="537"/>
      <c r="JYI135" s="537"/>
      <c r="JYJ135" s="537"/>
      <c r="JYK135" s="537"/>
      <c r="JYL135" s="537"/>
      <c r="JYM135" s="537"/>
      <c r="JYN135" s="537"/>
      <c r="JYO135" s="537"/>
      <c r="JYP135" s="537"/>
      <c r="JYQ135" s="537"/>
      <c r="JYR135" s="537"/>
      <c r="JYS135" s="537"/>
      <c r="JYT135" s="537"/>
      <c r="JYU135" s="537"/>
      <c r="JYV135" s="537"/>
      <c r="JYW135" s="537"/>
      <c r="JYX135" s="537"/>
      <c r="JYY135" s="537"/>
      <c r="JYZ135" s="537"/>
      <c r="JZA135" s="537"/>
      <c r="JZB135" s="537"/>
      <c r="JZC135" s="537"/>
      <c r="JZD135" s="537"/>
      <c r="JZE135" s="537"/>
      <c r="JZF135" s="537"/>
      <c r="JZG135" s="537"/>
      <c r="JZH135" s="537"/>
      <c r="JZI135" s="537"/>
      <c r="JZJ135" s="537"/>
      <c r="JZK135" s="537"/>
      <c r="JZL135" s="537"/>
      <c r="JZM135" s="537"/>
      <c r="JZN135" s="537"/>
      <c r="JZO135" s="537"/>
      <c r="JZP135" s="537"/>
      <c r="JZQ135" s="537"/>
      <c r="JZR135" s="537"/>
      <c r="JZS135" s="537"/>
      <c r="JZT135" s="537"/>
      <c r="JZU135" s="537"/>
      <c r="JZV135" s="537"/>
      <c r="JZW135" s="537"/>
      <c r="JZX135" s="537"/>
      <c r="JZY135" s="537"/>
      <c r="JZZ135" s="537"/>
      <c r="KAA135" s="537"/>
      <c r="KAB135" s="537"/>
      <c r="KAC135" s="537"/>
      <c r="KAD135" s="537"/>
      <c r="KAE135" s="537"/>
      <c r="KAF135" s="537"/>
      <c r="KAG135" s="537"/>
      <c r="KAH135" s="537"/>
      <c r="KAI135" s="537"/>
      <c r="KAJ135" s="537"/>
      <c r="KAK135" s="537"/>
      <c r="KAL135" s="537"/>
      <c r="KAM135" s="537"/>
      <c r="KAN135" s="537"/>
      <c r="KAO135" s="537"/>
      <c r="KAP135" s="537"/>
      <c r="KAQ135" s="537"/>
      <c r="KAR135" s="537"/>
      <c r="KAS135" s="537"/>
      <c r="KAT135" s="537"/>
      <c r="KAU135" s="537"/>
      <c r="KAV135" s="537"/>
      <c r="KAW135" s="537"/>
      <c r="KAX135" s="537"/>
      <c r="KAY135" s="537"/>
      <c r="KAZ135" s="537"/>
      <c r="KBA135" s="537"/>
      <c r="KBB135" s="537"/>
      <c r="KBC135" s="537"/>
      <c r="KBD135" s="537"/>
      <c r="KBE135" s="537"/>
      <c r="KBF135" s="537"/>
      <c r="KBG135" s="537"/>
      <c r="KBH135" s="537"/>
      <c r="KBI135" s="537"/>
      <c r="KBJ135" s="537"/>
      <c r="KBK135" s="537"/>
      <c r="KBL135" s="537"/>
      <c r="KBM135" s="537"/>
      <c r="KBN135" s="537"/>
      <c r="KBO135" s="537"/>
      <c r="KBP135" s="537"/>
      <c r="KBQ135" s="537"/>
      <c r="KBR135" s="537"/>
      <c r="KBS135" s="537"/>
      <c r="KBT135" s="537"/>
      <c r="KBU135" s="537"/>
      <c r="KBV135" s="537"/>
      <c r="KBW135" s="537"/>
      <c r="KBX135" s="537"/>
      <c r="KBY135" s="537"/>
      <c r="KBZ135" s="537"/>
      <c r="KCA135" s="537"/>
      <c r="KCB135" s="537"/>
      <c r="KCC135" s="537"/>
      <c r="KCD135" s="537"/>
      <c r="KCE135" s="537"/>
      <c r="KCF135" s="537"/>
      <c r="KCG135" s="537"/>
      <c r="KCH135" s="537"/>
      <c r="KCI135" s="537"/>
      <c r="KCJ135" s="537"/>
      <c r="KCK135" s="537"/>
      <c r="KCL135" s="537"/>
      <c r="KCM135" s="537"/>
      <c r="KCN135" s="537"/>
      <c r="KCO135" s="537"/>
      <c r="KCP135" s="537"/>
      <c r="KCQ135" s="537"/>
      <c r="KCR135" s="537"/>
      <c r="KCS135" s="537"/>
      <c r="KCT135" s="537"/>
      <c r="KCU135" s="537"/>
      <c r="KCV135" s="537"/>
      <c r="KCW135" s="537"/>
      <c r="KCX135" s="537"/>
      <c r="KCY135" s="537"/>
      <c r="KCZ135" s="537"/>
      <c r="KDA135" s="537"/>
      <c r="KDB135" s="537"/>
      <c r="KDC135" s="537"/>
      <c r="KDD135" s="537"/>
      <c r="KDE135" s="537"/>
      <c r="KDF135" s="537"/>
      <c r="KDG135" s="537"/>
      <c r="KDH135" s="537"/>
      <c r="KDI135" s="537"/>
      <c r="KDJ135" s="537"/>
      <c r="KDK135" s="537"/>
      <c r="KDL135" s="537"/>
      <c r="KDM135" s="537"/>
      <c r="KDN135" s="537"/>
      <c r="KDO135" s="537"/>
      <c r="KDP135" s="537"/>
      <c r="KDQ135" s="537"/>
      <c r="KDR135" s="537"/>
      <c r="KDS135" s="537"/>
      <c r="KDT135" s="537"/>
      <c r="KDU135" s="537"/>
      <c r="KDV135" s="537"/>
      <c r="KDW135" s="537"/>
      <c r="KDX135" s="537"/>
      <c r="KDY135" s="537"/>
      <c r="KDZ135" s="537"/>
      <c r="KEA135" s="537"/>
      <c r="KEB135" s="537"/>
      <c r="KEC135" s="537"/>
      <c r="KED135" s="537"/>
      <c r="KEE135" s="537"/>
      <c r="KEF135" s="537"/>
      <c r="KEG135" s="537"/>
      <c r="KEH135" s="537"/>
      <c r="KEI135" s="537"/>
      <c r="KEJ135" s="537"/>
      <c r="KEK135" s="537"/>
      <c r="KEL135" s="537"/>
      <c r="KEM135" s="537"/>
      <c r="KEN135" s="537"/>
      <c r="KEO135" s="537"/>
      <c r="KEP135" s="537"/>
      <c r="KEQ135" s="537"/>
      <c r="KER135" s="537"/>
      <c r="KES135" s="537"/>
      <c r="KET135" s="537"/>
      <c r="KEU135" s="537"/>
      <c r="KEV135" s="537"/>
      <c r="KEW135" s="537"/>
      <c r="KEX135" s="537"/>
      <c r="KEY135" s="537"/>
      <c r="KEZ135" s="537"/>
      <c r="KFA135" s="537"/>
      <c r="KFB135" s="537"/>
      <c r="KFC135" s="537"/>
      <c r="KFD135" s="537"/>
      <c r="KFE135" s="537"/>
      <c r="KFF135" s="537"/>
      <c r="KFG135" s="537"/>
      <c r="KFH135" s="537"/>
      <c r="KFI135" s="537"/>
      <c r="KFJ135" s="537"/>
      <c r="KFK135" s="537"/>
      <c r="KFL135" s="537"/>
      <c r="KFM135" s="537"/>
      <c r="KFN135" s="537"/>
      <c r="KFO135" s="537"/>
      <c r="KFP135" s="537"/>
      <c r="KFQ135" s="537"/>
      <c r="KFR135" s="537"/>
      <c r="KFS135" s="537"/>
      <c r="KFT135" s="537"/>
      <c r="KFU135" s="537"/>
      <c r="KFV135" s="537"/>
      <c r="KFW135" s="537"/>
      <c r="KFX135" s="537"/>
      <c r="KFY135" s="537"/>
      <c r="KFZ135" s="537"/>
      <c r="KGA135" s="537"/>
      <c r="KGB135" s="537"/>
      <c r="KGC135" s="537"/>
      <c r="KGD135" s="537"/>
      <c r="KGE135" s="537"/>
      <c r="KGF135" s="537"/>
      <c r="KGG135" s="537"/>
      <c r="KGH135" s="537"/>
      <c r="KGI135" s="537"/>
      <c r="KGJ135" s="537"/>
      <c r="KGK135" s="537"/>
      <c r="KGL135" s="537"/>
      <c r="KGM135" s="537"/>
      <c r="KGN135" s="537"/>
      <c r="KGO135" s="537"/>
      <c r="KGP135" s="537"/>
      <c r="KGQ135" s="537"/>
      <c r="KGR135" s="537"/>
      <c r="KGS135" s="537"/>
      <c r="KGT135" s="537"/>
      <c r="KGU135" s="537"/>
      <c r="KGV135" s="537"/>
      <c r="KGW135" s="537"/>
      <c r="KGX135" s="537"/>
      <c r="KGY135" s="537"/>
      <c r="KGZ135" s="537"/>
      <c r="KHA135" s="537"/>
      <c r="KHB135" s="537"/>
      <c r="KHC135" s="537"/>
      <c r="KHD135" s="537"/>
      <c r="KHE135" s="537"/>
      <c r="KHF135" s="537"/>
      <c r="KHG135" s="537"/>
      <c r="KHH135" s="537"/>
      <c r="KHI135" s="537"/>
      <c r="KHJ135" s="537"/>
      <c r="KHK135" s="537"/>
      <c r="KHL135" s="537"/>
      <c r="KHM135" s="537"/>
      <c r="KHN135" s="537"/>
      <c r="KHO135" s="537"/>
      <c r="KHP135" s="537"/>
      <c r="KHQ135" s="537"/>
      <c r="KHR135" s="537"/>
      <c r="KHS135" s="537"/>
      <c r="KHT135" s="537"/>
      <c r="KHU135" s="537"/>
      <c r="KHV135" s="537"/>
      <c r="KHW135" s="537"/>
      <c r="KHX135" s="537"/>
      <c r="KHY135" s="537"/>
      <c r="KHZ135" s="537"/>
      <c r="KIA135" s="537"/>
      <c r="KIB135" s="537"/>
      <c r="KIC135" s="537"/>
      <c r="KID135" s="537"/>
      <c r="KIE135" s="537"/>
      <c r="KIF135" s="537"/>
      <c r="KIG135" s="537"/>
      <c r="KIH135" s="537"/>
      <c r="KII135" s="537"/>
      <c r="KIJ135" s="537"/>
      <c r="KIK135" s="537"/>
      <c r="KIL135" s="537"/>
      <c r="KIM135" s="537"/>
      <c r="KIN135" s="537"/>
      <c r="KIO135" s="537"/>
      <c r="KIP135" s="537"/>
      <c r="KIQ135" s="537"/>
      <c r="KIR135" s="537"/>
      <c r="KIS135" s="537"/>
      <c r="KIT135" s="537"/>
      <c r="KIU135" s="537"/>
      <c r="KIV135" s="537"/>
      <c r="KIW135" s="537"/>
      <c r="KIX135" s="537"/>
      <c r="KIY135" s="537"/>
      <c r="KIZ135" s="537"/>
      <c r="KJA135" s="537"/>
      <c r="KJB135" s="537"/>
      <c r="KJC135" s="537"/>
      <c r="KJD135" s="537"/>
      <c r="KJE135" s="537"/>
      <c r="KJF135" s="537"/>
      <c r="KJG135" s="537"/>
      <c r="KJH135" s="537"/>
      <c r="KJI135" s="537"/>
      <c r="KJJ135" s="537"/>
      <c r="KJK135" s="537"/>
      <c r="KJL135" s="537"/>
      <c r="KJM135" s="537"/>
      <c r="KJN135" s="537"/>
      <c r="KJO135" s="537"/>
      <c r="KJP135" s="537"/>
      <c r="KJQ135" s="537"/>
      <c r="KJR135" s="537"/>
      <c r="KJS135" s="537"/>
      <c r="KJT135" s="537"/>
      <c r="KJU135" s="537"/>
      <c r="KJV135" s="537"/>
      <c r="KJW135" s="537"/>
      <c r="KJX135" s="537"/>
      <c r="KJY135" s="537"/>
      <c r="KJZ135" s="537"/>
      <c r="KKA135" s="537"/>
      <c r="KKB135" s="537"/>
      <c r="KKC135" s="537"/>
      <c r="KKD135" s="537"/>
      <c r="KKE135" s="537"/>
      <c r="KKF135" s="537"/>
      <c r="KKG135" s="537"/>
      <c r="KKH135" s="537"/>
      <c r="KKI135" s="537"/>
      <c r="KKJ135" s="537"/>
      <c r="KKK135" s="537"/>
      <c r="KKL135" s="537"/>
      <c r="KKM135" s="537"/>
      <c r="KKN135" s="537"/>
      <c r="KKO135" s="537"/>
      <c r="KKP135" s="537"/>
      <c r="KKQ135" s="537"/>
      <c r="KKR135" s="537"/>
      <c r="KKS135" s="537"/>
      <c r="KKT135" s="537"/>
      <c r="KKU135" s="537"/>
      <c r="KKV135" s="537"/>
      <c r="KKW135" s="537"/>
      <c r="KKX135" s="537"/>
      <c r="KKY135" s="537"/>
      <c r="KKZ135" s="537"/>
      <c r="KLA135" s="537"/>
      <c r="KLB135" s="537"/>
      <c r="KLC135" s="537"/>
      <c r="KLD135" s="537"/>
      <c r="KLE135" s="537"/>
      <c r="KLF135" s="537"/>
      <c r="KLG135" s="537"/>
      <c r="KLH135" s="537"/>
      <c r="KLI135" s="537"/>
      <c r="KLJ135" s="537"/>
      <c r="KLK135" s="537"/>
      <c r="KLL135" s="537"/>
      <c r="KLM135" s="537"/>
      <c r="KLN135" s="537"/>
      <c r="KLO135" s="537"/>
      <c r="KLP135" s="537"/>
      <c r="KLQ135" s="537"/>
      <c r="KLR135" s="537"/>
      <c r="KLS135" s="537"/>
      <c r="KLT135" s="537"/>
      <c r="KLU135" s="537"/>
      <c r="KLV135" s="537"/>
      <c r="KLW135" s="537"/>
      <c r="KLX135" s="537"/>
      <c r="KLY135" s="537"/>
      <c r="KLZ135" s="537"/>
      <c r="KMA135" s="537"/>
      <c r="KMB135" s="537"/>
      <c r="KMC135" s="537"/>
      <c r="KMD135" s="537"/>
      <c r="KME135" s="537"/>
      <c r="KMF135" s="537"/>
      <c r="KMG135" s="537"/>
      <c r="KMH135" s="537"/>
      <c r="KMI135" s="537"/>
      <c r="KMJ135" s="537"/>
      <c r="KMK135" s="537"/>
      <c r="KML135" s="537"/>
      <c r="KMM135" s="537"/>
      <c r="KMN135" s="537"/>
      <c r="KMO135" s="537"/>
      <c r="KMP135" s="537"/>
      <c r="KMQ135" s="537"/>
      <c r="KMR135" s="537"/>
      <c r="KMS135" s="537"/>
      <c r="KMT135" s="537"/>
      <c r="KMU135" s="537"/>
      <c r="KMV135" s="537"/>
      <c r="KMW135" s="537"/>
      <c r="KMX135" s="537"/>
      <c r="KMY135" s="537"/>
      <c r="KMZ135" s="537"/>
      <c r="KNA135" s="537"/>
      <c r="KNB135" s="537"/>
      <c r="KNC135" s="537"/>
      <c r="KND135" s="537"/>
      <c r="KNE135" s="537"/>
      <c r="KNF135" s="537"/>
      <c r="KNG135" s="537"/>
      <c r="KNH135" s="537"/>
      <c r="KNI135" s="537"/>
      <c r="KNJ135" s="537"/>
      <c r="KNK135" s="537"/>
      <c r="KNL135" s="537"/>
      <c r="KNM135" s="537"/>
      <c r="KNN135" s="537"/>
      <c r="KNO135" s="537"/>
      <c r="KNP135" s="537"/>
      <c r="KNQ135" s="537"/>
      <c r="KNR135" s="537"/>
      <c r="KNS135" s="537"/>
      <c r="KNT135" s="537"/>
      <c r="KNU135" s="537"/>
      <c r="KNV135" s="537"/>
      <c r="KNW135" s="537"/>
      <c r="KNX135" s="537"/>
      <c r="KNY135" s="537"/>
      <c r="KNZ135" s="537"/>
      <c r="KOA135" s="537"/>
      <c r="KOB135" s="537"/>
      <c r="KOC135" s="537"/>
      <c r="KOD135" s="537"/>
      <c r="KOE135" s="537"/>
      <c r="KOF135" s="537"/>
      <c r="KOG135" s="537"/>
      <c r="KOH135" s="537"/>
      <c r="KOI135" s="537"/>
      <c r="KOJ135" s="537"/>
      <c r="KOK135" s="537"/>
      <c r="KOL135" s="537"/>
      <c r="KOM135" s="537"/>
      <c r="KON135" s="537"/>
      <c r="KOO135" s="537"/>
      <c r="KOP135" s="537"/>
      <c r="KOQ135" s="537"/>
      <c r="KOR135" s="537"/>
      <c r="KOS135" s="537"/>
      <c r="KOT135" s="537"/>
      <c r="KOU135" s="537"/>
      <c r="KOV135" s="537"/>
      <c r="KOW135" s="537"/>
      <c r="KOX135" s="537"/>
      <c r="KOY135" s="537"/>
      <c r="KOZ135" s="537"/>
      <c r="KPA135" s="537"/>
      <c r="KPB135" s="537"/>
      <c r="KPC135" s="537"/>
      <c r="KPD135" s="537"/>
      <c r="KPE135" s="537"/>
      <c r="KPF135" s="537"/>
      <c r="KPG135" s="537"/>
      <c r="KPH135" s="537"/>
      <c r="KPI135" s="537"/>
      <c r="KPJ135" s="537"/>
      <c r="KPK135" s="537"/>
      <c r="KPL135" s="537"/>
      <c r="KPM135" s="537"/>
      <c r="KPN135" s="537"/>
      <c r="KPO135" s="537"/>
      <c r="KPP135" s="537"/>
      <c r="KPQ135" s="537"/>
      <c r="KPR135" s="537"/>
      <c r="KPS135" s="537"/>
      <c r="KPT135" s="537"/>
      <c r="KPU135" s="537"/>
      <c r="KPV135" s="537"/>
      <c r="KPW135" s="537"/>
      <c r="KPX135" s="537"/>
      <c r="KPY135" s="537"/>
      <c r="KPZ135" s="537"/>
      <c r="KQA135" s="537"/>
      <c r="KQB135" s="537"/>
      <c r="KQC135" s="537"/>
      <c r="KQD135" s="537"/>
      <c r="KQE135" s="537"/>
      <c r="KQF135" s="537"/>
      <c r="KQG135" s="537"/>
      <c r="KQH135" s="537"/>
      <c r="KQI135" s="537"/>
      <c r="KQJ135" s="537"/>
      <c r="KQK135" s="537"/>
      <c r="KQL135" s="537"/>
      <c r="KQM135" s="537"/>
      <c r="KQN135" s="537"/>
      <c r="KQO135" s="537"/>
      <c r="KQP135" s="537"/>
      <c r="KQQ135" s="537"/>
      <c r="KQR135" s="537"/>
      <c r="KQS135" s="537"/>
      <c r="KQT135" s="537"/>
      <c r="KQU135" s="537"/>
      <c r="KQV135" s="537"/>
      <c r="KQW135" s="537"/>
      <c r="KQX135" s="537"/>
      <c r="KQY135" s="537"/>
      <c r="KQZ135" s="537"/>
      <c r="KRA135" s="537"/>
      <c r="KRB135" s="537"/>
      <c r="KRC135" s="537"/>
      <c r="KRD135" s="537"/>
      <c r="KRE135" s="537"/>
      <c r="KRF135" s="537"/>
      <c r="KRG135" s="537"/>
      <c r="KRH135" s="537"/>
      <c r="KRI135" s="537"/>
      <c r="KRJ135" s="537"/>
      <c r="KRK135" s="537"/>
      <c r="KRL135" s="537"/>
      <c r="KRM135" s="537"/>
      <c r="KRN135" s="537"/>
      <c r="KRO135" s="537"/>
      <c r="KRP135" s="537"/>
      <c r="KRQ135" s="537"/>
      <c r="KRR135" s="537"/>
      <c r="KRS135" s="537"/>
      <c r="KRT135" s="537"/>
      <c r="KRU135" s="537"/>
      <c r="KRV135" s="537"/>
      <c r="KRW135" s="537"/>
      <c r="KRX135" s="537"/>
      <c r="KRY135" s="537"/>
      <c r="KRZ135" s="537"/>
      <c r="KSA135" s="537"/>
      <c r="KSB135" s="537"/>
      <c r="KSC135" s="537"/>
      <c r="KSD135" s="537"/>
      <c r="KSE135" s="537"/>
      <c r="KSF135" s="537"/>
      <c r="KSG135" s="537"/>
      <c r="KSH135" s="537"/>
      <c r="KSI135" s="537"/>
      <c r="KSJ135" s="537"/>
      <c r="KSK135" s="537"/>
      <c r="KSL135" s="537"/>
      <c r="KSM135" s="537"/>
      <c r="KSN135" s="537"/>
      <c r="KSO135" s="537"/>
      <c r="KSP135" s="537"/>
      <c r="KSQ135" s="537"/>
      <c r="KSR135" s="537"/>
      <c r="KSS135" s="537"/>
      <c r="KST135" s="537"/>
      <c r="KSU135" s="537"/>
      <c r="KSV135" s="537"/>
      <c r="KSW135" s="537"/>
      <c r="KSX135" s="537"/>
      <c r="KSY135" s="537"/>
      <c r="KSZ135" s="537"/>
      <c r="KTA135" s="537"/>
      <c r="KTB135" s="537"/>
      <c r="KTC135" s="537"/>
      <c r="KTD135" s="537"/>
      <c r="KTE135" s="537"/>
      <c r="KTF135" s="537"/>
      <c r="KTG135" s="537"/>
      <c r="KTH135" s="537"/>
      <c r="KTI135" s="537"/>
      <c r="KTJ135" s="537"/>
      <c r="KTK135" s="537"/>
      <c r="KTL135" s="537"/>
      <c r="KTM135" s="537"/>
      <c r="KTN135" s="537"/>
      <c r="KTO135" s="537"/>
      <c r="KTP135" s="537"/>
      <c r="KTQ135" s="537"/>
      <c r="KTR135" s="537"/>
      <c r="KTS135" s="537"/>
      <c r="KTT135" s="537"/>
      <c r="KTU135" s="537"/>
      <c r="KTV135" s="537"/>
      <c r="KTW135" s="537"/>
      <c r="KTX135" s="537"/>
      <c r="KTY135" s="537"/>
      <c r="KTZ135" s="537"/>
      <c r="KUA135" s="537"/>
      <c r="KUB135" s="537"/>
      <c r="KUC135" s="537"/>
      <c r="KUD135" s="537"/>
      <c r="KUE135" s="537"/>
      <c r="KUF135" s="537"/>
      <c r="KUG135" s="537"/>
      <c r="KUH135" s="537"/>
      <c r="KUI135" s="537"/>
      <c r="KUJ135" s="537"/>
      <c r="KUK135" s="537"/>
      <c r="KUL135" s="537"/>
      <c r="KUM135" s="537"/>
      <c r="KUN135" s="537"/>
      <c r="KUO135" s="537"/>
      <c r="KUP135" s="537"/>
      <c r="KUQ135" s="537"/>
      <c r="KUR135" s="537"/>
      <c r="KUS135" s="537"/>
      <c r="KUT135" s="537"/>
      <c r="KUU135" s="537"/>
      <c r="KUV135" s="537"/>
      <c r="KUW135" s="537"/>
      <c r="KUX135" s="537"/>
      <c r="KUY135" s="537"/>
      <c r="KUZ135" s="537"/>
      <c r="KVA135" s="537"/>
      <c r="KVB135" s="537"/>
      <c r="KVC135" s="537"/>
      <c r="KVD135" s="537"/>
      <c r="KVE135" s="537"/>
      <c r="KVF135" s="537"/>
      <c r="KVG135" s="537"/>
      <c r="KVH135" s="537"/>
      <c r="KVI135" s="537"/>
      <c r="KVJ135" s="537"/>
      <c r="KVK135" s="537"/>
      <c r="KVL135" s="537"/>
      <c r="KVM135" s="537"/>
      <c r="KVN135" s="537"/>
      <c r="KVO135" s="537"/>
      <c r="KVP135" s="537"/>
      <c r="KVQ135" s="537"/>
      <c r="KVR135" s="537"/>
      <c r="KVS135" s="537"/>
      <c r="KVT135" s="537"/>
      <c r="KVU135" s="537"/>
      <c r="KVV135" s="537"/>
      <c r="KVW135" s="537"/>
      <c r="KVX135" s="537"/>
      <c r="KVY135" s="537"/>
      <c r="KVZ135" s="537"/>
      <c r="KWA135" s="537"/>
      <c r="KWB135" s="537"/>
      <c r="KWC135" s="537"/>
      <c r="KWD135" s="537"/>
      <c r="KWE135" s="537"/>
      <c r="KWF135" s="537"/>
      <c r="KWG135" s="537"/>
      <c r="KWH135" s="537"/>
      <c r="KWI135" s="537"/>
      <c r="KWJ135" s="537"/>
      <c r="KWK135" s="537"/>
      <c r="KWL135" s="537"/>
      <c r="KWM135" s="537"/>
      <c r="KWN135" s="537"/>
      <c r="KWO135" s="537"/>
      <c r="KWP135" s="537"/>
      <c r="KWQ135" s="537"/>
      <c r="KWR135" s="537"/>
      <c r="KWS135" s="537"/>
      <c r="KWT135" s="537"/>
      <c r="KWU135" s="537"/>
      <c r="KWV135" s="537"/>
      <c r="KWW135" s="537"/>
      <c r="KWX135" s="537"/>
      <c r="KWY135" s="537"/>
      <c r="KWZ135" s="537"/>
      <c r="KXA135" s="537"/>
      <c r="KXB135" s="537"/>
      <c r="KXC135" s="537"/>
      <c r="KXD135" s="537"/>
      <c r="KXE135" s="537"/>
      <c r="KXF135" s="537"/>
      <c r="KXG135" s="537"/>
      <c r="KXH135" s="537"/>
      <c r="KXI135" s="537"/>
      <c r="KXJ135" s="537"/>
      <c r="KXK135" s="537"/>
      <c r="KXL135" s="537"/>
      <c r="KXM135" s="537"/>
      <c r="KXN135" s="537"/>
      <c r="KXO135" s="537"/>
      <c r="KXP135" s="537"/>
      <c r="KXQ135" s="537"/>
      <c r="KXR135" s="537"/>
      <c r="KXS135" s="537"/>
      <c r="KXT135" s="537"/>
      <c r="KXU135" s="537"/>
      <c r="KXV135" s="537"/>
      <c r="KXW135" s="537"/>
      <c r="KXX135" s="537"/>
      <c r="KXY135" s="537"/>
      <c r="KXZ135" s="537"/>
      <c r="KYA135" s="537"/>
      <c r="KYB135" s="537"/>
      <c r="KYC135" s="537"/>
      <c r="KYD135" s="537"/>
      <c r="KYE135" s="537"/>
      <c r="KYF135" s="537"/>
      <c r="KYG135" s="537"/>
      <c r="KYH135" s="537"/>
      <c r="KYI135" s="537"/>
      <c r="KYJ135" s="537"/>
      <c r="KYK135" s="537"/>
      <c r="KYL135" s="537"/>
      <c r="KYM135" s="537"/>
      <c r="KYN135" s="537"/>
      <c r="KYO135" s="537"/>
      <c r="KYP135" s="537"/>
      <c r="KYQ135" s="537"/>
      <c r="KYR135" s="537"/>
      <c r="KYS135" s="537"/>
      <c r="KYT135" s="537"/>
      <c r="KYU135" s="537"/>
      <c r="KYV135" s="537"/>
      <c r="KYW135" s="537"/>
      <c r="KYX135" s="537"/>
      <c r="KYY135" s="537"/>
      <c r="KYZ135" s="537"/>
      <c r="KZA135" s="537"/>
      <c r="KZB135" s="537"/>
      <c r="KZC135" s="537"/>
      <c r="KZD135" s="537"/>
      <c r="KZE135" s="537"/>
      <c r="KZF135" s="537"/>
      <c r="KZG135" s="537"/>
      <c r="KZH135" s="537"/>
      <c r="KZI135" s="537"/>
      <c r="KZJ135" s="537"/>
      <c r="KZK135" s="537"/>
      <c r="KZL135" s="537"/>
      <c r="KZM135" s="537"/>
      <c r="KZN135" s="537"/>
      <c r="KZO135" s="537"/>
      <c r="KZP135" s="537"/>
      <c r="KZQ135" s="537"/>
      <c r="KZR135" s="537"/>
      <c r="KZS135" s="537"/>
      <c r="KZT135" s="537"/>
      <c r="KZU135" s="537"/>
      <c r="KZV135" s="537"/>
      <c r="KZW135" s="537"/>
      <c r="KZX135" s="537"/>
      <c r="KZY135" s="537"/>
      <c r="KZZ135" s="537"/>
      <c r="LAA135" s="537"/>
      <c r="LAB135" s="537"/>
      <c r="LAC135" s="537"/>
      <c r="LAD135" s="537"/>
      <c r="LAE135" s="537"/>
      <c r="LAF135" s="537"/>
      <c r="LAG135" s="537"/>
      <c r="LAH135" s="537"/>
      <c r="LAI135" s="537"/>
      <c r="LAJ135" s="537"/>
      <c r="LAK135" s="537"/>
      <c r="LAL135" s="537"/>
      <c r="LAM135" s="537"/>
      <c r="LAN135" s="537"/>
      <c r="LAO135" s="537"/>
      <c r="LAP135" s="537"/>
      <c r="LAQ135" s="537"/>
      <c r="LAR135" s="537"/>
      <c r="LAS135" s="537"/>
      <c r="LAT135" s="537"/>
      <c r="LAU135" s="537"/>
      <c r="LAV135" s="537"/>
      <c r="LAW135" s="537"/>
      <c r="LAX135" s="537"/>
      <c r="LAY135" s="537"/>
      <c r="LAZ135" s="537"/>
      <c r="LBA135" s="537"/>
      <c r="LBB135" s="537"/>
      <c r="LBC135" s="537"/>
      <c r="LBD135" s="537"/>
      <c r="LBE135" s="537"/>
      <c r="LBF135" s="537"/>
      <c r="LBG135" s="537"/>
      <c r="LBH135" s="537"/>
      <c r="LBI135" s="537"/>
      <c r="LBJ135" s="537"/>
      <c r="LBK135" s="537"/>
      <c r="LBL135" s="537"/>
      <c r="LBM135" s="537"/>
      <c r="LBN135" s="537"/>
      <c r="LBO135" s="537"/>
      <c r="LBP135" s="537"/>
      <c r="LBQ135" s="537"/>
      <c r="LBR135" s="537"/>
      <c r="LBS135" s="537"/>
      <c r="LBT135" s="537"/>
      <c r="LBU135" s="537"/>
      <c r="LBV135" s="537"/>
      <c r="LBW135" s="537"/>
      <c r="LBX135" s="537"/>
      <c r="LBY135" s="537"/>
      <c r="LBZ135" s="537"/>
      <c r="LCA135" s="537"/>
      <c r="LCB135" s="537"/>
      <c r="LCC135" s="537"/>
      <c r="LCD135" s="537"/>
      <c r="LCE135" s="537"/>
      <c r="LCF135" s="537"/>
      <c r="LCG135" s="537"/>
      <c r="LCH135" s="537"/>
      <c r="LCI135" s="537"/>
      <c r="LCJ135" s="537"/>
      <c r="LCK135" s="537"/>
      <c r="LCL135" s="537"/>
      <c r="LCM135" s="537"/>
      <c r="LCN135" s="537"/>
      <c r="LCO135" s="537"/>
      <c r="LCP135" s="537"/>
      <c r="LCQ135" s="537"/>
      <c r="LCR135" s="537"/>
      <c r="LCS135" s="537"/>
      <c r="LCT135" s="537"/>
      <c r="LCU135" s="537"/>
      <c r="LCV135" s="537"/>
      <c r="LCW135" s="537"/>
      <c r="LCX135" s="537"/>
      <c r="LCY135" s="537"/>
      <c r="LCZ135" s="537"/>
      <c r="LDA135" s="537"/>
      <c r="LDB135" s="537"/>
      <c r="LDC135" s="537"/>
      <c r="LDD135" s="537"/>
      <c r="LDE135" s="537"/>
      <c r="LDF135" s="537"/>
      <c r="LDG135" s="537"/>
      <c r="LDH135" s="537"/>
      <c r="LDI135" s="537"/>
      <c r="LDJ135" s="537"/>
      <c r="LDK135" s="537"/>
      <c r="LDL135" s="537"/>
      <c r="LDM135" s="537"/>
      <c r="LDN135" s="537"/>
      <c r="LDO135" s="537"/>
      <c r="LDP135" s="537"/>
      <c r="LDQ135" s="537"/>
      <c r="LDR135" s="537"/>
      <c r="LDS135" s="537"/>
      <c r="LDT135" s="537"/>
      <c r="LDU135" s="537"/>
      <c r="LDV135" s="537"/>
      <c r="LDW135" s="537"/>
      <c r="LDX135" s="537"/>
      <c r="LDY135" s="537"/>
      <c r="LDZ135" s="537"/>
      <c r="LEA135" s="537"/>
      <c r="LEB135" s="537"/>
      <c r="LEC135" s="537"/>
      <c r="LED135" s="537"/>
      <c r="LEE135" s="537"/>
      <c r="LEF135" s="537"/>
      <c r="LEG135" s="537"/>
      <c r="LEH135" s="537"/>
      <c r="LEI135" s="537"/>
      <c r="LEJ135" s="537"/>
      <c r="LEK135" s="537"/>
      <c r="LEL135" s="537"/>
      <c r="LEM135" s="537"/>
      <c r="LEN135" s="537"/>
      <c r="LEO135" s="537"/>
      <c r="LEP135" s="537"/>
      <c r="LEQ135" s="537"/>
      <c r="LER135" s="537"/>
      <c r="LES135" s="537"/>
      <c r="LET135" s="537"/>
      <c r="LEU135" s="537"/>
      <c r="LEV135" s="537"/>
      <c r="LEW135" s="537"/>
      <c r="LEX135" s="537"/>
      <c r="LEY135" s="537"/>
      <c r="LEZ135" s="537"/>
      <c r="LFA135" s="537"/>
      <c r="LFB135" s="537"/>
      <c r="LFC135" s="537"/>
      <c r="LFD135" s="537"/>
      <c r="LFE135" s="537"/>
      <c r="LFF135" s="537"/>
      <c r="LFG135" s="537"/>
      <c r="LFH135" s="537"/>
      <c r="LFI135" s="537"/>
      <c r="LFJ135" s="537"/>
      <c r="LFK135" s="537"/>
      <c r="LFL135" s="537"/>
      <c r="LFM135" s="537"/>
      <c r="LFN135" s="537"/>
      <c r="LFO135" s="537"/>
      <c r="LFP135" s="537"/>
      <c r="LFQ135" s="537"/>
      <c r="LFR135" s="537"/>
      <c r="LFS135" s="537"/>
      <c r="LFT135" s="537"/>
      <c r="LFU135" s="537"/>
      <c r="LFV135" s="537"/>
      <c r="LFW135" s="537"/>
      <c r="LFX135" s="537"/>
      <c r="LFY135" s="537"/>
      <c r="LFZ135" s="537"/>
      <c r="LGA135" s="537"/>
      <c r="LGB135" s="537"/>
      <c r="LGC135" s="537"/>
      <c r="LGD135" s="537"/>
      <c r="LGE135" s="537"/>
      <c r="LGF135" s="537"/>
      <c r="LGG135" s="537"/>
      <c r="LGH135" s="537"/>
      <c r="LGI135" s="537"/>
      <c r="LGJ135" s="537"/>
      <c r="LGK135" s="537"/>
      <c r="LGL135" s="537"/>
      <c r="LGM135" s="537"/>
      <c r="LGN135" s="537"/>
      <c r="LGO135" s="537"/>
      <c r="LGP135" s="537"/>
      <c r="LGQ135" s="537"/>
      <c r="LGR135" s="537"/>
      <c r="LGS135" s="537"/>
      <c r="LGT135" s="537"/>
      <c r="LGU135" s="537"/>
      <c r="LGV135" s="537"/>
      <c r="LGW135" s="537"/>
      <c r="LGX135" s="537"/>
      <c r="LGY135" s="537"/>
      <c r="LGZ135" s="537"/>
      <c r="LHA135" s="537"/>
      <c r="LHB135" s="537"/>
      <c r="LHC135" s="537"/>
      <c r="LHD135" s="537"/>
      <c r="LHE135" s="537"/>
      <c r="LHF135" s="537"/>
      <c r="LHG135" s="537"/>
      <c r="LHH135" s="537"/>
      <c r="LHI135" s="537"/>
      <c r="LHJ135" s="537"/>
      <c r="LHK135" s="537"/>
      <c r="LHL135" s="537"/>
      <c r="LHM135" s="537"/>
      <c r="LHN135" s="537"/>
      <c r="LHO135" s="537"/>
      <c r="LHP135" s="537"/>
      <c r="LHQ135" s="537"/>
      <c r="LHR135" s="537"/>
      <c r="LHS135" s="537"/>
      <c r="LHT135" s="537"/>
      <c r="LHU135" s="537"/>
      <c r="LHV135" s="537"/>
      <c r="LHW135" s="537"/>
      <c r="LHX135" s="537"/>
      <c r="LHY135" s="537"/>
      <c r="LHZ135" s="537"/>
      <c r="LIA135" s="537"/>
      <c r="LIB135" s="537"/>
      <c r="LIC135" s="537"/>
      <c r="LID135" s="537"/>
      <c r="LIE135" s="537"/>
      <c r="LIF135" s="537"/>
      <c r="LIG135" s="537"/>
      <c r="LIH135" s="537"/>
      <c r="LII135" s="537"/>
      <c r="LIJ135" s="537"/>
      <c r="LIK135" s="537"/>
      <c r="LIL135" s="537"/>
      <c r="LIM135" s="537"/>
      <c r="LIN135" s="537"/>
      <c r="LIO135" s="537"/>
      <c r="LIP135" s="537"/>
      <c r="LIQ135" s="537"/>
      <c r="LIR135" s="537"/>
      <c r="LIS135" s="537"/>
      <c r="LIT135" s="537"/>
      <c r="LIU135" s="537"/>
      <c r="LIV135" s="537"/>
      <c r="LIW135" s="537"/>
      <c r="LIX135" s="537"/>
      <c r="LIY135" s="537"/>
      <c r="LIZ135" s="537"/>
      <c r="LJA135" s="537"/>
      <c r="LJB135" s="537"/>
      <c r="LJC135" s="537"/>
      <c r="LJD135" s="537"/>
      <c r="LJE135" s="537"/>
      <c r="LJF135" s="537"/>
      <c r="LJG135" s="537"/>
      <c r="LJH135" s="537"/>
      <c r="LJI135" s="537"/>
      <c r="LJJ135" s="537"/>
      <c r="LJK135" s="537"/>
      <c r="LJL135" s="537"/>
      <c r="LJM135" s="537"/>
      <c r="LJN135" s="537"/>
      <c r="LJO135" s="537"/>
      <c r="LJP135" s="537"/>
      <c r="LJQ135" s="537"/>
      <c r="LJR135" s="537"/>
      <c r="LJS135" s="537"/>
      <c r="LJT135" s="537"/>
      <c r="LJU135" s="537"/>
      <c r="LJV135" s="537"/>
      <c r="LJW135" s="537"/>
      <c r="LJX135" s="537"/>
      <c r="LJY135" s="537"/>
      <c r="LJZ135" s="537"/>
      <c r="LKA135" s="537"/>
      <c r="LKB135" s="537"/>
      <c r="LKC135" s="537"/>
      <c r="LKD135" s="537"/>
      <c r="LKE135" s="537"/>
      <c r="LKF135" s="537"/>
      <c r="LKG135" s="537"/>
      <c r="LKH135" s="537"/>
      <c r="LKI135" s="537"/>
      <c r="LKJ135" s="537"/>
      <c r="LKK135" s="537"/>
      <c r="LKL135" s="537"/>
      <c r="LKM135" s="537"/>
      <c r="LKN135" s="537"/>
      <c r="LKO135" s="537"/>
      <c r="LKP135" s="537"/>
      <c r="LKQ135" s="537"/>
      <c r="LKR135" s="537"/>
      <c r="LKS135" s="537"/>
      <c r="LKT135" s="537"/>
      <c r="LKU135" s="537"/>
      <c r="LKV135" s="537"/>
      <c r="LKW135" s="537"/>
      <c r="LKX135" s="537"/>
      <c r="LKY135" s="537"/>
      <c r="LKZ135" s="537"/>
      <c r="LLA135" s="537"/>
      <c r="LLB135" s="537"/>
      <c r="LLC135" s="537"/>
      <c r="LLD135" s="537"/>
      <c r="LLE135" s="537"/>
      <c r="LLF135" s="537"/>
      <c r="LLG135" s="537"/>
      <c r="LLH135" s="537"/>
      <c r="LLI135" s="537"/>
      <c r="LLJ135" s="537"/>
      <c r="LLK135" s="537"/>
      <c r="LLL135" s="537"/>
      <c r="LLM135" s="537"/>
      <c r="LLN135" s="537"/>
      <c r="LLO135" s="537"/>
      <c r="LLP135" s="537"/>
      <c r="LLQ135" s="537"/>
      <c r="LLR135" s="537"/>
      <c r="LLS135" s="537"/>
      <c r="LLT135" s="537"/>
      <c r="LLU135" s="537"/>
      <c r="LLV135" s="537"/>
      <c r="LLW135" s="537"/>
      <c r="LLX135" s="537"/>
      <c r="LLY135" s="537"/>
      <c r="LLZ135" s="537"/>
      <c r="LMA135" s="537"/>
      <c r="LMB135" s="537"/>
      <c r="LMC135" s="537"/>
      <c r="LMD135" s="537"/>
      <c r="LME135" s="537"/>
      <c r="LMF135" s="537"/>
      <c r="LMG135" s="537"/>
      <c r="LMH135" s="537"/>
      <c r="LMI135" s="537"/>
      <c r="LMJ135" s="537"/>
      <c r="LMK135" s="537"/>
      <c r="LML135" s="537"/>
      <c r="LMM135" s="537"/>
      <c r="LMN135" s="537"/>
      <c r="LMO135" s="537"/>
      <c r="LMP135" s="537"/>
      <c r="LMQ135" s="537"/>
      <c r="LMR135" s="537"/>
      <c r="LMS135" s="537"/>
      <c r="LMT135" s="537"/>
      <c r="LMU135" s="537"/>
      <c r="LMV135" s="537"/>
      <c r="LMW135" s="537"/>
      <c r="LMX135" s="537"/>
      <c r="LMY135" s="537"/>
      <c r="LMZ135" s="537"/>
      <c r="LNA135" s="537"/>
      <c r="LNB135" s="537"/>
      <c r="LNC135" s="537"/>
      <c r="LND135" s="537"/>
      <c r="LNE135" s="537"/>
      <c r="LNF135" s="537"/>
      <c r="LNG135" s="537"/>
      <c r="LNH135" s="537"/>
      <c r="LNI135" s="537"/>
      <c r="LNJ135" s="537"/>
      <c r="LNK135" s="537"/>
      <c r="LNL135" s="537"/>
      <c r="LNM135" s="537"/>
      <c r="LNN135" s="537"/>
      <c r="LNO135" s="537"/>
      <c r="LNP135" s="537"/>
      <c r="LNQ135" s="537"/>
      <c r="LNR135" s="537"/>
      <c r="LNS135" s="537"/>
      <c r="LNT135" s="537"/>
      <c r="LNU135" s="537"/>
      <c r="LNV135" s="537"/>
      <c r="LNW135" s="537"/>
      <c r="LNX135" s="537"/>
      <c r="LNY135" s="537"/>
      <c r="LNZ135" s="537"/>
      <c r="LOA135" s="537"/>
      <c r="LOB135" s="537"/>
      <c r="LOC135" s="537"/>
      <c r="LOD135" s="537"/>
      <c r="LOE135" s="537"/>
      <c r="LOF135" s="537"/>
      <c r="LOG135" s="537"/>
      <c r="LOH135" s="537"/>
      <c r="LOI135" s="537"/>
      <c r="LOJ135" s="537"/>
      <c r="LOK135" s="537"/>
      <c r="LOL135" s="537"/>
      <c r="LOM135" s="537"/>
      <c r="LON135" s="537"/>
      <c r="LOO135" s="537"/>
      <c r="LOP135" s="537"/>
      <c r="LOQ135" s="537"/>
      <c r="LOR135" s="537"/>
      <c r="LOS135" s="537"/>
      <c r="LOT135" s="537"/>
      <c r="LOU135" s="537"/>
      <c r="LOV135" s="537"/>
      <c r="LOW135" s="537"/>
      <c r="LOX135" s="537"/>
      <c r="LOY135" s="537"/>
      <c r="LOZ135" s="537"/>
      <c r="LPA135" s="537"/>
      <c r="LPB135" s="537"/>
      <c r="LPC135" s="537"/>
      <c r="LPD135" s="537"/>
      <c r="LPE135" s="537"/>
      <c r="LPF135" s="537"/>
      <c r="LPG135" s="537"/>
      <c r="LPH135" s="537"/>
      <c r="LPI135" s="537"/>
      <c r="LPJ135" s="537"/>
      <c r="LPK135" s="537"/>
      <c r="LPL135" s="537"/>
      <c r="LPM135" s="537"/>
      <c r="LPN135" s="537"/>
      <c r="LPO135" s="537"/>
      <c r="LPP135" s="537"/>
      <c r="LPQ135" s="537"/>
      <c r="LPR135" s="537"/>
      <c r="LPS135" s="537"/>
      <c r="LPT135" s="537"/>
      <c r="LPU135" s="537"/>
      <c r="LPV135" s="537"/>
      <c r="LPW135" s="537"/>
      <c r="LPX135" s="537"/>
      <c r="LPY135" s="537"/>
      <c r="LPZ135" s="537"/>
      <c r="LQA135" s="537"/>
      <c r="LQB135" s="537"/>
      <c r="LQC135" s="537"/>
      <c r="LQD135" s="537"/>
      <c r="LQE135" s="537"/>
      <c r="LQF135" s="537"/>
      <c r="LQG135" s="537"/>
      <c r="LQH135" s="537"/>
      <c r="LQI135" s="537"/>
      <c r="LQJ135" s="537"/>
      <c r="LQK135" s="537"/>
      <c r="LQL135" s="537"/>
      <c r="LQM135" s="537"/>
      <c r="LQN135" s="537"/>
      <c r="LQO135" s="537"/>
      <c r="LQP135" s="537"/>
      <c r="LQQ135" s="537"/>
      <c r="LQR135" s="537"/>
      <c r="LQS135" s="537"/>
      <c r="LQT135" s="537"/>
      <c r="LQU135" s="537"/>
      <c r="LQV135" s="537"/>
      <c r="LQW135" s="537"/>
      <c r="LQX135" s="537"/>
      <c r="LQY135" s="537"/>
      <c r="LQZ135" s="537"/>
      <c r="LRA135" s="537"/>
      <c r="LRB135" s="537"/>
      <c r="LRC135" s="537"/>
      <c r="LRD135" s="537"/>
      <c r="LRE135" s="537"/>
      <c r="LRF135" s="537"/>
      <c r="LRG135" s="537"/>
      <c r="LRH135" s="537"/>
      <c r="LRI135" s="537"/>
      <c r="LRJ135" s="537"/>
      <c r="LRK135" s="537"/>
      <c r="LRL135" s="537"/>
      <c r="LRM135" s="537"/>
      <c r="LRN135" s="537"/>
      <c r="LRO135" s="537"/>
      <c r="LRP135" s="537"/>
      <c r="LRQ135" s="537"/>
      <c r="LRR135" s="537"/>
      <c r="LRS135" s="537"/>
      <c r="LRT135" s="537"/>
      <c r="LRU135" s="537"/>
      <c r="LRV135" s="537"/>
      <c r="LRW135" s="537"/>
      <c r="LRX135" s="537"/>
      <c r="LRY135" s="537"/>
      <c r="LRZ135" s="537"/>
      <c r="LSA135" s="537"/>
      <c r="LSB135" s="537"/>
      <c r="LSC135" s="537"/>
      <c r="LSD135" s="537"/>
      <c r="LSE135" s="537"/>
      <c r="LSF135" s="537"/>
      <c r="LSG135" s="537"/>
      <c r="LSH135" s="537"/>
      <c r="LSI135" s="537"/>
      <c r="LSJ135" s="537"/>
      <c r="LSK135" s="537"/>
      <c r="LSL135" s="537"/>
      <c r="LSM135" s="537"/>
      <c r="LSN135" s="537"/>
      <c r="LSO135" s="537"/>
      <c r="LSP135" s="537"/>
      <c r="LSQ135" s="537"/>
      <c r="LSR135" s="537"/>
      <c r="LSS135" s="537"/>
      <c r="LST135" s="537"/>
      <c r="LSU135" s="537"/>
      <c r="LSV135" s="537"/>
      <c r="LSW135" s="537"/>
      <c r="LSX135" s="537"/>
      <c r="LSY135" s="537"/>
      <c r="LSZ135" s="537"/>
      <c r="LTA135" s="537"/>
      <c r="LTB135" s="537"/>
      <c r="LTC135" s="537"/>
      <c r="LTD135" s="537"/>
      <c r="LTE135" s="537"/>
      <c r="LTF135" s="537"/>
      <c r="LTG135" s="537"/>
      <c r="LTH135" s="537"/>
      <c r="LTI135" s="537"/>
      <c r="LTJ135" s="537"/>
      <c r="LTK135" s="537"/>
      <c r="LTL135" s="537"/>
      <c r="LTM135" s="537"/>
      <c r="LTN135" s="537"/>
      <c r="LTO135" s="537"/>
      <c r="LTP135" s="537"/>
      <c r="LTQ135" s="537"/>
      <c r="LTR135" s="537"/>
      <c r="LTS135" s="537"/>
      <c r="LTT135" s="537"/>
      <c r="LTU135" s="537"/>
      <c r="LTV135" s="537"/>
      <c r="LTW135" s="537"/>
      <c r="LTX135" s="537"/>
      <c r="LTY135" s="537"/>
      <c r="LTZ135" s="537"/>
      <c r="LUA135" s="537"/>
      <c r="LUB135" s="537"/>
      <c r="LUC135" s="537"/>
      <c r="LUD135" s="537"/>
      <c r="LUE135" s="537"/>
      <c r="LUF135" s="537"/>
      <c r="LUG135" s="537"/>
      <c r="LUH135" s="537"/>
      <c r="LUI135" s="537"/>
      <c r="LUJ135" s="537"/>
      <c r="LUK135" s="537"/>
      <c r="LUL135" s="537"/>
      <c r="LUM135" s="537"/>
      <c r="LUN135" s="537"/>
      <c r="LUO135" s="537"/>
      <c r="LUP135" s="537"/>
      <c r="LUQ135" s="537"/>
      <c r="LUR135" s="537"/>
      <c r="LUS135" s="537"/>
      <c r="LUT135" s="537"/>
      <c r="LUU135" s="537"/>
      <c r="LUV135" s="537"/>
      <c r="LUW135" s="537"/>
      <c r="LUX135" s="537"/>
      <c r="LUY135" s="537"/>
      <c r="LUZ135" s="537"/>
      <c r="LVA135" s="537"/>
      <c r="LVB135" s="537"/>
      <c r="LVC135" s="537"/>
      <c r="LVD135" s="537"/>
      <c r="LVE135" s="537"/>
      <c r="LVF135" s="537"/>
      <c r="LVG135" s="537"/>
      <c r="LVH135" s="537"/>
      <c r="LVI135" s="537"/>
      <c r="LVJ135" s="537"/>
      <c r="LVK135" s="537"/>
      <c r="LVL135" s="537"/>
      <c r="LVM135" s="537"/>
      <c r="LVN135" s="537"/>
      <c r="LVO135" s="537"/>
      <c r="LVP135" s="537"/>
      <c r="LVQ135" s="537"/>
      <c r="LVR135" s="537"/>
      <c r="LVS135" s="537"/>
      <c r="LVT135" s="537"/>
      <c r="LVU135" s="537"/>
      <c r="LVV135" s="537"/>
      <c r="LVW135" s="537"/>
      <c r="LVX135" s="537"/>
      <c r="LVY135" s="537"/>
      <c r="LVZ135" s="537"/>
      <c r="LWA135" s="537"/>
      <c r="LWB135" s="537"/>
      <c r="LWC135" s="537"/>
      <c r="LWD135" s="537"/>
      <c r="LWE135" s="537"/>
      <c r="LWF135" s="537"/>
      <c r="LWG135" s="537"/>
      <c r="LWH135" s="537"/>
      <c r="LWI135" s="537"/>
      <c r="LWJ135" s="537"/>
      <c r="LWK135" s="537"/>
      <c r="LWL135" s="537"/>
      <c r="LWM135" s="537"/>
      <c r="LWN135" s="537"/>
      <c r="LWO135" s="537"/>
      <c r="LWP135" s="537"/>
      <c r="LWQ135" s="537"/>
      <c r="LWR135" s="537"/>
      <c r="LWS135" s="537"/>
      <c r="LWT135" s="537"/>
      <c r="LWU135" s="537"/>
      <c r="LWV135" s="537"/>
      <c r="LWW135" s="537"/>
      <c r="LWX135" s="537"/>
      <c r="LWY135" s="537"/>
      <c r="LWZ135" s="537"/>
      <c r="LXA135" s="537"/>
      <c r="LXB135" s="537"/>
      <c r="LXC135" s="537"/>
      <c r="LXD135" s="537"/>
      <c r="LXE135" s="537"/>
      <c r="LXF135" s="537"/>
      <c r="LXG135" s="537"/>
      <c r="LXH135" s="537"/>
      <c r="LXI135" s="537"/>
      <c r="LXJ135" s="537"/>
      <c r="LXK135" s="537"/>
      <c r="LXL135" s="537"/>
      <c r="LXM135" s="537"/>
      <c r="LXN135" s="537"/>
      <c r="LXO135" s="537"/>
      <c r="LXP135" s="537"/>
      <c r="LXQ135" s="537"/>
      <c r="LXR135" s="537"/>
      <c r="LXS135" s="537"/>
      <c r="LXT135" s="537"/>
      <c r="LXU135" s="537"/>
      <c r="LXV135" s="537"/>
      <c r="LXW135" s="537"/>
      <c r="LXX135" s="537"/>
      <c r="LXY135" s="537"/>
      <c r="LXZ135" s="537"/>
      <c r="LYA135" s="537"/>
      <c r="LYB135" s="537"/>
      <c r="LYC135" s="537"/>
      <c r="LYD135" s="537"/>
      <c r="LYE135" s="537"/>
      <c r="LYF135" s="537"/>
      <c r="LYG135" s="537"/>
      <c r="LYH135" s="537"/>
      <c r="LYI135" s="537"/>
      <c r="LYJ135" s="537"/>
      <c r="LYK135" s="537"/>
      <c r="LYL135" s="537"/>
      <c r="LYM135" s="537"/>
      <c r="LYN135" s="537"/>
      <c r="LYO135" s="537"/>
      <c r="LYP135" s="537"/>
      <c r="LYQ135" s="537"/>
      <c r="LYR135" s="537"/>
      <c r="LYS135" s="537"/>
      <c r="LYT135" s="537"/>
      <c r="LYU135" s="537"/>
      <c r="LYV135" s="537"/>
      <c r="LYW135" s="537"/>
      <c r="LYX135" s="537"/>
      <c r="LYY135" s="537"/>
      <c r="LYZ135" s="537"/>
      <c r="LZA135" s="537"/>
      <c r="LZB135" s="537"/>
      <c r="LZC135" s="537"/>
      <c r="LZD135" s="537"/>
      <c r="LZE135" s="537"/>
      <c r="LZF135" s="537"/>
      <c r="LZG135" s="537"/>
      <c r="LZH135" s="537"/>
      <c r="LZI135" s="537"/>
      <c r="LZJ135" s="537"/>
      <c r="LZK135" s="537"/>
      <c r="LZL135" s="537"/>
      <c r="LZM135" s="537"/>
      <c r="LZN135" s="537"/>
      <c r="LZO135" s="537"/>
      <c r="LZP135" s="537"/>
      <c r="LZQ135" s="537"/>
      <c r="LZR135" s="537"/>
      <c r="LZS135" s="537"/>
      <c r="LZT135" s="537"/>
      <c r="LZU135" s="537"/>
      <c r="LZV135" s="537"/>
      <c r="LZW135" s="537"/>
      <c r="LZX135" s="537"/>
      <c r="LZY135" s="537"/>
      <c r="LZZ135" s="537"/>
      <c r="MAA135" s="537"/>
      <c r="MAB135" s="537"/>
      <c r="MAC135" s="537"/>
      <c r="MAD135" s="537"/>
      <c r="MAE135" s="537"/>
      <c r="MAF135" s="537"/>
      <c r="MAG135" s="537"/>
      <c r="MAH135" s="537"/>
      <c r="MAI135" s="537"/>
      <c r="MAJ135" s="537"/>
      <c r="MAK135" s="537"/>
      <c r="MAL135" s="537"/>
      <c r="MAM135" s="537"/>
      <c r="MAN135" s="537"/>
      <c r="MAO135" s="537"/>
      <c r="MAP135" s="537"/>
      <c r="MAQ135" s="537"/>
      <c r="MAR135" s="537"/>
      <c r="MAS135" s="537"/>
      <c r="MAT135" s="537"/>
      <c r="MAU135" s="537"/>
      <c r="MAV135" s="537"/>
      <c r="MAW135" s="537"/>
      <c r="MAX135" s="537"/>
      <c r="MAY135" s="537"/>
      <c r="MAZ135" s="537"/>
      <c r="MBA135" s="537"/>
      <c r="MBB135" s="537"/>
      <c r="MBC135" s="537"/>
      <c r="MBD135" s="537"/>
      <c r="MBE135" s="537"/>
      <c r="MBF135" s="537"/>
      <c r="MBG135" s="537"/>
      <c r="MBH135" s="537"/>
      <c r="MBI135" s="537"/>
      <c r="MBJ135" s="537"/>
      <c r="MBK135" s="537"/>
      <c r="MBL135" s="537"/>
      <c r="MBM135" s="537"/>
      <c r="MBN135" s="537"/>
      <c r="MBO135" s="537"/>
      <c r="MBP135" s="537"/>
      <c r="MBQ135" s="537"/>
      <c r="MBR135" s="537"/>
      <c r="MBS135" s="537"/>
      <c r="MBT135" s="537"/>
      <c r="MBU135" s="537"/>
      <c r="MBV135" s="537"/>
      <c r="MBW135" s="537"/>
      <c r="MBX135" s="537"/>
      <c r="MBY135" s="537"/>
      <c r="MBZ135" s="537"/>
      <c r="MCA135" s="537"/>
      <c r="MCB135" s="537"/>
      <c r="MCC135" s="537"/>
      <c r="MCD135" s="537"/>
      <c r="MCE135" s="537"/>
      <c r="MCF135" s="537"/>
      <c r="MCG135" s="537"/>
      <c r="MCH135" s="537"/>
      <c r="MCI135" s="537"/>
      <c r="MCJ135" s="537"/>
      <c r="MCK135" s="537"/>
      <c r="MCL135" s="537"/>
      <c r="MCM135" s="537"/>
      <c r="MCN135" s="537"/>
      <c r="MCO135" s="537"/>
      <c r="MCP135" s="537"/>
      <c r="MCQ135" s="537"/>
      <c r="MCR135" s="537"/>
      <c r="MCS135" s="537"/>
      <c r="MCT135" s="537"/>
      <c r="MCU135" s="537"/>
      <c r="MCV135" s="537"/>
      <c r="MCW135" s="537"/>
      <c r="MCX135" s="537"/>
      <c r="MCY135" s="537"/>
      <c r="MCZ135" s="537"/>
      <c r="MDA135" s="537"/>
      <c r="MDB135" s="537"/>
      <c r="MDC135" s="537"/>
      <c r="MDD135" s="537"/>
      <c r="MDE135" s="537"/>
      <c r="MDF135" s="537"/>
      <c r="MDG135" s="537"/>
      <c r="MDH135" s="537"/>
      <c r="MDI135" s="537"/>
      <c r="MDJ135" s="537"/>
      <c r="MDK135" s="537"/>
      <c r="MDL135" s="537"/>
      <c r="MDM135" s="537"/>
      <c r="MDN135" s="537"/>
      <c r="MDO135" s="537"/>
      <c r="MDP135" s="537"/>
      <c r="MDQ135" s="537"/>
      <c r="MDR135" s="537"/>
      <c r="MDS135" s="537"/>
      <c r="MDT135" s="537"/>
      <c r="MDU135" s="537"/>
      <c r="MDV135" s="537"/>
      <c r="MDW135" s="537"/>
      <c r="MDX135" s="537"/>
      <c r="MDY135" s="537"/>
      <c r="MDZ135" s="537"/>
      <c r="MEA135" s="537"/>
      <c r="MEB135" s="537"/>
      <c r="MEC135" s="537"/>
      <c r="MED135" s="537"/>
      <c r="MEE135" s="537"/>
      <c r="MEF135" s="537"/>
      <c r="MEG135" s="537"/>
      <c r="MEH135" s="537"/>
      <c r="MEI135" s="537"/>
      <c r="MEJ135" s="537"/>
      <c r="MEK135" s="537"/>
      <c r="MEL135" s="537"/>
      <c r="MEM135" s="537"/>
      <c r="MEN135" s="537"/>
      <c r="MEO135" s="537"/>
      <c r="MEP135" s="537"/>
      <c r="MEQ135" s="537"/>
      <c r="MER135" s="537"/>
      <c r="MES135" s="537"/>
      <c r="MET135" s="537"/>
      <c r="MEU135" s="537"/>
      <c r="MEV135" s="537"/>
      <c r="MEW135" s="537"/>
      <c r="MEX135" s="537"/>
      <c r="MEY135" s="537"/>
      <c r="MEZ135" s="537"/>
      <c r="MFA135" s="537"/>
      <c r="MFB135" s="537"/>
      <c r="MFC135" s="537"/>
      <c r="MFD135" s="537"/>
      <c r="MFE135" s="537"/>
      <c r="MFF135" s="537"/>
      <c r="MFG135" s="537"/>
      <c r="MFH135" s="537"/>
      <c r="MFI135" s="537"/>
      <c r="MFJ135" s="537"/>
      <c r="MFK135" s="537"/>
      <c r="MFL135" s="537"/>
      <c r="MFM135" s="537"/>
      <c r="MFN135" s="537"/>
      <c r="MFO135" s="537"/>
      <c r="MFP135" s="537"/>
      <c r="MFQ135" s="537"/>
      <c r="MFR135" s="537"/>
      <c r="MFS135" s="537"/>
      <c r="MFT135" s="537"/>
      <c r="MFU135" s="537"/>
      <c r="MFV135" s="537"/>
      <c r="MFW135" s="537"/>
      <c r="MFX135" s="537"/>
      <c r="MFY135" s="537"/>
      <c r="MFZ135" s="537"/>
      <c r="MGA135" s="537"/>
      <c r="MGB135" s="537"/>
      <c r="MGC135" s="537"/>
      <c r="MGD135" s="537"/>
      <c r="MGE135" s="537"/>
      <c r="MGF135" s="537"/>
      <c r="MGG135" s="537"/>
      <c r="MGH135" s="537"/>
      <c r="MGI135" s="537"/>
      <c r="MGJ135" s="537"/>
      <c r="MGK135" s="537"/>
      <c r="MGL135" s="537"/>
      <c r="MGM135" s="537"/>
      <c r="MGN135" s="537"/>
      <c r="MGO135" s="537"/>
      <c r="MGP135" s="537"/>
      <c r="MGQ135" s="537"/>
      <c r="MGR135" s="537"/>
      <c r="MGS135" s="537"/>
      <c r="MGT135" s="537"/>
      <c r="MGU135" s="537"/>
      <c r="MGV135" s="537"/>
      <c r="MGW135" s="537"/>
      <c r="MGX135" s="537"/>
      <c r="MGY135" s="537"/>
      <c r="MGZ135" s="537"/>
      <c r="MHA135" s="537"/>
      <c r="MHB135" s="537"/>
      <c r="MHC135" s="537"/>
      <c r="MHD135" s="537"/>
      <c r="MHE135" s="537"/>
      <c r="MHF135" s="537"/>
      <c r="MHG135" s="537"/>
      <c r="MHH135" s="537"/>
      <c r="MHI135" s="537"/>
      <c r="MHJ135" s="537"/>
      <c r="MHK135" s="537"/>
      <c r="MHL135" s="537"/>
      <c r="MHM135" s="537"/>
      <c r="MHN135" s="537"/>
      <c r="MHO135" s="537"/>
      <c r="MHP135" s="537"/>
      <c r="MHQ135" s="537"/>
      <c r="MHR135" s="537"/>
      <c r="MHS135" s="537"/>
      <c r="MHT135" s="537"/>
      <c r="MHU135" s="537"/>
      <c r="MHV135" s="537"/>
      <c r="MHW135" s="537"/>
      <c r="MHX135" s="537"/>
      <c r="MHY135" s="537"/>
      <c r="MHZ135" s="537"/>
      <c r="MIA135" s="537"/>
      <c r="MIB135" s="537"/>
      <c r="MIC135" s="537"/>
      <c r="MID135" s="537"/>
      <c r="MIE135" s="537"/>
      <c r="MIF135" s="537"/>
      <c r="MIG135" s="537"/>
      <c r="MIH135" s="537"/>
      <c r="MII135" s="537"/>
      <c r="MIJ135" s="537"/>
      <c r="MIK135" s="537"/>
      <c r="MIL135" s="537"/>
      <c r="MIM135" s="537"/>
      <c r="MIN135" s="537"/>
      <c r="MIO135" s="537"/>
      <c r="MIP135" s="537"/>
      <c r="MIQ135" s="537"/>
      <c r="MIR135" s="537"/>
      <c r="MIS135" s="537"/>
      <c r="MIT135" s="537"/>
      <c r="MIU135" s="537"/>
      <c r="MIV135" s="537"/>
      <c r="MIW135" s="537"/>
      <c r="MIX135" s="537"/>
      <c r="MIY135" s="537"/>
      <c r="MIZ135" s="537"/>
      <c r="MJA135" s="537"/>
      <c r="MJB135" s="537"/>
      <c r="MJC135" s="537"/>
      <c r="MJD135" s="537"/>
      <c r="MJE135" s="537"/>
      <c r="MJF135" s="537"/>
      <c r="MJG135" s="537"/>
      <c r="MJH135" s="537"/>
      <c r="MJI135" s="537"/>
      <c r="MJJ135" s="537"/>
      <c r="MJK135" s="537"/>
      <c r="MJL135" s="537"/>
      <c r="MJM135" s="537"/>
      <c r="MJN135" s="537"/>
      <c r="MJO135" s="537"/>
      <c r="MJP135" s="537"/>
      <c r="MJQ135" s="537"/>
      <c r="MJR135" s="537"/>
      <c r="MJS135" s="537"/>
      <c r="MJT135" s="537"/>
      <c r="MJU135" s="537"/>
      <c r="MJV135" s="537"/>
      <c r="MJW135" s="537"/>
      <c r="MJX135" s="537"/>
      <c r="MJY135" s="537"/>
      <c r="MJZ135" s="537"/>
      <c r="MKA135" s="537"/>
      <c r="MKB135" s="537"/>
      <c r="MKC135" s="537"/>
      <c r="MKD135" s="537"/>
      <c r="MKE135" s="537"/>
      <c r="MKF135" s="537"/>
      <c r="MKG135" s="537"/>
      <c r="MKH135" s="537"/>
      <c r="MKI135" s="537"/>
      <c r="MKJ135" s="537"/>
      <c r="MKK135" s="537"/>
      <c r="MKL135" s="537"/>
      <c r="MKM135" s="537"/>
      <c r="MKN135" s="537"/>
      <c r="MKO135" s="537"/>
      <c r="MKP135" s="537"/>
      <c r="MKQ135" s="537"/>
      <c r="MKR135" s="537"/>
      <c r="MKS135" s="537"/>
      <c r="MKT135" s="537"/>
      <c r="MKU135" s="537"/>
      <c r="MKV135" s="537"/>
      <c r="MKW135" s="537"/>
      <c r="MKX135" s="537"/>
      <c r="MKY135" s="537"/>
      <c r="MKZ135" s="537"/>
      <c r="MLA135" s="537"/>
      <c r="MLB135" s="537"/>
      <c r="MLC135" s="537"/>
      <c r="MLD135" s="537"/>
      <c r="MLE135" s="537"/>
      <c r="MLF135" s="537"/>
      <c r="MLG135" s="537"/>
      <c r="MLH135" s="537"/>
      <c r="MLI135" s="537"/>
      <c r="MLJ135" s="537"/>
      <c r="MLK135" s="537"/>
      <c r="MLL135" s="537"/>
      <c r="MLM135" s="537"/>
      <c r="MLN135" s="537"/>
      <c r="MLO135" s="537"/>
      <c r="MLP135" s="537"/>
      <c r="MLQ135" s="537"/>
      <c r="MLR135" s="537"/>
      <c r="MLS135" s="537"/>
      <c r="MLT135" s="537"/>
      <c r="MLU135" s="537"/>
      <c r="MLV135" s="537"/>
      <c r="MLW135" s="537"/>
      <c r="MLX135" s="537"/>
      <c r="MLY135" s="537"/>
      <c r="MLZ135" s="537"/>
      <c r="MMA135" s="537"/>
      <c r="MMB135" s="537"/>
      <c r="MMC135" s="537"/>
      <c r="MMD135" s="537"/>
      <c r="MME135" s="537"/>
      <c r="MMF135" s="537"/>
      <c r="MMG135" s="537"/>
      <c r="MMH135" s="537"/>
      <c r="MMI135" s="537"/>
      <c r="MMJ135" s="537"/>
      <c r="MMK135" s="537"/>
      <c r="MML135" s="537"/>
      <c r="MMM135" s="537"/>
      <c r="MMN135" s="537"/>
      <c r="MMO135" s="537"/>
      <c r="MMP135" s="537"/>
      <c r="MMQ135" s="537"/>
      <c r="MMR135" s="537"/>
      <c r="MMS135" s="537"/>
      <c r="MMT135" s="537"/>
      <c r="MMU135" s="537"/>
      <c r="MMV135" s="537"/>
      <c r="MMW135" s="537"/>
      <c r="MMX135" s="537"/>
      <c r="MMY135" s="537"/>
      <c r="MMZ135" s="537"/>
      <c r="MNA135" s="537"/>
      <c r="MNB135" s="537"/>
      <c r="MNC135" s="537"/>
      <c r="MND135" s="537"/>
      <c r="MNE135" s="537"/>
      <c r="MNF135" s="537"/>
      <c r="MNG135" s="537"/>
      <c r="MNH135" s="537"/>
      <c r="MNI135" s="537"/>
      <c r="MNJ135" s="537"/>
      <c r="MNK135" s="537"/>
      <c r="MNL135" s="537"/>
      <c r="MNM135" s="537"/>
      <c r="MNN135" s="537"/>
      <c r="MNO135" s="537"/>
      <c r="MNP135" s="537"/>
      <c r="MNQ135" s="537"/>
      <c r="MNR135" s="537"/>
      <c r="MNS135" s="537"/>
      <c r="MNT135" s="537"/>
      <c r="MNU135" s="537"/>
      <c r="MNV135" s="537"/>
      <c r="MNW135" s="537"/>
      <c r="MNX135" s="537"/>
      <c r="MNY135" s="537"/>
      <c r="MNZ135" s="537"/>
      <c r="MOA135" s="537"/>
      <c r="MOB135" s="537"/>
      <c r="MOC135" s="537"/>
      <c r="MOD135" s="537"/>
      <c r="MOE135" s="537"/>
      <c r="MOF135" s="537"/>
      <c r="MOG135" s="537"/>
      <c r="MOH135" s="537"/>
      <c r="MOI135" s="537"/>
      <c r="MOJ135" s="537"/>
      <c r="MOK135" s="537"/>
      <c r="MOL135" s="537"/>
      <c r="MOM135" s="537"/>
      <c r="MON135" s="537"/>
      <c r="MOO135" s="537"/>
      <c r="MOP135" s="537"/>
      <c r="MOQ135" s="537"/>
      <c r="MOR135" s="537"/>
      <c r="MOS135" s="537"/>
      <c r="MOT135" s="537"/>
      <c r="MOU135" s="537"/>
      <c r="MOV135" s="537"/>
      <c r="MOW135" s="537"/>
      <c r="MOX135" s="537"/>
      <c r="MOY135" s="537"/>
      <c r="MOZ135" s="537"/>
      <c r="MPA135" s="537"/>
      <c r="MPB135" s="537"/>
      <c r="MPC135" s="537"/>
      <c r="MPD135" s="537"/>
      <c r="MPE135" s="537"/>
      <c r="MPF135" s="537"/>
      <c r="MPG135" s="537"/>
      <c r="MPH135" s="537"/>
      <c r="MPI135" s="537"/>
      <c r="MPJ135" s="537"/>
      <c r="MPK135" s="537"/>
      <c r="MPL135" s="537"/>
      <c r="MPM135" s="537"/>
      <c r="MPN135" s="537"/>
      <c r="MPO135" s="537"/>
      <c r="MPP135" s="537"/>
      <c r="MPQ135" s="537"/>
      <c r="MPR135" s="537"/>
      <c r="MPS135" s="537"/>
      <c r="MPT135" s="537"/>
      <c r="MPU135" s="537"/>
      <c r="MPV135" s="537"/>
      <c r="MPW135" s="537"/>
      <c r="MPX135" s="537"/>
      <c r="MPY135" s="537"/>
      <c r="MPZ135" s="537"/>
      <c r="MQA135" s="537"/>
      <c r="MQB135" s="537"/>
      <c r="MQC135" s="537"/>
      <c r="MQD135" s="537"/>
      <c r="MQE135" s="537"/>
      <c r="MQF135" s="537"/>
      <c r="MQG135" s="537"/>
      <c r="MQH135" s="537"/>
      <c r="MQI135" s="537"/>
      <c r="MQJ135" s="537"/>
      <c r="MQK135" s="537"/>
      <c r="MQL135" s="537"/>
      <c r="MQM135" s="537"/>
      <c r="MQN135" s="537"/>
      <c r="MQO135" s="537"/>
      <c r="MQP135" s="537"/>
      <c r="MQQ135" s="537"/>
      <c r="MQR135" s="537"/>
      <c r="MQS135" s="537"/>
      <c r="MQT135" s="537"/>
      <c r="MQU135" s="537"/>
      <c r="MQV135" s="537"/>
      <c r="MQW135" s="537"/>
      <c r="MQX135" s="537"/>
      <c r="MQY135" s="537"/>
      <c r="MQZ135" s="537"/>
      <c r="MRA135" s="537"/>
      <c r="MRB135" s="537"/>
      <c r="MRC135" s="537"/>
      <c r="MRD135" s="537"/>
      <c r="MRE135" s="537"/>
      <c r="MRF135" s="537"/>
      <c r="MRG135" s="537"/>
      <c r="MRH135" s="537"/>
      <c r="MRI135" s="537"/>
      <c r="MRJ135" s="537"/>
      <c r="MRK135" s="537"/>
      <c r="MRL135" s="537"/>
      <c r="MRM135" s="537"/>
      <c r="MRN135" s="537"/>
      <c r="MRO135" s="537"/>
      <c r="MRP135" s="537"/>
      <c r="MRQ135" s="537"/>
      <c r="MRR135" s="537"/>
      <c r="MRS135" s="537"/>
      <c r="MRT135" s="537"/>
      <c r="MRU135" s="537"/>
      <c r="MRV135" s="537"/>
      <c r="MRW135" s="537"/>
      <c r="MRX135" s="537"/>
      <c r="MRY135" s="537"/>
      <c r="MRZ135" s="537"/>
      <c r="MSA135" s="537"/>
      <c r="MSB135" s="537"/>
      <c r="MSC135" s="537"/>
      <c r="MSD135" s="537"/>
      <c r="MSE135" s="537"/>
      <c r="MSF135" s="537"/>
      <c r="MSG135" s="537"/>
      <c r="MSH135" s="537"/>
      <c r="MSI135" s="537"/>
      <c r="MSJ135" s="537"/>
      <c r="MSK135" s="537"/>
      <c r="MSL135" s="537"/>
      <c r="MSM135" s="537"/>
      <c r="MSN135" s="537"/>
      <c r="MSO135" s="537"/>
      <c r="MSP135" s="537"/>
      <c r="MSQ135" s="537"/>
      <c r="MSR135" s="537"/>
      <c r="MSS135" s="537"/>
      <c r="MST135" s="537"/>
      <c r="MSU135" s="537"/>
      <c r="MSV135" s="537"/>
      <c r="MSW135" s="537"/>
      <c r="MSX135" s="537"/>
      <c r="MSY135" s="537"/>
      <c r="MSZ135" s="537"/>
      <c r="MTA135" s="537"/>
      <c r="MTB135" s="537"/>
      <c r="MTC135" s="537"/>
      <c r="MTD135" s="537"/>
      <c r="MTE135" s="537"/>
      <c r="MTF135" s="537"/>
      <c r="MTG135" s="537"/>
      <c r="MTH135" s="537"/>
      <c r="MTI135" s="537"/>
      <c r="MTJ135" s="537"/>
      <c r="MTK135" s="537"/>
      <c r="MTL135" s="537"/>
      <c r="MTM135" s="537"/>
      <c r="MTN135" s="537"/>
      <c r="MTO135" s="537"/>
      <c r="MTP135" s="537"/>
      <c r="MTQ135" s="537"/>
      <c r="MTR135" s="537"/>
      <c r="MTS135" s="537"/>
      <c r="MTT135" s="537"/>
      <c r="MTU135" s="537"/>
      <c r="MTV135" s="537"/>
      <c r="MTW135" s="537"/>
      <c r="MTX135" s="537"/>
      <c r="MTY135" s="537"/>
      <c r="MTZ135" s="537"/>
      <c r="MUA135" s="537"/>
      <c r="MUB135" s="537"/>
      <c r="MUC135" s="537"/>
      <c r="MUD135" s="537"/>
      <c r="MUE135" s="537"/>
      <c r="MUF135" s="537"/>
      <c r="MUG135" s="537"/>
      <c r="MUH135" s="537"/>
      <c r="MUI135" s="537"/>
      <c r="MUJ135" s="537"/>
      <c r="MUK135" s="537"/>
      <c r="MUL135" s="537"/>
      <c r="MUM135" s="537"/>
      <c r="MUN135" s="537"/>
      <c r="MUO135" s="537"/>
      <c r="MUP135" s="537"/>
      <c r="MUQ135" s="537"/>
      <c r="MUR135" s="537"/>
      <c r="MUS135" s="537"/>
      <c r="MUT135" s="537"/>
      <c r="MUU135" s="537"/>
      <c r="MUV135" s="537"/>
      <c r="MUW135" s="537"/>
      <c r="MUX135" s="537"/>
      <c r="MUY135" s="537"/>
      <c r="MUZ135" s="537"/>
      <c r="MVA135" s="537"/>
      <c r="MVB135" s="537"/>
      <c r="MVC135" s="537"/>
      <c r="MVD135" s="537"/>
      <c r="MVE135" s="537"/>
      <c r="MVF135" s="537"/>
      <c r="MVG135" s="537"/>
      <c r="MVH135" s="537"/>
      <c r="MVI135" s="537"/>
      <c r="MVJ135" s="537"/>
      <c r="MVK135" s="537"/>
      <c r="MVL135" s="537"/>
      <c r="MVM135" s="537"/>
      <c r="MVN135" s="537"/>
      <c r="MVO135" s="537"/>
      <c r="MVP135" s="537"/>
      <c r="MVQ135" s="537"/>
      <c r="MVR135" s="537"/>
      <c r="MVS135" s="537"/>
      <c r="MVT135" s="537"/>
      <c r="MVU135" s="537"/>
      <c r="MVV135" s="537"/>
      <c r="MVW135" s="537"/>
      <c r="MVX135" s="537"/>
      <c r="MVY135" s="537"/>
      <c r="MVZ135" s="537"/>
      <c r="MWA135" s="537"/>
      <c r="MWB135" s="537"/>
      <c r="MWC135" s="537"/>
      <c r="MWD135" s="537"/>
      <c r="MWE135" s="537"/>
      <c r="MWF135" s="537"/>
      <c r="MWG135" s="537"/>
      <c r="MWH135" s="537"/>
      <c r="MWI135" s="537"/>
      <c r="MWJ135" s="537"/>
      <c r="MWK135" s="537"/>
      <c r="MWL135" s="537"/>
      <c r="MWM135" s="537"/>
      <c r="MWN135" s="537"/>
      <c r="MWO135" s="537"/>
      <c r="MWP135" s="537"/>
      <c r="MWQ135" s="537"/>
      <c r="MWR135" s="537"/>
      <c r="MWS135" s="537"/>
      <c r="MWT135" s="537"/>
      <c r="MWU135" s="537"/>
      <c r="MWV135" s="537"/>
      <c r="MWW135" s="537"/>
      <c r="MWX135" s="537"/>
      <c r="MWY135" s="537"/>
      <c r="MWZ135" s="537"/>
      <c r="MXA135" s="537"/>
      <c r="MXB135" s="537"/>
      <c r="MXC135" s="537"/>
      <c r="MXD135" s="537"/>
      <c r="MXE135" s="537"/>
      <c r="MXF135" s="537"/>
      <c r="MXG135" s="537"/>
      <c r="MXH135" s="537"/>
      <c r="MXI135" s="537"/>
      <c r="MXJ135" s="537"/>
      <c r="MXK135" s="537"/>
      <c r="MXL135" s="537"/>
      <c r="MXM135" s="537"/>
      <c r="MXN135" s="537"/>
      <c r="MXO135" s="537"/>
      <c r="MXP135" s="537"/>
      <c r="MXQ135" s="537"/>
      <c r="MXR135" s="537"/>
      <c r="MXS135" s="537"/>
      <c r="MXT135" s="537"/>
      <c r="MXU135" s="537"/>
      <c r="MXV135" s="537"/>
      <c r="MXW135" s="537"/>
      <c r="MXX135" s="537"/>
      <c r="MXY135" s="537"/>
      <c r="MXZ135" s="537"/>
      <c r="MYA135" s="537"/>
      <c r="MYB135" s="537"/>
      <c r="MYC135" s="537"/>
      <c r="MYD135" s="537"/>
      <c r="MYE135" s="537"/>
      <c r="MYF135" s="537"/>
      <c r="MYG135" s="537"/>
      <c r="MYH135" s="537"/>
      <c r="MYI135" s="537"/>
      <c r="MYJ135" s="537"/>
      <c r="MYK135" s="537"/>
      <c r="MYL135" s="537"/>
      <c r="MYM135" s="537"/>
      <c r="MYN135" s="537"/>
      <c r="MYO135" s="537"/>
      <c r="MYP135" s="537"/>
      <c r="MYQ135" s="537"/>
      <c r="MYR135" s="537"/>
      <c r="MYS135" s="537"/>
      <c r="MYT135" s="537"/>
      <c r="MYU135" s="537"/>
      <c r="MYV135" s="537"/>
      <c r="MYW135" s="537"/>
      <c r="MYX135" s="537"/>
      <c r="MYY135" s="537"/>
      <c r="MYZ135" s="537"/>
      <c r="MZA135" s="537"/>
      <c r="MZB135" s="537"/>
      <c r="MZC135" s="537"/>
      <c r="MZD135" s="537"/>
      <c r="MZE135" s="537"/>
      <c r="MZF135" s="537"/>
      <c r="MZG135" s="537"/>
      <c r="MZH135" s="537"/>
      <c r="MZI135" s="537"/>
      <c r="MZJ135" s="537"/>
      <c r="MZK135" s="537"/>
      <c r="MZL135" s="537"/>
      <c r="MZM135" s="537"/>
      <c r="MZN135" s="537"/>
      <c r="MZO135" s="537"/>
      <c r="MZP135" s="537"/>
      <c r="MZQ135" s="537"/>
      <c r="MZR135" s="537"/>
      <c r="MZS135" s="537"/>
      <c r="MZT135" s="537"/>
      <c r="MZU135" s="537"/>
      <c r="MZV135" s="537"/>
      <c r="MZW135" s="537"/>
      <c r="MZX135" s="537"/>
      <c r="MZY135" s="537"/>
      <c r="MZZ135" s="537"/>
      <c r="NAA135" s="537"/>
      <c r="NAB135" s="537"/>
      <c r="NAC135" s="537"/>
      <c r="NAD135" s="537"/>
      <c r="NAE135" s="537"/>
      <c r="NAF135" s="537"/>
      <c r="NAG135" s="537"/>
      <c r="NAH135" s="537"/>
      <c r="NAI135" s="537"/>
      <c r="NAJ135" s="537"/>
      <c r="NAK135" s="537"/>
      <c r="NAL135" s="537"/>
      <c r="NAM135" s="537"/>
      <c r="NAN135" s="537"/>
      <c r="NAO135" s="537"/>
      <c r="NAP135" s="537"/>
      <c r="NAQ135" s="537"/>
      <c r="NAR135" s="537"/>
      <c r="NAS135" s="537"/>
      <c r="NAT135" s="537"/>
      <c r="NAU135" s="537"/>
      <c r="NAV135" s="537"/>
      <c r="NAW135" s="537"/>
      <c r="NAX135" s="537"/>
      <c r="NAY135" s="537"/>
      <c r="NAZ135" s="537"/>
      <c r="NBA135" s="537"/>
      <c r="NBB135" s="537"/>
      <c r="NBC135" s="537"/>
      <c r="NBD135" s="537"/>
      <c r="NBE135" s="537"/>
      <c r="NBF135" s="537"/>
      <c r="NBG135" s="537"/>
      <c r="NBH135" s="537"/>
      <c r="NBI135" s="537"/>
      <c r="NBJ135" s="537"/>
      <c r="NBK135" s="537"/>
      <c r="NBL135" s="537"/>
      <c r="NBM135" s="537"/>
      <c r="NBN135" s="537"/>
      <c r="NBO135" s="537"/>
      <c r="NBP135" s="537"/>
      <c r="NBQ135" s="537"/>
      <c r="NBR135" s="537"/>
      <c r="NBS135" s="537"/>
      <c r="NBT135" s="537"/>
      <c r="NBU135" s="537"/>
      <c r="NBV135" s="537"/>
      <c r="NBW135" s="537"/>
      <c r="NBX135" s="537"/>
      <c r="NBY135" s="537"/>
      <c r="NBZ135" s="537"/>
      <c r="NCA135" s="537"/>
      <c r="NCB135" s="537"/>
      <c r="NCC135" s="537"/>
      <c r="NCD135" s="537"/>
      <c r="NCE135" s="537"/>
      <c r="NCF135" s="537"/>
      <c r="NCG135" s="537"/>
      <c r="NCH135" s="537"/>
      <c r="NCI135" s="537"/>
      <c r="NCJ135" s="537"/>
      <c r="NCK135" s="537"/>
      <c r="NCL135" s="537"/>
      <c r="NCM135" s="537"/>
      <c r="NCN135" s="537"/>
      <c r="NCO135" s="537"/>
      <c r="NCP135" s="537"/>
      <c r="NCQ135" s="537"/>
      <c r="NCR135" s="537"/>
      <c r="NCS135" s="537"/>
      <c r="NCT135" s="537"/>
      <c r="NCU135" s="537"/>
      <c r="NCV135" s="537"/>
      <c r="NCW135" s="537"/>
      <c r="NCX135" s="537"/>
      <c r="NCY135" s="537"/>
      <c r="NCZ135" s="537"/>
      <c r="NDA135" s="537"/>
      <c r="NDB135" s="537"/>
      <c r="NDC135" s="537"/>
      <c r="NDD135" s="537"/>
      <c r="NDE135" s="537"/>
      <c r="NDF135" s="537"/>
      <c r="NDG135" s="537"/>
      <c r="NDH135" s="537"/>
      <c r="NDI135" s="537"/>
      <c r="NDJ135" s="537"/>
      <c r="NDK135" s="537"/>
      <c r="NDL135" s="537"/>
      <c r="NDM135" s="537"/>
      <c r="NDN135" s="537"/>
      <c r="NDO135" s="537"/>
      <c r="NDP135" s="537"/>
      <c r="NDQ135" s="537"/>
      <c r="NDR135" s="537"/>
      <c r="NDS135" s="537"/>
      <c r="NDT135" s="537"/>
      <c r="NDU135" s="537"/>
      <c r="NDV135" s="537"/>
      <c r="NDW135" s="537"/>
      <c r="NDX135" s="537"/>
      <c r="NDY135" s="537"/>
      <c r="NDZ135" s="537"/>
      <c r="NEA135" s="537"/>
      <c r="NEB135" s="537"/>
      <c r="NEC135" s="537"/>
      <c r="NED135" s="537"/>
      <c r="NEE135" s="537"/>
      <c r="NEF135" s="537"/>
      <c r="NEG135" s="537"/>
      <c r="NEH135" s="537"/>
      <c r="NEI135" s="537"/>
      <c r="NEJ135" s="537"/>
      <c r="NEK135" s="537"/>
      <c r="NEL135" s="537"/>
      <c r="NEM135" s="537"/>
      <c r="NEN135" s="537"/>
      <c r="NEO135" s="537"/>
      <c r="NEP135" s="537"/>
      <c r="NEQ135" s="537"/>
      <c r="NER135" s="537"/>
      <c r="NES135" s="537"/>
      <c r="NET135" s="537"/>
      <c r="NEU135" s="537"/>
      <c r="NEV135" s="537"/>
      <c r="NEW135" s="537"/>
      <c r="NEX135" s="537"/>
      <c r="NEY135" s="537"/>
      <c r="NEZ135" s="537"/>
      <c r="NFA135" s="537"/>
      <c r="NFB135" s="537"/>
      <c r="NFC135" s="537"/>
      <c r="NFD135" s="537"/>
      <c r="NFE135" s="537"/>
      <c r="NFF135" s="537"/>
      <c r="NFG135" s="537"/>
      <c r="NFH135" s="537"/>
      <c r="NFI135" s="537"/>
      <c r="NFJ135" s="537"/>
      <c r="NFK135" s="537"/>
      <c r="NFL135" s="537"/>
      <c r="NFM135" s="537"/>
      <c r="NFN135" s="537"/>
      <c r="NFO135" s="537"/>
      <c r="NFP135" s="537"/>
      <c r="NFQ135" s="537"/>
      <c r="NFR135" s="537"/>
      <c r="NFS135" s="537"/>
      <c r="NFT135" s="537"/>
      <c r="NFU135" s="537"/>
      <c r="NFV135" s="537"/>
      <c r="NFW135" s="537"/>
      <c r="NFX135" s="537"/>
      <c r="NFY135" s="537"/>
      <c r="NFZ135" s="537"/>
      <c r="NGA135" s="537"/>
      <c r="NGB135" s="537"/>
      <c r="NGC135" s="537"/>
      <c r="NGD135" s="537"/>
      <c r="NGE135" s="537"/>
      <c r="NGF135" s="537"/>
      <c r="NGG135" s="537"/>
      <c r="NGH135" s="537"/>
      <c r="NGI135" s="537"/>
      <c r="NGJ135" s="537"/>
      <c r="NGK135" s="537"/>
      <c r="NGL135" s="537"/>
      <c r="NGM135" s="537"/>
      <c r="NGN135" s="537"/>
      <c r="NGO135" s="537"/>
      <c r="NGP135" s="537"/>
      <c r="NGQ135" s="537"/>
      <c r="NGR135" s="537"/>
      <c r="NGS135" s="537"/>
      <c r="NGT135" s="537"/>
      <c r="NGU135" s="537"/>
      <c r="NGV135" s="537"/>
      <c r="NGW135" s="537"/>
      <c r="NGX135" s="537"/>
      <c r="NGY135" s="537"/>
      <c r="NGZ135" s="537"/>
      <c r="NHA135" s="537"/>
      <c r="NHB135" s="537"/>
      <c r="NHC135" s="537"/>
      <c r="NHD135" s="537"/>
      <c r="NHE135" s="537"/>
      <c r="NHF135" s="537"/>
      <c r="NHG135" s="537"/>
      <c r="NHH135" s="537"/>
      <c r="NHI135" s="537"/>
      <c r="NHJ135" s="537"/>
      <c r="NHK135" s="537"/>
      <c r="NHL135" s="537"/>
      <c r="NHM135" s="537"/>
      <c r="NHN135" s="537"/>
      <c r="NHO135" s="537"/>
      <c r="NHP135" s="537"/>
      <c r="NHQ135" s="537"/>
      <c r="NHR135" s="537"/>
      <c r="NHS135" s="537"/>
      <c r="NHT135" s="537"/>
      <c r="NHU135" s="537"/>
      <c r="NHV135" s="537"/>
      <c r="NHW135" s="537"/>
      <c r="NHX135" s="537"/>
      <c r="NHY135" s="537"/>
      <c r="NHZ135" s="537"/>
      <c r="NIA135" s="537"/>
      <c r="NIB135" s="537"/>
      <c r="NIC135" s="537"/>
      <c r="NID135" s="537"/>
      <c r="NIE135" s="537"/>
      <c r="NIF135" s="537"/>
      <c r="NIG135" s="537"/>
      <c r="NIH135" s="537"/>
      <c r="NII135" s="537"/>
      <c r="NIJ135" s="537"/>
      <c r="NIK135" s="537"/>
      <c r="NIL135" s="537"/>
      <c r="NIM135" s="537"/>
      <c r="NIN135" s="537"/>
      <c r="NIO135" s="537"/>
      <c r="NIP135" s="537"/>
      <c r="NIQ135" s="537"/>
      <c r="NIR135" s="537"/>
      <c r="NIS135" s="537"/>
      <c r="NIT135" s="537"/>
      <c r="NIU135" s="537"/>
      <c r="NIV135" s="537"/>
      <c r="NIW135" s="537"/>
      <c r="NIX135" s="537"/>
      <c r="NIY135" s="537"/>
      <c r="NIZ135" s="537"/>
      <c r="NJA135" s="537"/>
      <c r="NJB135" s="537"/>
      <c r="NJC135" s="537"/>
      <c r="NJD135" s="537"/>
      <c r="NJE135" s="537"/>
      <c r="NJF135" s="537"/>
      <c r="NJG135" s="537"/>
      <c r="NJH135" s="537"/>
      <c r="NJI135" s="537"/>
      <c r="NJJ135" s="537"/>
      <c r="NJK135" s="537"/>
      <c r="NJL135" s="537"/>
      <c r="NJM135" s="537"/>
      <c r="NJN135" s="537"/>
      <c r="NJO135" s="537"/>
      <c r="NJP135" s="537"/>
      <c r="NJQ135" s="537"/>
      <c r="NJR135" s="537"/>
      <c r="NJS135" s="537"/>
      <c r="NJT135" s="537"/>
      <c r="NJU135" s="537"/>
      <c r="NJV135" s="537"/>
      <c r="NJW135" s="537"/>
      <c r="NJX135" s="537"/>
      <c r="NJY135" s="537"/>
      <c r="NJZ135" s="537"/>
      <c r="NKA135" s="537"/>
      <c r="NKB135" s="537"/>
      <c r="NKC135" s="537"/>
      <c r="NKD135" s="537"/>
      <c r="NKE135" s="537"/>
      <c r="NKF135" s="537"/>
      <c r="NKG135" s="537"/>
      <c r="NKH135" s="537"/>
      <c r="NKI135" s="537"/>
      <c r="NKJ135" s="537"/>
      <c r="NKK135" s="537"/>
      <c r="NKL135" s="537"/>
      <c r="NKM135" s="537"/>
      <c r="NKN135" s="537"/>
      <c r="NKO135" s="537"/>
      <c r="NKP135" s="537"/>
      <c r="NKQ135" s="537"/>
      <c r="NKR135" s="537"/>
      <c r="NKS135" s="537"/>
      <c r="NKT135" s="537"/>
      <c r="NKU135" s="537"/>
      <c r="NKV135" s="537"/>
      <c r="NKW135" s="537"/>
      <c r="NKX135" s="537"/>
      <c r="NKY135" s="537"/>
      <c r="NKZ135" s="537"/>
      <c r="NLA135" s="537"/>
      <c r="NLB135" s="537"/>
      <c r="NLC135" s="537"/>
      <c r="NLD135" s="537"/>
      <c r="NLE135" s="537"/>
      <c r="NLF135" s="537"/>
      <c r="NLG135" s="537"/>
      <c r="NLH135" s="537"/>
      <c r="NLI135" s="537"/>
      <c r="NLJ135" s="537"/>
      <c r="NLK135" s="537"/>
      <c r="NLL135" s="537"/>
      <c r="NLM135" s="537"/>
      <c r="NLN135" s="537"/>
      <c r="NLO135" s="537"/>
      <c r="NLP135" s="537"/>
      <c r="NLQ135" s="537"/>
      <c r="NLR135" s="537"/>
      <c r="NLS135" s="537"/>
      <c r="NLT135" s="537"/>
      <c r="NLU135" s="537"/>
      <c r="NLV135" s="537"/>
      <c r="NLW135" s="537"/>
      <c r="NLX135" s="537"/>
      <c r="NLY135" s="537"/>
      <c r="NLZ135" s="537"/>
      <c r="NMA135" s="537"/>
      <c r="NMB135" s="537"/>
      <c r="NMC135" s="537"/>
      <c r="NMD135" s="537"/>
      <c r="NME135" s="537"/>
      <c r="NMF135" s="537"/>
      <c r="NMG135" s="537"/>
      <c r="NMH135" s="537"/>
      <c r="NMI135" s="537"/>
      <c r="NMJ135" s="537"/>
      <c r="NMK135" s="537"/>
      <c r="NML135" s="537"/>
      <c r="NMM135" s="537"/>
      <c r="NMN135" s="537"/>
      <c r="NMO135" s="537"/>
      <c r="NMP135" s="537"/>
      <c r="NMQ135" s="537"/>
      <c r="NMR135" s="537"/>
      <c r="NMS135" s="537"/>
      <c r="NMT135" s="537"/>
      <c r="NMU135" s="537"/>
      <c r="NMV135" s="537"/>
      <c r="NMW135" s="537"/>
      <c r="NMX135" s="537"/>
      <c r="NMY135" s="537"/>
      <c r="NMZ135" s="537"/>
      <c r="NNA135" s="537"/>
      <c r="NNB135" s="537"/>
      <c r="NNC135" s="537"/>
      <c r="NND135" s="537"/>
      <c r="NNE135" s="537"/>
      <c r="NNF135" s="537"/>
      <c r="NNG135" s="537"/>
      <c r="NNH135" s="537"/>
      <c r="NNI135" s="537"/>
      <c r="NNJ135" s="537"/>
      <c r="NNK135" s="537"/>
      <c r="NNL135" s="537"/>
      <c r="NNM135" s="537"/>
      <c r="NNN135" s="537"/>
      <c r="NNO135" s="537"/>
      <c r="NNP135" s="537"/>
      <c r="NNQ135" s="537"/>
      <c r="NNR135" s="537"/>
      <c r="NNS135" s="537"/>
      <c r="NNT135" s="537"/>
      <c r="NNU135" s="537"/>
      <c r="NNV135" s="537"/>
      <c r="NNW135" s="537"/>
      <c r="NNX135" s="537"/>
      <c r="NNY135" s="537"/>
      <c r="NNZ135" s="537"/>
      <c r="NOA135" s="537"/>
      <c r="NOB135" s="537"/>
      <c r="NOC135" s="537"/>
      <c r="NOD135" s="537"/>
      <c r="NOE135" s="537"/>
      <c r="NOF135" s="537"/>
      <c r="NOG135" s="537"/>
      <c r="NOH135" s="537"/>
      <c r="NOI135" s="537"/>
      <c r="NOJ135" s="537"/>
      <c r="NOK135" s="537"/>
      <c r="NOL135" s="537"/>
      <c r="NOM135" s="537"/>
      <c r="NON135" s="537"/>
      <c r="NOO135" s="537"/>
      <c r="NOP135" s="537"/>
      <c r="NOQ135" s="537"/>
      <c r="NOR135" s="537"/>
      <c r="NOS135" s="537"/>
      <c r="NOT135" s="537"/>
      <c r="NOU135" s="537"/>
      <c r="NOV135" s="537"/>
      <c r="NOW135" s="537"/>
      <c r="NOX135" s="537"/>
      <c r="NOY135" s="537"/>
      <c r="NOZ135" s="537"/>
      <c r="NPA135" s="537"/>
      <c r="NPB135" s="537"/>
      <c r="NPC135" s="537"/>
      <c r="NPD135" s="537"/>
      <c r="NPE135" s="537"/>
      <c r="NPF135" s="537"/>
      <c r="NPG135" s="537"/>
      <c r="NPH135" s="537"/>
      <c r="NPI135" s="537"/>
      <c r="NPJ135" s="537"/>
      <c r="NPK135" s="537"/>
      <c r="NPL135" s="537"/>
      <c r="NPM135" s="537"/>
      <c r="NPN135" s="537"/>
      <c r="NPO135" s="537"/>
      <c r="NPP135" s="537"/>
      <c r="NPQ135" s="537"/>
      <c r="NPR135" s="537"/>
      <c r="NPS135" s="537"/>
      <c r="NPT135" s="537"/>
      <c r="NPU135" s="537"/>
      <c r="NPV135" s="537"/>
      <c r="NPW135" s="537"/>
      <c r="NPX135" s="537"/>
      <c r="NPY135" s="537"/>
      <c r="NPZ135" s="537"/>
      <c r="NQA135" s="537"/>
      <c r="NQB135" s="537"/>
      <c r="NQC135" s="537"/>
      <c r="NQD135" s="537"/>
      <c r="NQE135" s="537"/>
      <c r="NQF135" s="537"/>
      <c r="NQG135" s="537"/>
      <c r="NQH135" s="537"/>
      <c r="NQI135" s="537"/>
      <c r="NQJ135" s="537"/>
      <c r="NQK135" s="537"/>
      <c r="NQL135" s="537"/>
      <c r="NQM135" s="537"/>
      <c r="NQN135" s="537"/>
      <c r="NQO135" s="537"/>
      <c r="NQP135" s="537"/>
      <c r="NQQ135" s="537"/>
      <c r="NQR135" s="537"/>
      <c r="NQS135" s="537"/>
      <c r="NQT135" s="537"/>
      <c r="NQU135" s="537"/>
      <c r="NQV135" s="537"/>
      <c r="NQW135" s="537"/>
      <c r="NQX135" s="537"/>
      <c r="NQY135" s="537"/>
      <c r="NQZ135" s="537"/>
      <c r="NRA135" s="537"/>
      <c r="NRB135" s="537"/>
      <c r="NRC135" s="537"/>
      <c r="NRD135" s="537"/>
      <c r="NRE135" s="537"/>
      <c r="NRF135" s="537"/>
      <c r="NRG135" s="537"/>
      <c r="NRH135" s="537"/>
      <c r="NRI135" s="537"/>
      <c r="NRJ135" s="537"/>
      <c r="NRK135" s="537"/>
      <c r="NRL135" s="537"/>
      <c r="NRM135" s="537"/>
      <c r="NRN135" s="537"/>
      <c r="NRO135" s="537"/>
      <c r="NRP135" s="537"/>
      <c r="NRQ135" s="537"/>
      <c r="NRR135" s="537"/>
      <c r="NRS135" s="537"/>
      <c r="NRT135" s="537"/>
      <c r="NRU135" s="537"/>
      <c r="NRV135" s="537"/>
      <c r="NRW135" s="537"/>
      <c r="NRX135" s="537"/>
      <c r="NRY135" s="537"/>
      <c r="NRZ135" s="537"/>
      <c r="NSA135" s="537"/>
      <c r="NSB135" s="537"/>
      <c r="NSC135" s="537"/>
      <c r="NSD135" s="537"/>
      <c r="NSE135" s="537"/>
      <c r="NSF135" s="537"/>
      <c r="NSG135" s="537"/>
      <c r="NSH135" s="537"/>
      <c r="NSI135" s="537"/>
      <c r="NSJ135" s="537"/>
      <c r="NSK135" s="537"/>
      <c r="NSL135" s="537"/>
      <c r="NSM135" s="537"/>
      <c r="NSN135" s="537"/>
      <c r="NSO135" s="537"/>
      <c r="NSP135" s="537"/>
      <c r="NSQ135" s="537"/>
      <c r="NSR135" s="537"/>
      <c r="NSS135" s="537"/>
      <c r="NST135" s="537"/>
      <c r="NSU135" s="537"/>
      <c r="NSV135" s="537"/>
      <c r="NSW135" s="537"/>
      <c r="NSX135" s="537"/>
      <c r="NSY135" s="537"/>
      <c r="NSZ135" s="537"/>
      <c r="NTA135" s="537"/>
      <c r="NTB135" s="537"/>
      <c r="NTC135" s="537"/>
      <c r="NTD135" s="537"/>
      <c r="NTE135" s="537"/>
      <c r="NTF135" s="537"/>
      <c r="NTG135" s="537"/>
      <c r="NTH135" s="537"/>
      <c r="NTI135" s="537"/>
      <c r="NTJ135" s="537"/>
      <c r="NTK135" s="537"/>
      <c r="NTL135" s="537"/>
      <c r="NTM135" s="537"/>
      <c r="NTN135" s="537"/>
      <c r="NTO135" s="537"/>
      <c r="NTP135" s="537"/>
      <c r="NTQ135" s="537"/>
      <c r="NTR135" s="537"/>
      <c r="NTS135" s="537"/>
      <c r="NTT135" s="537"/>
      <c r="NTU135" s="537"/>
      <c r="NTV135" s="537"/>
      <c r="NTW135" s="537"/>
      <c r="NTX135" s="537"/>
      <c r="NTY135" s="537"/>
      <c r="NTZ135" s="537"/>
      <c r="NUA135" s="537"/>
      <c r="NUB135" s="537"/>
      <c r="NUC135" s="537"/>
      <c r="NUD135" s="537"/>
      <c r="NUE135" s="537"/>
      <c r="NUF135" s="537"/>
      <c r="NUG135" s="537"/>
      <c r="NUH135" s="537"/>
      <c r="NUI135" s="537"/>
      <c r="NUJ135" s="537"/>
      <c r="NUK135" s="537"/>
      <c r="NUL135" s="537"/>
      <c r="NUM135" s="537"/>
      <c r="NUN135" s="537"/>
      <c r="NUO135" s="537"/>
      <c r="NUP135" s="537"/>
      <c r="NUQ135" s="537"/>
      <c r="NUR135" s="537"/>
      <c r="NUS135" s="537"/>
      <c r="NUT135" s="537"/>
      <c r="NUU135" s="537"/>
      <c r="NUV135" s="537"/>
      <c r="NUW135" s="537"/>
      <c r="NUX135" s="537"/>
      <c r="NUY135" s="537"/>
      <c r="NUZ135" s="537"/>
      <c r="NVA135" s="537"/>
      <c r="NVB135" s="537"/>
      <c r="NVC135" s="537"/>
      <c r="NVD135" s="537"/>
      <c r="NVE135" s="537"/>
      <c r="NVF135" s="537"/>
      <c r="NVG135" s="537"/>
      <c r="NVH135" s="537"/>
      <c r="NVI135" s="537"/>
      <c r="NVJ135" s="537"/>
      <c r="NVK135" s="537"/>
      <c r="NVL135" s="537"/>
      <c r="NVM135" s="537"/>
      <c r="NVN135" s="537"/>
      <c r="NVO135" s="537"/>
      <c r="NVP135" s="537"/>
      <c r="NVQ135" s="537"/>
      <c r="NVR135" s="537"/>
      <c r="NVS135" s="537"/>
      <c r="NVT135" s="537"/>
      <c r="NVU135" s="537"/>
      <c r="NVV135" s="537"/>
      <c r="NVW135" s="537"/>
      <c r="NVX135" s="537"/>
      <c r="NVY135" s="537"/>
      <c r="NVZ135" s="537"/>
      <c r="NWA135" s="537"/>
      <c r="NWB135" s="537"/>
      <c r="NWC135" s="537"/>
      <c r="NWD135" s="537"/>
      <c r="NWE135" s="537"/>
      <c r="NWF135" s="537"/>
      <c r="NWG135" s="537"/>
      <c r="NWH135" s="537"/>
      <c r="NWI135" s="537"/>
      <c r="NWJ135" s="537"/>
      <c r="NWK135" s="537"/>
      <c r="NWL135" s="537"/>
      <c r="NWM135" s="537"/>
      <c r="NWN135" s="537"/>
      <c r="NWO135" s="537"/>
      <c r="NWP135" s="537"/>
      <c r="NWQ135" s="537"/>
      <c r="NWR135" s="537"/>
      <c r="NWS135" s="537"/>
      <c r="NWT135" s="537"/>
      <c r="NWU135" s="537"/>
      <c r="NWV135" s="537"/>
      <c r="NWW135" s="537"/>
      <c r="NWX135" s="537"/>
      <c r="NWY135" s="537"/>
      <c r="NWZ135" s="537"/>
      <c r="NXA135" s="537"/>
      <c r="NXB135" s="537"/>
      <c r="NXC135" s="537"/>
      <c r="NXD135" s="537"/>
      <c r="NXE135" s="537"/>
      <c r="NXF135" s="537"/>
      <c r="NXG135" s="537"/>
      <c r="NXH135" s="537"/>
      <c r="NXI135" s="537"/>
      <c r="NXJ135" s="537"/>
      <c r="NXK135" s="537"/>
      <c r="NXL135" s="537"/>
      <c r="NXM135" s="537"/>
      <c r="NXN135" s="537"/>
      <c r="NXO135" s="537"/>
      <c r="NXP135" s="537"/>
      <c r="NXQ135" s="537"/>
      <c r="NXR135" s="537"/>
      <c r="NXS135" s="537"/>
      <c r="NXT135" s="537"/>
      <c r="NXU135" s="537"/>
      <c r="NXV135" s="537"/>
      <c r="NXW135" s="537"/>
      <c r="NXX135" s="537"/>
      <c r="NXY135" s="537"/>
      <c r="NXZ135" s="537"/>
      <c r="NYA135" s="537"/>
      <c r="NYB135" s="537"/>
      <c r="NYC135" s="537"/>
      <c r="NYD135" s="537"/>
      <c r="NYE135" s="537"/>
      <c r="NYF135" s="537"/>
      <c r="NYG135" s="537"/>
      <c r="NYH135" s="537"/>
      <c r="NYI135" s="537"/>
      <c r="NYJ135" s="537"/>
      <c r="NYK135" s="537"/>
      <c r="NYL135" s="537"/>
      <c r="NYM135" s="537"/>
      <c r="NYN135" s="537"/>
      <c r="NYO135" s="537"/>
      <c r="NYP135" s="537"/>
      <c r="NYQ135" s="537"/>
      <c r="NYR135" s="537"/>
      <c r="NYS135" s="537"/>
      <c r="NYT135" s="537"/>
      <c r="NYU135" s="537"/>
      <c r="NYV135" s="537"/>
      <c r="NYW135" s="537"/>
      <c r="NYX135" s="537"/>
      <c r="NYY135" s="537"/>
      <c r="NYZ135" s="537"/>
      <c r="NZA135" s="537"/>
      <c r="NZB135" s="537"/>
      <c r="NZC135" s="537"/>
      <c r="NZD135" s="537"/>
      <c r="NZE135" s="537"/>
      <c r="NZF135" s="537"/>
      <c r="NZG135" s="537"/>
      <c r="NZH135" s="537"/>
      <c r="NZI135" s="537"/>
      <c r="NZJ135" s="537"/>
      <c r="NZK135" s="537"/>
      <c r="NZL135" s="537"/>
      <c r="NZM135" s="537"/>
      <c r="NZN135" s="537"/>
      <c r="NZO135" s="537"/>
      <c r="NZP135" s="537"/>
      <c r="NZQ135" s="537"/>
      <c r="NZR135" s="537"/>
      <c r="NZS135" s="537"/>
      <c r="NZT135" s="537"/>
      <c r="NZU135" s="537"/>
      <c r="NZV135" s="537"/>
      <c r="NZW135" s="537"/>
      <c r="NZX135" s="537"/>
      <c r="NZY135" s="537"/>
      <c r="NZZ135" s="537"/>
      <c r="OAA135" s="537"/>
      <c r="OAB135" s="537"/>
      <c r="OAC135" s="537"/>
      <c r="OAD135" s="537"/>
      <c r="OAE135" s="537"/>
      <c r="OAF135" s="537"/>
      <c r="OAG135" s="537"/>
      <c r="OAH135" s="537"/>
      <c r="OAI135" s="537"/>
      <c r="OAJ135" s="537"/>
      <c r="OAK135" s="537"/>
      <c r="OAL135" s="537"/>
      <c r="OAM135" s="537"/>
      <c r="OAN135" s="537"/>
      <c r="OAO135" s="537"/>
      <c r="OAP135" s="537"/>
      <c r="OAQ135" s="537"/>
      <c r="OAR135" s="537"/>
      <c r="OAS135" s="537"/>
      <c r="OAT135" s="537"/>
      <c r="OAU135" s="537"/>
      <c r="OAV135" s="537"/>
      <c r="OAW135" s="537"/>
      <c r="OAX135" s="537"/>
      <c r="OAY135" s="537"/>
      <c r="OAZ135" s="537"/>
      <c r="OBA135" s="537"/>
      <c r="OBB135" s="537"/>
      <c r="OBC135" s="537"/>
      <c r="OBD135" s="537"/>
      <c r="OBE135" s="537"/>
      <c r="OBF135" s="537"/>
      <c r="OBG135" s="537"/>
      <c r="OBH135" s="537"/>
      <c r="OBI135" s="537"/>
      <c r="OBJ135" s="537"/>
      <c r="OBK135" s="537"/>
      <c r="OBL135" s="537"/>
      <c r="OBM135" s="537"/>
      <c r="OBN135" s="537"/>
      <c r="OBO135" s="537"/>
      <c r="OBP135" s="537"/>
      <c r="OBQ135" s="537"/>
      <c r="OBR135" s="537"/>
      <c r="OBS135" s="537"/>
      <c r="OBT135" s="537"/>
      <c r="OBU135" s="537"/>
      <c r="OBV135" s="537"/>
      <c r="OBW135" s="537"/>
      <c r="OBX135" s="537"/>
      <c r="OBY135" s="537"/>
      <c r="OBZ135" s="537"/>
      <c r="OCA135" s="537"/>
      <c r="OCB135" s="537"/>
      <c r="OCC135" s="537"/>
      <c r="OCD135" s="537"/>
      <c r="OCE135" s="537"/>
      <c r="OCF135" s="537"/>
      <c r="OCG135" s="537"/>
      <c r="OCH135" s="537"/>
      <c r="OCI135" s="537"/>
      <c r="OCJ135" s="537"/>
      <c r="OCK135" s="537"/>
      <c r="OCL135" s="537"/>
      <c r="OCM135" s="537"/>
      <c r="OCN135" s="537"/>
      <c r="OCO135" s="537"/>
      <c r="OCP135" s="537"/>
      <c r="OCQ135" s="537"/>
      <c r="OCR135" s="537"/>
      <c r="OCS135" s="537"/>
      <c r="OCT135" s="537"/>
      <c r="OCU135" s="537"/>
      <c r="OCV135" s="537"/>
      <c r="OCW135" s="537"/>
      <c r="OCX135" s="537"/>
      <c r="OCY135" s="537"/>
      <c r="OCZ135" s="537"/>
      <c r="ODA135" s="537"/>
      <c r="ODB135" s="537"/>
      <c r="ODC135" s="537"/>
      <c r="ODD135" s="537"/>
      <c r="ODE135" s="537"/>
      <c r="ODF135" s="537"/>
      <c r="ODG135" s="537"/>
      <c r="ODH135" s="537"/>
      <c r="ODI135" s="537"/>
      <c r="ODJ135" s="537"/>
      <c r="ODK135" s="537"/>
      <c r="ODL135" s="537"/>
      <c r="ODM135" s="537"/>
      <c r="ODN135" s="537"/>
      <c r="ODO135" s="537"/>
      <c r="ODP135" s="537"/>
      <c r="ODQ135" s="537"/>
      <c r="ODR135" s="537"/>
      <c r="ODS135" s="537"/>
      <c r="ODT135" s="537"/>
      <c r="ODU135" s="537"/>
      <c r="ODV135" s="537"/>
      <c r="ODW135" s="537"/>
      <c r="ODX135" s="537"/>
      <c r="ODY135" s="537"/>
      <c r="ODZ135" s="537"/>
      <c r="OEA135" s="537"/>
      <c r="OEB135" s="537"/>
      <c r="OEC135" s="537"/>
      <c r="OED135" s="537"/>
      <c r="OEE135" s="537"/>
      <c r="OEF135" s="537"/>
      <c r="OEG135" s="537"/>
      <c r="OEH135" s="537"/>
      <c r="OEI135" s="537"/>
      <c r="OEJ135" s="537"/>
      <c r="OEK135" s="537"/>
      <c r="OEL135" s="537"/>
      <c r="OEM135" s="537"/>
      <c r="OEN135" s="537"/>
      <c r="OEO135" s="537"/>
      <c r="OEP135" s="537"/>
      <c r="OEQ135" s="537"/>
      <c r="OER135" s="537"/>
      <c r="OES135" s="537"/>
      <c r="OET135" s="537"/>
      <c r="OEU135" s="537"/>
      <c r="OEV135" s="537"/>
      <c r="OEW135" s="537"/>
      <c r="OEX135" s="537"/>
      <c r="OEY135" s="537"/>
      <c r="OEZ135" s="537"/>
      <c r="OFA135" s="537"/>
      <c r="OFB135" s="537"/>
      <c r="OFC135" s="537"/>
      <c r="OFD135" s="537"/>
      <c r="OFE135" s="537"/>
      <c r="OFF135" s="537"/>
      <c r="OFG135" s="537"/>
      <c r="OFH135" s="537"/>
      <c r="OFI135" s="537"/>
      <c r="OFJ135" s="537"/>
      <c r="OFK135" s="537"/>
      <c r="OFL135" s="537"/>
      <c r="OFM135" s="537"/>
      <c r="OFN135" s="537"/>
      <c r="OFO135" s="537"/>
      <c r="OFP135" s="537"/>
      <c r="OFQ135" s="537"/>
      <c r="OFR135" s="537"/>
      <c r="OFS135" s="537"/>
      <c r="OFT135" s="537"/>
      <c r="OFU135" s="537"/>
      <c r="OFV135" s="537"/>
      <c r="OFW135" s="537"/>
      <c r="OFX135" s="537"/>
      <c r="OFY135" s="537"/>
      <c r="OFZ135" s="537"/>
      <c r="OGA135" s="537"/>
      <c r="OGB135" s="537"/>
      <c r="OGC135" s="537"/>
      <c r="OGD135" s="537"/>
      <c r="OGE135" s="537"/>
      <c r="OGF135" s="537"/>
      <c r="OGG135" s="537"/>
      <c r="OGH135" s="537"/>
      <c r="OGI135" s="537"/>
      <c r="OGJ135" s="537"/>
      <c r="OGK135" s="537"/>
      <c r="OGL135" s="537"/>
      <c r="OGM135" s="537"/>
      <c r="OGN135" s="537"/>
      <c r="OGO135" s="537"/>
      <c r="OGP135" s="537"/>
      <c r="OGQ135" s="537"/>
      <c r="OGR135" s="537"/>
      <c r="OGS135" s="537"/>
      <c r="OGT135" s="537"/>
      <c r="OGU135" s="537"/>
      <c r="OGV135" s="537"/>
      <c r="OGW135" s="537"/>
      <c r="OGX135" s="537"/>
      <c r="OGY135" s="537"/>
      <c r="OGZ135" s="537"/>
      <c r="OHA135" s="537"/>
      <c r="OHB135" s="537"/>
      <c r="OHC135" s="537"/>
      <c r="OHD135" s="537"/>
      <c r="OHE135" s="537"/>
      <c r="OHF135" s="537"/>
      <c r="OHG135" s="537"/>
      <c r="OHH135" s="537"/>
      <c r="OHI135" s="537"/>
      <c r="OHJ135" s="537"/>
      <c r="OHK135" s="537"/>
      <c r="OHL135" s="537"/>
      <c r="OHM135" s="537"/>
      <c r="OHN135" s="537"/>
      <c r="OHO135" s="537"/>
      <c r="OHP135" s="537"/>
      <c r="OHQ135" s="537"/>
      <c r="OHR135" s="537"/>
      <c r="OHS135" s="537"/>
      <c r="OHT135" s="537"/>
      <c r="OHU135" s="537"/>
      <c r="OHV135" s="537"/>
      <c r="OHW135" s="537"/>
      <c r="OHX135" s="537"/>
      <c r="OHY135" s="537"/>
      <c r="OHZ135" s="537"/>
      <c r="OIA135" s="537"/>
      <c r="OIB135" s="537"/>
      <c r="OIC135" s="537"/>
      <c r="OID135" s="537"/>
      <c r="OIE135" s="537"/>
      <c r="OIF135" s="537"/>
      <c r="OIG135" s="537"/>
      <c r="OIH135" s="537"/>
      <c r="OII135" s="537"/>
      <c r="OIJ135" s="537"/>
      <c r="OIK135" s="537"/>
      <c r="OIL135" s="537"/>
      <c r="OIM135" s="537"/>
      <c r="OIN135" s="537"/>
      <c r="OIO135" s="537"/>
      <c r="OIP135" s="537"/>
      <c r="OIQ135" s="537"/>
      <c r="OIR135" s="537"/>
      <c r="OIS135" s="537"/>
      <c r="OIT135" s="537"/>
      <c r="OIU135" s="537"/>
      <c r="OIV135" s="537"/>
      <c r="OIW135" s="537"/>
      <c r="OIX135" s="537"/>
      <c r="OIY135" s="537"/>
      <c r="OIZ135" s="537"/>
      <c r="OJA135" s="537"/>
      <c r="OJB135" s="537"/>
      <c r="OJC135" s="537"/>
      <c r="OJD135" s="537"/>
      <c r="OJE135" s="537"/>
      <c r="OJF135" s="537"/>
      <c r="OJG135" s="537"/>
      <c r="OJH135" s="537"/>
      <c r="OJI135" s="537"/>
      <c r="OJJ135" s="537"/>
      <c r="OJK135" s="537"/>
      <c r="OJL135" s="537"/>
      <c r="OJM135" s="537"/>
      <c r="OJN135" s="537"/>
      <c r="OJO135" s="537"/>
      <c r="OJP135" s="537"/>
      <c r="OJQ135" s="537"/>
      <c r="OJR135" s="537"/>
      <c r="OJS135" s="537"/>
      <c r="OJT135" s="537"/>
      <c r="OJU135" s="537"/>
      <c r="OJV135" s="537"/>
      <c r="OJW135" s="537"/>
      <c r="OJX135" s="537"/>
      <c r="OJY135" s="537"/>
      <c r="OJZ135" s="537"/>
      <c r="OKA135" s="537"/>
      <c r="OKB135" s="537"/>
      <c r="OKC135" s="537"/>
      <c r="OKD135" s="537"/>
      <c r="OKE135" s="537"/>
      <c r="OKF135" s="537"/>
      <c r="OKG135" s="537"/>
      <c r="OKH135" s="537"/>
      <c r="OKI135" s="537"/>
      <c r="OKJ135" s="537"/>
      <c r="OKK135" s="537"/>
      <c r="OKL135" s="537"/>
      <c r="OKM135" s="537"/>
      <c r="OKN135" s="537"/>
      <c r="OKO135" s="537"/>
      <c r="OKP135" s="537"/>
      <c r="OKQ135" s="537"/>
      <c r="OKR135" s="537"/>
      <c r="OKS135" s="537"/>
      <c r="OKT135" s="537"/>
      <c r="OKU135" s="537"/>
      <c r="OKV135" s="537"/>
      <c r="OKW135" s="537"/>
      <c r="OKX135" s="537"/>
      <c r="OKY135" s="537"/>
      <c r="OKZ135" s="537"/>
      <c r="OLA135" s="537"/>
      <c r="OLB135" s="537"/>
      <c r="OLC135" s="537"/>
      <c r="OLD135" s="537"/>
      <c r="OLE135" s="537"/>
      <c r="OLF135" s="537"/>
      <c r="OLG135" s="537"/>
      <c r="OLH135" s="537"/>
      <c r="OLI135" s="537"/>
      <c r="OLJ135" s="537"/>
      <c r="OLK135" s="537"/>
      <c r="OLL135" s="537"/>
      <c r="OLM135" s="537"/>
      <c r="OLN135" s="537"/>
      <c r="OLO135" s="537"/>
      <c r="OLP135" s="537"/>
      <c r="OLQ135" s="537"/>
      <c r="OLR135" s="537"/>
      <c r="OLS135" s="537"/>
      <c r="OLT135" s="537"/>
      <c r="OLU135" s="537"/>
      <c r="OLV135" s="537"/>
      <c r="OLW135" s="537"/>
      <c r="OLX135" s="537"/>
      <c r="OLY135" s="537"/>
      <c r="OLZ135" s="537"/>
      <c r="OMA135" s="537"/>
      <c r="OMB135" s="537"/>
      <c r="OMC135" s="537"/>
      <c r="OMD135" s="537"/>
      <c r="OME135" s="537"/>
      <c r="OMF135" s="537"/>
      <c r="OMG135" s="537"/>
      <c r="OMH135" s="537"/>
      <c r="OMI135" s="537"/>
      <c r="OMJ135" s="537"/>
      <c r="OMK135" s="537"/>
      <c r="OML135" s="537"/>
      <c r="OMM135" s="537"/>
      <c r="OMN135" s="537"/>
      <c r="OMO135" s="537"/>
      <c r="OMP135" s="537"/>
      <c r="OMQ135" s="537"/>
      <c r="OMR135" s="537"/>
      <c r="OMS135" s="537"/>
      <c r="OMT135" s="537"/>
      <c r="OMU135" s="537"/>
      <c r="OMV135" s="537"/>
      <c r="OMW135" s="537"/>
      <c r="OMX135" s="537"/>
      <c r="OMY135" s="537"/>
      <c r="OMZ135" s="537"/>
      <c r="ONA135" s="537"/>
      <c r="ONB135" s="537"/>
      <c r="ONC135" s="537"/>
      <c r="OND135" s="537"/>
      <c r="ONE135" s="537"/>
      <c r="ONF135" s="537"/>
      <c r="ONG135" s="537"/>
      <c r="ONH135" s="537"/>
      <c r="ONI135" s="537"/>
      <c r="ONJ135" s="537"/>
      <c r="ONK135" s="537"/>
      <c r="ONL135" s="537"/>
      <c r="ONM135" s="537"/>
      <c r="ONN135" s="537"/>
      <c r="ONO135" s="537"/>
      <c r="ONP135" s="537"/>
      <c r="ONQ135" s="537"/>
      <c r="ONR135" s="537"/>
      <c r="ONS135" s="537"/>
      <c r="ONT135" s="537"/>
      <c r="ONU135" s="537"/>
      <c r="ONV135" s="537"/>
      <c r="ONW135" s="537"/>
      <c r="ONX135" s="537"/>
      <c r="ONY135" s="537"/>
      <c r="ONZ135" s="537"/>
      <c r="OOA135" s="537"/>
      <c r="OOB135" s="537"/>
      <c r="OOC135" s="537"/>
      <c r="OOD135" s="537"/>
      <c r="OOE135" s="537"/>
      <c r="OOF135" s="537"/>
      <c r="OOG135" s="537"/>
      <c r="OOH135" s="537"/>
      <c r="OOI135" s="537"/>
      <c r="OOJ135" s="537"/>
      <c r="OOK135" s="537"/>
      <c r="OOL135" s="537"/>
      <c r="OOM135" s="537"/>
      <c r="OON135" s="537"/>
      <c r="OOO135" s="537"/>
      <c r="OOP135" s="537"/>
      <c r="OOQ135" s="537"/>
      <c r="OOR135" s="537"/>
      <c r="OOS135" s="537"/>
      <c r="OOT135" s="537"/>
      <c r="OOU135" s="537"/>
      <c r="OOV135" s="537"/>
      <c r="OOW135" s="537"/>
      <c r="OOX135" s="537"/>
      <c r="OOY135" s="537"/>
      <c r="OOZ135" s="537"/>
      <c r="OPA135" s="537"/>
      <c r="OPB135" s="537"/>
      <c r="OPC135" s="537"/>
      <c r="OPD135" s="537"/>
      <c r="OPE135" s="537"/>
      <c r="OPF135" s="537"/>
      <c r="OPG135" s="537"/>
      <c r="OPH135" s="537"/>
      <c r="OPI135" s="537"/>
      <c r="OPJ135" s="537"/>
      <c r="OPK135" s="537"/>
      <c r="OPL135" s="537"/>
      <c r="OPM135" s="537"/>
      <c r="OPN135" s="537"/>
      <c r="OPO135" s="537"/>
      <c r="OPP135" s="537"/>
      <c r="OPQ135" s="537"/>
      <c r="OPR135" s="537"/>
      <c r="OPS135" s="537"/>
      <c r="OPT135" s="537"/>
      <c r="OPU135" s="537"/>
      <c r="OPV135" s="537"/>
      <c r="OPW135" s="537"/>
      <c r="OPX135" s="537"/>
      <c r="OPY135" s="537"/>
      <c r="OPZ135" s="537"/>
      <c r="OQA135" s="537"/>
      <c r="OQB135" s="537"/>
      <c r="OQC135" s="537"/>
      <c r="OQD135" s="537"/>
      <c r="OQE135" s="537"/>
      <c r="OQF135" s="537"/>
      <c r="OQG135" s="537"/>
      <c r="OQH135" s="537"/>
      <c r="OQI135" s="537"/>
      <c r="OQJ135" s="537"/>
      <c r="OQK135" s="537"/>
      <c r="OQL135" s="537"/>
      <c r="OQM135" s="537"/>
      <c r="OQN135" s="537"/>
      <c r="OQO135" s="537"/>
      <c r="OQP135" s="537"/>
      <c r="OQQ135" s="537"/>
      <c r="OQR135" s="537"/>
      <c r="OQS135" s="537"/>
      <c r="OQT135" s="537"/>
      <c r="OQU135" s="537"/>
      <c r="OQV135" s="537"/>
      <c r="OQW135" s="537"/>
      <c r="OQX135" s="537"/>
      <c r="OQY135" s="537"/>
      <c r="OQZ135" s="537"/>
      <c r="ORA135" s="537"/>
      <c r="ORB135" s="537"/>
      <c r="ORC135" s="537"/>
      <c r="ORD135" s="537"/>
      <c r="ORE135" s="537"/>
      <c r="ORF135" s="537"/>
      <c r="ORG135" s="537"/>
      <c r="ORH135" s="537"/>
      <c r="ORI135" s="537"/>
      <c r="ORJ135" s="537"/>
      <c r="ORK135" s="537"/>
      <c r="ORL135" s="537"/>
      <c r="ORM135" s="537"/>
      <c r="ORN135" s="537"/>
      <c r="ORO135" s="537"/>
      <c r="ORP135" s="537"/>
      <c r="ORQ135" s="537"/>
      <c r="ORR135" s="537"/>
      <c r="ORS135" s="537"/>
      <c r="ORT135" s="537"/>
      <c r="ORU135" s="537"/>
      <c r="ORV135" s="537"/>
      <c r="ORW135" s="537"/>
      <c r="ORX135" s="537"/>
      <c r="ORY135" s="537"/>
      <c r="ORZ135" s="537"/>
      <c r="OSA135" s="537"/>
      <c r="OSB135" s="537"/>
      <c r="OSC135" s="537"/>
      <c r="OSD135" s="537"/>
      <c r="OSE135" s="537"/>
      <c r="OSF135" s="537"/>
      <c r="OSG135" s="537"/>
      <c r="OSH135" s="537"/>
      <c r="OSI135" s="537"/>
      <c r="OSJ135" s="537"/>
      <c r="OSK135" s="537"/>
      <c r="OSL135" s="537"/>
      <c r="OSM135" s="537"/>
      <c r="OSN135" s="537"/>
      <c r="OSO135" s="537"/>
      <c r="OSP135" s="537"/>
      <c r="OSQ135" s="537"/>
      <c r="OSR135" s="537"/>
      <c r="OSS135" s="537"/>
      <c r="OST135" s="537"/>
      <c r="OSU135" s="537"/>
      <c r="OSV135" s="537"/>
      <c r="OSW135" s="537"/>
      <c r="OSX135" s="537"/>
      <c r="OSY135" s="537"/>
      <c r="OSZ135" s="537"/>
      <c r="OTA135" s="537"/>
      <c r="OTB135" s="537"/>
      <c r="OTC135" s="537"/>
      <c r="OTD135" s="537"/>
      <c r="OTE135" s="537"/>
      <c r="OTF135" s="537"/>
      <c r="OTG135" s="537"/>
      <c r="OTH135" s="537"/>
      <c r="OTI135" s="537"/>
      <c r="OTJ135" s="537"/>
      <c r="OTK135" s="537"/>
      <c r="OTL135" s="537"/>
      <c r="OTM135" s="537"/>
      <c r="OTN135" s="537"/>
      <c r="OTO135" s="537"/>
      <c r="OTP135" s="537"/>
      <c r="OTQ135" s="537"/>
      <c r="OTR135" s="537"/>
      <c r="OTS135" s="537"/>
      <c r="OTT135" s="537"/>
      <c r="OTU135" s="537"/>
      <c r="OTV135" s="537"/>
      <c r="OTW135" s="537"/>
      <c r="OTX135" s="537"/>
      <c r="OTY135" s="537"/>
      <c r="OTZ135" s="537"/>
      <c r="OUA135" s="537"/>
      <c r="OUB135" s="537"/>
      <c r="OUC135" s="537"/>
      <c r="OUD135" s="537"/>
      <c r="OUE135" s="537"/>
      <c r="OUF135" s="537"/>
      <c r="OUG135" s="537"/>
      <c r="OUH135" s="537"/>
      <c r="OUI135" s="537"/>
      <c r="OUJ135" s="537"/>
      <c r="OUK135" s="537"/>
      <c r="OUL135" s="537"/>
      <c r="OUM135" s="537"/>
      <c r="OUN135" s="537"/>
      <c r="OUO135" s="537"/>
      <c r="OUP135" s="537"/>
      <c r="OUQ135" s="537"/>
      <c r="OUR135" s="537"/>
      <c r="OUS135" s="537"/>
      <c r="OUT135" s="537"/>
      <c r="OUU135" s="537"/>
      <c r="OUV135" s="537"/>
      <c r="OUW135" s="537"/>
      <c r="OUX135" s="537"/>
      <c r="OUY135" s="537"/>
      <c r="OUZ135" s="537"/>
      <c r="OVA135" s="537"/>
      <c r="OVB135" s="537"/>
      <c r="OVC135" s="537"/>
      <c r="OVD135" s="537"/>
      <c r="OVE135" s="537"/>
      <c r="OVF135" s="537"/>
      <c r="OVG135" s="537"/>
      <c r="OVH135" s="537"/>
      <c r="OVI135" s="537"/>
      <c r="OVJ135" s="537"/>
      <c r="OVK135" s="537"/>
      <c r="OVL135" s="537"/>
      <c r="OVM135" s="537"/>
      <c r="OVN135" s="537"/>
      <c r="OVO135" s="537"/>
      <c r="OVP135" s="537"/>
      <c r="OVQ135" s="537"/>
      <c r="OVR135" s="537"/>
      <c r="OVS135" s="537"/>
      <c r="OVT135" s="537"/>
      <c r="OVU135" s="537"/>
      <c r="OVV135" s="537"/>
      <c r="OVW135" s="537"/>
      <c r="OVX135" s="537"/>
      <c r="OVY135" s="537"/>
      <c r="OVZ135" s="537"/>
      <c r="OWA135" s="537"/>
      <c r="OWB135" s="537"/>
      <c r="OWC135" s="537"/>
      <c r="OWD135" s="537"/>
      <c r="OWE135" s="537"/>
      <c r="OWF135" s="537"/>
      <c r="OWG135" s="537"/>
      <c r="OWH135" s="537"/>
      <c r="OWI135" s="537"/>
      <c r="OWJ135" s="537"/>
      <c r="OWK135" s="537"/>
      <c r="OWL135" s="537"/>
      <c r="OWM135" s="537"/>
      <c r="OWN135" s="537"/>
      <c r="OWO135" s="537"/>
      <c r="OWP135" s="537"/>
      <c r="OWQ135" s="537"/>
      <c r="OWR135" s="537"/>
      <c r="OWS135" s="537"/>
      <c r="OWT135" s="537"/>
      <c r="OWU135" s="537"/>
      <c r="OWV135" s="537"/>
      <c r="OWW135" s="537"/>
      <c r="OWX135" s="537"/>
      <c r="OWY135" s="537"/>
      <c r="OWZ135" s="537"/>
      <c r="OXA135" s="537"/>
      <c r="OXB135" s="537"/>
      <c r="OXC135" s="537"/>
      <c r="OXD135" s="537"/>
      <c r="OXE135" s="537"/>
      <c r="OXF135" s="537"/>
      <c r="OXG135" s="537"/>
      <c r="OXH135" s="537"/>
      <c r="OXI135" s="537"/>
      <c r="OXJ135" s="537"/>
      <c r="OXK135" s="537"/>
      <c r="OXL135" s="537"/>
      <c r="OXM135" s="537"/>
      <c r="OXN135" s="537"/>
      <c r="OXO135" s="537"/>
      <c r="OXP135" s="537"/>
      <c r="OXQ135" s="537"/>
      <c r="OXR135" s="537"/>
      <c r="OXS135" s="537"/>
      <c r="OXT135" s="537"/>
      <c r="OXU135" s="537"/>
      <c r="OXV135" s="537"/>
      <c r="OXW135" s="537"/>
      <c r="OXX135" s="537"/>
      <c r="OXY135" s="537"/>
      <c r="OXZ135" s="537"/>
      <c r="OYA135" s="537"/>
      <c r="OYB135" s="537"/>
      <c r="OYC135" s="537"/>
      <c r="OYD135" s="537"/>
      <c r="OYE135" s="537"/>
      <c r="OYF135" s="537"/>
      <c r="OYG135" s="537"/>
      <c r="OYH135" s="537"/>
      <c r="OYI135" s="537"/>
      <c r="OYJ135" s="537"/>
      <c r="OYK135" s="537"/>
      <c r="OYL135" s="537"/>
      <c r="OYM135" s="537"/>
      <c r="OYN135" s="537"/>
      <c r="OYO135" s="537"/>
      <c r="OYP135" s="537"/>
      <c r="OYQ135" s="537"/>
      <c r="OYR135" s="537"/>
      <c r="OYS135" s="537"/>
      <c r="OYT135" s="537"/>
      <c r="OYU135" s="537"/>
      <c r="OYV135" s="537"/>
      <c r="OYW135" s="537"/>
      <c r="OYX135" s="537"/>
      <c r="OYY135" s="537"/>
      <c r="OYZ135" s="537"/>
      <c r="OZA135" s="537"/>
      <c r="OZB135" s="537"/>
      <c r="OZC135" s="537"/>
      <c r="OZD135" s="537"/>
      <c r="OZE135" s="537"/>
      <c r="OZF135" s="537"/>
      <c r="OZG135" s="537"/>
      <c r="OZH135" s="537"/>
      <c r="OZI135" s="537"/>
      <c r="OZJ135" s="537"/>
      <c r="OZK135" s="537"/>
      <c r="OZL135" s="537"/>
      <c r="OZM135" s="537"/>
      <c r="OZN135" s="537"/>
      <c r="OZO135" s="537"/>
      <c r="OZP135" s="537"/>
      <c r="OZQ135" s="537"/>
      <c r="OZR135" s="537"/>
      <c r="OZS135" s="537"/>
      <c r="OZT135" s="537"/>
      <c r="OZU135" s="537"/>
      <c r="OZV135" s="537"/>
      <c r="OZW135" s="537"/>
      <c r="OZX135" s="537"/>
      <c r="OZY135" s="537"/>
      <c r="OZZ135" s="537"/>
      <c r="PAA135" s="537"/>
      <c r="PAB135" s="537"/>
      <c r="PAC135" s="537"/>
      <c r="PAD135" s="537"/>
      <c r="PAE135" s="537"/>
      <c r="PAF135" s="537"/>
      <c r="PAG135" s="537"/>
      <c r="PAH135" s="537"/>
      <c r="PAI135" s="537"/>
      <c r="PAJ135" s="537"/>
      <c r="PAK135" s="537"/>
      <c r="PAL135" s="537"/>
      <c r="PAM135" s="537"/>
      <c r="PAN135" s="537"/>
      <c r="PAO135" s="537"/>
      <c r="PAP135" s="537"/>
      <c r="PAQ135" s="537"/>
      <c r="PAR135" s="537"/>
      <c r="PAS135" s="537"/>
      <c r="PAT135" s="537"/>
      <c r="PAU135" s="537"/>
      <c r="PAV135" s="537"/>
      <c r="PAW135" s="537"/>
      <c r="PAX135" s="537"/>
      <c r="PAY135" s="537"/>
      <c r="PAZ135" s="537"/>
      <c r="PBA135" s="537"/>
      <c r="PBB135" s="537"/>
      <c r="PBC135" s="537"/>
      <c r="PBD135" s="537"/>
      <c r="PBE135" s="537"/>
      <c r="PBF135" s="537"/>
      <c r="PBG135" s="537"/>
      <c r="PBH135" s="537"/>
      <c r="PBI135" s="537"/>
      <c r="PBJ135" s="537"/>
      <c r="PBK135" s="537"/>
      <c r="PBL135" s="537"/>
      <c r="PBM135" s="537"/>
      <c r="PBN135" s="537"/>
      <c r="PBO135" s="537"/>
      <c r="PBP135" s="537"/>
      <c r="PBQ135" s="537"/>
      <c r="PBR135" s="537"/>
      <c r="PBS135" s="537"/>
      <c r="PBT135" s="537"/>
      <c r="PBU135" s="537"/>
      <c r="PBV135" s="537"/>
      <c r="PBW135" s="537"/>
      <c r="PBX135" s="537"/>
      <c r="PBY135" s="537"/>
      <c r="PBZ135" s="537"/>
      <c r="PCA135" s="537"/>
      <c r="PCB135" s="537"/>
      <c r="PCC135" s="537"/>
      <c r="PCD135" s="537"/>
      <c r="PCE135" s="537"/>
      <c r="PCF135" s="537"/>
      <c r="PCG135" s="537"/>
      <c r="PCH135" s="537"/>
      <c r="PCI135" s="537"/>
      <c r="PCJ135" s="537"/>
      <c r="PCK135" s="537"/>
      <c r="PCL135" s="537"/>
      <c r="PCM135" s="537"/>
      <c r="PCN135" s="537"/>
      <c r="PCO135" s="537"/>
      <c r="PCP135" s="537"/>
      <c r="PCQ135" s="537"/>
      <c r="PCR135" s="537"/>
      <c r="PCS135" s="537"/>
      <c r="PCT135" s="537"/>
      <c r="PCU135" s="537"/>
      <c r="PCV135" s="537"/>
      <c r="PCW135" s="537"/>
      <c r="PCX135" s="537"/>
      <c r="PCY135" s="537"/>
      <c r="PCZ135" s="537"/>
      <c r="PDA135" s="537"/>
      <c r="PDB135" s="537"/>
      <c r="PDC135" s="537"/>
      <c r="PDD135" s="537"/>
      <c r="PDE135" s="537"/>
      <c r="PDF135" s="537"/>
      <c r="PDG135" s="537"/>
      <c r="PDH135" s="537"/>
      <c r="PDI135" s="537"/>
      <c r="PDJ135" s="537"/>
      <c r="PDK135" s="537"/>
      <c r="PDL135" s="537"/>
      <c r="PDM135" s="537"/>
      <c r="PDN135" s="537"/>
      <c r="PDO135" s="537"/>
      <c r="PDP135" s="537"/>
      <c r="PDQ135" s="537"/>
      <c r="PDR135" s="537"/>
      <c r="PDS135" s="537"/>
      <c r="PDT135" s="537"/>
      <c r="PDU135" s="537"/>
      <c r="PDV135" s="537"/>
      <c r="PDW135" s="537"/>
      <c r="PDX135" s="537"/>
      <c r="PDY135" s="537"/>
      <c r="PDZ135" s="537"/>
      <c r="PEA135" s="537"/>
      <c r="PEB135" s="537"/>
      <c r="PEC135" s="537"/>
      <c r="PED135" s="537"/>
      <c r="PEE135" s="537"/>
      <c r="PEF135" s="537"/>
      <c r="PEG135" s="537"/>
      <c r="PEH135" s="537"/>
      <c r="PEI135" s="537"/>
      <c r="PEJ135" s="537"/>
      <c r="PEK135" s="537"/>
      <c r="PEL135" s="537"/>
      <c r="PEM135" s="537"/>
      <c r="PEN135" s="537"/>
      <c r="PEO135" s="537"/>
      <c r="PEP135" s="537"/>
      <c r="PEQ135" s="537"/>
      <c r="PER135" s="537"/>
      <c r="PES135" s="537"/>
      <c r="PET135" s="537"/>
      <c r="PEU135" s="537"/>
      <c r="PEV135" s="537"/>
      <c r="PEW135" s="537"/>
      <c r="PEX135" s="537"/>
      <c r="PEY135" s="537"/>
      <c r="PEZ135" s="537"/>
      <c r="PFA135" s="537"/>
      <c r="PFB135" s="537"/>
      <c r="PFC135" s="537"/>
      <c r="PFD135" s="537"/>
      <c r="PFE135" s="537"/>
      <c r="PFF135" s="537"/>
      <c r="PFG135" s="537"/>
      <c r="PFH135" s="537"/>
      <c r="PFI135" s="537"/>
      <c r="PFJ135" s="537"/>
      <c r="PFK135" s="537"/>
      <c r="PFL135" s="537"/>
      <c r="PFM135" s="537"/>
      <c r="PFN135" s="537"/>
      <c r="PFO135" s="537"/>
      <c r="PFP135" s="537"/>
      <c r="PFQ135" s="537"/>
      <c r="PFR135" s="537"/>
      <c r="PFS135" s="537"/>
      <c r="PFT135" s="537"/>
      <c r="PFU135" s="537"/>
      <c r="PFV135" s="537"/>
      <c r="PFW135" s="537"/>
      <c r="PFX135" s="537"/>
      <c r="PFY135" s="537"/>
      <c r="PFZ135" s="537"/>
      <c r="PGA135" s="537"/>
      <c r="PGB135" s="537"/>
      <c r="PGC135" s="537"/>
      <c r="PGD135" s="537"/>
      <c r="PGE135" s="537"/>
      <c r="PGF135" s="537"/>
      <c r="PGG135" s="537"/>
      <c r="PGH135" s="537"/>
      <c r="PGI135" s="537"/>
      <c r="PGJ135" s="537"/>
      <c r="PGK135" s="537"/>
      <c r="PGL135" s="537"/>
      <c r="PGM135" s="537"/>
      <c r="PGN135" s="537"/>
      <c r="PGO135" s="537"/>
      <c r="PGP135" s="537"/>
      <c r="PGQ135" s="537"/>
      <c r="PGR135" s="537"/>
      <c r="PGS135" s="537"/>
      <c r="PGT135" s="537"/>
      <c r="PGU135" s="537"/>
      <c r="PGV135" s="537"/>
      <c r="PGW135" s="537"/>
      <c r="PGX135" s="537"/>
      <c r="PGY135" s="537"/>
      <c r="PGZ135" s="537"/>
      <c r="PHA135" s="537"/>
      <c r="PHB135" s="537"/>
      <c r="PHC135" s="537"/>
      <c r="PHD135" s="537"/>
      <c r="PHE135" s="537"/>
      <c r="PHF135" s="537"/>
      <c r="PHG135" s="537"/>
      <c r="PHH135" s="537"/>
      <c r="PHI135" s="537"/>
      <c r="PHJ135" s="537"/>
      <c r="PHK135" s="537"/>
      <c r="PHL135" s="537"/>
      <c r="PHM135" s="537"/>
      <c r="PHN135" s="537"/>
      <c r="PHO135" s="537"/>
      <c r="PHP135" s="537"/>
      <c r="PHQ135" s="537"/>
      <c r="PHR135" s="537"/>
      <c r="PHS135" s="537"/>
      <c r="PHT135" s="537"/>
      <c r="PHU135" s="537"/>
      <c r="PHV135" s="537"/>
      <c r="PHW135" s="537"/>
      <c r="PHX135" s="537"/>
      <c r="PHY135" s="537"/>
      <c r="PHZ135" s="537"/>
      <c r="PIA135" s="537"/>
      <c r="PIB135" s="537"/>
      <c r="PIC135" s="537"/>
      <c r="PID135" s="537"/>
      <c r="PIE135" s="537"/>
      <c r="PIF135" s="537"/>
      <c r="PIG135" s="537"/>
      <c r="PIH135" s="537"/>
      <c r="PII135" s="537"/>
      <c r="PIJ135" s="537"/>
      <c r="PIK135" s="537"/>
      <c r="PIL135" s="537"/>
      <c r="PIM135" s="537"/>
      <c r="PIN135" s="537"/>
      <c r="PIO135" s="537"/>
      <c r="PIP135" s="537"/>
      <c r="PIQ135" s="537"/>
      <c r="PIR135" s="537"/>
      <c r="PIS135" s="537"/>
      <c r="PIT135" s="537"/>
      <c r="PIU135" s="537"/>
      <c r="PIV135" s="537"/>
      <c r="PIW135" s="537"/>
      <c r="PIX135" s="537"/>
      <c r="PIY135" s="537"/>
      <c r="PIZ135" s="537"/>
      <c r="PJA135" s="537"/>
      <c r="PJB135" s="537"/>
      <c r="PJC135" s="537"/>
      <c r="PJD135" s="537"/>
      <c r="PJE135" s="537"/>
      <c r="PJF135" s="537"/>
      <c r="PJG135" s="537"/>
      <c r="PJH135" s="537"/>
      <c r="PJI135" s="537"/>
      <c r="PJJ135" s="537"/>
      <c r="PJK135" s="537"/>
      <c r="PJL135" s="537"/>
      <c r="PJM135" s="537"/>
      <c r="PJN135" s="537"/>
      <c r="PJO135" s="537"/>
      <c r="PJP135" s="537"/>
      <c r="PJQ135" s="537"/>
      <c r="PJR135" s="537"/>
      <c r="PJS135" s="537"/>
      <c r="PJT135" s="537"/>
      <c r="PJU135" s="537"/>
      <c r="PJV135" s="537"/>
      <c r="PJW135" s="537"/>
      <c r="PJX135" s="537"/>
      <c r="PJY135" s="537"/>
      <c r="PJZ135" s="537"/>
      <c r="PKA135" s="537"/>
      <c r="PKB135" s="537"/>
      <c r="PKC135" s="537"/>
      <c r="PKD135" s="537"/>
      <c r="PKE135" s="537"/>
      <c r="PKF135" s="537"/>
      <c r="PKG135" s="537"/>
      <c r="PKH135" s="537"/>
      <c r="PKI135" s="537"/>
      <c r="PKJ135" s="537"/>
      <c r="PKK135" s="537"/>
      <c r="PKL135" s="537"/>
      <c r="PKM135" s="537"/>
      <c r="PKN135" s="537"/>
      <c r="PKO135" s="537"/>
      <c r="PKP135" s="537"/>
      <c r="PKQ135" s="537"/>
      <c r="PKR135" s="537"/>
      <c r="PKS135" s="537"/>
      <c r="PKT135" s="537"/>
      <c r="PKU135" s="537"/>
      <c r="PKV135" s="537"/>
      <c r="PKW135" s="537"/>
      <c r="PKX135" s="537"/>
      <c r="PKY135" s="537"/>
      <c r="PKZ135" s="537"/>
      <c r="PLA135" s="537"/>
      <c r="PLB135" s="537"/>
      <c r="PLC135" s="537"/>
      <c r="PLD135" s="537"/>
      <c r="PLE135" s="537"/>
      <c r="PLF135" s="537"/>
      <c r="PLG135" s="537"/>
      <c r="PLH135" s="537"/>
      <c r="PLI135" s="537"/>
      <c r="PLJ135" s="537"/>
      <c r="PLK135" s="537"/>
      <c r="PLL135" s="537"/>
      <c r="PLM135" s="537"/>
      <c r="PLN135" s="537"/>
      <c r="PLO135" s="537"/>
      <c r="PLP135" s="537"/>
      <c r="PLQ135" s="537"/>
      <c r="PLR135" s="537"/>
      <c r="PLS135" s="537"/>
      <c r="PLT135" s="537"/>
      <c r="PLU135" s="537"/>
      <c r="PLV135" s="537"/>
      <c r="PLW135" s="537"/>
      <c r="PLX135" s="537"/>
      <c r="PLY135" s="537"/>
      <c r="PLZ135" s="537"/>
      <c r="PMA135" s="537"/>
      <c r="PMB135" s="537"/>
      <c r="PMC135" s="537"/>
      <c r="PMD135" s="537"/>
      <c r="PME135" s="537"/>
      <c r="PMF135" s="537"/>
      <c r="PMG135" s="537"/>
      <c r="PMH135" s="537"/>
      <c r="PMI135" s="537"/>
      <c r="PMJ135" s="537"/>
      <c r="PMK135" s="537"/>
      <c r="PML135" s="537"/>
      <c r="PMM135" s="537"/>
      <c r="PMN135" s="537"/>
      <c r="PMO135" s="537"/>
      <c r="PMP135" s="537"/>
      <c r="PMQ135" s="537"/>
      <c r="PMR135" s="537"/>
      <c r="PMS135" s="537"/>
      <c r="PMT135" s="537"/>
      <c r="PMU135" s="537"/>
      <c r="PMV135" s="537"/>
      <c r="PMW135" s="537"/>
      <c r="PMX135" s="537"/>
      <c r="PMY135" s="537"/>
      <c r="PMZ135" s="537"/>
      <c r="PNA135" s="537"/>
      <c r="PNB135" s="537"/>
      <c r="PNC135" s="537"/>
      <c r="PND135" s="537"/>
      <c r="PNE135" s="537"/>
      <c r="PNF135" s="537"/>
      <c r="PNG135" s="537"/>
      <c r="PNH135" s="537"/>
      <c r="PNI135" s="537"/>
      <c r="PNJ135" s="537"/>
      <c r="PNK135" s="537"/>
      <c r="PNL135" s="537"/>
      <c r="PNM135" s="537"/>
      <c r="PNN135" s="537"/>
      <c r="PNO135" s="537"/>
      <c r="PNP135" s="537"/>
      <c r="PNQ135" s="537"/>
      <c r="PNR135" s="537"/>
      <c r="PNS135" s="537"/>
      <c r="PNT135" s="537"/>
      <c r="PNU135" s="537"/>
      <c r="PNV135" s="537"/>
      <c r="PNW135" s="537"/>
      <c r="PNX135" s="537"/>
      <c r="PNY135" s="537"/>
      <c r="PNZ135" s="537"/>
      <c r="POA135" s="537"/>
      <c r="POB135" s="537"/>
      <c r="POC135" s="537"/>
      <c r="POD135" s="537"/>
      <c r="POE135" s="537"/>
      <c r="POF135" s="537"/>
      <c r="POG135" s="537"/>
      <c r="POH135" s="537"/>
      <c r="POI135" s="537"/>
      <c r="POJ135" s="537"/>
      <c r="POK135" s="537"/>
      <c r="POL135" s="537"/>
      <c r="POM135" s="537"/>
      <c r="PON135" s="537"/>
      <c r="POO135" s="537"/>
      <c r="POP135" s="537"/>
      <c r="POQ135" s="537"/>
      <c r="POR135" s="537"/>
      <c r="POS135" s="537"/>
      <c r="POT135" s="537"/>
      <c r="POU135" s="537"/>
      <c r="POV135" s="537"/>
      <c r="POW135" s="537"/>
      <c r="POX135" s="537"/>
      <c r="POY135" s="537"/>
      <c r="POZ135" s="537"/>
      <c r="PPA135" s="537"/>
      <c r="PPB135" s="537"/>
      <c r="PPC135" s="537"/>
      <c r="PPD135" s="537"/>
      <c r="PPE135" s="537"/>
      <c r="PPF135" s="537"/>
      <c r="PPG135" s="537"/>
      <c r="PPH135" s="537"/>
      <c r="PPI135" s="537"/>
      <c r="PPJ135" s="537"/>
      <c r="PPK135" s="537"/>
      <c r="PPL135" s="537"/>
      <c r="PPM135" s="537"/>
      <c r="PPN135" s="537"/>
      <c r="PPO135" s="537"/>
      <c r="PPP135" s="537"/>
      <c r="PPQ135" s="537"/>
      <c r="PPR135" s="537"/>
      <c r="PPS135" s="537"/>
      <c r="PPT135" s="537"/>
      <c r="PPU135" s="537"/>
      <c r="PPV135" s="537"/>
      <c r="PPW135" s="537"/>
      <c r="PPX135" s="537"/>
      <c r="PPY135" s="537"/>
      <c r="PPZ135" s="537"/>
      <c r="PQA135" s="537"/>
      <c r="PQB135" s="537"/>
      <c r="PQC135" s="537"/>
      <c r="PQD135" s="537"/>
      <c r="PQE135" s="537"/>
      <c r="PQF135" s="537"/>
      <c r="PQG135" s="537"/>
      <c r="PQH135" s="537"/>
      <c r="PQI135" s="537"/>
      <c r="PQJ135" s="537"/>
      <c r="PQK135" s="537"/>
      <c r="PQL135" s="537"/>
      <c r="PQM135" s="537"/>
      <c r="PQN135" s="537"/>
      <c r="PQO135" s="537"/>
      <c r="PQP135" s="537"/>
      <c r="PQQ135" s="537"/>
      <c r="PQR135" s="537"/>
      <c r="PQS135" s="537"/>
      <c r="PQT135" s="537"/>
      <c r="PQU135" s="537"/>
      <c r="PQV135" s="537"/>
      <c r="PQW135" s="537"/>
      <c r="PQX135" s="537"/>
      <c r="PQY135" s="537"/>
      <c r="PQZ135" s="537"/>
      <c r="PRA135" s="537"/>
      <c r="PRB135" s="537"/>
      <c r="PRC135" s="537"/>
      <c r="PRD135" s="537"/>
      <c r="PRE135" s="537"/>
      <c r="PRF135" s="537"/>
      <c r="PRG135" s="537"/>
      <c r="PRH135" s="537"/>
      <c r="PRI135" s="537"/>
      <c r="PRJ135" s="537"/>
      <c r="PRK135" s="537"/>
      <c r="PRL135" s="537"/>
      <c r="PRM135" s="537"/>
      <c r="PRN135" s="537"/>
      <c r="PRO135" s="537"/>
      <c r="PRP135" s="537"/>
      <c r="PRQ135" s="537"/>
      <c r="PRR135" s="537"/>
      <c r="PRS135" s="537"/>
      <c r="PRT135" s="537"/>
      <c r="PRU135" s="537"/>
      <c r="PRV135" s="537"/>
      <c r="PRW135" s="537"/>
      <c r="PRX135" s="537"/>
      <c r="PRY135" s="537"/>
      <c r="PRZ135" s="537"/>
      <c r="PSA135" s="537"/>
      <c r="PSB135" s="537"/>
      <c r="PSC135" s="537"/>
      <c r="PSD135" s="537"/>
      <c r="PSE135" s="537"/>
      <c r="PSF135" s="537"/>
      <c r="PSG135" s="537"/>
      <c r="PSH135" s="537"/>
      <c r="PSI135" s="537"/>
      <c r="PSJ135" s="537"/>
      <c r="PSK135" s="537"/>
      <c r="PSL135" s="537"/>
      <c r="PSM135" s="537"/>
      <c r="PSN135" s="537"/>
      <c r="PSO135" s="537"/>
      <c r="PSP135" s="537"/>
      <c r="PSQ135" s="537"/>
      <c r="PSR135" s="537"/>
      <c r="PSS135" s="537"/>
      <c r="PST135" s="537"/>
      <c r="PSU135" s="537"/>
      <c r="PSV135" s="537"/>
      <c r="PSW135" s="537"/>
      <c r="PSX135" s="537"/>
      <c r="PSY135" s="537"/>
      <c r="PSZ135" s="537"/>
      <c r="PTA135" s="537"/>
      <c r="PTB135" s="537"/>
      <c r="PTC135" s="537"/>
      <c r="PTD135" s="537"/>
      <c r="PTE135" s="537"/>
      <c r="PTF135" s="537"/>
      <c r="PTG135" s="537"/>
      <c r="PTH135" s="537"/>
      <c r="PTI135" s="537"/>
      <c r="PTJ135" s="537"/>
      <c r="PTK135" s="537"/>
      <c r="PTL135" s="537"/>
      <c r="PTM135" s="537"/>
      <c r="PTN135" s="537"/>
      <c r="PTO135" s="537"/>
      <c r="PTP135" s="537"/>
      <c r="PTQ135" s="537"/>
      <c r="PTR135" s="537"/>
      <c r="PTS135" s="537"/>
      <c r="PTT135" s="537"/>
      <c r="PTU135" s="537"/>
      <c r="PTV135" s="537"/>
      <c r="PTW135" s="537"/>
      <c r="PTX135" s="537"/>
      <c r="PTY135" s="537"/>
      <c r="PTZ135" s="537"/>
      <c r="PUA135" s="537"/>
      <c r="PUB135" s="537"/>
      <c r="PUC135" s="537"/>
      <c r="PUD135" s="537"/>
      <c r="PUE135" s="537"/>
      <c r="PUF135" s="537"/>
      <c r="PUG135" s="537"/>
      <c r="PUH135" s="537"/>
      <c r="PUI135" s="537"/>
      <c r="PUJ135" s="537"/>
      <c r="PUK135" s="537"/>
      <c r="PUL135" s="537"/>
      <c r="PUM135" s="537"/>
      <c r="PUN135" s="537"/>
      <c r="PUO135" s="537"/>
      <c r="PUP135" s="537"/>
      <c r="PUQ135" s="537"/>
      <c r="PUR135" s="537"/>
      <c r="PUS135" s="537"/>
      <c r="PUT135" s="537"/>
      <c r="PUU135" s="537"/>
      <c r="PUV135" s="537"/>
      <c r="PUW135" s="537"/>
      <c r="PUX135" s="537"/>
      <c r="PUY135" s="537"/>
      <c r="PUZ135" s="537"/>
      <c r="PVA135" s="537"/>
      <c r="PVB135" s="537"/>
      <c r="PVC135" s="537"/>
      <c r="PVD135" s="537"/>
      <c r="PVE135" s="537"/>
      <c r="PVF135" s="537"/>
      <c r="PVG135" s="537"/>
      <c r="PVH135" s="537"/>
      <c r="PVI135" s="537"/>
      <c r="PVJ135" s="537"/>
      <c r="PVK135" s="537"/>
      <c r="PVL135" s="537"/>
      <c r="PVM135" s="537"/>
      <c r="PVN135" s="537"/>
      <c r="PVO135" s="537"/>
      <c r="PVP135" s="537"/>
      <c r="PVQ135" s="537"/>
      <c r="PVR135" s="537"/>
      <c r="PVS135" s="537"/>
      <c r="PVT135" s="537"/>
      <c r="PVU135" s="537"/>
      <c r="PVV135" s="537"/>
      <c r="PVW135" s="537"/>
      <c r="PVX135" s="537"/>
      <c r="PVY135" s="537"/>
      <c r="PVZ135" s="537"/>
      <c r="PWA135" s="537"/>
      <c r="PWB135" s="537"/>
      <c r="PWC135" s="537"/>
      <c r="PWD135" s="537"/>
      <c r="PWE135" s="537"/>
      <c r="PWF135" s="537"/>
      <c r="PWG135" s="537"/>
      <c r="PWH135" s="537"/>
      <c r="PWI135" s="537"/>
      <c r="PWJ135" s="537"/>
      <c r="PWK135" s="537"/>
      <c r="PWL135" s="537"/>
      <c r="PWM135" s="537"/>
      <c r="PWN135" s="537"/>
      <c r="PWO135" s="537"/>
      <c r="PWP135" s="537"/>
      <c r="PWQ135" s="537"/>
      <c r="PWR135" s="537"/>
      <c r="PWS135" s="537"/>
      <c r="PWT135" s="537"/>
      <c r="PWU135" s="537"/>
      <c r="PWV135" s="537"/>
      <c r="PWW135" s="537"/>
      <c r="PWX135" s="537"/>
      <c r="PWY135" s="537"/>
      <c r="PWZ135" s="537"/>
      <c r="PXA135" s="537"/>
      <c r="PXB135" s="537"/>
      <c r="PXC135" s="537"/>
      <c r="PXD135" s="537"/>
      <c r="PXE135" s="537"/>
      <c r="PXF135" s="537"/>
      <c r="PXG135" s="537"/>
      <c r="PXH135" s="537"/>
      <c r="PXI135" s="537"/>
      <c r="PXJ135" s="537"/>
      <c r="PXK135" s="537"/>
      <c r="PXL135" s="537"/>
      <c r="PXM135" s="537"/>
      <c r="PXN135" s="537"/>
      <c r="PXO135" s="537"/>
      <c r="PXP135" s="537"/>
      <c r="PXQ135" s="537"/>
      <c r="PXR135" s="537"/>
      <c r="PXS135" s="537"/>
      <c r="PXT135" s="537"/>
      <c r="PXU135" s="537"/>
      <c r="PXV135" s="537"/>
      <c r="PXW135" s="537"/>
      <c r="PXX135" s="537"/>
      <c r="PXY135" s="537"/>
      <c r="PXZ135" s="537"/>
      <c r="PYA135" s="537"/>
      <c r="PYB135" s="537"/>
      <c r="PYC135" s="537"/>
      <c r="PYD135" s="537"/>
      <c r="PYE135" s="537"/>
      <c r="PYF135" s="537"/>
      <c r="PYG135" s="537"/>
      <c r="PYH135" s="537"/>
      <c r="PYI135" s="537"/>
      <c r="PYJ135" s="537"/>
      <c r="PYK135" s="537"/>
      <c r="PYL135" s="537"/>
      <c r="PYM135" s="537"/>
      <c r="PYN135" s="537"/>
      <c r="PYO135" s="537"/>
      <c r="PYP135" s="537"/>
      <c r="PYQ135" s="537"/>
      <c r="PYR135" s="537"/>
      <c r="PYS135" s="537"/>
      <c r="PYT135" s="537"/>
      <c r="PYU135" s="537"/>
      <c r="PYV135" s="537"/>
      <c r="PYW135" s="537"/>
      <c r="PYX135" s="537"/>
      <c r="PYY135" s="537"/>
      <c r="PYZ135" s="537"/>
      <c r="PZA135" s="537"/>
      <c r="PZB135" s="537"/>
      <c r="PZC135" s="537"/>
      <c r="PZD135" s="537"/>
      <c r="PZE135" s="537"/>
      <c r="PZF135" s="537"/>
      <c r="PZG135" s="537"/>
      <c r="PZH135" s="537"/>
      <c r="PZI135" s="537"/>
      <c r="PZJ135" s="537"/>
      <c r="PZK135" s="537"/>
      <c r="PZL135" s="537"/>
      <c r="PZM135" s="537"/>
      <c r="PZN135" s="537"/>
      <c r="PZO135" s="537"/>
      <c r="PZP135" s="537"/>
      <c r="PZQ135" s="537"/>
      <c r="PZR135" s="537"/>
      <c r="PZS135" s="537"/>
      <c r="PZT135" s="537"/>
      <c r="PZU135" s="537"/>
      <c r="PZV135" s="537"/>
      <c r="PZW135" s="537"/>
      <c r="PZX135" s="537"/>
      <c r="PZY135" s="537"/>
      <c r="PZZ135" s="537"/>
      <c r="QAA135" s="537"/>
      <c r="QAB135" s="537"/>
      <c r="QAC135" s="537"/>
      <c r="QAD135" s="537"/>
      <c r="QAE135" s="537"/>
      <c r="QAF135" s="537"/>
      <c r="QAG135" s="537"/>
      <c r="QAH135" s="537"/>
      <c r="QAI135" s="537"/>
      <c r="QAJ135" s="537"/>
      <c r="QAK135" s="537"/>
      <c r="QAL135" s="537"/>
      <c r="QAM135" s="537"/>
      <c r="QAN135" s="537"/>
      <c r="QAO135" s="537"/>
      <c r="QAP135" s="537"/>
      <c r="QAQ135" s="537"/>
      <c r="QAR135" s="537"/>
      <c r="QAS135" s="537"/>
      <c r="QAT135" s="537"/>
      <c r="QAU135" s="537"/>
      <c r="QAV135" s="537"/>
      <c r="QAW135" s="537"/>
      <c r="QAX135" s="537"/>
      <c r="QAY135" s="537"/>
      <c r="QAZ135" s="537"/>
      <c r="QBA135" s="537"/>
      <c r="QBB135" s="537"/>
      <c r="QBC135" s="537"/>
      <c r="QBD135" s="537"/>
      <c r="QBE135" s="537"/>
      <c r="QBF135" s="537"/>
      <c r="QBG135" s="537"/>
      <c r="QBH135" s="537"/>
      <c r="QBI135" s="537"/>
      <c r="QBJ135" s="537"/>
      <c r="QBK135" s="537"/>
      <c r="QBL135" s="537"/>
      <c r="QBM135" s="537"/>
      <c r="QBN135" s="537"/>
      <c r="QBO135" s="537"/>
      <c r="QBP135" s="537"/>
      <c r="QBQ135" s="537"/>
      <c r="QBR135" s="537"/>
      <c r="QBS135" s="537"/>
      <c r="QBT135" s="537"/>
      <c r="QBU135" s="537"/>
      <c r="QBV135" s="537"/>
      <c r="QBW135" s="537"/>
      <c r="QBX135" s="537"/>
      <c r="QBY135" s="537"/>
      <c r="QBZ135" s="537"/>
      <c r="QCA135" s="537"/>
      <c r="QCB135" s="537"/>
      <c r="QCC135" s="537"/>
      <c r="QCD135" s="537"/>
      <c r="QCE135" s="537"/>
      <c r="QCF135" s="537"/>
      <c r="QCG135" s="537"/>
      <c r="QCH135" s="537"/>
      <c r="QCI135" s="537"/>
      <c r="QCJ135" s="537"/>
      <c r="QCK135" s="537"/>
      <c r="QCL135" s="537"/>
      <c r="QCM135" s="537"/>
      <c r="QCN135" s="537"/>
      <c r="QCO135" s="537"/>
      <c r="QCP135" s="537"/>
      <c r="QCQ135" s="537"/>
      <c r="QCR135" s="537"/>
      <c r="QCS135" s="537"/>
      <c r="QCT135" s="537"/>
      <c r="QCU135" s="537"/>
      <c r="QCV135" s="537"/>
      <c r="QCW135" s="537"/>
      <c r="QCX135" s="537"/>
      <c r="QCY135" s="537"/>
      <c r="QCZ135" s="537"/>
      <c r="QDA135" s="537"/>
      <c r="QDB135" s="537"/>
      <c r="QDC135" s="537"/>
      <c r="QDD135" s="537"/>
      <c r="QDE135" s="537"/>
      <c r="QDF135" s="537"/>
      <c r="QDG135" s="537"/>
      <c r="QDH135" s="537"/>
      <c r="QDI135" s="537"/>
      <c r="QDJ135" s="537"/>
      <c r="QDK135" s="537"/>
      <c r="QDL135" s="537"/>
      <c r="QDM135" s="537"/>
      <c r="QDN135" s="537"/>
      <c r="QDO135" s="537"/>
      <c r="QDP135" s="537"/>
      <c r="QDQ135" s="537"/>
      <c r="QDR135" s="537"/>
      <c r="QDS135" s="537"/>
      <c r="QDT135" s="537"/>
      <c r="QDU135" s="537"/>
      <c r="QDV135" s="537"/>
      <c r="QDW135" s="537"/>
      <c r="QDX135" s="537"/>
      <c r="QDY135" s="537"/>
      <c r="QDZ135" s="537"/>
      <c r="QEA135" s="537"/>
      <c r="QEB135" s="537"/>
      <c r="QEC135" s="537"/>
      <c r="QED135" s="537"/>
      <c r="QEE135" s="537"/>
      <c r="QEF135" s="537"/>
      <c r="QEG135" s="537"/>
      <c r="QEH135" s="537"/>
      <c r="QEI135" s="537"/>
      <c r="QEJ135" s="537"/>
      <c r="QEK135" s="537"/>
      <c r="QEL135" s="537"/>
      <c r="QEM135" s="537"/>
      <c r="QEN135" s="537"/>
      <c r="QEO135" s="537"/>
      <c r="QEP135" s="537"/>
      <c r="QEQ135" s="537"/>
      <c r="QER135" s="537"/>
      <c r="QES135" s="537"/>
      <c r="QET135" s="537"/>
      <c r="QEU135" s="537"/>
      <c r="QEV135" s="537"/>
      <c r="QEW135" s="537"/>
      <c r="QEX135" s="537"/>
      <c r="QEY135" s="537"/>
      <c r="QEZ135" s="537"/>
      <c r="QFA135" s="537"/>
      <c r="QFB135" s="537"/>
      <c r="QFC135" s="537"/>
      <c r="QFD135" s="537"/>
      <c r="QFE135" s="537"/>
      <c r="QFF135" s="537"/>
      <c r="QFG135" s="537"/>
      <c r="QFH135" s="537"/>
      <c r="QFI135" s="537"/>
      <c r="QFJ135" s="537"/>
      <c r="QFK135" s="537"/>
      <c r="QFL135" s="537"/>
      <c r="QFM135" s="537"/>
      <c r="QFN135" s="537"/>
      <c r="QFO135" s="537"/>
      <c r="QFP135" s="537"/>
      <c r="QFQ135" s="537"/>
      <c r="QFR135" s="537"/>
      <c r="QFS135" s="537"/>
      <c r="QFT135" s="537"/>
      <c r="QFU135" s="537"/>
      <c r="QFV135" s="537"/>
      <c r="QFW135" s="537"/>
      <c r="QFX135" s="537"/>
      <c r="QFY135" s="537"/>
      <c r="QFZ135" s="537"/>
      <c r="QGA135" s="537"/>
      <c r="QGB135" s="537"/>
      <c r="QGC135" s="537"/>
      <c r="QGD135" s="537"/>
      <c r="QGE135" s="537"/>
      <c r="QGF135" s="537"/>
      <c r="QGG135" s="537"/>
      <c r="QGH135" s="537"/>
      <c r="QGI135" s="537"/>
      <c r="QGJ135" s="537"/>
      <c r="QGK135" s="537"/>
      <c r="QGL135" s="537"/>
      <c r="QGM135" s="537"/>
      <c r="QGN135" s="537"/>
      <c r="QGO135" s="537"/>
      <c r="QGP135" s="537"/>
      <c r="QGQ135" s="537"/>
      <c r="QGR135" s="537"/>
      <c r="QGS135" s="537"/>
      <c r="QGT135" s="537"/>
      <c r="QGU135" s="537"/>
      <c r="QGV135" s="537"/>
      <c r="QGW135" s="537"/>
      <c r="QGX135" s="537"/>
      <c r="QGY135" s="537"/>
      <c r="QGZ135" s="537"/>
      <c r="QHA135" s="537"/>
      <c r="QHB135" s="537"/>
      <c r="QHC135" s="537"/>
      <c r="QHD135" s="537"/>
      <c r="QHE135" s="537"/>
      <c r="QHF135" s="537"/>
      <c r="QHG135" s="537"/>
      <c r="QHH135" s="537"/>
      <c r="QHI135" s="537"/>
      <c r="QHJ135" s="537"/>
      <c r="QHK135" s="537"/>
      <c r="QHL135" s="537"/>
      <c r="QHM135" s="537"/>
      <c r="QHN135" s="537"/>
      <c r="QHO135" s="537"/>
      <c r="QHP135" s="537"/>
      <c r="QHQ135" s="537"/>
      <c r="QHR135" s="537"/>
      <c r="QHS135" s="537"/>
      <c r="QHT135" s="537"/>
      <c r="QHU135" s="537"/>
      <c r="QHV135" s="537"/>
      <c r="QHW135" s="537"/>
      <c r="QHX135" s="537"/>
      <c r="QHY135" s="537"/>
      <c r="QHZ135" s="537"/>
      <c r="QIA135" s="537"/>
      <c r="QIB135" s="537"/>
      <c r="QIC135" s="537"/>
      <c r="QID135" s="537"/>
      <c r="QIE135" s="537"/>
      <c r="QIF135" s="537"/>
      <c r="QIG135" s="537"/>
      <c r="QIH135" s="537"/>
      <c r="QII135" s="537"/>
      <c r="QIJ135" s="537"/>
      <c r="QIK135" s="537"/>
      <c r="QIL135" s="537"/>
      <c r="QIM135" s="537"/>
      <c r="QIN135" s="537"/>
      <c r="QIO135" s="537"/>
      <c r="QIP135" s="537"/>
      <c r="QIQ135" s="537"/>
      <c r="QIR135" s="537"/>
      <c r="QIS135" s="537"/>
      <c r="QIT135" s="537"/>
      <c r="QIU135" s="537"/>
      <c r="QIV135" s="537"/>
      <c r="QIW135" s="537"/>
      <c r="QIX135" s="537"/>
      <c r="QIY135" s="537"/>
      <c r="QIZ135" s="537"/>
      <c r="QJA135" s="537"/>
      <c r="QJB135" s="537"/>
      <c r="QJC135" s="537"/>
      <c r="QJD135" s="537"/>
      <c r="QJE135" s="537"/>
      <c r="QJF135" s="537"/>
      <c r="QJG135" s="537"/>
      <c r="QJH135" s="537"/>
      <c r="QJI135" s="537"/>
      <c r="QJJ135" s="537"/>
      <c r="QJK135" s="537"/>
      <c r="QJL135" s="537"/>
      <c r="QJM135" s="537"/>
      <c r="QJN135" s="537"/>
      <c r="QJO135" s="537"/>
      <c r="QJP135" s="537"/>
      <c r="QJQ135" s="537"/>
      <c r="QJR135" s="537"/>
      <c r="QJS135" s="537"/>
      <c r="QJT135" s="537"/>
      <c r="QJU135" s="537"/>
      <c r="QJV135" s="537"/>
      <c r="QJW135" s="537"/>
      <c r="QJX135" s="537"/>
      <c r="QJY135" s="537"/>
      <c r="QJZ135" s="537"/>
      <c r="QKA135" s="537"/>
      <c r="QKB135" s="537"/>
      <c r="QKC135" s="537"/>
      <c r="QKD135" s="537"/>
      <c r="QKE135" s="537"/>
      <c r="QKF135" s="537"/>
      <c r="QKG135" s="537"/>
      <c r="QKH135" s="537"/>
      <c r="QKI135" s="537"/>
      <c r="QKJ135" s="537"/>
      <c r="QKK135" s="537"/>
      <c r="QKL135" s="537"/>
      <c r="QKM135" s="537"/>
      <c r="QKN135" s="537"/>
      <c r="QKO135" s="537"/>
      <c r="QKP135" s="537"/>
      <c r="QKQ135" s="537"/>
      <c r="QKR135" s="537"/>
      <c r="QKS135" s="537"/>
      <c r="QKT135" s="537"/>
      <c r="QKU135" s="537"/>
      <c r="QKV135" s="537"/>
      <c r="QKW135" s="537"/>
      <c r="QKX135" s="537"/>
      <c r="QKY135" s="537"/>
      <c r="QKZ135" s="537"/>
      <c r="QLA135" s="537"/>
      <c r="QLB135" s="537"/>
      <c r="QLC135" s="537"/>
      <c r="QLD135" s="537"/>
      <c r="QLE135" s="537"/>
      <c r="QLF135" s="537"/>
      <c r="QLG135" s="537"/>
      <c r="QLH135" s="537"/>
      <c r="QLI135" s="537"/>
      <c r="QLJ135" s="537"/>
      <c r="QLK135" s="537"/>
      <c r="QLL135" s="537"/>
      <c r="QLM135" s="537"/>
      <c r="QLN135" s="537"/>
      <c r="QLO135" s="537"/>
      <c r="QLP135" s="537"/>
      <c r="QLQ135" s="537"/>
      <c r="QLR135" s="537"/>
      <c r="QLS135" s="537"/>
      <c r="QLT135" s="537"/>
      <c r="QLU135" s="537"/>
      <c r="QLV135" s="537"/>
      <c r="QLW135" s="537"/>
      <c r="QLX135" s="537"/>
      <c r="QLY135" s="537"/>
      <c r="QLZ135" s="537"/>
      <c r="QMA135" s="537"/>
      <c r="QMB135" s="537"/>
      <c r="QMC135" s="537"/>
      <c r="QMD135" s="537"/>
      <c r="QME135" s="537"/>
      <c r="QMF135" s="537"/>
      <c r="QMG135" s="537"/>
      <c r="QMH135" s="537"/>
      <c r="QMI135" s="537"/>
      <c r="QMJ135" s="537"/>
      <c r="QMK135" s="537"/>
      <c r="QML135" s="537"/>
      <c r="QMM135" s="537"/>
      <c r="QMN135" s="537"/>
      <c r="QMO135" s="537"/>
      <c r="QMP135" s="537"/>
      <c r="QMQ135" s="537"/>
      <c r="QMR135" s="537"/>
      <c r="QMS135" s="537"/>
      <c r="QMT135" s="537"/>
      <c r="QMU135" s="537"/>
      <c r="QMV135" s="537"/>
      <c r="QMW135" s="537"/>
      <c r="QMX135" s="537"/>
      <c r="QMY135" s="537"/>
      <c r="QMZ135" s="537"/>
      <c r="QNA135" s="537"/>
      <c r="QNB135" s="537"/>
      <c r="QNC135" s="537"/>
      <c r="QND135" s="537"/>
      <c r="QNE135" s="537"/>
      <c r="QNF135" s="537"/>
      <c r="QNG135" s="537"/>
      <c r="QNH135" s="537"/>
      <c r="QNI135" s="537"/>
      <c r="QNJ135" s="537"/>
      <c r="QNK135" s="537"/>
      <c r="QNL135" s="537"/>
      <c r="QNM135" s="537"/>
      <c r="QNN135" s="537"/>
      <c r="QNO135" s="537"/>
      <c r="QNP135" s="537"/>
      <c r="QNQ135" s="537"/>
      <c r="QNR135" s="537"/>
      <c r="QNS135" s="537"/>
      <c r="QNT135" s="537"/>
      <c r="QNU135" s="537"/>
      <c r="QNV135" s="537"/>
      <c r="QNW135" s="537"/>
      <c r="QNX135" s="537"/>
      <c r="QNY135" s="537"/>
      <c r="QNZ135" s="537"/>
      <c r="QOA135" s="537"/>
      <c r="QOB135" s="537"/>
      <c r="QOC135" s="537"/>
      <c r="QOD135" s="537"/>
      <c r="QOE135" s="537"/>
      <c r="QOF135" s="537"/>
      <c r="QOG135" s="537"/>
      <c r="QOH135" s="537"/>
      <c r="QOI135" s="537"/>
      <c r="QOJ135" s="537"/>
      <c r="QOK135" s="537"/>
      <c r="QOL135" s="537"/>
      <c r="QOM135" s="537"/>
      <c r="QON135" s="537"/>
      <c r="QOO135" s="537"/>
      <c r="QOP135" s="537"/>
      <c r="QOQ135" s="537"/>
      <c r="QOR135" s="537"/>
      <c r="QOS135" s="537"/>
      <c r="QOT135" s="537"/>
      <c r="QOU135" s="537"/>
      <c r="QOV135" s="537"/>
      <c r="QOW135" s="537"/>
      <c r="QOX135" s="537"/>
      <c r="QOY135" s="537"/>
      <c r="QOZ135" s="537"/>
      <c r="QPA135" s="537"/>
      <c r="QPB135" s="537"/>
      <c r="QPC135" s="537"/>
      <c r="QPD135" s="537"/>
      <c r="QPE135" s="537"/>
      <c r="QPF135" s="537"/>
      <c r="QPG135" s="537"/>
      <c r="QPH135" s="537"/>
      <c r="QPI135" s="537"/>
      <c r="QPJ135" s="537"/>
      <c r="QPK135" s="537"/>
      <c r="QPL135" s="537"/>
      <c r="QPM135" s="537"/>
      <c r="QPN135" s="537"/>
      <c r="QPO135" s="537"/>
      <c r="QPP135" s="537"/>
      <c r="QPQ135" s="537"/>
      <c r="QPR135" s="537"/>
      <c r="QPS135" s="537"/>
      <c r="QPT135" s="537"/>
      <c r="QPU135" s="537"/>
      <c r="QPV135" s="537"/>
      <c r="QPW135" s="537"/>
      <c r="QPX135" s="537"/>
      <c r="QPY135" s="537"/>
      <c r="QPZ135" s="537"/>
      <c r="QQA135" s="537"/>
      <c r="QQB135" s="537"/>
      <c r="QQC135" s="537"/>
      <c r="QQD135" s="537"/>
      <c r="QQE135" s="537"/>
      <c r="QQF135" s="537"/>
      <c r="QQG135" s="537"/>
      <c r="QQH135" s="537"/>
      <c r="QQI135" s="537"/>
      <c r="QQJ135" s="537"/>
      <c r="QQK135" s="537"/>
      <c r="QQL135" s="537"/>
      <c r="QQM135" s="537"/>
      <c r="QQN135" s="537"/>
      <c r="QQO135" s="537"/>
      <c r="QQP135" s="537"/>
      <c r="QQQ135" s="537"/>
      <c r="QQR135" s="537"/>
      <c r="QQS135" s="537"/>
      <c r="QQT135" s="537"/>
      <c r="QQU135" s="537"/>
      <c r="QQV135" s="537"/>
      <c r="QQW135" s="537"/>
      <c r="QQX135" s="537"/>
      <c r="QQY135" s="537"/>
      <c r="QQZ135" s="537"/>
      <c r="QRA135" s="537"/>
      <c r="QRB135" s="537"/>
      <c r="QRC135" s="537"/>
      <c r="QRD135" s="537"/>
      <c r="QRE135" s="537"/>
      <c r="QRF135" s="537"/>
      <c r="QRG135" s="537"/>
      <c r="QRH135" s="537"/>
      <c r="QRI135" s="537"/>
      <c r="QRJ135" s="537"/>
      <c r="QRK135" s="537"/>
      <c r="QRL135" s="537"/>
      <c r="QRM135" s="537"/>
      <c r="QRN135" s="537"/>
      <c r="QRO135" s="537"/>
      <c r="QRP135" s="537"/>
      <c r="QRQ135" s="537"/>
      <c r="QRR135" s="537"/>
      <c r="QRS135" s="537"/>
      <c r="QRT135" s="537"/>
      <c r="QRU135" s="537"/>
      <c r="QRV135" s="537"/>
      <c r="QRW135" s="537"/>
      <c r="QRX135" s="537"/>
      <c r="QRY135" s="537"/>
      <c r="QRZ135" s="537"/>
      <c r="QSA135" s="537"/>
      <c r="QSB135" s="537"/>
      <c r="QSC135" s="537"/>
      <c r="QSD135" s="537"/>
      <c r="QSE135" s="537"/>
      <c r="QSF135" s="537"/>
      <c r="QSG135" s="537"/>
      <c r="QSH135" s="537"/>
      <c r="QSI135" s="537"/>
      <c r="QSJ135" s="537"/>
      <c r="QSK135" s="537"/>
      <c r="QSL135" s="537"/>
      <c r="QSM135" s="537"/>
      <c r="QSN135" s="537"/>
      <c r="QSO135" s="537"/>
      <c r="QSP135" s="537"/>
      <c r="QSQ135" s="537"/>
      <c r="QSR135" s="537"/>
      <c r="QSS135" s="537"/>
      <c r="QST135" s="537"/>
      <c r="QSU135" s="537"/>
      <c r="QSV135" s="537"/>
      <c r="QSW135" s="537"/>
      <c r="QSX135" s="537"/>
      <c r="QSY135" s="537"/>
      <c r="QSZ135" s="537"/>
      <c r="QTA135" s="537"/>
      <c r="QTB135" s="537"/>
      <c r="QTC135" s="537"/>
      <c r="QTD135" s="537"/>
      <c r="QTE135" s="537"/>
      <c r="QTF135" s="537"/>
      <c r="QTG135" s="537"/>
      <c r="QTH135" s="537"/>
      <c r="QTI135" s="537"/>
      <c r="QTJ135" s="537"/>
      <c r="QTK135" s="537"/>
      <c r="QTL135" s="537"/>
      <c r="QTM135" s="537"/>
      <c r="QTN135" s="537"/>
      <c r="QTO135" s="537"/>
      <c r="QTP135" s="537"/>
      <c r="QTQ135" s="537"/>
      <c r="QTR135" s="537"/>
      <c r="QTS135" s="537"/>
      <c r="QTT135" s="537"/>
      <c r="QTU135" s="537"/>
      <c r="QTV135" s="537"/>
      <c r="QTW135" s="537"/>
      <c r="QTX135" s="537"/>
      <c r="QTY135" s="537"/>
      <c r="QTZ135" s="537"/>
      <c r="QUA135" s="537"/>
      <c r="QUB135" s="537"/>
      <c r="QUC135" s="537"/>
      <c r="QUD135" s="537"/>
      <c r="QUE135" s="537"/>
      <c r="QUF135" s="537"/>
      <c r="QUG135" s="537"/>
      <c r="QUH135" s="537"/>
      <c r="QUI135" s="537"/>
      <c r="QUJ135" s="537"/>
      <c r="QUK135" s="537"/>
      <c r="QUL135" s="537"/>
      <c r="QUM135" s="537"/>
      <c r="QUN135" s="537"/>
      <c r="QUO135" s="537"/>
      <c r="QUP135" s="537"/>
      <c r="QUQ135" s="537"/>
      <c r="QUR135" s="537"/>
      <c r="QUS135" s="537"/>
      <c r="QUT135" s="537"/>
      <c r="QUU135" s="537"/>
      <c r="QUV135" s="537"/>
      <c r="QUW135" s="537"/>
      <c r="QUX135" s="537"/>
      <c r="QUY135" s="537"/>
      <c r="QUZ135" s="537"/>
      <c r="QVA135" s="537"/>
      <c r="QVB135" s="537"/>
      <c r="QVC135" s="537"/>
      <c r="QVD135" s="537"/>
      <c r="QVE135" s="537"/>
      <c r="QVF135" s="537"/>
      <c r="QVG135" s="537"/>
      <c r="QVH135" s="537"/>
      <c r="QVI135" s="537"/>
      <c r="QVJ135" s="537"/>
      <c r="QVK135" s="537"/>
      <c r="QVL135" s="537"/>
      <c r="QVM135" s="537"/>
      <c r="QVN135" s="537"/>
      <c r="QVO135" s="537"/>
      <c r="QVP135" s="537"/>
      <c r="QVQ135" s="537"/>
      <c r="QVR135" s="537"/>
      <c r="QVS135" s="537"/>
      <c r="QVT135" s="537"/>
      <c r="QVU135" s="537"/>
      <c r="QVV135" s="537"/>
      <c r="QVW135" s="537"/>
      <c r="QVX135" s="537"/>
      <c r="QVY135" s="537"/>
      <c r="QVZ135" s="537"/>
      <c r="QWA135" s="537"/>
      <c r="QWB135" s="537"/>
      <c r="QWC135" s="537"/>
      <c r="QWD135" s="537"/>
      <c r="QWE135" s="537"/>
      <c r="QWF135" s="537"/>
      <c r="QWG135" s="537"/>
      <c r="QWH135" s="537"/>
      <c r="QWI135" s="537"/>
      <c r="QWJ135" s="537"/>
      <c r="QWK135" s="537"/>
      <c r="QWL135" s="537"/>
      <c r="QWM135" s="537"/>
      <c r="QWN135" s="537"/>
      <c r="QWO135" s="537"/>
      <c r="QWP135" s="537"/>
      <c r="QWQ135" s="537"/>
      <c r="QWR135" s="537"/>
      <c r="QWS135" s="537"/>
      <c r="QWT135" s="537"/>
      <c r="QWU135" s="537"/>
      <c r="QWV135" s="537"/>
      <c r="QWW135" s="537"/>
      <c r="QWX135" s="537"/>
      <c r="QWY135" s="537"/>
      <c r="QWZ135" s="537"/>
      <c r="QXA135" s="537"/>
      <c r="QXB135" s="537"/>
      <c r="QXC135" s="537"/>
      <c r="QXD135" s="537"/>
      <c r="QXE135" s="537"/>
      <c r="QXF135" s="537"/>
      <c r="QXG135" s="537"/>
      <c r="QXH135" s="537"/>
      <c r="QXI135" s="537"/>
      <c r="QXJ135" s="537"/>
      <c r="QXK135" s="537"/>
      <c r="QXL135" s="537"/>
      <c r="QXM135" s="537"/>
      <c r="QXN135" s="537"/>
      <c r="QXO135" s="537"/>
      <c r="QXP135" s="537"/>
      <c r="QXQ135" s="537"/>
      <c r="QXR135" s="537"/>
      <c r="QXS135" s="537"/>
      <c r="QXT135" s="537"/>
      <c r="QXU135" s="537"/>
      <c r="QXV135" s="537"/>
      <c r="QXW135" s="537"/>
      <c r="QXX135" s="537"/>
      <c r="QXY135" s="537"/>
      <c r="QXZ135" s="537"/>
      <c r="QYA135" s="537"/>
      <c r="QYB135" s="537"/>
      <c r="QYC135" s="537"/>
      <c r="QYD135" s="537"/>
      <c r="QYE135" s="537"/>
      <c r="QYF135" s="537"/>
      <c r="QYG135" s="537"/>
      <c r="QYH135" s="537"/>
      <c r="QYI135" s="537"/>
      <c r="QYJ135" s="537"/>
      <c r="QYK135" s="537"/>
      <c r="QYL135" s="537"/>
      <c r="QYM135" s="537"/>
      <c r="QYN135" s="537"/>
      <c r="QYO135" s="537"/>
      <c r="QYP135" s="537"/>
      <c r="QYQ135" s="537"/>
      <c r="QYR135" s="537"/>
      <c r="QYS135" s="537"/>
      <c r="QYT135" s="537"/>
      <c r="QYU135" s="537"/>
      <c r="QYV135" s="537"/>
      <c r="QYW135" s="537"/>
      <c r="QYX135" s="537"/>
      <c r="QYY135" s="537"/>
      <c r="QYZ135" s="537"/>
      <c r="QZA135" s="537"/>
      <c r="QZB135" s="537"/>
      <c r="QZC135" s="537"/>
      <c r="QZD135" s="537"/>
      <c r="QZE135" s="537"/>
      <c r="QZF135" s="537"/>
      <c r="QZG135" s="537"/>
      <c r="QZH135" s="537"/>
      <c r="QZI135" s="537"/>
      <c r="QZJ135" s="537"/>
      <c r="QZK135" s="537"/>
      <c r="QZL135" s="537"/>
      <c r="QZM135" s="537"/>
      <c r="QZN135" s="537"/>
      <c r="QZO135" s="537"/>
      <c r="QZP135" s="537"/>
      <c r="QZQ135" s="537"/>
      <c r="QZR135" s="537"/>
      <c r="QZS135" s="537"/>
      <c r="QZT135" s="537"/>
      <c r="QZU135" s="537"/>
      <c r="QZV135" s="537"/>
      <c r="QZW135" s="537"/>
      <c r="QZX135" s="537"/>
      <c r="QZY135" s="537"/>
      <c r="QZZ135" s="537"/>
      <c r="RAA135" s="537"/>
      <c r="RAB135" s="537"/>
      <c r="RAC135" s="537"/>
      <c r="RAD135" s="537"/>
      <c r="RAE135" s="537"/>
      <c r="RAF135" s="537"/>
      <c r="RAG135" s="537"/>
      <c r="RAH135" s="537"/>
      <c r="RAI135" s="537"/>
      <c r="RAJ135" s="537"/>
      <c r="RAK135" s="537"/>
      <c r="RAL135" s="537"/>
      <c r="RAM135" s="537"/>
      <c r="RAN135" s="537"/>
      <c r="RAO135" s="537"/>
      <c r="RAP135" s="537"/>
      <c r="RAQ135" s="537"/>
      <c r="RAR135" s="537"/>
      <c r="RAS135" s="537"/>
      <c r="RAT135" s="537"/>
      <c r="RAU135" s="537"/>
      <c r="RAV135" s="537"/>
      <c r="RAW135" s="537"/>
      <c r="RAX135" s="537"/>
      <c r="RAY135" s="537"/>
      <c r="RAZ135" s="537"/>
      <c r="RBA135" s="537"/>
      <c r="RBB135" s="537"/>
      <c r="RBC135" s="537"/>
      <c r="RBD135" s="537"/>
      <c r="RBE135" s="537"/>
      <c r="RBF135" s="537"/>
      <c r="RBG135" s="537"/>
      <c r="RBH135" s="537"/>
      <c r="RBI135" s="537"/>
      <c r="RBJ135" s="537"/>
      <c r="RBK135" s="537"/>
      <c r="RBL135" s="537"/>
      <c r="RBM135" s="537"/>
      <c r="RBN135" s="537"/>
      <c r="RBO135" s="537"/>
      <c r="RBP135" s="537"/>
      <c r="RBQ135" s="537"/>
      <c r="RBR135" s="537"/>
      <c r="RBS135" s="537"/>
      <c r="RBT135" s="537"/>
      <c r="RBU135" s="537"/>
      <c r="RBV135" s="537"/>
      <c r="RBW135" s="537"/>
      <c r="RBX135" s="537"/>
      <c r="RBY135" s="537"/>
      <c r="RBZ135" s="537"/>
      <c r="RCA135" s="537"/>
      <c r="RCB135" s="537"/>
      <c r="RCC135" s="537"/>
      <c r="RCD135" s="537"/>
      <c r="RCE135" s="537"/>
      <c r="RCF135" s="537"/>
      <c r="RCG135" s="537"/>
      <c r="RCH135" s="537"/>
      <c r="RCI135" s="537"/>
      <c r="RCJ135" s="537"/>
      <c r="RCK135" s="537"/>
      <c r="RCL135" s="537"/>
      <c r="RCM135" s="537"/>
      <c r="RCN135" s="537"/>
      <c r="RCO135" s="537"/>
      <c r="RCP135" s="537"/>
      <c r="RCQ135" s="537"/>
      <c r="RCR135" s="537"/>
      <c r="RCS135" s="537"/>
      <c r="RCT135" s="537"/>
      <c r="RCU135" s="537"/>
      <c r="RCV135" s="537"/>
      <c r="RCW135" s="537"/>
      <c r="RCX135" s="537"/>
      <c r="RCY135" s="537"/>
      <c r="RCZ135" s="537"/>
      <c r="RDA135" s="537"/>
      <c r="RDB135" s="537"/>
      <c r="RDC135" s="537"/>
      <c r="RDD135" s="537"/>
      <c r="RDE135" s="537"/>
      <c r="RDF135" s="537"/>
      <c r="RDG135" s="537"/>
      <c r="RDH135" s="537"/>
      <c r="RDI135" s="537"/>
      <c r="RDJ135" s="537"/>
      <c r="RDK135" s="537"/>
      <c r="RDL135" s="537"/>
      <c r="RDM135" s="537"/>
      <c r="RDN135" s="537"/>
      <c r="RDO135" s="537"/>
      <c r="RDP135" s="537"/>
      <c r="RDQ135" s="537"/>
      <c r="RDR135" s="537"/>
      <c r="RDS135" s="537"/>
      <c r="RDT135" s="537"/>
      <c r="RDU135" s="537"/>
      <c r="RDV135" s="537"/>
      <c r="RDW135" s="537"/>
      <c r="RDX135" s="537"/>
      <c r="RDY135" s="537"/>
      <c r="RDZ135" s="537"/>
      <c r="REA135" s="537"/>
      <c r="REB135" s="537"/>
      <c r="REC135" s="537"/>
      <c r="RED135" s="537"/>
      <c r="REE135" s="537"/>
      <c r="REF135" s="537"/>
      <c r="REG135" s="537"/>
      <c r="REH135" s="537"/>
      <c r="REI135" s="537"/>
      <c r="REJ135" s="537"/>
      <c r="REK135" s="537"/>
      <c r="REL135" s="537"/>
      <c r="REM135" s="537"/>
      <c r="REN135" s="537"/>
      <c r="REO135" s="537"/>
      <c r="REP135" s="537"/>
      <c r="REQ135" s="537"/>
      <c r="RER135" s="537"/>
      <c r="RES135" s="537"/>
      <c r="RET135" s="537"/>
      <c r="REU135" s="537"/>
      <c r="REV135" s="537"/>
      <c r="REW135" s="537"/>
      <c r="REX135" s="537"/>
      <c r="REY135" s="537"/>
      <c r="REZ135" s="537"/>
      <c r="RFA135" s="537"/>
      <c r="RFB135" s="537"/>
      <c r="RFC135" s="537"/>
      <c r="RFD135" s="537"/>
      <c r="RFE135" s="537"/>
      <c r="RFF135" s="537"/>
      <c r="RFG135" s="537"/>
      <c r="RFH135" s="537"/>
      <c r="RFI135" s="537"/>
      <c r="RFJ135" s="537"/>
      <c r="RFK135" s="537"/>
      <c r="RFL135" s="537"/>
      <c r="RFM135" s="537"/>
      <c r="RFN135" s="537"/>
      <c r="RFO135" s="537"/>
      <c r="RFP135" s="537"/>
      <c r="RFQ135" s="537"/>
      <c r="RFR135" s="537"/>
      <c r="RFS135" s="537"/>
      <c r="RFT135" s="537"/>
      <c r="RFU135" s="537"/>
      <c r="RFV135" s="537"/>
      <c r="RFW135" s="537"/>
      <c r="RFX135" s="537"/>
      <c r="RFY135" s="537"/>
      <c r="RFZ135" s="537"/>
      <c r="RGA135" s="537"/>
      <c r="RGB135" s="537"/>
      <c r="RGC135" s="537"/>
      <c r="RGD135" s="537"/>
      <c r="RGE135" s="537"/>
      <c r="RGF135" s="537"/>
      <c r="RGG135" s="537"/>
      <c r="RGH135" s="537"/>
      <c r="RGI135" s="537"/>
      <c r="RGJ135" s="537"/>
      <c r="RGK135" s="537"/>
      <c r="RGL135" s="537"/>
      <c r="RGM135" s="537"/>
      <c r="RGN135" s="537"/>
      <c r="RGO135" s="537"/>
      <c r="RGP135" s="537"/>
      <c r="RGQ135" s="537"/>
      <c r="RGR135" s="537"/>
      <c r="RGS135" s="537"/>
      <c r="RGT135" s="537"/>
      <c r="RGU135" s="537"/>
      <c r="RGV135" s="537"/>
      <c r="RGW135" s="537"/>
      <c r="RGX135" s="537"/>
      <c r="RGY135" s="537"/>
      <c r="RGZ135" s="537"/>
      <c r="RHA135" s="537"/>
      <c r="RHB135" s="537"/>
      <c r="RHC135" s="537"/>
      <c r="RHD135" s="537"/>
      <c r="RHE135" s="537"/>
      <c r="RHF135" s="537"/>
      <c r="RHG135" s="537"/>
      <c r="RHH135" s="537"/>
      <c r="RHI135" s="537"/>
      <c r="RHJ135" s="537"/>
      <c r="RHK135" s="537"/>
      <c r="RHL135" s="537"/>
      <c r="RHM135" s="537"/>
      <c r="RHN135" s="537"/>
      <c r="RHO135" s="537"/>
      <c r="RHP135" s="537"/>
      <c r="RHQ135" s="537"/>
      <c r="RHR135" s="537"/>
      <c r="RHS135" s="537"/>
      <c r="RHT135" s="537"/>
      <c r="RHU135" s="537"/>
      <c r="RHV135" s="537"/>
      <c r="RHW135" s="537"/>
      <c r="RHX135" s="537"/>
      <c r="RHY135" s="537"/>
      <c r="RHZ135" s="537"/>
      <c r="RIA135" s="537"/>
      <c r="RIB135" s="537"/>
      <c r="RIC135" s="537"/>
      <c r="RID135" s="537"/>
      <c r="RIE135" s="537"/>
      <c r="RIF135" s="537"/>
      <c r="RIG135" s="537"/>
      <c r="RIH135" s="537"/>
      <c r="RII135" s="537"/>
      <c r="RIJ135" s="537"/>
      <c r="RIK135" s="537"/>
      <c r="RIL135" s="537"/>
      <c r="RIM135" s="537"/>
      <c r="RIN135" s="537"/>
      <c r="RIO135" s="537"/>
      <c r="RIP135" s="537"/>
      <c r="RIQ135" s="537"/>
      <c r="RIR135" s="537"/>
      <c r="RIS135" s="537"/>
      <c r="RIT135" s="537"/>
      <c r="RIU135" s="537"/>
      <c r="RIV135" s="537"/>
      <c r="RIW135" s="537"/>
      <c r="RIX135" s="537"/>
      <c r="RIY135" s="537"/>
      <c r="RIZ135" s="537"/>
      <c r="RJA135" s="537"/>
      <c r="RJB135" s="537"/>
      <c r="RJC135" s="537"/>
      <c r="RJD135" s="537"/>
      <c r="RJE135" s="537"/>
      <c r="RJF135" s="537"/>
      <c r="RJG135" s="537"/>
      <c r="RJH135" s="537"/>
      <c r="RJI135" s="537"/>
      <c r="RJJ135" s="537"/>
      <c r="RJK135" s="537"/>
      <c r="RJL135" s="537"/>
      <c r="RJM135" s="537"/>
      <c r="RJN135" s="537"/>
      <c r="RJO135" s="537"/>
      <c r="RJP135" s="537"/>
      <c r="RJQ135" s="537"/>
      <c r="RJR135" s="537"/>
      <c r="RJS135" s="537"/>
      <c r="RJT135" s="537"/>
      <c r="RJU135" s="537"/>
      <c r="RJV135" s="537"/>
      <c r="RJW135" s="537"/>
      <c r="RJX135" s="537"/>
      <c r="RJY135" s="537"/>
      <c r="RJZ135" s="537"/>
      <c r="RKA135" s="537"/>
      <c r="RKB135" s="537"/>
      <c r="RKC135" s="537"/>
      <c r="RKD135" s="537"/>
      <c r="RKE135" s="537"/>
      <c r="RKF135" s="537"/>
      <c r="RKG135" s="537"/>
      <c r="RKH135" s="537"/>
      <c r="RKI135" s="537"/>
      <c r="RKJ135" s="537"/>
      <c r="RKK135" s="537"/>
      <c r="RKL135" s="537"/>
      <c r="RKM135" s="537"/>
      <c r="RKN135" s="537"/>
      <c r="RKO135" s="537"/>
      <c r="RKP135" s="537"/>
      <c r="RKQ135" s="537"/>
      <c r="RKR135" s="537"/>
      <c r="RKS135" s="537"/>
      <c r="RKT135" s="537"/>
      <c r="RKU135" s="537"/>
      <c r="RKV135" s="537"/>
      <c r="RKW135" s="537"/>
      <c r="RKX135" s="537"/>
      <c r="RKY135" s="537"/>
      <c r="RKZ135" s="537"/>
      <c r="RLA135" s="537"/>
      <c r="RLB135" s="537"/>
      <c r="RLC135" s="537"/>
      <c r="RLD135" s="537"/>
      <c r="RLE135" s="537"/>
      <c r="RLF135" s="537"/>
      <c r="RLG135" s="537"/>
      <c r="RLH135" s="537"/>
      <c r="RLI135" s="537"/>
      <c r="RLJ135" s="537"/>
      <c r="RLK135" s="537"/>
      <c r="RLL135" s="537"/>
      <c r="RLM135" s="537"/>
      <c r="RLN135" s="537"/>
      <c r="RLO135" s="537"/>
      <c r="RLP135" s="537"/>
      <c r="RLQ135" s="537"/>
      <c r="RLR135" s="537"/>
      <c r="RLS135" s="537"/>
      <c r="RLT135" s="537"/>
      <c r="RLU135" s="537"/>
      <c r="RLV135" s="537"/>
      <c r="RLW135" s="537"/>
      <c r="RLX135" s="537"/>
      <c r="RLY135" s="537"/>
      <c r="RLZ135" s="537"/>
      <c r="RMA135" s="537"/>
      <c r="RMB135" s="537"/>
      <c r="RMC135" s="537"/>
      <c r="RMD135" s="537"/>
      <c r="RME135" s="537"/>
      <c r="RMF135" s="537"/>
      <c r="RMG135" s="537"/>
      <c r="RMH135" s="537"/>
      <c r="RMI135" s="537"/>
      <c r="RMJ135" s="537"/>
      <c r="RMK135" s="537"/>
      <c r="RML135" s="537"/>
      <c r="RMM135" s="537"/>
      <c r="RMN135" s="537"/>
      <c r="RMO135" s="537"/>
      <c r="RMP135" s="537"/>
      <c r="RMQ135" s="537"/>
      <c r="RMR135" s="537"/>
      <c r="RMS135" s="537"/>
      <c r="RMT135" s="537"/>
      <c r="RMU135" s="537"/>
      <c r="RMV135" s="537"/>
      <c r="RMW135" s="537"/>
      <c r="RMX135" s="537"/>
      <c r="RMY135" s="537"/>
      <c r="RMZ135" s="537"/>
      <c r="RNA135" s="537"/>
      <c r="RNB135" s="537"/>
      <c r="RNC135" s="537"/>
      <c r="RND135" s="537"/>
      <c r="RNE135" s="537"/>
      <c r="RNF135" s="537"/>
      <c r="RNG135" s="537"/>
      <c r="RNH135" s="537"/>
      <c r="RNI135" s="537"/>
      <c r="RNJ135" s="537"/>
      <c r="RNK135" s="537"/>
      <c r="RNL135" s="537"/>
      <c r="RNM135" s="537"/>
      <c r="RNN135" s="537"/>
      <c r="RNO135" s="537"/>
      <c r="RNP135" s="537"/>
      <c r="RNQ135" s="537"/>
      <c r="RNR135" s="537"/>
      <c r="RNS135" s="537"/>
      <c r="RNT135" s="537"/>
      <c r="RNU135" s="537"/>
      <c r="RNV135" s="537"/>
      <c r="RNW135" s="537"/>
      <c r="RNX135" s="537"/>
      <c r="RNY135" s="537"/>
      <c r="RNZ135" s="537"/>
      <c r="ROA135" s="537"/>
      <c r="ROB135" s="537"/>
      <c r="ROC135" s="537"/>
      <c r="ROD135" s="537"/>
      <c r="ROE135" s="537"/>
      <c r="ROF135" s="537"/>
      <c r="ROG135" s="537"/>
      <c r="ROH135" s="537"/>
      <c r="ROI135" s="537"/>
      <c r="ROJ135" s="537"/>
      <c r="ROK135" s="537"/>
      <c r="ROL135" s="537"/>
      <c r="ROM135" s="537"/>
      <c r="RON135" s="537"/>
      <c r="ROO135" s="537"/>
      <c r="ROP135" s="537"/>
      <c r="ROQ135" s="537"/>
      <c r="ROR135" s="537"/>
      <c r="ROS135" s="537"/>
      <c r="ROT135" s="537"/>
      <c r="ROU135" s="537"/>
      <c r="ROV135" s="537"/>
      <c r="ROW135" s="537"/>
      <c r="ROX135" s="537"/>
      <c r="ROY135" s="537"/>
      <c r="ROZ135" s="537"/>
      <c r="RPA135" s="537"/>
      <c r="RPB135" s="537"/>
      <c r="RPC135" s="537"/>
      <c r="RPD135" s="537"/>
      <c r="RPE135" s="537"/>
      <c r="RPF135" s="537"/>
      <c r="RPG135" s="537"/>
      <c r="RPH135" s="537"/>
      <c r="RPI135" s="537"/>
      <c r="RPJ135" s="537"/>
      <c r="RPK135" s="537"/>
      <c r="RPL135" s="537"/>
      <c r="RPM135" s="537"/>
      <c r="RPN135" s="537"/>
      <c r="RPO135" s="537"/>
      <c r="RPP135" s="537"/>
      <c r="RPQ135" s="537"/>
      <c r="RPR135" s="537"/>
      <c r="RPS135" s="537"/>
      <c r="RPT135" s="537"/>
      <c r="RPU135" s="537"/>
      <c r="RPV135" s="537"/>
      <c r="RPW135" s="537"/>
      <c r="RPX135" s="537"/>
      <c r="RPY135" s="537"/>
      <c r="RPZ135" s="537"/>
      <c r="RQA135" s="537"/>
      <c r="RQB135" s="537"/>
      <c r="RQC135" s="537"/>
      <c r="RQD135" s="537"/>
      <c r="RQE135" s="537"/>
      <c r="RQF135" s="537"/>
      <c r="RQG135" s="537"/>
      <c r="RQH135" s="537"/>
      <c r="RQI135" s="537"/>
      <c r="RQJ135" s="537"/>
      <c r="RQK135" s="537"/>
      <c r="RQL135" s="537"/>
      <c r="RQM135" s="537"/>
      <c r="RQN135" s="537"/>
      <c r="RQO135" s="537"/>
      <c r="RQP135" s="537"/>
      <c r="RQQ135" s="537"/>
      <c r="RQR135" s="537"/>
      <c r="RQS135" s="537"/>
      <c r="RQT135" s="537"/>
      <c r="RQU135" s="537"/>
      <c r="RQV135" s="537"/>
      <c r="RQW135" s="537"/>
      <c r="RQX135" s="537"/>
      <c r="RQY135" s="537"/>
      <c r="RQZ135" s="537"/>
      <c r="RRA135" s="537"/>
      <c r="RRB135" s="537"/>
      <c r="RRC135" s="537"/>
      <c r="RRD135" s="537"/>
      <c r="RRE135" s="537"/>
      <c r="RRF135" s="537"/>
      <c r="RRG135" s="537"/>
      <c r="RRH135" s="537"/>
      <c r="RRI135" s="537"/>
      <c r="RRJ135" s="537"/>
      <c r="RRK135" s="537"/>
      <c r="RRL135" s="537"/>
      <c r="RRM135" s="537"/>
      <c r="RRN135" s="537"/>
      <c r="RRO135" s="537"/>
      <c r="RRP135" s="537"/>
      <c r="RRQ135" s="537"/>
      <c r="RRR135" s="537"/>
      <c r="RRS135" s="537"/>
      <c r="RRT135" s="537"/>
      <c r="RRU135" s="537"/>
      <c r="RRV135" s="537"/>
      <c r="RRW135" s="537"/>
      <c r="RRX135" s="537"/>
      <c r="RRY135" s="537"/>
      <c r="RRZ135" s="537"/>
      <c r="RSA135" s="537"/>
      <c r="RSB135" s="537"/>
      <c r="RSC135" s="537"/>
      <c r="RSD135" s="537"/>
      <c r="RSE135" s="537"/>
      <c r="RSF135" s="537"/>
      <c r="RSG135" s="537"/>
      <c r="RSH135" s="537"/>
      <c r="RSI135" s="537"/>
      <c r="RSJ135" s="537"/>
      <c r="RSK135" s="537"/>
      <c r="RSL135" s="537"/>
      <c r="RSM135" s="537"/>
      <c r="RSN135" s="537"/>
      <c r="RSO135" s="537"/>
      <c r="RSP135" s="537"/>
      <c r="RSQ135" s="537"/>
      <c r="RSR135" s="537"/>
      <c r="RSS135" s="537"/>
      <c r="RST135" s="537"/>
      <c r="RSU135" s="537"/>
      <c r="RSV135" s="537"/>
      <c r="RSW135" s="537"/>
      <c r="RSX135" s="537"/>
      <c r="RSY135" s="537"/>
      <c r="RSZ135" s="537"/>
      <c r="RTA135" s="537"/>
      <c r="RTB135" s="537"/>
      <c r="RTC135" s="537"/>
      <c r="RTD135" s="537"/>
      <c r="RTE135" s="537"/>
      <c r="RTF135" s="537"/>
      <c r="RTG135" s="537"/>
      <c r="RTH135" s="537"/>
      <c r="RTI135" s="537"/>
      <c r="RTJ135" s="537"/>
      <c r="RTK135" s="537"/>
      <c r="RTL135" s="537"/>
      <c r="RTM135" s="537"/>
      <c r="RTN135" s="537"/>
      <c r="RTO135" s="537"/>
      <c r="RTP135" s="537"/>
      <c r="RTQ135" s="537"/>
      <c r="RTR135" s="537"/>
      <c r="RTS135" s="537"/>
      <c r="RTT135" s="537"/>
      <c r="RTU135" s="537"/>
      <c r="RTV135" s="537"/>
      <c r="RTW135" s="537"/>
      <c r="RTX135" s="537"/>
      <c r="RTY135" s="537"/>
      <c r="RTZ135" s="537"/>
      <c r="RUA135" s="537"/>
      <c r="RUB135" s="537"/>
      <c r="RUC135" s="537"/>
      <c r="RUD135" s="537"/>
      <c r="RUE135" s="537"/>
      <c r="RUF135" s="537"/>
      <c r="RUG135" s="537"/>
      <c r="RUH135" s="537"/>
      <c r="RUI135" s="537"/>
      <c r="RUJ135" s="537"/>
      <c r="RUK135" s="537"/>
      <c r="RUL135" s="537"/>
      <c r="RUM135" s="537"/>
      <c r="RUN135" s="537"/>
      <c r="RUO135" s="537"/>
      <c r="RUP135" s="537"/>
      <c r="RUQ135" s="537"/>
      <c r="RUR135" s="537"/>
      <c r="RUS135" s="537"/>
      <c r="RUT135" s="537"/>
      <c r="RUU135" s="537"/>
      <c r="RUV135" s="537"/>
      <c r="RUW135" s="537"/>
      <c r="RUX135" s="537"/>
      <c r="RUY135" s="537"/>
      <c r="RUZ135" s="537"/>
      <c r="RVA135" s="537"/>
      <c r="RVB135" s="537"/>
      <c r="RVC135" s="537"/>
      <c r="RVD135" s="537"/>
      <c r="RVE135" s="537"/>
      <c r="RVF135" s="537"/>
      <c r="RVG135" s="537"/>
      <c r="RVH135" s="537"/>
      <c r="RVI135" s="537"/>
      <c r="RVJ135" s="537"/>
      <c r="RVK135" s="537"/>
      <c r="RVL135" s="537"/>
      <c r="RVM135" s="537"/>
      <c r="RVN135" s="537"/>
      <c r="RVO135" s="537"/>
      <c r="RVP135" s="537"/>
      <c r="RVQ135" s="537"/>
      <c r="RVR135" s="537"/>
      <c r="RVS135" s="537"/>
      <c r="RVT135" s="537"/>
      <c r="RVU135" s="537"/>
      <c r="RVV135" s="537"/>
      <c r="RVW135" s="537"/>
      <c r="RVX135" s="537"/>
      <c r="RVY135" s="537"/>
      <c r="RVZ135" s="537"/>
      <c r="RWA135" s="537"/>
      <c r="RWB135" s="537"/>
      <c r="RWC135" s="537"/>
      <c r="RWD135" s="537"/>
      <c r="RWE135" s="537"/>
      <c r="RWF135" s="537"/>
      <c r="RWG135" s="537"/>
      <c r="RWH135" s="537"/>
      <c r="RWI135" s="537"/>
      <c r="RWJ135" s="537"/>
      <c r="RWK135" s="537"/>
      <c r="RWL135" s="537"/>
      <c r="RWM135" s="537"/>
      <c r="RWN135" s="537"/>
      <c r="RWO135" s="537"/>
      <c r="RWP135" s="537"/>
      <c r="RWQ135" s="537"/>
      <c r="RWR135" s="537"/>
      <c r="RWS135" s="537"/>
      <c r="RWT135" s="537"/>
      <c r="RWU135" s="537"/>
      <c r="RWV135" s="537"/>
      <c r="RWW135" s="537"/>
      <c r="RWX135" s="537"/>
      <c r="RWY135" s="537"/>
      <c r="RWZ135" s="537"/>
      <c r="RXA135" s="537"/>
      <c r="RXB135" s="537"/>
      <c r="RXC135" s="537"/>
      <c r="RXD135" s="537"/>
      <c r="RXE135" s="537"/>
      <c r="RXF135" s="537"/>
      <c r="RXG135" s="537"/>
      <c r="RXH135" s="537"/>
      <c r="RXI135" s="537"/>
      <c r="RXJ135" s="537"/>
      <c r="RXK135" s="537"/>
      <c r="RXL135" s="537"/>
      <c r="RXM135" s="537"/>
      <c r="RXN135" s="537"/>
      <c r="RXO135" s="537"/>
      <c r="RXP135" s="537"/>
      <c r="RXQ135" s="537"/>
      <c r="RXR135" s="537"/>
      <c r="RXS135" s="537"/>
      <c r="RXT135" s="537"/>
      <c r="RXU135" s="537"/>
      <c r="RXV135" s="537"/>
      <c r="RXW135" s="537"/>
      <c r="RXX135" s="537"/>
      <c r="RXY135" s="537"/>
      <c r="RXZ135" s="537"/>
      <c r="RYA135" s="537"/>
      <c r="RYB135" s="537"/>
      <c r="RYC135" s="537"/>
      <c r="RYD135" s="537"/>
      <c r="RYE135" s="537"/>
      <c r="RYF135" s="537"/>
      <c r="RYG135" s="537"/>
      <c r="RYH135" s="537"/>
      <c r="RYI135" s="537"/>
      <c r="RYJ135" s="537"/>
      <c r="RYK135" s="537"/>
      <c r="RYL135" s="537"/>
      <c r="RYM135" s="537"/>
      <c r="RYN135" s="537"/>
      <c r="RYO135" s="537"/>
      <c r="RYP135" s="537"/>
      <c r="RYQ135" s="537"/>
      <c r="RYR135" s="537"/>
      <c r="RYS135" s="537"/>
      <c r="RYT135" s="537"/>
      <c r="RYU135" s="537"/>
      <c r="RYV135" s="537"/>
      <c r="RYW135" s="537"/>
      <c r="RYX135" s="537"/>
      <c r="RYY135" s="537"/>
      <c r="RYZ135" s="537"/>
      <c r="RZA135" s="537"/>
      <c r="RZB135" s="537"/>
      <c r="RZC135" s="537"/>
      <c r="RZD135" s="537"/>
      <c r="RZE135" s="537"/>
      <c r="RZF135" s="537"/>
      <c r="RZG135" s="537"/>
      <c r="RZH135" s="537"/>
      <c r="RZI135" s="537"/>
      <c r="RZJ135" s="537"/>
      <c r="RZK135" s="537"/>
      <c r="RZL135" s="537"/>
      <c r="RZM135" s="537"/>
      <c r="RZN135" s="537"/>
      <c r="RZO135" s="537"/>
      <c r="RZP135" s="537"/>
      <c r="RZQ135" s="537"/>
      <c r="RZR135" s="537"/>
      <c r="RZS135" s="537"/>
      <c r="RZT135" s="537"/>
      <c r="RZU135" s="537"/>
      <c r="RZV135" s="537"/>
      <c r="RZW135" s="537"/>
      <c r="RZX135" s="537"/>
      <c r="RZY135" s="537"/>
      <c r="RZZ135" s="537"/>
      <c r="SAA135" s="537"/>
      <c r="SAB135" s="537"/>
      <c r="SAC135" s="537"/>
      <c r="SAD135" s="537"/>
      <c r="SAE135" s="537"/>
      <c r="SAF135" s="537"/>
      <c r="SAG135" s="537"/>
      <c r="SAH135" s="537"/>
      <c r="SAI135" s="537"/>
      <c r="SAJ135" s="537"/>
      <c r="SAK135" s="537"/>
      <c r="SAL135" s="537"/>
      <c r="SAM135" s="537"/>
      <c r="SAN135" s="537"/>
      <c r="SAO135" s="537"/>
      <c r="SAP135" s="537"/>
      <c r="SAQ135" s="537"/>
      <c r="SAR135" s="537"/>
      <c r="SAS135" s="537"/>
      <c r="SAT135" s="537"/>
      <c r="SAU135" s="537"/>
      <c r="SAV135" s="537"/>
      <c r="SAW135" s="537"/>
      <c r="SAX135" s="537"/>
      <c r="SAY135" s="537"/>
      <c r="SAZ135" s="537"/>
      <c r="SBA135" s="537"/>
      <c r="SBB135" s="537"/>
      <c r="SBC135" s="537"/>
      <c r="SBD135" s="537"/>
      <c r="SBE135" s="537"/>
      <c r="SBF135" s="537"/>
      <c r="SBG135" s="537"/>
      <c r="SBH135" s="537"/>
      <c r="SBI135" s="537"/>
      <c r="SBJ135" s="537"/>
      <c r="SBK135" s="537"/>
      <c r="SBL135" s="537"/>
      <c r="SBM135" s="537"/>
      <c r="SBN135" s="537"/>
      <c r="SBO135" s="537"/>
      <c r="SBP135" s="537"/>
      <c r="SBQ135" s="537"/>
      <c r="SBR135" s="537"/>
      <c r="SBS135" s="537"/>
      <c r="SBT135" s="537"/>
      <c r="SBU135" s="537"/>
      <c r="SBV135" s="537"/>
      <c r="SBW135" s="537"/>
      <c r="SBX135" s="537"/>
      <c r="SBY135" s="537"/>
      <c r="SBZ135" s="537"/>
      <c r="SCA135" s="537"/>
      <c r="SCB135" s="537"/>
      <c r="SCC135" s="537"/>
      <c r="SCD135" s="537"/>
      <c r="SCE135" s="537"/>
      <c r="SCF135" s="537"/>
      <c r="SCG135" s="537"/>
      <c r="SCH135" s="537"/>
      <c r="SCI135" s="537"/>
      <c r="SCJ135" s="537"/>
      <c r="SCK135" s="537"/>
      <c r="SCL135" s="537"/>
      <c r="SCM135" s="537"/>
      <c r="SCN135" s="537"/>
      <c r="SCO135" s="537"/>
      <c r="SCP135" s="537"/>
      <c r="SCQ135" s="537"/>
      <c r="SCR135" s="537"/>
      <c r="SCS135" s="537"/>
      <c r="SCT135" s="537"/>
      <c r="SCU135" s="537"/>
      <c r="SCV135" s="537"/>
      <c r="SCW135" s="537"/>
      <c r="SCX135" s="537"/>
      <c r="SCY135" s="537"/>
      <c r="SCZ135" s="537"/>
      <c r="SDA135" s="537"/>
      <c r="SDB135" s="537"/>
      <c r="SDC135" s="537"/>
      <c r="SDD135" s="537"/>
      <c r="SDE135" s="537"/>
      <c r="SDF135" s="537"/>
      <c r="SDG135" s="537"/>
      <c r="SDH135" s="537"/>
      <c r="SDI135" s="537"/>
      <c r="SDJ135" s="537"/>
      <c r="SDK135" s="537"/>
      <c r="SDL135" s="537"/>
      <c r="SDM135" s="537"/>
      <c r="SDN135" s="537"/>
      <c r="SDO135" s="537"/>
      <c r="SDP135" s="537"/>
      <c r="SDQ135" s="537"/>
      <c r="SDR135" s="537"/>
      <c r="SDS135" s="537"/>
      <c r="SDT135" s="537"/>
      <c r="SDU135" s="537"/>
      <c r="SDV135" s="537"/>
      <c r="SDW135" s="537"/>
      <c r="SDX135" s="537"/>
      <c r="SDY135" s="537"/>
      <c r="SDZ135" s="537"/>
      <c r="SEA135" s="537"/>
      <c r="SEB135" s="537"/>
      <c r="SEC135" s="537"/>
      <c r="SED135" s="537"/>
      <c r="SEE135" s="537"/>
      <c r="SEF135" s="537"/>
      <c r="SEG135" s="537"/>
      <c r="SEH135" s="537"/>
      <c r="SEI135" s="537"/>
      <c r="SEJ135" s="537"/>
      <c r="SEK135" s="537"/>
      <c r="SEL135" s="537"/>
      <c r="SEM135" s="537"/>
      <c r="SEN135" s="537"/>
      <c r="SEO135" s="537"/>
      <c r="SEP135" s="537"/>
      <c r="SEQ135" s="537"/>
      <c r="SER135" s="537"/>
      <c r="SES135" s="537"/>
      <c r="SET135" s="537"/>
      <c r="SEU135" s="537"/>
      <c r="SEV135" s="537"/>
      <c r="SEW135" s="537"/>
      <c r="SEX135" s="537"/>
      <c r="SEY135" s="537"/>
      <c r="SEZ135" s="537"/>
      <c r="SFA135" s="537"/>
      <c r="SFB135" s="537"/>
      <c r="SFC135" s="537"/>
      <c r="SFD135" s="537"/>
      <c r="SFE135" s="537"/>
      <c r="SFF135" s="537"/>
      <c r="SFG135" s="537"/>
      <c r="SFH135" s="537"/>
      <c r="SFI135" s="537"/>
      <c r="SFJ135" s="537"/>
      <c r="SFK135" s="537"/>
      <c r="SFL135" s="537"/>
      <c r="SFM135" s="537"/>
      <c r="SFN135" s="537"/>
      <c r="SFO135" s="537"/>
      <c r="SFP135" s="537"/>
      <c r="SFQ135" s="537"/>
      <c r="SFR135" s="537"/>
      <c r="SFS135" s="537"/>
      <c r="SFT135" s="537"/>
      <c r="SFU135" s="537"/>
      <c r="SFV135" s="537"/>
      <c r="SFW135" s="537"/>
      <c r="SFX135" s="537"/>
      <c r="SFY135" s="537"/>
      <c r="SFZ135" s="537"/>
      <c r="SGA135" s="537"/>
      <c r="SGB135" s="537"/>
      <c r="SGC135" s="537"/>
      <c r="SGD135" s="537"/>
      <c r="SGE135" s="537"/>
      <c r="SGF135" s="537"/>
      <c r="SGG135" s="537"/>
      <c r="SGH135" s="537"/>
      <c r="SGI135" s="537"/>
      <c r="SGJ135" s="537"/>
      <c r="SGK135" s="537"/>
      <c r="SGL135" s="537"/>
      <c r="SGM135" s="537"/>
      <c r="SGN135" s="537"/>
      <c r="SGO135" s="537"/>
      <c r="SGP135" s="537"/>
      <c r="SGQ135" s="537"/>
      <c r="SGR135" s="537"/>
      <c r="SGS135" s="537"/>
      <c r="SGT135" s="537"/>
      <c r="SGU135" s="537"/>
      <c r="SGV135" s="537"/>
      <c r="SGW135" s="537"/>
      <c r="SGX135" s="537"/>
      <c r="SGY135" s="537"/>
      <c r="SGZ135" s="537"/>
      <c r="SHA135" s="537"/>
      <c r="SHB135" s="537"/>
      <c r="SHC135" s="537"/>
      <c r="SHD135" s="537"/>
      <c r="SHE135" s="537"/>
      <c r="SHF135" s="537"/>
      <c r="SHG135" s="537"/>
      <c r="SHH135" s="537"/>
      <c r="SHI135" s="537"/>
      <c r="SHJ135" s="537"/>
      <c r="SHK135" s="537"/>
      <c r="SHL135" s="537"/>
      <c r="SHM135" s="537"/>
      <c r="SHN135" s="537"/>
      <c r="SHO135" s="537"/>
      <c r="SHP135" s="537"/>
      <c r="SHQ135" s="537"/>
      <c r="SHR135" s="537"/>
      <c r="SHS135" s="537"/>
      <c r="SHT135" s="537"/>
      <c r="SHU135" s="537"/>
      <c r="SHV135" s="537"/>
      <c r="SHW135" s="537"/>
      <c r="SHX135" s="537"/>
      <c r="SHY135" s="537"/>
      <c r="SHZ135" s="537"/>
      <c r="SIA135" s="537"/>
      <c r="SIB135" s="537"/>
      <c r="SIC135" s="537"/>
      <c r="SID135" s="537"/>
      <c r="SIE135" s="537"/>
      <c r="SIF135" s="537"/>
      <c r="SIG135" s="537"/>
      <c r="SIH135" s="537"/>
      <c r="SII135" s="537"/>
      <c r="SIJ135" s="537"/>
      <c r="SIK135" s="537"/>
      <c r="SIL135" s="537"/>
      <c r="SIM135" s="537"/>
      <c r="SIN135" s="537"/>
      <c r="SIO135" s="537"/>
      <c r="SIP135" s="537"/>
      <c r="SIQ135" s="537"/>
      <c r="SIR135" s="537"/>
      <c r="SIS135" s="537"/>
      <c r="SIT135" s="537"/>
      <c r="SIU135" s="537"/>
      <c r="SIV135" s="537"/>
      <c r="SIW135" s="537"/>
      <c r="SIX135" s="537"/>
      <c r="SIY135" s="537"/>
      <c r="SIZ135" s="537"/>
      <c r="SJA135" s="537"/>
      <c r="SJB135" s="537"/>
      <c r="SJC135" s="537"/>
      <c r="SJD135" s="537"/>
      <c r="SJE135" s="537"/>
      <c r="SJF135" s="537"/>
      <c r="SJG135" s="537"/>
      <c r="SJH135" s="537"/>
      <c r="SJI135" s="537"/>
      <c r="SJJ135" s="537"/>
      <c r="SJK135" s="537"/>
      <c r="SJL135" s="537"/>
      <c r="SJM135" s="537"/>
      <c r="SJN135" s="537"/>
      <c r="SJO135" s="537"/>
      <c r="SJP135" s="537"/>
      <c r="SJQ135" s="537"/>
      <c r="SJR135" s="537"/>
      <c r="SJS135" s="537"/>
      <c r="SJT135" s="537"/>
      <c r="SJU135" s="537"/>
      <c r="SJV135" s="537"/>
      <c r="SJW135" s="537"/>
      <c r="SJX135" s="537"/>
      <c r="SJY135" s="537"/>
      <c r="SJZ135" s="537"/>
      <c r="SKA135" s="537"/>
      <c r="SKB135" s="537"/>
      <c r="SKC135" s="537"/>
      <c r="SKD135" s="537"/>
      <c r="SKE135" s="537"/>
      <c r="SKF135" s="537"/>
      <c r="SKG135" s="537"/>
      <c r="SKH135" s="537"/>
      <c r="SKI135" s="537"/>
      <c r="SKJ135" s="537"/>
      <c r="SKK135" s="537"/>
      <c r="SKL135" s="537"/>
      <c r="SKM135" s="537"/>
      <c r="SKN135" s="537"/>
      <c r="SKO135" s="537"/>
      <c r="SKP135" s="537"/>
      <c r="SKQ135" s="537"/>
      <c r="SKR135" s="537"/>
      <c r="SKS135" s="537"/>
      <c r="SKT135" s="537"/>
      <c r="SKU135" s="537"/>
      <c r="SKV135" s="537"/>
      <c r="SKW135" s="537"/>
      <c r="SKX135" s="537"/>
      <c r="SKY135" s="537"/>
      <c r="SKZ135" s="537"/>
      <c r="SLA135" s="537"/>
      <c r="SLB135" s="537"/>
      <c r="SLC135" s="537"/>
      <c r="SLD135" s="537"/>
      <c r="SLE135" s="537"/>
      <c r="SLF135" s="537"/>
      <c r="SLG135" s="537"/>
      <c r="SLH135" s="537"/>
      <c r="SLI135" s="537"/>
      <c r="SLJ135" s="537"/>
      <c r="SLK135" s="537"/>
      <c r="SLL135" s="537"/>
      <c r="SLM135" s="537"/>
      <c r="SLN135" s="537"/>
      <c r="SLO135" s="537"/>
      <c r="SLP135" s="537"/>
      <c r="SLQ135" s="537"/>
      <c r="SLR135" s="537"/>
      <c r="SLS135" s="537"/>
      <c r="SLT135" s="537"/>
      <c r="SLU135" s="537"/>
      <c r="SLV135" s="537"/>
      <c r="SLW135" s="537"/>
      <c r="SLX135" s="537"/>
      <c r="SLY135" s="537"/>
      <c r="SLZ135" s="537"/>
      <c r="SMA135" s="537"/>
      <c r="SMB135" s="537"/>
      <c r="SMC135" s="537"/>
      <c r="SMD135" s="537"/>
      <c r="SME135" s="537"/>
      <c r="SMF135" s="537"/>
      <c r="SMG135" s="537"/>
      <c r="SMH135" s="537"/>
      <c r="SMI135" s="537"/>
      <c r="SMJ135" s="537"/>
      <c r="SMK135" s="537"/>
      <c r="SML135" s="537"/>
      <c r="SMM135" s="537"/>
      <c r="SMN135" s="537"/>
      <c r="SMO135" s="537"/>
      <c r="SMP135" s="537"/>
      <c r="SMQ135" s="537"/>
      <c r="SMR135" s="537"/>
      <c r="SMS135" s="537"/>
      <c r="SMT135" s="537"/>
      <c r="SMU135" s="537"/>
      <c r="SMV135" s="537"/>
      <c r="SMW135" s="537"/>
      <c r="SMX135" s="537"/>
      <c r="SMY135" s="537"/>
      <c r="SMZ135" s="537"/>
      <c r="SNA135" s="537"/>
      <c r="SNB135" s="537"/>
      <c r="SNC135" s="537"/>
      <c r="SND135" s="537"/>
      <c r="SNE135" s="537"/>
      <c r="SNF135" s="537"/>
      <c r="SNG135" s="537"/>
      <c r="SNH135" s="537"/>
      <c r="SNI135" s="537"/>
      <c r="SNJ135" s="537"/>
      <c r="SNK135" s="537"/>
      <c r="SNL135" s="537"/>
      <c r="SNM135" s="537"/>
      <c r="SNN135" s="537"/>
      <c r="SNO135" s="537"/>
      <c r="SNP135" s="537"/>
      <c r="SNQ135" s="537"/>
      <c r="SNR135" s="537"/>
      <c r="SNS135" s="537"/>
      <c r="SNT135" s="537"/>
      <c r="SNU135" s="537"/>
      <c r="SNV135" s="537"/>
      <c r="SNW135" s="537"/>
      <c r="SNX135" s="537"/>
      <c r="SNY135" s="537"/>
      <c r="SNZ135" s="537"/>
      <c r="SOA135" s="537"/>
      <c r="SOB135" s="537"/>
      <c r="SOC135" s="537"/>
      <c r="SOD135" s="537"/>
      <c r="SOE135" s="537"/>
      <c r="SOF135" s="537"/>
      <c r="SOG135" s="537"/>
      <c r="SOH135" s="537"/>
      <c r="SOI135" s="537"/>
      <c r="SOJ135" s="537"/>
      <c r="SOK135" s="537"/>
      <c r="SOL135" s="537"/>
      <c r="SOM135" s="537"/>
      <c r="SON135" s="537"/>
      <c r="SOO135" s="537"/>
      <c r="SOP135" s="537"/>
      <c r="SOQ135" s="537"/>
      <c r="SOR135" s="537"/>
      <c r="SOS135" s="537"/>
      <c r="SOT135" s="537"/>
      <c r="SOU135" s="537"/>
      <c r="SOV135" s="537"/>
      <c r="SOW135" s="537"/>
      <c r="SOX135" s="537"/>
      <c r="SOY135" s="537"/>
      <c r="SOZ135" s="537"/>
      <c r="SPA135" s="537"/>
      <c r="SPB135" s="537"/>
      <c r="SPC135" s="537"/>
      <c r="SPD135" s="537"/>
      <c r="SPE135" s="537"/>
      <c r="SPF135" s="537"/>
      <c r="SPG135" s="537"/>
      <c r="SPH135" s="537"/>
      <c r="SPI135" s="537"/>
      <c r="SPJ135" s="537"/>
      <c r="SPK135" s="537"/>
      <c r="SPL135" s="537"/>
      <c r="SPM135" s="537"/>
      <c r="SPN135" s="537"/>
      <c r="SPO135" s="537"/>
      <c r="SPP135" s="537"/>
      <c r="SPQ135" s="537"/>
      <c r="SPR135" s="537"/>
      <c r="SPS135" s="537"/>
      <c r="SPT135" s="537"/>
      <c r="SPU135" s="537"/>
      <c r="SPV135" s="537"/>
      <c r="SPW135" s="537"/>
      <c r="SPX135" s="537"/>
      <c r="SPY135" s="537"/>
      <c r="SPZ135" s="537"/>
      <c r="SQA135" s="537"/>
      <c r="SQB135" s="537"/>
      <c r="SQC135" s="537"/>
      <c r="SQD135" s="537"/>
      <c r="SQE135" s="537"/>
      <c r="SQF135" s="537"/>
      <c r="SQG135" s="537"/>
      <c r="SQH135" s="537"/>
      <c r="SQI135" s="537"/>
      <c r="SQJ135" s="537"/>
      <c r="SQK135" s="537"/>
      <c r="SQL135" s="537"/>
      <c r="SQM135" s="537"/>
      <c r="SQN135" s="537"/>
      <c r="SQO135" s="537"/>
      <c r="SQP135" s="537"/>
      <c r="SQQ135" s="537"/>
      <c r="SQR135" s="537"/>
      <c r="SQS135" s="537"/>
      <c r="SQT135" s="537"/>
      <c r="SQU135" s="537"/>
      <c r="SQV135" s="537"/>
      <c r="SQW135" s="537"/>
      <c r="SQX135" s="537"/>
      <c r="SQY135" s="537"/>
      <c r="SQZ135" s="537"/>
      <c r="SRA135" s="537"/>
      <c r="SRB135" s="537"/>
      <c r="SRC135" s="537"/>
      <c r="SRD135" s="537"/>
      <c r="SRE135" s="537"/>
      <c r="SRF135" s="537"/>
      <c r="SRG135" s="537"/>
      <c r="SRH135" s="537"/>
      <c r="SRI135" s="537"/>
      <c r="SRJ135" s="537"/>
      <c r="SRK135" s="537"/>
      <c r="SRL135" s="537"/>
      <c r="SRM135" s="537"/>
      <c r="SRN135" s="537"/>
      <c r="SRO135" s="537"/>
      <c r="SRP135" s="537"/>
      <c r="SRQ135" s="537"/>
      <c r="SRR135" s="537"/>
      <c r="SRS135" s="537"/>
      <c r="SRT135" s="537"/>
      <c r="SRU135" s="537"/>
      <c r="SRV135" s="537"/>
      <c r="SRW135" s="537"/>
      <c r="SRX135" s="537"/>
      <c r="SRY135" s="537"/>
      <c r="SRZ135" s="537"/>
      <c r="SSA135" s="537"/>
      <c r="SSB135" s="537"/>
      <c r="SSC135" s="537"/>
      <c r="SSD135" s="537"/>
      <c r="SSE135" s="537"/>
      <c r="SSF135" s="537"/>
      <c r="SSG135" s="537"/>
      <c r="SSH135" s="537"/>
      <c r="SSI135" s="537"/>
      <c r="SSJ135" s="537"/>
      <c r="SSK135" s="537"/>
      <c r="SSL135" s="537"/>
      <c r="SSM135" s="537"/>
      <c r="SSN135" s="537"/>
      <c r="SSO135" s="537"/>
      <c r="SSP135" s="537"/>
      <c r="SSQ135" s="537"/>
      <c r="SSR135" s="537"/>
      <c r="SSS135" s="537"/>
      <c r="SST135" s="537"/>
      <c r="SSU135" s="537"/>
      <c r="SSV135" s="537"/>
      <c r="SSW135" s="537"/>
      <c r="SSX135" s="537"/>
      <c r="SSY135" s="537"/>
      <c r="SSZ135" s="537"/>
      <c r="STA135" s="537"/>
      <c r="STB135" s="537"/>
      <c r="STC135" s="537"/>
      <c r="STD135" s="537"/>
      <c r="STE135" s="537"/>
      <c r="STF135" s="537"/>
      <c r="STG135" s="537"/>
      <c r="STH135" s="537"/>
      <c r="STI135" s="537"/>
      <c r="STJ135" s="537"/>
      <c r="STK135" s="537"/>
      <c r="STL135" s="537"/>
      <c r="STM135" s="537"/>
      <c r="STN135" s="537"/>
      <c r="STO135" s="537"/>
      <c r="STP135" s="537"/>
      <c r="STQ135" s="537"/>
      <c r="STR135" s="537"/>
      <c r="STS135" s="537"/>
      <c r="STT135" s="537"/>
      <c r="STU135" s="537"/>
      <c r="STV135" s="537"/>
      <c r="STW135" s="537"/>
      <c r="STX135" s="537"/>
      <c r="STY135" s="537"/>
      <c r="STZ135" s="537"/>
      <c r="SUA135" s="537"/>
      <c r="SUB135" s="537"/>
      <c r="SUC135" s="537"/>
      <c r="SUD135" s="537"/>
      <c r="SUE135" s="537"/>
      <c r="SUF135" s="537"/>
      <c r="SUG135" s="537"/>
      <c r="SUH135" s="537"/>
      <c r="SUI135" s="537"/>
      <c r="SUJ135" s="537"/>
      <c r="SUK135" s="537"/>
      <c r="SUL135" s="537"/>
      <c r="SUM135" s="537"/>
      <c r="SUN135" s="537"/>
      <c r="SUO135" s="537"/>
      <c r="SUP135" s="537"/>
      <c r="SUQ135" s="537"/>
      <c r="SUR135" s="537"/>
      <c r="SUS135" s="537"/>
      <c r="SUT135" s="537"/>
      <c r="SUU135" s="537"/>
      <c r="SUV135" s="537"/>
      <c r="SUW135" s="537"/>
      <c r="SUX135" s="537"/>
      <c r="SUY135" s="537"/>
      <c r="SUZ135" s="537"/>
      <c r="SVA135" s="537"/>
      <c r="SVB135" s="537"/>
      <c r="SVC135" s="537"/>
      <c r="SVD135" s="537"/>
      <c r="SVE135" s="537"/>
      <c r="SVF135" s="537"/>
      <c r="SVG135" s="537"/>
      <c r="SVH135" s="537"/>
      <c r="SVI135" s="537"/>
      <c r="SVJ135" s="537"/>
      <c r="SVK135" s="537"/>
      <c r="SVL135" s="537"/>
      <c r="SVM135" s="537"/>
      <c r="SVN135" s="537"/>
      <c r="SVO135" s="537"/>
      <c r="SVP135" s="537"/>
      <c r="SVQ135" s="537"/>
      <c r="SVR135" s="537"/>
      <c r="SVS135" s="537"/>
      <c r="SVT135" s="537"/>
      <c r="SVU135" s="537"/>
      <c r="SVV135" s="537"/>
      <c r="SVW135" s="537"/>
      <c r="SVX135" s="537"/>
      <c r="SVY135" s="537"/>
      <c r="SVZ135" s="537"/>
      <c r="SWA135" s="537"/>
      <c r="SWB135" s="537"/>
      <c r="SWC135" s="537"/>
      <c r="SWD135" s="537"/>
      <c r="SWE135" s="537"/>
      <c r="SWF135" s="537"/>
      <c r="SWG135" s="537"/>
      <c r="SWH135" s="537"/>
      <c r="SWI135" s="537"/>
      <c r="SWJ135" s="537"/>
      <c r="SWK135" s="537"/>
      <c r="SWL135" s="537"/>
      <c r="SWM135" s="537"/>
      <c r="SWN135" s="537"/>
      <c r="SWO135" s="537"/>
      <c r="SWP135" s="537"/>
      <c r="SWQ135" s="537"/>
      <c r="SWR135" s="537"/>
      <c r="SWS135" s="537"/>
      <c r="SWT135" s="537"/>
      <c r="SWU135" s="537"/>
      <c r="SWV135" s="537"/>
      <c r="SWW135" s="537"/>
      <c r="SWX135" s="537"/>
      <c r="SWY135" s="537"/>
      <c r="SWZ135" s="537"/>
      <c r="SXA135" s="537"/>
      <c r="SXB135" s="537"/>
      <c r="SXC135" s="537"/>
      <c r="SXD135" s="537"/>
      <c r="SXE135" s="537"/>
      <c r="SXF135" s="537"/>
      <c r="SXG135" s="537"/>
      <c r="SXH135" s="537"/>
      <c r="SXI135" s="537"/>
      <c r="SXJ135" s="537"/>
      <c r="SXK135" s="537"/>
      <c r="SXL135" s="537"/>
      <c r="SXM135" s="537"/>
      <c r="SXN135" s="537"/>
      <c r="SXO135" s="537"/>
      <c r="SXP135" s="537"/>
      <c r="SXQ135" s="537"/>
      <c r="SXR135" s="537"/>
      <c r="SXS135" s="537"/>
      <c r="SXT135" s="537"/>
      <c r="SXU135" s="537"/>
      <c r="SXV135" s="537"/>
      <c r="SXW135" s="537"/>
      <c r="SXX135" s="537"/>
      <c r="SXY135" s="537"/>
      <c r="SXZ135" s="537"/>
      <c r="SYA135" s="537"/>
      <c r="SYB135" s="537"/>
      <c r="SYC135" s="537"/>
      <c r="SYD135" s="537"/>
      <c r="SYE135" s="537"/>
      <c r="SYF135" s="537"/>
      <c r="SYG135" s="537"/>
      <c r="SYH135" s="537"/>
      <c r="SYI135" s="537"/>
      <c r="SYJ135" s="537"/>
      <c r="SYK135" s="537"/>
      <c r="SYL135" s="537"/>
      <c r="SYM135" s="537"/>
      <c r="SYN135" s="537"/>
      <c r="SYO135" s="537"/>
      <c r="SYP135" s="537"/>
      <c r="SYQ135" s="537"/>
      <c r="SYR135" s="537"/>
      <c r="SYS135" s="537"/>
      <c r="SYT135" s="537"/>
      <c r="SYU135" s="537"/>
      <c r="SYV135" s="537"/>
      <c r="SYW135" s="537"/>
      <c r="SYX135" s="537"/>
      <c r="SYY135" s="537"/>
      <c r="SYZ135" s="537"/>
      <c r="SZA135" s="537"/>
      <c r="SZB135" s="537"/>
      <c r="SZC135" s="537"/>
      <c r="SZD135" s="537"/>
      <c r="SZE135" s="537"/>
      <c r="SZF135" s="537"/>
      <c r="SZG135" s="537"/>
      <c r="SZH135" s="537"/>
      <c r="SZI135" s="537"/>
      <c r="SZJ135" s="537"/>
      <c r="SZK135" s="537"/>
      <c r="SZL135" s="537"/>
      <c r="SZM135" s="537"/>
      <c r="SZN135" s="537"/>
      <c r="SZO135" s="537"/>
      <c r="SZP135" s="537"/>
      <c r="SZQ135" s="537"/>
      <c r="SZR135" s="537"/>
      <c r="SZS135" s="537"/>
      <c r="SZT135" s="537"/>
      <c r="SZU135" s="537"/>
      <c r="SZV135" s="537"/>
      <c r="SZW135" s="537"/>
      <c r="SZX135" s="537"/>
      <c r="SZY135" s="537"/>
      <c r="SZZ135" s="537"/>
      <c r="TAA135" s="537"/>
      <c r="TAB135" s="537"/>
      <c r="TAC135" s="537"/>
      <c r="TAD135" s="537"/>
      <c r="TAE135" s="537"/>
      <c r="TAF135" s="537"/>
      <c r="TAG135" s="537"/>
      <c r="TAH135" s="537"/>
      <c r="TAI135" s="537"/>
      <c r="TAJ135" s="537"/>
      <c r="TAK135" s="537"/>
      <c r="TAL135" s="537"/>
      <c r="TAM135" s="537"/>
      <c r="TAN135" s="537"/>
      <c r="TAO135" s="537"/>
      <c r="TAP135" s="537"/>
      <c r="TAQ135" s="537"/>
      <c r="TAR135" s="537"/>
      <c r="TAS135" s="537"/>
      <c r="TAT135" s="537"/>
      <c r="TAU135" s="537"/>
      <c r="TAV135" s="537"/>
      <c r="TAW135" s="537"/>
      <c r="TAX135" s="537"/>
      <c r="TAY135" s="537"/>
      <c r="TAZ135" s="537"/>
      <c r="TBA135" s="537"/>
      <c r="TBB135" s="537"/>
      <c r="TBC135" s="537"/>
      <c r="TBD135" s="537"/>
      <c r="TBE135" s="537"/>
      <c r="TBF135" s="537"/>
      <c r="TBG135" s="537"/>
      <c r="TBH135" s="537"/>
      <c r="TBI135" s="537"/>
      <c r="TBJ135" s="537"/>
      <c r="TBK135" s="537"/>
      <c r="TBL135" s="537"/>
      <c r="TBM135" s="537"/>
      <c r="TBN135" s="537"/>
      <c r="TBO135" s="537"/>
      <c r="TBP135" s="537"/>
      <c r="TBQ135" s="537"/>
      <c r="TBR135" s="537"/>
      <c r="TBS135" s="537"/>
      <c r="TBT135" s="537"/>
      <c r="TBU135" s="537"/>
      <c r="TBV135" s="537"/>
      <c r="TBW135" s="537"/>
      <c r="TBX135" s="537"/>
      <c r="TBY135" s="537"/>
      <c r="TBZ135" s="537"/>
      <c r="TCA135" s="537"/>
      <c r="TCB135" s="537"/>
      <c r="TCC135" s="537"/>
      <c r="TCD135" s="537"/>
      <c r="TCE135" s="537"/>
      <c r="TCF135" s="537"/>
      <c r="TCG135" s="537"/>
      <c r="TCH135" s="537"/>
      <c r="TCI135" s="537"/>
      <c r="TCJ135" s="537"/>
      <c r="TCK135" s="537"/>
      <c r="TCL135" s="537"/>
      <c r="TCM135" s="537"/>
      <c r="TCN135" s="537"/>
      <c r="TCO135" s="537"/>
      <c r="TCP135" s="537"/>
      <c r="TCQ135" s="537"/>
      <c r="TCR135" s="537"/>
      <c r="TCS135" s="537"/>
      <c r="TCT135" s="537"/>
      <c r="TCU135" s="537"/>
      <c r="TCV135" s="537"/>
      <c r="TCW135" s="537"/>
      <c r="TCX135" s="537"/>
      <c r="TCY135" s="537"/>
      <c r="TCZ135" s="537"/>
      <c r="TDA135" s="537"/>
      <c r="TDB135" s="537"/>
      <c r="TDC135" s="537"/>
      <c r="TDD135" s="537"/>
      <c r="TDE135" s="537"/>
      <c r="TDF135" s="537"/>
      <c r="TDG135" s="537"/>
      <c r="TDH135" s="537"/>
      <c r="TDI135" s="537"/>
      <c r="TDJ135" s="537"/>
      <c r="TDK135" s="537"/>
      <c r="TDL135" s="537"/>
      <c r="TDM135" s="537"/>
      <c r="TDN135" s="537"/>
      <c r="TDO135" s="537"/>
      <c r="TDP135" s="537"/>
      <c r="TDQ135" s="537"/>
      <c r="TDR135" s="537"/>
      <c r="TDS135" s="537"/>
      <c r="TDT135" s="537"/>
      <c r="TDU135" s="537"/>
      <c r="TDV135" s="537"/>
      <c r="TDW135" s="537"/>
      <c r="TDX135" s="537"/>
      <c r="TDY135" s="537"/>
      <c r="TDZ135" s="537"/>
      <c r="TEA135" s="537"/>
      <c r="TEB135" s="537"/>
      <c r="TEC135" s="537"/>
      <c r="TED135" s="537"/>
      <c r="TEE135" s="537"/>
      <c r="TEF135" s="537"/>
      <c r="TEG135" s="537"/>
      <c r="TEH135" s="537"/>
      <c r="TEI135" s="537"/>
      <c r="TEJ135" s="537"/>
      <c r="TEK135" s="537"/>
      <c r="TEL135" s="537"/>
      <c r="TEM135" s="537"/>
      <c r="TEN135" s="537"/>
      <c r="TEO135" s="537"/>
      <c r="TEP135" s="537"/>
      <c r="TEQ135" s="537"/>
      <c r="TER135" s="537"/>
      <c r="TES135" s="537"/>
      <c r="TET135" s="537"/>
      <c r="TEU135" s="537"/>
      <c r="TEV135" s="537"/>
      <c r="TEW135" s="537"/>
      <c r="TEX135" s="537"/>
      <c r="TEY135" s="537"/>
      <c r="TEZ135" s="537"/>
      <c r="TFA135" s="537"/>
      <c r="TFB135" s="537"/>
      <c r="TFC135" s="537"/>
      <c r="TFD135" s="537"/>
      <c r="TFE135" s="537"/>
      <c r="TFF135" s="537"/>
      <c r="TFG135" s="537"/>
      <c r="TFH135" s="537"/>
      <c r="TFI135" s="537"/>
      <c r="TFJ135" s="537"/>
      <c r="TFK135" s="537"/>
      <c r="TFL135" s="537"/>
      <c r="TFM135" s="537"/>
      <c r="TFN135" s="537"/>
      <c r="TFO135" s="537"/>
      <c r="TFP135" s="537"/>
      <c r="TFQ135" s="537"/>
      <c r="TFR135" s="537"/>
      <c r="TFS135" s="537"/>
      <c r="TFT135" s="537"/>
      <c r="TFU135" s="537"/>
      <c r="TFV135" s="537"/>
      <c r="TFW135" s="537"/>
      <c r="TFX135" s="537"/>
      <c r="TFY135" s="537"/>
      <c r="TFZ135" s="537"/>
      <c r="TGA135" s="537"/>
      <c r="TGB135" s="537"/>
      <c r="TGC135" s="537"/>
      <c r="TGD135" s="537"/>
      <c r="TGE135" s="537"/>
      <c r="TGF135" s="537"/>
      <c r="TGG135" s="537"/>
      <c r="TGH135" s="537"/>
      <c r="TGI135" s="537"/>
      <c r="TGJ135" s="537"/>
      <c r="TGK135" s="537"/>
      <c r="TGL135" s="537"/>
      <c r="TGM135" s="537"/>
      <c r="TGN135" s="537"/>
      <c r="TGO135" s="537"/>
      <c r="TGP135" s="537"/>
      <c r="TGQ135" s="537"/>
      <c r="TGR135" s="537"/>
      <c r="TGS135" s="537"/>
      <c r="TGT135" s="537"/>
      <c r="TGU135" s="537"/>
      <c r="TGV135" s="537"/>
      <c r="TGW135" s="537"/>
      <c r="TGX135" s="537"/>
      <c r="TGY135" s="537"/>
      <c r="TGZ135" s="537"/>
      <c r="THA135" s="537"/>
      <c r="THB135" s="537"/>
      <c r="THC135" s="537"/>
      <c r="THD135" s="537"/>
      <c r="THE135" s="537"/>
      <c r="THF135" s="537"/>
      <c r="THG135" s="537"/>
      <c r="THH135" s="537"/>
      <c r="THI135" s="537"/>
      <c r="THJ135" s="537"/>
      <c r="THK135" s="537"/>
      <c r="THL135" s="537"/>
      <c r="THM135" s="537"/>
      <c r="THN135" s="537"/>
      <c r="THO135" s="537"/>
      <c r="THP135" s="537"/>
      <c r="THQ135" s="537"/>
      <c r="THR135" s="537"/>
      <c r="THS135" s="537"/>
      <c r="THT135" s="537"/>
      <c r="THU135" s="537"/>
      <c r="THV135" s="537"/>
      <c r="THW135" s="537"/>
      <c r="THX135" s="537"/>
      <c r="THY135" s="537"/>
      <c r="THZ135" s="537"/>
      <c r="TIA135" s="537"/>
      <c r="TIB135" s="537"/>
      <c r="TIC135" s="537"/>
      <c r="TID135" s="537"/>
      <c r="TIE135" s="537"/>
      <c r="TIF135" s="537"/>
      <c r="TIG135" s="537"/>
      <c r="TIH135" s="537"/>
      <c r="TII135" s="537"/>
      <c r="TIJ135" s="537"/>
      <c r="TIK135" s="537"/>
      <c r="TIL135" s="537"/>
      <c r="TIM135" s="537"/>
      <c r="TIN135" s="537"/>
      <c r="TIO135" s="537"/>
      <c r="TIP135" s="537"/>
      <c r="TIQ135" s="537"/>
      <c r="TIR135" s="537"/>
      <c r="TIS135" s="537"/>
      <c r="TIT135" s="537"/>
      <c r="TIU135" s="537"/>
      <c r="TIV135" s="537"/>
      <c r="TIW135" s="537"/>
      <c r="TIX135" s="537"/>
      <c r="TIY135" s="537"/>
      <c r="TIZ135" s="537"/>
      <c r="TJA135" s="537"/>
      <c r="TJB135" s="537"/>
      <c r="TJC135" s="537"/>
      <c r="TJD135" s="537"/>
      <c r="TJE135" s="537"/>
      <c r="TJF135" s="537"/>
      <c r="TJG135" s="537"/>
      <c r="TJH135" s="537"/>
      <c r="TJI135" s="537"/>
      <c r="TJJ135" s="537"/>
      <c r="TJK135" s="537"/>
      <c r="TJL135" s="537"/>
      <c r="TJM135" s="537"/>
      <c r="TJN135" s="537"/>
      <c r="TJO135" s="537"/>
      <c r="TJP135" s="537"/>
      <c r="TJQ135" s="537"/>
      <c r="TJR135" s="537"/>
      <c r="TJS135" s="537"/>
      <c r="TJT135" s="537"/>
      <c r="TJU135" s="537"/>
      <c r="TJV135" s="537"/>
      <c r="TJW135" s="537"/>
      <c r="TJX135" s="537"/>
      <c r="TJY135" s="537"/>
      <c r="TJZ135" s="537"/>
      <c r="TKA135" s="537"/>
      <c r="TKB135" s="537"/>
      <c r="TKC135" s="537"/>
      <c r="TKD135" s="537"/>
      <c r="TKE135" s="537"/>
      <c r="TKF135" s="537"/>
      <c r="TKG135" s="537"/>
      <c r="TKH135" s="537"/>
      <c r="TKI135" s="537"/>
      <c r="TKJ135" s="537"/>
      <c r="TKK135" s="537"/>
      <c r="TKL135" s="537"/>
      <c r="TKM135" s="537"/>
      <c r="TKN135" s="537"/>
      <c r="TKO135" s="537"/>
      <c r="TKP135" s="537"/>
      <c r="TKQ135" s="537"/>
      <c r="TKR135" s="537"/>
      <c r="TKS135" s="537"/>
      <c r="TKT135" s="537"/>
      <c r="TKU135" s="537"/>
      <c r="TKV135" s="537"/>
      <c r="TKW135" s="537"/>
      <c r="TKX135" s="537"/>
      <c r="TKY135" s="537"/>
      <c r="TKZ135" s="537"/>
      <c r="TLA135" s="537"/>
      <c r="TLB135" s="537"/>
      <c r="TLC135" s="537"/>
      <c r="TLD135" s="537"/>
      <c r="TLE135" s="537"/>
      <c r="TLF135" s="537"/>
      <c r="TLG135" s="537"/>
      <c r="TLH135" s="537"/>
      <c r="TLI135" s="537"/>
      <c r="TLJ135" s="537"/>
      <c r="TLK135" s="537"/>
      <c r="TLL135" s="537"/>
      <c r="TLM135" s="537"/>
      <c r="TLN135" s="537"/>
      <c r="TLO135" s="537"/>
      <c r="TLP135" s="537"/>
      <c r="TLQ135" s="537"/>
      <c r="TLR135" s="537"/>
      <c r="TLS135" s="537"/>
      <c r="TLT135" s="537"/>
      <c r="TLU135" s="537"/>
      <c r="TLV135" s="537"/>
      <c r="TLW135" s="537"/>
      <c r="TLX135" s="537"/>
      <c r="TLY135" s="537"/>
      <c r="TLZ135" s="537"/>
      <c r="TMA135" s="537"/>
      <c r="TMB135" s="537"/>
      <c r="TMC135" s="537"/>
      <c r="TMD135" s="537"/>
      <c r="TME135" s="537"/>
      <c r="TMF135" s="537"/>
      <c r="TMG135" s="537"/>
      <c r="TMH135" s="537"/>
      <c r="TMI135" s="537"/>
      <c r="TMJ135" s="537"/>
      <c r="TMK135" s="537"/>
      <c r="TML135" s="537"/>
      <c r="TMM135" s="537"/>
      <c r="TMN135" s="537"/>
      <c r="TMO135" s="537"/>
      <c r="TMP135" s="537"/>
      <c r="TMQ135" s="537"/>
      <c r="TMR135" s="537"/>
      <c r="TMS135" s="537"/>
      <c r="TMT135" s="537"/>
      <c r="TMU135" s="537"/>
      <c r="TMV135" s="537"/>
      <c r="TMW135" s="537"/>
      <c r="TMX135" s="537"/>
      <c r="TMY135" s="537"/>
      <c r="TMZ135" s="537"/>
      <c r="TNA135" s="537"/>
      <c r="TNB135" s="537"/>
      <c r="TNC135" s="537"/>
      <c r="TND135" s="537"/>
      <c r="TNE135" s="537"/>
      <c r="TNF135" s="537"/>
      <c r="TNG135" s="537"/>
      <c r="TNH135" s="537"/>
      <c r="TNI135" s="537"/>
      <c r="TNJ135" s="537"/>
      <c r="TNK135" s="537"/>
      <c r="TNL135" s="537"/>
      <c r="TNM135" s="537"/>
      <c r="TNN135" s="537"/>
      <c r="TNO135" s="537"/>
      <c r="TNP135" s="537"/>
      <c r="TNQ135" s="537"/>
      <c r="TNR135" s="537"/>
      <c r="TNS135" s="537"/>
      <c r="TNT135" s="537"/>
      <c r="TNU135" s="537"/>
      <c r="TNV135" s="537"/>
      <c r="TNW135" s="537"/>
      <c r="TNX135" s="537"/>
      <c r="TNY135" s="537"/>
      <c r="TNZ135" s="537"/>
      <c r="TOA135" s="537"/>
      <c r="TOB135" s="537"/>
      <c r="TOC135" s="537"/>
      <c r="TOD135" s="537"/>
      <c r="TOE135" s="537"/>
      <c r="TOF135" s="537"/>
      <c r="TOG135" s="537"/>
      <c r="TOH135" s="537"/>
      <c r="TOI135" s="537"/>
      <c r="TOJ135" s="537"/>
      <c r="TOK135" s="537"/>
      <c r="TOL135" s="537"/>
      <c r="TOM135" s="537"/>
      <c r="TON135" s="537"/>
      <c r="TOO135" s="537"/>
      <c r="TOP135" s="537"/>
      <c r="TOQ135" s="537"/>
      <c r="TOR135" s="537"/>
      <c r="TOS135" s="537"/>
      <c r="TOT135" s="537"/>
      <c r="TOU135" s="537"/>
      <c r="TOV135" s="537"/>
      <c r="TOW135" s="537"/>
      <c r="TOX135" s="537"/>
      <c r="TOY135" s="537"/>
      <c r="TOZ135" s="537"/>
      <c r="TPA135" s="537"/>
      <c r="TPB135" s="537"/>
      <c r="TPC135" s="537"/>
      <c r="TPD135" s="537"/>
      <c r="TPE135" s="537"/>
      <c r="TPF135" s="537"/>
      <c r="TPG135" s="537"/>
      <c r="TPH135" s="537"/>
      <c r="TPI135" s="537"/>
      <c r="TPJ135" s="537"/>
      <c r="TPK135" s="537"/>
      <c r="TPL135" s="537"/>
      <c r="TPM135" s="537"/>
      <c r="TPN135" s="537"/>
      <c r="TPO135" s="537"/>
      <c r="TPP135" s="537"/>
      <c r="TPQ135" s="537"/>
      <c r="TPR135" s="537"/>
      <c r="TPS135" s="537"/>
      <c r="TPT135" s="537"/>
      <c r="TPU135" s="537"/>
      <c r="TPV135" s="537"/>
      <c r="TPW135" s="537"/>
      <c r="TPX135" s="537"/>
      <c r="TPY135" s="537"/>
      <c r="TPZ135" s="537"/>
      <c r="TQA135" s="537"/>
      <c r="TQB135" s="537"/>
      <c r="TQC135" s="537"/>
      <c r="TQD135" s="537"/>
      <c r="TQE135" s="537"/>
      <c r="TQF135" s="537"/>
      <c r="TQG135" s="537"/>
      <c r="TQH135" s="537"/>
      <c r="TQI135" s="537"/>
      <c r="TQJ135" s="537"/>
      <c r="TQK135" s="537"/>
      <c r="TQL135" s="537"/>
      <c r="TQM135" s="537"/>
      <c r="TQN135" s="537"/>
      <c r="TQO135" s="537"/>
      <c r="TQP135" s="537"/>
      <c r="TQQ135" s="537"/>
      <c r="TQR135" s="537"/>
      <c r="TQS135" s="537"/>
      <c r="TQT135" s="537"/>
      <c r="TQU135" s="537"/>
      <c r="TQV135" s="537"/>
      <c r="TQW135" s="537"/>
      <c r="TQX135" s="537"/>
      <c r="TQY135" s="537"/>
      <c r="TQZ135" s="537"/>
      <c r="TRA135" s="537"/>
      <c r="TRB135" s="537"/>
      <c r="TRC135" s="537"/>
      <c r="TRD135" s="537"/>
      <c r="TRE135" s="537"/>
      <c r="TRF135" s="537"/>
      <c r="TRG135" s="537"/>
      <c r="TRH135" s="537"/>
      <c r="TRI135" s="537"/>
      <c r="TRJ135" s="537"/>
      <c r="TRK135" s="537"/>
      <c r="TRL135" s="537"/>
      <c r="TRM135" s="537"/>
      <c r="TRN135" s="537"/>
      <c r="TRO135" s="537"/>
      <c r="TRP135" s="537"/>
      <c r="TRQ135" s="537"/>
      <c r="TRR135" s="537"/>
      <c r="TRS135" s="537"/>
      <c r="TRT135" s="537"/>
      <c r="TRU135" s="537"/>
      <c r="TRV135" s="537"/>
      <c r="TRW135" s="537"/>
      <c r="TRX135" s="537"/>
      <c r="TRY135" s="537"/>
      <c r="TRZ135" s="537"/>
      <c r="TSA135" s="537"/>
      <c r="TSB135" s="537"/>
      <c r="TSC135" s="537"/>
      <c r="TSD135" s="537"/>
      <c r="TSE135" s="537"/>
      <c r="TSF135" s="537"/>
      <c r="TSG135" s="537"/>
      <c r="TSH135" s="537"/>
      <c r="TSI135" s="537"/>
      <c r="TSJ135" s="537"/>
      <c r="TSK135" s="537"/>
      <c r="TSL135" s="537"/>
      <c r="TSM135" s="537"/>
      <c r="TSN135" s="537"/>
      <c r="TSO135" s="537"/>
      <c r="TSP135" s="537"/>
      <c r="TSQ135" s="537"/>
      <c r="TSR135" s="537"/>
      <c r="TSS135" s="537"/>
      <c r="TST135" s="537"/>
      <c r="TSU135" s="537"/>
      <c r="TSV135" s="537"/>
      <c r="TSW135" s="537"/>
      <c r="TSX135" s="537"/>
      <c r="TSY135" s="537"/>
      <c r="TSZ135" s="537"/>
      <c r="TTA135" s="537"/>
      <c r="TTB135" s="537"/>
      <c r="TTC135" s="537"/>
      <c r="TTD135" s="537"/>
      <c r="TTE135" s="537"/>
      <c r="TTF135" s="537"/>
      <c r="TTG135" s="537"/>
      <c r="TTH135" s="537"/>
      <c r="TTI135" s="537"/>
      <c r="TTJ135" s="537"/>
      <c r="TTK135" s="537"/>
      <c r="TTL135" s="537"/>
      <c r="TTM135" s="537"/>
      <c r="TTN135" s="537"/>
      <c r="TTO135" s="537"/>
      <c r="TTP135" s="537"/>
      <c r="TTQ135" s="537"/>
      <c r="TTR135" s="537"/>
      <c r="TTS135" s="537"/>
      <c r="TTT135" s="537"/>
      <c r="TTU135" s="537"/>
      <c r="TTV135" s="537"/>
      <c r="TTW135" s="537"/>
      <c r="TTX135" s="537"/>
      <c r="TTY135" s="537"/>
      <c r="TTZ135" s="537"/>
      <c r="TUA135" s="537"/>
      <c r="TUB135" s="537"/>
      <c r="TUC135" s="537"/>
      <c r="TUD135" s="537"/>
      <c r="TUE135" s="537"/>
      <c r="TUF135" s="537"/>
      <c r="TUG135" s="537"/>
      <c r="TUH135" s="537"/>
      <c r="TUI135" s="537"/>
      <c r="TUJ135" s="537"/>
      <c r="TUK135" s="537"/>
      <c r="TUL135" s="537"/>
      <c r="TUM135" s="537"/>
      <c r="TUN135" s="537"/>
      <c r="TUO135" s="537"/>
      <c r="TUP135" s="537"/>
      <c r="TUQ135" s="537"/>
      <c r="TUR135" s="537"/>
      <c r="TUS135" s="537"/>
      <c r="TUT135" s="537"/>
      <c r="TUU135" s="537"/>
      <c r="TUV135" s="537"/>
      <c r="TUW135" s="537"/>
      <c r="TUX135" s="537"/>
      <c r="TUY135" s="537"/>
      <c r="TUZ135" s="537"/>
      <c r="TVA135" s="537"/>
      <c r="TVB135" s="537"/>
      <c r="TVC135" s="537"/>
      <c r="TVD135" s="537"/>
      <c r="TVE135" s="537"/>
      <c r="TVF135" s="537"/>
      <c r="TVG135" s="537"/>
      <c r="TVH135" s="537"/>
      <c r="TVI135" s="537"/>
      <c r="TVJ135" s="537"/>
      <c r="TVK135" s="537"/>
      <c r="TVL135" s="537"/>
      <c r="TVM135" s="537"/>
      <c r="TVN135" s="537"/>
      <c r="TVO135" s="537"/>
      <c r="TVP135" s="537"/>
      <c r="TVQ135" s="537"/>
      <c r="TVR135" s="537"/>
      <c r="TVS135" s="537"/>
      <c r="TVT135" s="537"/>
      <c r="TVU135" s="537"/>
      <c r="TVV135" s="537"/>
      <c r="TVW135" s="537"/>
      <c r="TVX135" s="537"/>
      <c r="TVY135" s="537"/>
      <c r="TVZ135" s="537"/>
      <c r="TWA135" s="537"/>
      <c r="TWB135" s="537"/>
      <c r="TWC135" s="537"/>
      <c r="TWD135" s="537"/>
      <c r="TWE135" s="537"/>
      <c r="TWF135" s="537"/>
      <c r="TWG135" s="537"/>
      <c r="TWH135" s="537"/>
      <c r="TWI135" s="537"/>
      <c r="TWJ135" s="537"/>
      <c r="TWK135" s="537"/>
      <c r="TWL135" s="537"/>
      <c r="TWM135" s="537"/>
      <c r="TWN135" s="537"/>
      <c r="TWO135" s="537"/>
      <c r="TWP135" s="537"/>
      <c r="TWQ135" s="537"/>
      <c r="TWR135" s="537"/>
      <c r="TWS135" s="537"/>
      <c r="TWT135" s="537"/>
      <c r="TWU135" s="537"/>
      <c r="TWV135" s="537"/>
      <c r="TWW135" s="537"/>
      <c r="TWX135" s="537"/>
      <c r="TWY135" s="537"/>
      <c r="TWZ135" s="537"/>
      <c r="TXA135" s="537"/>
      <c r="TXB135" s="537"/>
      <c r="TXC135" s="537"/>
      <c r="TXD135" s="537"/>
      <c r="TXE135" s="537"/>
      <c r="TXF135" s="537"/>
      <c r="TXG135" s="537"/>
      <c r="TXH135" s="537"/>
      <c r="TXI135" s="537"/>
      <c r="TXJ135" s="537"/>
      <c r="TXK135" s="537"/>
      <c r="TXL135" s="537"/>
      <c r="TXM135" s="537"/>
      <c r="TXN135" s="537"/>
      <c r="TXO135" s="537"/>
      <c r="TXP135" s="537"/>
      <c r="TXQ135" s="537"/>
      <c r="TXR135" s="537"/>
      <c r="TXS135" s="537"/>
      <c r="TXT135" s="537"/>
      <c r="TXU135" s="537"/>
      <c r="TXV135" s="537"/>
      <c r="TXW135" s="537"/>
      <c r="TXX135" s="537"/>
      <c r="TXY135" s="537"/>
      <c r="TXZ135" s="537"/>
      <c r="TYA135" s="537"/>
      <c r="TYB135" s="537"/>
      <c r="TYC135" s="537"/>
      <c r="TYD135" s="537"/>
      <c r="TYE135" s="537"/>
      <c r="TYF135" s="537"/>
      <c r="TYG135" s="537"/>
      <c r="TYH135" s="537"/>
      <c r="TYI135" s="537"/>
      <c r="TYJ135" s="537"/>
      <c r="TYK135" s="537"/>
      <c r="TYL135" s="537"/>
      <c r="TYM135" s="537"/>
      <c r="TYN135" s="537"/>
      <c r="TYO135" s="537"/>
      <c r="TYP135" s="537"/>
      <c r="TYQ135" s="537"/>
      <c r="TYR135" s="537"/>
      <c r="TYS135" s="537"/>
      <c r="TYT135" s="537"/>
      <c r="TYU135" s="537"/>
      <c r="TYV135" s="537"/>
      <c r="TYW135" s="537"/>
      <c r="TYX135" s="537"/>
      <c r="TYY135" s="537"/>
      <c r="TYZ135" s="537"/>
      <c r="TZA135" s="537"/>
      <c r="TZB135" s="537"/>
      <c r="TZC135" s="537"/>
      <c r="TZD135" s="537"/>
      <c r="TZE135" s="537"/>
      <c r="TZF135" s="537"/>
      <c r="TZG135" s="537"/>
      <c r="TZH135" s="537"/>
      <c r="TZI135" s="537"/>
      <c r="TZJ135" s="537"/>
      <c r="TZK135" s="537"/>
      <c r="TZL135" s="537"/>
      <c r="TZM135" s="537"/>
      <c r="TZN135" s="537"/>
      <c r="TZO135" s="537"/>
      <c r="TZP135" s="537"/>
      <c r="TZQ135" s="537"/>
      <c r="TZR135" s="537"/>
      <c r="TZS135" s="537"/>
      <c r="TZT135" s="537"/>
      <c r="TZU135" s="537"/>
      <c r="TZV135" s="537"/>
      <c r="TZW135" s="537"/>
      <c r="TZX135" s="537"/>
      <c r="TZY135" s="537"/>
      <c r="TZZ135" s="537"/>
      <c r="UAA135" s="537"/>
      <c r="UAB135" s="537"/>
      <c r="UAC135" s="537"/>
      <c r="UAD135" s="537"/>
      <c r="UAE135" s="537"/>
      <c r="UAF135" s="537"/>
      <c r="UAG135" s="537"/>
      <c r="UAH135" s="537"/>
      <c r="UAI135" s="537"/>
      <c r="UAJ135" s="537"/>
      <c r="UAK135" s="537"/>
      <c r="UAL135" s="537"/>
      <c r="UAM135" s="537"/>
      <c r="UAN135" s="537"/>
      <c r="UAO135" s="537"/>
      <c r="UAP135" s="537"/>
      <c r="UAQ135" s="537"/>
      <c r="UAR135" s="537"/>
      <c r="UAS135" s="537"/>
      <c r="UAT135" s="537"/>
      <c r="UAU135" s="537"/>
      <c r="UAV135" s="537"/>
      <c r="UAW135" s="537"/>
      <c r="UAX135" s="537"/>
      <c r="UAY135" s="537"/>
      <c r="UAZ135" s="537"/>
      <c r="UBA135" s="537"/>
      <c r="UBB135" s="537"/>
      <c r="UBC135" s="537"/>
      <c r="UBD135" s="537"/>
      <c r="UBE135" s="537"/>
      <c r="UBF135" s="537"/>
      <c r="UBG135" s="537"/>
      <c r="UBH135" s="537"/>
      <c r="UBI135" s="537"/>
      <c r="UBJ135" s="537"/>
      <c r="UBK135" s="537"/>
      <c r="UBL135" s="537"/>
      <c r="UBM135" s="537"/>
      <c r="UBN135" s="537"/>
      <c r="UBO135" s="537"/>
      <c r="UBP135" s="537"/>
      <c r="UBQ135" s="537"/>
      <c r="UBR135" s="537"/>
      <c r="UBS135" s="537"/>
      <c r="UBT135" s="537"/>
      <c r="UBU135" s="537"/>
      <c r="UBV135" s="537"/>
      <c r="UBW135" s="537"/>
      <c r="UBX135" s="537"/>
      <c r="UBY135" s="537"/>
      <c r="UBZ135" s="537"/>
      <c r="UCA135" s="537"/>
      <c r="UCB135" s="537"/>
      <c r="UCC135" s="537"/>
      <c r="UCD135" s="537"/>
      <c r="UCE135" s="537"/>
      <c r="UCF135" s="537"/>
      <c r="UCG135" s="537"/>
      <c r="UCH135" s="537"/>
      <c r="UCI135" s="537"/>
      <c r="UCJ135" s="537"/>
      <c r="UCK135" s="537"/>
      <c r="UCL135" s="537"/>
      <c r="UCM135" s="537"/>
      <c r="UCN135" s="537"/>
      <c r="UCO135" s="537"/>
      <c r="UCP135" s="537"/>
      <c r="UCQ135" s="537"/>
      <c r="UCR135" s="537"/>
      <c r="UCS135" s="537"/>
      <c r="UCT135" s="537"/>
      <c r="UCU135" s="537"/>
      <c r="UCV135" s="537"/>
      <c r="UCW135" s="537"/>
      <c r="UCX135" s="537"/>
      <c r="UCY135" s="537"/>
      <c r="UCZ135" s="537"/>
      <c r="UDA135" s="537"/>
      <c r="UDB135" s="537"/>
      <c r="UDC135" s="537"/>
      <c r="UDD135" s="537"/>
      <c r="UDE135" s="537"/>
      <c r="UDF135" s="537"/>
      <c r="UDG135" s="537"/>
      <c r="UDH135" s="537"/>
      <c r="UDI135" s="537"/>
      <c r="UDJ135" s="537"/>
      <c r="UDK135" s="537"/>
      <c r="UDL135" s="537"/>
      <c r="UDM135" s="537"/>
      <c r="UDN135" s="537"/>
      <c r="UDO135" s="537"/>
      <c r="UDP135" s="537"/>
      <c r="UDQ135" s="537"/>
      <c r="UDR135" s="537"/>
      <c r="UDS135" s="537"/>
      <c r="UDT135" s="537"/>
      <c r="UDU135" s="537"/>
      <c r="UDV135" s="537"/>
      <c r="UDW135" s="537"/>
      <c r="UDX135" s="537"/>
      <c r="UDY135" s="537"/>
      <c r="UDZ135" s="537"/>
      <c r="UEA135" s="537"/>
      <c r="UEB135" s="537"/>
      <c r="UEC135" s="537"/>
      <c r="UED135" s="537"/>
      <c r="UEE135" s="537"/>
      <c r="UEF135" s="537"/>
      <c r="UEG135" s="537"/>
      <c r="UEH135" s="537"/>
      <c r="UEI135" s="537"/>
      <c r="UEJ135" s="537"/>
      <c r="UEK135" s="537"/>
      <c r="UEL135" s="537"/>
      <c r="UEM135" s="537"/>
      <c r="UEN135" s="537"/>
      <c r="UEO135" s="537"/>
      <c r="UEP135" s="537"/>
      <c r="UEQ135" s="537"/>
      <c r="UER135" s="537"/>
      <c r="UES135" s="537"/>
      <c r="UET135" s="537"/>
      <c r="UEU135" s="537"/>
      <c r="UEV135" s="537"/>
      <c r="UEW135" s="537"/>
      <c r="UEX135" s="537"/>
      <c r="UEY135" s="537"/>
      <c r="UEZ135" s="537"/>
      <c r="UFA135" s="537"/>
      <c r="UFB135" s="537"/>
      <c r="UFC135" s="537"/>
      <c r="UFD135" s="537"/>
      <c r="UFE135" s="537"/>
      <c r="UFF135" s="537"/>
      <c r="UFG135" s="537"/>
      <c r="UFH135" s="537"/>
      <c r="UFI135" s="537"/>
      <c r="UFJ135" s="537"/>
      <c r="UFK135" s="537"/>
      <c r="UFL135" s="537"/>
      <c r="UFM135" s="537"/>
      <c r="UFN135" s="537"/>
      <c r="UFO135" s="537"/>
      <c r="UFP135" s="537"/>
      <c r="UFQ135" s="537"/>
      <c r="UFR135" s="537"/>
      <c r="UFS135" s="537"/>
      <c r="UFT135" s="537"/>
      <c r="UFU135" s="537"/>
      <c r="UFV135" s="537"/>
      <c r="UFW135" s="537"/>
      <c r="UFX135" s="537"/>
      <c r="UFY135" s="537"/>
      <c r="UFZ135" s="537"/>
      <c r="UGA135" s="537"/>
      <c r="UGB135" s="537"/>
      <c r="UGC135" s="537"/>
      <c r="UGD135" s="537"/>
      <c r="UGE135" s="537"/>
      <c r="UGF135" s="537"/>
      <c r="UGG135" s="537"/>
      <c r="UGH135" s="537"/>
      <c r="UGI135" s="537"/>
      <c r="UGJ135" s="537"/>
      <c r="UGK135" s="537"/>
      <c r="UGL135" s="537"/>
      <c r="UGM135" s="537"/>
      <c r="UGN135" s="537"/>
      <c r="UGO135" s="537"/>
      <c r="UGP135" s="537"/>
      <c r="UGQ135" s="537"/>
      <c r="UGR135" s="537"/>
      <c r="UGS135" s="537"/>
      <c r="UGT135" s="537"/>
      <c r="UGU135" s="537"/>
      <c r="UGV135" s="537"/>
      <c r="UGW135" s="537"/>
      <c r="UGX135" s="537"/>
      <c r="UGY135" s="537"/>
      <c r="UGZ135" s="537"/>
      <c r="UHA135" s="537"/>
      <c r="UHB135" s="537"/>
      <c r="UHC135" s="537"/>
      <c r="UHD135" s="537"/>
      <c r="UHE135" s="537"/>
      <c r="UHF135" s="537"/>
      <c r="UHG135" s="537"/>
      <c r="UHH135" s="537"/>
      <c r="UHI135" s="537"/>
      <c r="UHJ135" s="537"/>
      <c r="UHK135" s="537"/>
      <c r="UHL135" s="537"/>
      <c r="UHM135" s="537"/>
      <c r="UHN135" s="537"/>
      <c r="UHO135" s="537"/>
      <c r="UHP135" s="537"/>
      <c r="UHQ135" s="537"/>
      <c r="UHR135" s="537"/>
      <c r="UHS135" s="537"/>
      <c r="UHT135" s="537"/>
      <c r="UHU135" s="537"/>
      <c r="UHV135" s="537"/>
      <c r="UHW135" s="537"/>
      <c r="UHX135" s="537"/>
      <c r="UHY135" s="537"/>
      <c r="UHZ135" s="537"/>
      <c r="UIA135" s="537"/>
      <c r="UIB135" s="537"/>
      <c r="UIC135" s="537"/>
      <c r="UID135" s="537"/>
      <c r="UIE135" s="537"/>
      <c r="UIF135" s="537"/>
      <c r="UIG135" s="537"/>
      <c r="UIH135" s="537"/>
      <c r="UII135" s="537"/>
      <c r="UIJ135" s="537"/>
      <c r="UIK135" s="537"/>
      <c r="UIL135" s="537"/>
      <c r="UIM135" s="537"/>
      <c r="UIN135" s="537"/>
      <c r="UIO135" s="537"/>
      <c r="UIP135" s="537"/>
      <c r="UIQ135" s="537"/>
      <c r="UIR135" s="537"/>
      <c r="UIS135" s="537"/>
      <c r="UIT135" s="537"/>
      <c r="UIU135" s="537"/>
      <c r="UIV135" s="537"/>
      <c r="UIW135" s="537"/>
      <c r="UIX135" s="537"/>
      <c r="UIY135" s="537"/>
      <c r="UIZ135" s="537"/>
      <c r="UJA135" s="537"/>
      <c r="UJB135" s="537"/>
      <c r="UJC135" s="537"/>
      <c r="UJD135" s="537"/>
      <c r="UJE135" s="537"/>
      <c r="UJF135" s="537"/>
      <c r="UJG135" s="537"/>
      <c r="UJH135" s="537"/>
      <c r="UJI135" s="537"/>
      <c r="UJJ135" s="537"/>
      <c r="UJK135" s="537"/>
      <c r="UJL135" s="537"/>
      <c r="UJM135" s="537"/>
      <c r="UJN135" s="537"/>
      <c r="UJO135" s="537"/>
      <c r="UJP135" s="537"/>
      <c r="UJQ135" s="537"/>
      <c r="UJR135" s="537"/>
      <c r="UJS135" s="537"/>
      <c r="UJT135" s="537"/>
      <c r="UJU135" s="537"/>
      <c r="UJV135" s="537"/>
      <c r="UJW135" s="537"/>
      <c r="UJX135" s="537"/>
      <c r="UJY135" s="537"/>
      <c r="UJZ135" s="537"/>
      <c r="UKA135" s="537"/>
      <c r="UKB135" s="537"/>
      <c r="UKC135" s="537"/>
      <c r="UKD135" s="537"/>
      <c r="UKE135" s="537"/>
      <c r="UKF135" s="537"/>
      <c r="UKG135" s="537"/>
      <c r="UKH135" s="537"/>
      <c r="UKI135" s="537"/>
      <c r="UKJ135" s="537"/>
      <c r="UKK135" s="537"/>
      <c r="UKL135" s="537"/>
      <c r="UKM135" s="537"/>
      <c r="UKN135" s="537"/>
      <c r="UKO135" s="537"/>
      <c r="UKP135" s="537"/>
      <c r="UKQ135" s="537"/>
      <c r="UKR135" s="537"/>
      <c r="UKS135" s="537"/>
      <c r="UKT135" s="537"/>
      <c r="UKU135" s="537"/>
      <c r="UKV135" s="537"/>
      <c r="UKW135" s="537"/>
      <c r="UKX135" s="537"/>
      <c r="UKY135" s="537"/>
      <c r="UKZ135" s="537"/>
      <c r="ULA135" s="537"/>
      <c r="ULB135" s="537"/>
      <c r="ULC135" s="537"/>
      <c r="ULD135" s="537"/>
      <c r="ULE135" s="537"/>
      <c r="ULF135" s="537"/>
      <c r="ULG135" s="537"/>
      <c r="ULH135" s="537"/>
      <c r="ULI135" s="537"/>
      <c r="ULJ135" s="537"/>
      <c r="ULK135" s="537"/>
      <c r="ULL135" s="537"/>
      <c r="ULM135" s="537"/>
      <c r="ULN135" s="537"/>
      <c r="ULO135" s="537"/>
      <c r="ULP135" s="537"/>
      <c r="ULQ135" s="537"/>
      <c r="ULR135" s="537"/>
      <c r="ULS135" s="537"/>
      <c r="ULT135" s="537"/>
      <c r="ULU135" s="537"/>
      <c r="ULV135" s="537"/>
      <c r="ULW135" s="537"/>
      <c r="ULX135" s="537"/>
      <c r="ULY135" s="537"/>
      <c r="ULZ135" s="537"/>
      <c r="UMA135" s="537"/>
      <c r="UMB135" s="537"/>
      <c r="UMC135" s="537"/>
      <c r="UMD135" s="537"/>
      <c r="UME135" s="537"/>
      <c r="UMF135" s="537"/>
      <c r="UMG135" s="537"/>
      <c r="UMH135" s="537"/>
      <c r="UMI135" s="537"/>
      <c r="UMJ135" s="537"/>
      <c r="UMK135" s="537"/>
      <c r="UML135" s="537"/>
      <c r="UMM135" s="537"/>
      <c r="UMN135" s="537"/>
      <c r="UMO135" s="537"/>
      <c r="UMP135" s="537"/>
      <c r="UMQ135" s="537"/>
      <c r="UMR135" s="537"/>
      <c r="UMS135" s="537"/>
      <c r="UMT135" s="537"/>
      <c r="UMU135" s="537"/>
      <c r="UMV135" s="537"/>
      <c r="UMW135" s="537"/>
      <c r="UMX135" s="537"/>
      <c r="UMY135" s="537"/>
      <c r="UMZ135" s="537"/>
      <c r="UNA135" s="537"/>
      <c r="UNB135" s="537"/>
      <c r="UNC135" s="537"/>
      <c r="UND135" s="537"/>
      <c r="UNE135" s="537"/>
      <c r="UNF135" s="537"/>
      <c r="UNG135" s="537"/>
      <c r="UNH135" s="537"/>
      <c r="UNI135" s="537"/>
      <c r="UNJ135" s="537"/>
      <c r="UNK135" s="537"/>
      <c r="UNL135" s="537"/>
      <c r="UNM135" s="537"/>
      <c r="UNN135" s="537"/>
      <c r="UNO135" s="537"/>
      <c r="UNP135" s="537"/>
      <c r="UNQ135" s="537"/>
      <c r="UNR135" s="537"/>
      <c r="UNS135" s="537"/>
      <c r="UNT135" s="537"/>
      <c r="UNU135" s="537"/>
      <c r="UNV135" s="537"/>
      <c r="UNW135" s="537"/>
      <c r="UNX135" s="537"/>
      <c r="UNY135" s="537"/>
      <c r="UNZ135" s="537"/>
      <c r="UOA135" s="537"/>
      <c r="UOB135" s="537"/>
      <c r="UOC135" s="537"/>
      <c r="UOD135" s="537"/>
      <c r="UOE135" s="537"/>
      <c r="UOF135" s="537"/>
      <c r="UOG135" s="537"/>
      <c r="UOH135" s="537"/>
      <c r="UOI135" s="537"/>
      <c r="UOJ135" s="537"/>
      <c r="UOK135" s="537"/>
      <c r="UOL135" s="537"/>
      <c r="UOM135" s="537"/>
      <c r="UON135" s="537"/>
      <c r="UOO135" s="537"/>
      <c r="UOP135" s="537"/>
      <c r="UOQ135" s="537"/>
      <c r="UOR135" s="537"/>
      <c r="UOS135" s="537"/>
      <c r="UOT135" s="537"/>
      <c r="UOU135" s="537"/>
      <c r="UOV135" s="537"/>
      <c r="UOW135" s="537"/>
      <c r="UOX135" s="537"/>
      <c r="UOY135" s="537"/>
      <c r="UOZ135" s="537"/>
      <c r="UPA135" s="537"/>
      <c r="UPB135" s="537"/>
      <c r="UPC135" s="537"/>
      <c r="UPD135" s="537"/>
      <c r="UPE135" s="537"/>
      <c r="UPF135" s="537"/>
      <c r="UPG135" s="537"/>
      <c r="UPH135" s="537"/>
      <c r="UPI135" s="537"/>
      <c r="UPJ135" s="537"/>
      <c r="UPK135" s="537"/>
      <c r="UPL135" s="537"/>
      <c r="UPM135" s="537"/>
      <c r="UPN135" s="537"/>
      <c r="UPO135" s="537"/>
      <c r="UPP135" s="537"/>
      <c r="UPQ135" s="537"/>
      <c r="UPR135" s="537"/>
      <c r="UPS135" s="537"/>
      <c r="UPT135" s="537"/>
      <c r="UPU135" s="537"/>
      <c r="UPV135" s="537"/>
      <c r="UPW135" s="537"/>
      <c r="UPX135" s="537"/>
      <c r="UPY135" s="537"/>
      <c r="UPZ135" s="537"/>
      <c r="UQA135" s="537"/>
      <c r="UQB135" s="537"/>
      <c r="UQC135" s="537"/>
      <c r="UQD135" s="537"/>
      <c r="UQE135" s="537"/>
      <c r="UQF135" s="537"/>
      <c r="UQG135" s="537"/>
      <c r="UQH135" s="537"/>
      <c r="UQI135" s="537"/>
      <c r="UQJ135" s="537"/>
      <c r="UQK135" s="537"/>
      <c r="UQL135" s="537"/>
      <c r="UQM135" s="537"/>
      <c r="UQN135" s="537"/>
      <c r="UQO135" s="537"/>
      <c r="UQP135" s="537"/>
      <c r="UQQ135" s="537"/>
      <c r="UQR135" s="537"/>
      <c r="UQS135" s="537"/>
      <c r="UQT135" s="537"/>
      <c r="UQU135" s="537"/>
      <c r="UQV135" s="537"/>
      <c r="UQW135" s="537"/>
      <c r="UQX135" s="537"/>
      <c r="UQY135" s="537"/>
      <c r="UQZ135" s="537"/>
      <c r="URA135" s="537"/>
      <c r="URB135" s="537"/>
      <c r="URC135" s="537"/>
      <c r="URD135" s="537"/>
      <c r="URE135" s="537"/>
      <c r="URF135" s="537"/>
      <c r="URG135" s="537"/>
      <c r="URH135" s="537"/>
      <c r="URI135" s="537"/>
      <c r="URJ135" s="537"/>
      <c r="URK135" s="537"/>
      <c r="URL135" s="537"/>
      <c r="URM135" s="537"/>
      <c r="URN135" s="537"/>
      <c r="URO135" s="537"/>
      <c r="URP135" s="537"/>
      <c r="URQ135" s="537"/>
      <c r="URR135" s="537"/>
      <c r="URS135" s="537"/>
      <c r="URT135" s="537"/>
      <c r="URU135" s="537"/>
      <c r="URV135" s="537"/>
      <c r="URW135" s="537"/>
      <c r="URX135" s="537"/>
      <c r="URY135" s="537"/>
      <c r="URZ135" s="537"/>
      <c r="USA135" s="537"/>
      <c r="USB135" s="537"/>
      <c r="USC135" s="537"/>
      <c r="USD135" s="537"/>
      <c r="USE135" s="537"/>
      <c r="USF135" s="537"/>
      <c r="USG135" s="537"/>
      <c r="USH135" s="537"/>
      <c r="USI135" s="537"/>
      <c r="USJ135" s="537"/>
      <c r="USK135" s="537"/>
      <c r="USL135" s="537"/>
      <c r="USM135" s="537"/>
      <c r="USN135" s="537"/>
      <c r="USO135" s="537"/>
      <c r="USP135" s="537"/>
      <c r="USQ135" s="537"/>
      <c r="USR135" s="537"/>
      <c r="USS135" s="537"/>
      <c r="UST135" s="537"/>
      <c r="USU135" s="537"/>
      <c r="USV135" s="537"/>
      <c r="USW135" s="537"/>
      <c r="USX135" s="537"/>
      <c r="USY135" s="537"/>
      <c r="USZ135" s="537"/>
      <c r="UTA135" s="537"/>
      <c r="UTB135" s="537"/>
      <c r="UTC135" s="537"/>
      <c r="UTD135" s="537"/>
      <c r="UTE135" s="537"/>
      <c r="UTF135" s="537"/>
      <c r="UTG135" s="537"/>
      <c r="UTH135" s="537"/>
      <c r="UTI135" s="537"/>
      <c r="UTJ135" s="537"/>
      <c r="UTK135" s="537"/>
      <c r="UTL135" s="537"/>
      <c r="UTM135" s="537"/>
      <c r="UTN135" s="537"/>
      <c r="UTO135" s="537"/>
      <c r="UTP135" s="537"/>
      <c r="UTQ135" s="537"/>
      <c r="UTR135" s="537"/>
      <c r="UTS135" s="537"/>
      <c r="UTT135" s="537"/>
      <c r="UTU135" s="537"/>
      <c r="UTV135" s="537"/>
      <c r="UTW135" s="537"/>
      <c r="UTX135" s="537"/>
      <c r="UTY135" s="537"/>
      <c r="UTZ135" s="537"/>
      <c r="UUA135" s="537"/>
      <c r="UUB135" s="537"/>
      <c r="UUC135" s="537"/>
      <c r="UUD135" s="537"/>
      <c r="UUE135" s="537"/>
      <c r="UUF135" s="537"/>
      <c r="UUG135" s="537"/>
      <c r="UUH135" s="537"/>
      <c r="UUI135" s="537"/>
      <c r="UUJ135" s="537"/>
      <c r="UUK135" s="537"/>
      <c r="UUL135" s="537"/>
      <c r="UUM135" s="537"/>
      <c r="UUN135" s="537"/>
      <c r="UUO135" s="537"/>
      <c r="UUP135" s="537"/>
      <c r="UUQ135" s="537"/>
      <c r="UUR135" s="537"/>
      <c r="UUS135" s="537"/>
      <c r="UUT135" s="537"/>
      <c r="UUU135" s="537"/>
      <c r="UUV135" s="537"/>
      <c r="UUW135" s="537"/>
      <c r="UUX135" s="537"/>
      <c r="UUY135" s="537"/>
      <c r="UUZ135" s="537"/>
      <c r="UVA135" s="537"/>
      <c r="UVB135" s="537"/>
      <c r="UVC135" s="537"/>
      <c r="UVD135" s="537"/>
      <c r="UVE135" s="537"/>
      <c r="UVF135" s="537"/>
      <c r="UVG135" s="537"/>
      <c r="UVH135" s="537"/>
      <c r="UVI135" s="537"/>
      <c r="UVJ135" s="537"/>
      <c r="UVK135" s="537"/>
      <c r="UVL135" s="537"/>
      <c r="UVM135" s="537"/>
      <c r="UVN135" s="537"/>
      <c r="UVO135" s="537"/>
      <c r="UVP135" s="537"/>
      <c r="UVQ135" s="537"/>
      <c r="UVR135" s="537"/>
      <c r="UVS135" s="537"/>
      <c r="UVT135" s="537"/>
      <c r="UVU135" s="537"/>
      <c r="UVV135" s="537"/>
      <c r="UVW135" s="537"/>
      <c r="UVX135" s="537"/>
      <c r="UVY135" s="537"/>
      <c r="UVZ135" s="537"/>
      <c r="UWA135" s="537"/>
      <c r="UWB135" s="537"/>
      <c r="UWC135" s="537"/>
      <c r="UWD135" s="537"/>
      <c r="UWE135" s="537"/>
      <c r="UWF135" s="537"/>
      <c r="UWG135" s="537"/>
      <c r="UWH135" s="537"/>
      <c r="UWI135" s="537"/>
      <c r="UWJ135" s="537"/>
      <c r="UWK135" s="537"/>
      <c r="UWL135" s="537"/>
      <c r="UWM135" s="537"/>
      <c r="UWN135" s="537"/>
      <c r="UWO135" s="537"/>
      <c r="UWP135" s="537"/>
      <c r="UWQ135" s="537"/>
      <c r="UWR135" s="537"/>
      <c r="UWS135" s="537"/>
      <c r="UWT135" s="537"/>
      <c r="UWU135" s="537"/>
      <c r="UWV135" s="537"/>
      <c r="UWW135" s="537"/>
      <c r="UWX135" s="537"/>
      <c r="UWY135" s="537"/>
      <c r="UWZ135" s="537"/>
      <c r="UXA135" s="537"/>
      <c r="UXB135" s="537"/>
      <c r="UXC135" s="537"/>
      <c r="UXD135" s="537"/>
      <c r="UXE135" s="537"/>
      <c r="UXF135" s="537"/>
      <c r="UXG135" s="537"/>
      <c r="UXH135" s="537"/>
      <c r="UXI135" s="537"/>
      <c r="UXJ135" s="537"/>
      <c r="UXK135" s="537"/>
      <c r="UXL135" s="537"/>
      <c r="UXM135" s="537"/>
      <c r="UXN135" s="537"/>
      <c r="UXO135" s="537"/>
      <c r="UXP135" s="537"/>
      <c r="UXQ135" s="537"/>
      <c r="UXR135" s="537"/>
      <c r="UXS135" s="537"/>
      <c r="UXT135" s="537"/>
      <c r="UXU135" s="537"/>
      <c r="UXV135" s="537"/>
      <c r="UXW135" s="537"/>
      <c r="UXX135" s="537"/>
      <c r="UXY135" s="537"/>
      <c r="UXZ135" s="537"/>
      <c r="UYA135" s="537"/>
      <c r="UYB135" s="537"/>
      <c r="UYC135" s="537"/>
      <c r="UYD135" s="537"/>
      <c r="UYE135" s="537"/>
      <c r="UYF135" s="537"/>
      <c r="UYG135" s="537"/>
      <c r="UYH135" s="537"/>
      <c r="UYI135" s="537"/>
      <c r="UYJ135" s="537"/>
      <c r="UYK135" s="537"/>
      <c r="UYL135" s="537"/>
      <c r="UYM135" s="537"/>
      <c r="UYN135" s="537"/>
      <c r="UYO135" s="537"/>
      <c r="UYP135" s="537"/>
      <c r="UYQ135" s="537"/>
      <c r="UYR135" s="537"/>
      <c r="UYS135" s="537"/>
      <c r="UYT135" s="537"/>
      <c r="UYU135" s="537"/>
      <c r="UYV135" s="537"/>
      <c r="UYW135" s="537"/>
      <c r="UYX135" s="537"/>
      <c r="UYY135" s="537"/>
      <c r="UYZ135" s="537"/>
      <c r="UZA135" s="537"/>
      <c r="UZB135" s="537"/>
      <c r="UZC135" s="537"/>
      <c r="UZD135" s="537"/>
      <c r="UZE135" s="537"/>
      <c r="UZF135" s="537"/>
      <c r="UZG135" s="537"/>
      <c r="UZH135" s="537"/>
      <c r="UZI135" s="537"/>
      <c r="UZJ135" s="537"/>
      <c r="UZK135" s="537"/>
      <c r="UZL135" s="537"/>
      <c r="UZM135" s="537"/>
      <c r="UZN135" s="537"/>
      <c r="UZO135" s="537"/>
      <c r="UZP135" s="537"/>
      <c r="UZQ135" s="537"/>
      <c r="UZR135" s="537"/>
      <c r="UZS135" s="537"/>
      <c r="UZT135" s="537"/>
      <c r="UZU135" s="537"/>
      <c r="UZV135" s="537"/>
      <c r="UZW135" s="537"/>
      <c r="UZX135" s="537"/>
      <c r="UZY135" s="537"/>
      <c r="UZZ135" s="537"/>
      <c r="VAA135" s="537"/>
      <c r="VAB135" s="537"/>
      <c r="VAC135" s="537"/>
      <c r="VAD135" s="537"/>
      <c r="VAE135" s="537"/>
      <c r="VAF135" s="537"/>
      <c r="VAG135" s="537"/>
      <c r="VAH135" s="537"/>
      <c r="VAI135" s="537"/>
      <c r="VAJ135" s="537"/>
      <c r="VAK135" s="537"/>
      <c r="VAL135" s="537"/>
      <c r="VAM135" s="537"/>
      <c r="VAN135" s="537"/>
      <c r="VAO135" s="537"/>
      <c r="VAP135" s="537"/>
      <c r="VAQ135" s="537"/>
      <c r="VAR135" s="537"/>
      <c r="VAS135" s="537"/>
      <c r="VAT135" s="537"/>
      <c r="VAU135" s="537"/>
      <c r="VAV135" s="537"/>
      <c r="VAW135" s="537"/>
      <c r="VAX135" s="537"/>
      <c r="VAY135" s="537"/>
      <c r="VAZ135" s="537"/>
      <c r="VBA135" s="537"/>
      <c r="VBB135" s="537"/>
      <c r="VBC135" s="537"/>
      <c r="VBD135" s="537"/>
      <c r="VBE135" s="537"/>
      <c r="VBF135" s="537"/>
      <c r="VBG135" s="537"/>
      <c r="VBH135" s="537"/>
      <c r="VBI135" s="537"/>
      <c r="VBJ135" s="537"/>
      <c r="VBK135" s="537"/>
      <c r="VBL135" s="537"/>
      <c r="VBM135" s="537"/>
      <c r="VBN135" s="537"/>
      <c r="VBO135" s="537"/>
      <c r="VBP135" s="537"/>
      <c r="VBQ135" s="537"/>
      <c r="VBR135" s="537"/>
      <c r="VBS135" s="537"/>
      <c r="VBT135" s="537"/>
      <c r="VBU135" s="537"/>
      <c r="VBV135" s="537"/>
      <c r="VBW135" s="537"/>
      <c r="VBX135" s="537"/>
      <c r="VBY135" s="537"/>
      <c r="VBZ135" s="537"/>
      <c r="VCA135" s="537"/>
      <c r="VCB135" s="537"/>
      <c r="VCC135" s="537"/>
      <c r="VCD135" s="537"/>
      <c r="VCE135" s="537"/>
      <c r="VCF135" s="537"/>
      <c r="VCG135" s="537"/>
      <c r="VCH135" s="537"/>
      <c r="VCI135" s="537"/>
      <c r="VCJ135" s="537"/>
      <c r="VCK135" s="537"/>
      <c r="VCL135" s="537"/>
      <c r="VCM135" s="537"/>
      <c r="VCN135" s="537"/>
      <c r="VCO135" s="537"/>
      <c r="VCP135" s="537"/>
      <c r="VCQ135" s="537"/>
      <c r="VCR135" s="537"/>
      <c r="VCS135" s="537"/>
      <c r="VCT135" s="537"/>
      <c r="VCU135" s="537"/>
      <c r="VCV135" s="537"/>
      <c r="VCW135" s="537"/>
      <c r="VCX135" s="537"/>
      <c r="VCY135" s="537"/>
      <c r="VCZ135" s="537"/>
      <c r="VDA135" s="537"/>
      <c r="VDB135" s="537"/>
      <c r="VDC135" s="537"/>
      <c r="VDD135" s="537"/>
      <c r="VDE135" s="537"/>
      <c r="VDF135" s="537"/>
      <c r="VDG135" s="537"/>
      <c r="VDH135" s="537"/>
      <c r="VDI135" s="537"/>
      <c r="VDJ135" s="537"/>
      <c r="VDK135" s="537"/>
      <c r="VDL135" s="537"/>
      <c r="VDM135" s="537"/>
      <c r="VDN135" s="537"/>
      <c r="VDO135" s="537"/>
      <c r="VDP135" s="537"/>
      <c r="VDQ135" s="537"/>
      <c r="VDR135" s="537"/>
      <c r="VDS135" s="537"/>
      <c r="VDT135" s="537"/>
      <c r="VDU135" s="537"/>
      <c r="VDV135" s="537"/>
      <c r="VDW135" s="537"/>
      <c r="VDX135" s="537"/>
      <c r="VDY135" s="537"/>
      <c r="VDZ135" s="537"/>
      <c r="VEA135" s="537"/>
      <c r="VEB135" s="537"/>
      <c r="VEC135" s="537"/>
      <c r="VED135" s="537"/>
      <c r="VEE135" s="537"/>
      <c r="VEF135" s="537"/>
      <c r="VEG135" s="537"/>
      <c r="VEH135" s="537"/>
      <c r="VEI135" s="537"/>
      <c r="VEJ135" s="537"/>
      <c r="VEK135" s="537"/>
      <c r="VEL135" s="537"/>
      <c r="VEM135" s="537"/>
      <c r="VEN135" s="537"/>
      <c r="VEO135" s="537"/>
      <c r="VEP135" s="537"/>
      <c r="VEQ135" s="537"/>
      <c r="VER135" s="537"/>
      <c r="VES135" s="537"/>
      <c r="VET135" s="537"/>
      <c r="VEU135" s="537"/>
      <c r="VEV135" s="537"/>
      <c r="VEW135" s="537"/>
      <c r="VEX135" s="537"/>
      <c r="VEY135" s="537"/>
      <c r="VEZ135" s="537"/>
      <c r="VFA135" s="537"/>
      <c r="VFB135" s="537"/>
      <c r="VFC135" s="537"/>
      <c r="VFD135" s="537"/>
      <c r="VFE135" s="537"/>
      <c r="VFF135" s="537"/>
      <c r="VFG135" s="537"/>
      <c r="VFH135" s="537"/>
      <c r="VFI135" s="537"/>
      <c r="VFJ135" s="537"/>
      <c r="VFK135" s="537"/>
      <c r="VFL135" s="537"/>
      <c r="VFM135" s="537"/>
      <c r="VFN135" s="537"/>
      <c r="VFO135" s="537"/>
      <c r="VFP135" s="537"/>
      <c r="VFQ135" s="537"/>
      <c r="VFR135" s="537"/>
      <c r="VFS135" s="537"/>
      <c r="VFT135" s="537"/>
      <c r="VFU135" s="537"/>
      <c r="VFV135" s="537"/>
      <c r="VFW135" s="537"/>
      <c r="VFX135" s="537"/>
      <c r="VFY135" s="537"/>
      <c r="VFZ135" s="537"/>
      <c r="VGA135" s="537"/>
      <c r="VGB135" s="537"/>
      <c r="VGC135" s="537"/>
      <c r="VGD135" s="537"/>
      <c r="VGE135" s="537"/>
      <c r="VGF135" s="537"/>
      <c r="VGG135" s="537"/>
      <c r="VGH135" s="537"/>
      <c r="VGI135" s="537"/>
      <c r="VGJ135" s="537"/>
      <c r="VGK135" s="537"/>
      <c r="VGL135" s="537"/>
      <c r="VGM135" s="537"/>
      <c r="VGN135" s="537"/>
      <c r="VGO135" s="537"/>
      <c r="VGP135" s="537"/>
      <c r="VGQ135" s="537"/>
      <c r="VGR135" s="537"/>
      <c r="VGS135" s="537"/>
      <c r="VGT135" s="537"/>
      <c r="VGU135" s="537"/>
      <c r="VGV135" s="537"/>
      <c r="VGW135" s="537"/>
      <c r="VGX135" s="537"/>
      <c r="VGY135" s="537"/>
      <c r="VGZ135" s="537"/>
      <c r="VHA135" s="537"/>
      <c r="VHB135" s="537"/>
      <c r="VHC135" s="537"/>
      <c r="VHD135" s="537"/>
      <c r="VHE135" s="537"/>
      <c r="VHF135" s="537"/>
      <c r="VHG135" s="537"/>
      <c r="VHH135" s="537"/>
      <c r="VHI135" s="537"/>
      <c r="VHJ135" s="537"/>
      <c r="VHK135" s="537"/>
      <c r="VHL135" s="537"/>
      <c r="VHM135" s="537"/>
      <c r="VHN135" s="537"/>
      <c r="VHO135" s="537"/>
      <c r="VHP135" s="537"/>
      <c r="VHQ135" s="537"/>
      <c r="VHR135" s="537"/>
      <c r="VHS135" s="537"/>
      <c r="VHT135" s="537"/>
      <c r="VHU135" s="537"/>
      <c r="VHV135" s="537"/>
      <c r="VHW135" s="537"/>
      <c r="VHX135" s="537"/>
      <c r="VHY135" s="537"/>
      <c r="VHZ135" s="537"/>
      <c r="VIA135" s="537"/>
      <c r="VIB135" s="537"/>
      <c r="VIC135" s="537"/>
      <c r="VID135" s="537"/>
      <c r="VIE135" s="537"/>
      <c r="VIF135" s="537"/>
      <c r="VIG135" s="537"/>
      <c r="VIH135" s="537"/>
      <c r="VII135" s="537"/>
      <c r="VIJ135" s="537"/>
      <c r="VIK135" s="537"/>
      <c r="VIL135" s="537"/>
      <c r="VIM135" s="537"/>
      <c r="VIN135" s="537"/>
      <c r="VIO135" s="537"/>
      <c r="VIP135" s="537"/>
      <c r="VIQ135" s="537"/>
      <c r="VIR135" s="537"/>
      <c r="VIS135" s="537"/>
      <c r="VIT135" s="537"/>
      <c r="VIU135" s="537"/>
      <c r="VIV135" s="537"/>
      <c r="VIW135" s="537"/>
      <c r="VIX135" s="537"/>
      <c r="VIY135" s="537"/>
      <c r="VIZ135" s="537"/>
      <c r="VJA135" s="537"/>
      <c r="VJB135" s="537"/>
      <c r="VJC135" s="537"/>
      <c r="VJD135" s="537"/>
      <c r="VJE135" s="537"/>
      <c r="VJF135" s="537"/>
      <c r="VJG135" s="537"/>
      <c r="VJH135" s="537"/>
      <c r="VJI135" s="537"/>
      <c r="VJJ135" s="537"/>
      <c r="VJK135" s="537"/>
      <c r="VJL135" s="537"/>
      <c r="VJM135" s="537"/>
      <c r="VJN135" s="537"/>
      <c r="VJO135" s="537"/>
      <c r="VJP135" s="537"/>
      <c r="VJQ135" s="537"/>
      <c r="VJR135" s="537"/>
      <c r="VJS135" s="537"/>
      <c r="VJT135" s="537"/>
      <c r="VJU135" s="537"/>
      <c r="VJV135" s="537"/>
      <c r="VJW135" s="537"/>
      <c r="VJX135" s="537"/>
      <c r="VJY135" s="537"/>
      <c r="VJZ135" s="537"/>
      <c r="VKA135" s="537"/>
      <c r="VKB135" s="537"/>
      <c r="VKC135" s="537"/>
      <c r="VKD135" s="537"/>
      <c r="VKE135" s="537"/>
      <c r="VKF135" s="537"/>
      <c r="VKG135" s="537"/>
      <c r="VKH135" s="537"/>
      <c r="VKI135" s="537"/>
      <c r="VKJ135" s="537"/>
      <c r="VKK135" s="537"/>
      <c r="VKL135" s="537"/>
      <c r="VKM135" s="537"/>
      <c r="VKN135" s="537"/>
      <c r="VKO135" s="537"/>
      <c r="VKP135" s="537"/>
      <c r="VKQ135" s="537"/>
      <c r="VKR135" s="537"/>
      <c r="VKS135" s="537"/>
      <c r="VKT135" s="537"/>
      <c r="VKU135" s="537"/>
      <c r="VKV135" s="537"/>
      <c r="VKW135" s="537"/>
      <c r="VKX135" s="537"/>
      <c r="VKY135" s="537"/>
      <c r="VKZ135" s="537"/>
      <c r="VLA135" s="537"/>
      <c r="VLB135" s="537"/>
      <c r="VLC135" s="537"/>
      <c r="VLD135" s="537"/>
      <c r="VLE135" s="537"/>
      <c r="VLF135" s="537"/>
      <c r="VLG135" s="537"/>
      <c r="VLH135" s="537"/>
      <c r="VLI135" s="537"/>
      <c r="VLJ135" s="537"/>
      <c r="VLK135" s="537"/>
      <c r="VLL135" s="537"/>
      <c r="VLM135" s="537"/>
      <c r="VLN135" s="537"/>
      <c r="VLO135" s="537"/>
      <c r="VLP135" s="537"/>
      <c r="VLQ135" s="537"/>
      <c r="VLR135" s="537"/>
      <c r="VLS135" s="537"/>
      <c r="VLT135" s="537"/>
      <c r="VLU135" s="537"/>
      <c r="VLV135" s="537"/>
      <c r="VLW135" s="537"/>
      <c r="VLX135" s="537"/>
      <c r="VLY135" s="537"/>
      <c r="VLZ135" s="537"/>
      <c r="VMA135" s="537"/>
      <c r="VMB135" s="537"/>
      <c r="VMC135" s="537"/>
      <c r="VMD135" s="537"/>
      <c r="VME135" s="537"/>
      <c r="VMF135" s="537"/>
      <c r="VMG135" s="537"/>
      <c r="VMH135" s="537"/>
      <c r="VMI135" s="537"/>
      <c r="VMJ135" s="537"/>
      <c r="VMK135" s="537"/>
      <c r="VML135" s="537"/>
      <c r="VMM135" s="537"/>
      <c r="VMN135" s="537"/>
      <c r="VMO135" s="537"/>
      <c r="VMP135" s="537"/>
      <c r="VMQ135" s="537"/>
      <c r="VMR135" s="537"/>
      <c r="VMS135" s="537"/>
      <c r="VMT135" s="537"/>
      <c r="VMU135" s="537"/>
      <c r="VMV135" s="537"/>
      <c r="VMW135" s="537"/>
      <c r="VMX135" s="537"/>
      <c r="VMY135" s="537"/>
      <c r="VMZ135" s="537"/>
      <c r="VNA135" s="537"/>
      <c r="VNB135" s="537"/>
      <c r="VNC135" s="537"/>
      <c r="VND135" s="537"/>
      <c r="VNE135" s="537"/>
      <c r="VNF135" s="537"/>
      <c r="VNG135" s="537"/>
      <c r="VNH135" s="537"/>
      <c r="VNI135" s="537"/>
      <c r="VNJ135" s="537"/>
      <c r="VNK135" s="537"/>
      <c r="VNL135" s="537"/>
      <c r="VNM135" s="537"/>
      <c r="VNN135" s="537"/>
      <c r="VNO135" s="537"/>
      <c r="VNP135" s="537"/>
      <c r="VNQ135" s="537"/>
      <c r="VNR135" s="537"/>
      <c r="VNS135" s="537"/>
      <c r="VNT135" s="537"/>
      <c r="VNU135" s="537"/>
      <c r="VNV135" s="537"/>
      <c r="VNW135" s="537"/>
      <c r="VNX135" s="537"/>
      <c r="VNY135" s="537"/>
      <c r="VNZ135" s="537"/>
      <c r="VOA135" s="537"/>
      <c r="VOB135" s="537"/>
      <c r="VOC135" s="537"/>
      <c r="VOD135" s="537"/>
      <c r="VOE135" s="537"/>
      <c r="VOF135" s="537"/>
      <c r="VOG135" s="537"/>
      <c r="VOH135" s="537"/>
      <c r="VOI135" s="537"/>
      <c r="VOJ135" s="537"/>
      <c r="VOK135" s="537"/>
      <c r="VOL135" s="537"/>
      <c r="VOM135" s="537"/>
      <c r="VON135" s="537"/>
      <c r="VOO135" s="537"/>
      <c r="VOP135" s="537"/>
      <c r="VOQ135" s="537"/>
      <c r="VOR135" s="537"/>
      <c r="VOS135" s="537"/>
      <c r="VOT135" s="537"/>
      <c r="VOU135" s="537"/>
      <c r="VOV135" s="537"/>
      <c r="VOW135" s="537"/>
      <c r="VOX135" s="537"/>
      <c r="VOY135" s="537"/>
      <c r="VOZ135" s="537"/>
      <c r="VPA135" s="537"/>
      <c r="VPB135" s="537"/>
      <c r="VPC135" s="537"/>
      <c r="VPD135" s="537"/>
      <c r="VPE135" s="537"/>
      <c r="VPF135" s="537"/>
      <c r="VPG135" s="537"/>
      <c r="VPH135" s="537"/>
      <c r="VPI135" s="537"/>
      <c r="VPJ135" s="537"/>
      <c r="VPK135" s="537"/>
      <c r="VPL135" s="537"/>
      <c r="VPM135" s="537"/>
      <c r="VPN135" s="537"/>
      <c r="VPO135" s="537"/>
      <c r="VPP135" s="537"/>
      <c r="VPQ135" s="537"/>
      <c r="VPR135" s="537"/>
      <c r="VPS135" s="537"/>
      <c r="VPT135" s="537"/>
      <c r="VPU135" s="537"/>
      <c r="VPV135" s="537"/>
      <c r="VPW135" s="537"/>
      <c r="VPX135" s="537"/>
      <c r="VPY135" s="537"/>
      <c r="VPZ135" s="537"/>
      <c r="VQA135" s="537"/>
      <c r="VQB135" s="537"/>
      <c r="VQC135" s="537"/>
      <c r="VQD135" s="537"/>
      <c r="VQE135" s="537"/>
      <c r="VQF135" s="537"/>
      <c r="VQG135" s="537"/>
      <c r="VQH135" s="537"/>
      <c r="VQI135" s="537"/>
      <c r="VQJ135" s="537"/>
      <c r="VQK135" s="537"/>
      <c r="VQL135" s="537"/>
      <c r="VQM135" s="537"/>
      <c r="VQN135" s="537"/>
      <c r="VQO135" s="537"/>
      <c r="VQP135" s="537"/>
      <c r="VQQ135" s="537"/>
      <c r="VQR135" s="537"/>
      <c r="VQS135" s="537"/>
      <c r="VQT135" s="537"/>
      <c r="VQU135" s="537"/>
      <c r="VQV135" s="537"/>
      <c r="VQW135" s="537"/>
      <c r="VQX135" s="537"/>
      <c r="VQY135" s="537"/>
      <c r="VQZ135" s="537"/>
      <c r="VRA135" s="537"/>
      <c r="VRB135" s="537"/>
      <c r="VRC135" s="537"/>
      <c r="VRD135" s="537"/>
      <c r="VRE135" s="537"/>
      <c r="VRF135" s="537"/>
      <c r="VRG135" s="537"/>
      <c r="VRH135" s="537"/>
      <c r="VRI135" s="537"/>
      <c r="VRJ135" s="537"/>
      <c r="VRK135" s="537"/>
      <c r="VRL135" s="537"/>
      <c r="VRM135" s="537"/>
      <c r="VRN135" s="537"/>
      <c r="VRO135" s="537"/>
      <c r="VRP135" s="537"/>
      <c r="VRQ135" s="537"/>
      <c r="VRR135" s="537"/>
      <c r="VRS135" s="537"/>
      <c r="VRT135" s="537"/>
      <c r="VRU135" s="537"/>
      <c r="VRV135" s="537"/>
      <c r="VRW135" s="537"/>
      <c r="VRX135" s="537"/>
      <c r="VRY135" s="537"/>
      <c r="VRZ135" s="537"/>
      <c r="VSA135" s="537"/>
      <c r="VSB135" s="537"/>
      <c r="VSC135" s="537"/>
      <c r="VSD135" s="537"/>
      <c r="VSE135" s="537"/>
      <c r="VSF135" s="537"/>
      <c r="VSG135" s="537"/>
      <c r="VSH135" s="537"/>
      <c r="VSI135" s="537"/>
      <c r="VSJ135" s="537"/>
      <c r="VSK135" s="537"/>
      <c r="VSL135" s="537"/>
      <c r="VSM135" s="537"/>
      <c r="VSN135" s="537"/>
      <c r="VSO135" s="537"/>
      <c r="VSP135" s="537"/>
      <c r="VSQ135" s="537"/>
      <c r="VSR135" s="537"/>
      <c r="VSS135" s="537"/>
      <c r="VST135" s="537"/>
      <c r="VSU135" s="537"/>
      <c r="VSV135" s="537"/>
      <c r="VSW135" s="537"/>
      <c r="VSX135" s="537"/>
      <c r="VSY135" s="537"/>
      <c r="VSZ135" s="537"/>
      <c r="VTA135" s="537"/>
      <c r="VTB135" s="537"/>
      <c r="VTC135" s="537"/>
      <c r="VTD135" s="537"/>
      <c r="VTE135" s="537"/>
      <c r="VTF135" s="537"/>
      <c r="VTG135" s="537"/>
      <c r="VTH135" s="537"/>
      <c r="VTI135" s="537"/>
      <c r="VTJ135" s="537"/>
      <c r="VTK135" s="537"/>
      <c r="VTL135" s="537"/>
      <c r="VTM135" s="537"/>
      <c r="VTN135" s="537"/>
      <c r="VTO135" s="537"/>
      <c r="VTP135" s="537"/>
      <c r="VTQ135" s="537"/>
      <c r="VTR135" s="537"/>
      <c r="VTS135" s="537"/>
      <c r="VTT135" s="537"/>
      <c r="VTU135" s="537"/>
      <c r="VTV135" s="537"/>
      <c r="VTW135" s="537"/>
      <c r="VTX135" s="537"/>
      <c r="VTY135" s="537"/>
      <c r="VTZ135" s="537"/>
      <c r="VUA135" s="537"/>
      <c r="VUB135" s="537"/>
      <c r="VUC135" s="537"/>
      <c r="VUD135" s="537"/>
      <c r="VUE135" s="537"/>
      <c r="VUF135" s="537"/>
      <c r="VUG135" s="537"/>
      <c r="VUH135" s="537"/>
      <c r="VUI135" s="537"/>
      <c r="VUJ135" s="537"/>
      <c r="VUK135" s="537"/>
      <c r="VUL135" s="537"/>
      <c r="VUM135" s="537"/>
      <c r="VUN135" s="537"/>
      <c r="VUO135" s="537"/>
      <c r="VUP135" s="537"/>
      <c r="VUQ135" s="537"/>
      <c r="VUR135" s="537"/>
      <c r="VUS135" s="537"/>
      <c r="VUT135" s="537"/>
      <c r="VUU135" s="537"/>
      <c r="VUV135" s="537"/>
      <c r="VUW135" s="537"/>
      <c r="VUX135" s="537"/>
      <c r="VUY135" s="537"/>
      <c r="VUZ135" s="537"/>
      <c r="VVA135" s="537"/>
      <c r="VVB135" s="537"/>
      <c r="VVC135" s="537"/>
      <c r="VVD135" s="537"/>
      <c r="VVE135" s="537"/>
      <c r="VVF135" s="537"/>
      <c r="VVG135" s="537"/>
      <c r="VVH135" s="537"/>
      <c r="VVI135" s="537"/>
      <c r="VVJ135" s="537"/>
      <c r="VVK135" s="537"/>
      <c r="VVL135" s="537"/>
      <c r="VVM135" s="537"/>
      <c r="VVN135" s="537"/>
      <c r="VVO135" s="537"/>
      <c r="VVP135" s="537"/>
      <c r="VVQ135" s="537"/>
      <c r="VVR135" s="537"/>
      <c r="VVS135" s="537"/>
      <c r="VVT135" s="537"/>
      <c r="VVU135" s="537"/>
      <c r="VVV135" s="537"/>
      <c r="VVW135" s="537"/>
      <c r="VVX135" s="537"/>
      <c r="VVY135" s="537"/>
      <c r="VVZ135" s="537"/>
      <c r="VWA135" s="537"/>
      <c r="VWB135" s="537"/>
      <c r="VWC135" s="537"/>
      <c r="VWD135" s="537"/>
      <c r="VWE135" s="537"/>
      <c r="VWF135" s="537"/>
      <c r="VWG135" s="537"/>
      <c r="VWH135" s="537"/>
      <c r="VWI135" s="537"/>
      <c r="VWJ135" s="537"/>
      <c r="VWK135" s="537"/>
      <c r="VWL135" s="537"/>
      <c r="VWM135" s="537"/>
      <c r="VWN135" s="537"/>
      <c r="VWO135" s="537"/>
      <c r="VWP135" s="537"/>
      <c r="VWQ135" s="537"/>
      <c r="VWR135" s="537"/>
      <c r="VWS135" s="537"/>
      <c r="VWT135" s="537"/>
      <c r="VWU135" s="537"/>
      <c r="VWV135" s="537"/>
      <c r="VWW135" s="537"/>
      <c r="VWX135" s="537"/>
      <c r="VWY135" s="537"/>
      <c r="VWZ135" s="537"/>
      <c r="VXA135" s="537"/>
      <c r="VXB135" s="537"/>
      <c r="VXC135" s="537"/>
      <c r="VXD135" s="537"/>
      <c r="VXE135" s="537"/>
      <c r="VXF135" s="537"/>
      <c r="VXG135" s="537"/>
      <c r="VXH135" s="537"/>
      <c r="VXI135" s="537"/>
      <c r="VXJ135" s="537"/>
      <c r="VXK135" s="537"/>
      <c r="VXL135" s="537"/>
      <c r="VXM135" s="537"/>
      <c r="VXN135" s="537"/>
      <c r="VXO135" s="537"/>
      <c r="VXP135" s="537"/>
      <c r="VXQ135" s="537"/>
      <c r="VXR135" s="537"/>
      <c r="VXS135" s="537"/>
      <c r="VXT135" s="537"/>
      <c r="VXU135" s="537"/>
      <c r="VXV135" s="537"/>
      <c r="VXW135" s="537"/>
      <c r="VXX135" s="537"/>
      <c r="VXY135" s="537"/>
      <c r="VXZ135" s="537"/>
      <c r="VYA135" s="537"/>
      <c r="VYB135" s="537"/>
      <c r="VYC135" s="537"/>
      <c r="VYD135" s="537"/>
      <c r="VYE135" s="537"/>
      <c r="VYF135" s="537"/>
      <c r="VYG135" s="537"/>
      <c r="VYH135" s="537"/>
      <c r="VYI135" s="537"/>
      <c r="VYJ135" s="537"/>
      <c r="VYK135" s="537"/>
      <c r="VYL135" s="537"/>
      <c r="VYM135" s="537"/>
      <c r="VYN135" s="537"/>
      <c r="VYO135" s="537"/>
      <c r="VYP135" s="537"/>
      <c r="VYQ135" s="537"/>
      <c r="VYR135" s="537"/>
      <c r="VYS135" s="537"/>
      <c r="VYT135" s="537"/>
      <c r="VYU135" s="537"/>
      <c r="VYV135" s="537"/>
      <c r="VYW135" s="537"/>
      <c r="VYX135" s="537"/>
      <c r="VYY135" s="537"/>
      <c r="VYZ135" s="537"/>
      <c r="VZA135" s="537"/>
      <c r="VZB135" s="537"/>
      <c r="VZC135" s="537"/>
      <c r="VZD135" s="537"/>
      <c r="VZE135" s="537"/>
      <c r="VZF135" s="537"/>
      <c r="VZG135" s="537"/>
      <c r="VZH135" s="537"/>
      <c r="VZI135" s="537"/>
      <c r="VZJ135" s="537"/>
      <c r="VZK135" s="537"/>
      <c r="VZL135" s="537"/>
      <c r="VZM135" s="537"/>
      <c r="VZN135" s="537"/>
      <c r="VZO135" s="537"/>
      <c r="VZP135" s="537"/>
      <c r="VZQ135" s="537"/>
      <c r="VZR135" s="537"/>
      <c r="VZS135" s="537"/>
      <c r="VZT135" s="537"/>
      <c r="VZU135" s="537"/>
      <c r="VZV135" s="537"/>
      <c r="VZW135" s="537"/>
      <c r="VZX135" s="537"/>
      <c r="VZY135" s="537"/>
      <c r="VZZ135" s="537"/>
      <c r="WAA135" s="537"/>
      <c r="WAB135" s="537"/>
      <c r="WAC135" s="537"/>
      <c r="WAD135" s="537"/>
      <c r="WAE135" s="537"/>
      <c r="WAF135" s="537"/>
      <c r="WAG135" s="537"/>
      <c r="WAH135" s="537"/>
      <c r="WAI135" s="537"/>
      <c r="WAJ135" s="537"/>
      <c r="WAK135" s="537"/>
      <c r="WAL135" s="537"/>
      <c r="WAM135" s="537"/>
      <c r="WAN135" s="537"/>
      <c r="WAO135" s="537"/>
      <c r="WAP135" s="537"/>
      <c r="WAQ135" s="537"/>
      <c r="WAR135" s="537"/>
      <c r="WAS135" s="537"/>
      <c r="WAT135" s="537"/>
      <c r="WAU135" s="537"/>
      <c r="WAV135" s="537"/>
      <c r="WAW135" s="537"/>
      <c r="WAX135" s="537"/>
      <c r="WAY135" s="537"/>
      <c r="WAZ135" s="537"/>
      <c r="WBA135" s="537"/>
      <c r="WBB135" s="537"/>
      <c r="WBC135" s="537"/>
      <c r="WBD135" s="537"/>
      <c r="WBE135" s="537"/>
      <c r="WBF135" s="537"/>
      <c r="WBG135" s="537"/>
      <c r="WBH135" s="537"/>
      <c r="WBI135" s="537"/>
      <c r="WBJ135" s="537"/>
      <c r="WBK135" s="537"/>
      <c r="WBL135" s="537"/>
      <c r="WBM135" s="537"/>
      <c r="WBN135" s="537"/>
      <c r="WBO135" s="537"/>
      <c r="WBP135" s="537"/>
      <c r="WBQ135" s="537"/>
      <c r="WBR135" s="537"/>
      <c r="WBS135" s="537"/>
      <c r="WBT135" s="537"/>
      <c r="WBU135" s="537"/>
      <c r="WBV135" s="537"/>
      <c r="WBW135" s="537"/>
      <c r="WBX135" s="537"/>
      <c r="WBY135" s="537"/>
      <c r="WBZ135" s="537"/>
      <c r="WCA135" s="537"/>
      <c r="WCB135" s="537"/>
      <c r="WCC135" s="537"/>
      <c r="WCD135" s="537"/>
      <c r="WCE135" s="537"/>
      <c r="WCF135" s="537"/>
      <c r="WCG135" s="537"/>
      <c r="WCH135" s="537"/>
      <c r="WCI135" s="537"/>
      <c r="WCJ135" s="537"/>
      <c r="WCK135" s="537"/>
      <c r="WCL135" s="537"/>
      <c r="WCM135" s="537"/>
      <c r="WCN135" s="537"/>
      <c r="WCO135" s="537"/>
      <c r="WCP135" s="537"/>
      <c r="WCQ135" s="537"/>
      <c r="WCR135" s="537"/>
      <c r="WCS135" s="537"/>
      <c r="WCT135" s="537"/>
      <c r="WCU135" s="537"/>
      <c r="WCV135" s="537"/>
      <c r="WCW135" s="537"/>
      <c r="WCX135" s="537"/>
      <c r="WCY135" s="537"/>
      <c r="WCZ135" s="537"/>
      <c r="WDA135" s="537"/>
      <c r="WDB135" s="537"/>
      <c r="WDC135" s="537"/>
      <c r="WDD135" s="537"/>
      <c r="WDE135" s="537"/>
      <c r="WDF135" s="537"/>
      <c r="WDG135" s="537"/>
      <c r="WDH135" s="537"/>
      <c r="WDI135" s="537"/>
      <c r="WDJ135" s="537"/>
      <c r="WDK135" s="537"/>
      <c r="WDL135" s="537"/>
      <c r="WDM135" s="537"/>
      <c r="WDN135" s="537"/>
      <c r="WDO135" s="537"/>
      <c r="WDP135" s="537"/>
      <c r="WDQ135" s="537"/>
      <c r="WDR135" s="537"/>
      <c r="WDS135" s="537"/>
      <c r="WDT135" s="537"/>
      <c r="WDU135" s="537"/>
      <c r="WDV135" s="537"/>
      <c r="WDW135" s="537"/>
      <c r="WDX135" s="537"/>
      <c r="WDY135" s="537"/>
      <c r="WDZ135" s="537"/>
      <c r="WEA135" s="537"/>
      <c r="WEB135" s="537"/>
      <c r="WEC135" s="537"/>
      <c r="WED135" s="537"/>
      <c r="WEE135" s="537"/>
      <c r="WEF135" s="537"/>
      <c r="WEG135" s="537"/>
      <c r="WEH135" s="537"/>
      <c r="WEI135" s="537"/>
      <c r="WEJ135" s="537"/>
      <c r="WEK135" s="537"/>
      <c r="WEL135" s="537"/>
      <c r="WEM135" s="537"/>
      <c r="WEN135" s="537"/>
      <c r="WEO135" s="537"/>
      <c r="WEP135" s="537"/>
      <c r="WEQ135" s="537"/>
      <c r="WER135" s="537"/>
      <c r="WES135" s="537"/>
      <c r="WET135" s="537"/>
      <c r="WEU135" s="537"/>
      <c r="WEV135" s="537"/>
      <c r="WEW135" s="537"/>
      <c r="WEX135" s="537"/>
      <c r="WEY135" s="537"/>
      <c r="WEZ135" s="537"/>
      <c r="WFA135" s="537"/>
      <c r="WFB135" s="537"/>
      <c r="WFC135" s="537"/>
      <c r="WFD135" s="537"/>
      <c r="WFE135" s="537"/>
      <c r="WFF135" s="537"/>
      <c r="WFG135" s="537"/>
      <c r="WFH135" s="537"/>
      <c r="WFI135" s="537"/>
      <c r="WFJ135" s="537"/>
      <c r="WFK135" s="537"/>
      <c r="WFL135" s="537"/>
      <c r="WFM135" s="537"/>
      <c r="WFN135" s="537"/>
      <c r="WFO135" s="537"/>
      <c r="WFP135" s="537"/>
      <c r="WFQ135" s="537"/>
      <c r="WFR135" s="537"/>
      <c r="WFS135" s="537"/>
      <c r="WFT135" s="537"/>
      <c r="WFU135" s="537"/>
      <c r="WFV135" s="537"/>
      <c r="WFW135" s="537"/>
      <c r="WFX135" s="537"/>
      <c r="WFY135" s="537"/>
      <c r="WFZ135" s="537"/>
      <c r="WGA135" s="537"/>
      <c r="WGB135" s="537"/>
      <c r="WGC135" s="537"/>
      <c r="WGD135" s="537"/>
      <c r="WGE135" s="537"/>
      <c r="WGF135" s="537"/>
      <c r="WGG135" s="537"/>
      <c r="WGH135" s="537"/>
      <c r="WGI135" s="537"/>
      <c r="WGJ135" s="537"/>
      <c r="WGK135" s="537"/>
      <c r="WGL135" s="537"/>
      <c r="WGM135" s="537"/>
      <c r="WGN135" s="537"/>
      <c r="WGO135" s="537"/>
      <c r="WGP135" s="537"/>
      <c r="WGQ135" s="537"/>
      <c r="WGR135" s="537"/>
      <c r="WGS135" s="537"/>
      <c r="WGT135" s="537"/>
      <c r="WGU135" s="537"/>
      <c r="WGV135" s="537"/>
      <c r="WGW135" s="537"/>
      <c r="WGX135" s="537"/>
      <c r="WGY135" s="537"/>
      <c r="WGZ135" s="537"/>
      <c r="WHA135" s="537"/>
      <c r="WHB135" s="537"/>
      <c r="WHC135" s="537"/>
      <c r="WHD135" s="537"/>
      <c r="WHE135" s="537"/>
      <c r="WHF135" s="537"/>
      <c r="WHG135" s="537"/>
      <c r="WHH135" s="537"/>
      <c r="WHI135" s="537"/>
      <c r="WHJ135" s="537"/>
      <c r="WHK135" s="537"/>
      <c r="WHL135" s="537"/>
      <c r="WHM135" s="537"/>
      <c r="WHN135" s="537"/>
      <c r="WHO135" s="537"/>
      <c r="WHP135" s="537"/>
      <c r="WHQ135" s="537"/>
      <c r="WHR135" s="537"/>
      <c r="WHS135" s="537"/>
      <c r="WHT135" s="537"/>
      <c r="WHU135" s="537"/>
      <c r="WHV135" s="537"/>
      <c r="WHW135" s="537"/>
      <c r="WHX135" s="537"/>
      <c r="WHY135" s="537"/>
      <c r="WHZ135" s="537"/>
      <c r="WIA135" s="537"/>
      <c r="WIB135" s="537"/>
      <c r="WIC135" s="537"/>
      <c r="WID135" s="537"/>
      <c r="WIE135" s="537"/>
      <c r="WIF135" s="537"/>
      <c r="WIG135" s="537"/>
      <c r="WIH135" s="537"/>
      <c r="WII135" s="537"/>
      <c r="WIJ135" s="537"/>
      <c r="WIK135" s="537"/>
      <c r="WIL135" s="537"/>
      <c r="WIM135" s="537"/>
      <c r="WIN135" s="537"/>
      <c r="WIO135" s="537"/>
      <c r="WIP135" s="537"/>
      <c r="WIQ135" s="537"/>
      <c r="WIR135" s="537"/>
      <c r="WIS135" s="537"/>
      <c r="WIT135" s="537"/>
      <c r="WIU135" s="537"/>
      <c r="WIV135" s="537"/>
      <c r="WIW135" s="537"/>
      <c r="WIX135" s="537"/>
      <c r="WIY135" s="537"/>
      <c r="WIZ135" s="537"/>
      <c r="WJA135" s="537"/>
      <c r="WJB135" s="537"/>
      <c r="WJC135" s="537"/>
      <c r="WJD135" s="537"/>
      <c r="WJE135" s="537"/>
      <c r="WJF135" s="537"/>
      <c r="WJG135" s="537"/>
      <c r="WJH135" s="537"/>
      <c r="WJI135" s="537"/>
      <c r="WJJ135" s="537"/>
      <c r="WJK135" s="537"/>
      <c r="WJL135" s="537"/>
      <c r="WJM135" s="537"/>
      <c r="WJN135" s="537"/>
      <c r="WJO135" s="537"/>
      <c r="WJP135" s="537"/>
      <c r="WJQ135" s="537"/>
      <c r="WJR135" s="537"/>
      <c r="WJS135" s="537"/>
      <c r="WJT135" s="537"/>
      <c r="WJU135" s="537"/>
      <c r="WJV135" s="537"/>
      <c r="WJW135" s="537"/>
      <c r="WJX135" s="537"/>
      <c r="WJY135" s="537"/>
      <c r="WJZ135" s="537"/>
      <c r="WKA135" s="537"/>
      <c r="WKB135" s="537"/>
      <c r="WKC135" s="537"/>
      <c r="WKD135" s="537"/>
      <c r="WKE135" s="537"/>
      <c r="WKF135" s="537"/>
      <c r="WKG135" s="537"/>
      <c r="WKH135" s="537"/>
      <c r="WKI135" s="537"/>
      <c r="WKJ135" s="537"/>
      <c r="WKK135" s="537"/>
      <c r="WKL135" s="537"/>
      <c r="WKM135" s="537"/>
      <c r="WKN135" s="537"/>
      <c r="WKO135" s="537"/>
      <c r="WKP135" s="537"/>
      <c r="WKQ135" s="537"/>
      <c r="WKR135" s="537"/>
      <c r="WKS135" s="537"/>
      <c r="WKT135" s="537"/>
      <c r="WKU135" s="537"/>
      <c r="WKV135" s="537"/>
      <c r="WKW135" s="537"/>
      <c r="WKX135" s="537"/>
      <c r="WKY135" s="537"/>
      <c r="WKZ135" s="537"/>
      <c r="WLA135" s="537"/>
      <c r="WLB135" s="537"/>
      <c r="WLC135" s="537"/>
      <c r="WLD135" s="537"/>
      <c r="WLE135" s="537"/>
      <c r="WLF135" s="537"/>
      <c r="WLG135" s="537"/>
      <c r="WLH135" s="537"/>
      <c r="WLI135" s="537"/>
      <c r="WLJ135" s="537"/>
      <c r="WLK135" s="537"/>
      <c r="WLL135" s="537"/>
      <c r="WLM135" s="537"/>
      <c r="WLN135" s="537"/>
      <c r="WLO135" s="537"/>
      <c r="WLP135" s="537"/>
      <c r="WLQ135" s="537"/>
      <c r="WLR135" s="537"/>
      <c r="WLS135" s="537"/>
      <c r="WLT135" s="537"/>
      <c r="WLU135" s="537"/>
      <c r="WLV135" s="537"/>
      <c r="WLW135" s="537"/>
      <c r="WLX135" s="537"/>
      <c r="WLY135" s="537"/>
      <c r="WLZ135" s="537"/>
      <c r="WMA135" s="537"/>
      <c r="WMB135" s="537"/>
      <c r="WMC135" s="537"/>
      <c r="WMD135" s="537"/>
      <c r="WME135" s="537"/>
      <c r="WMF135" s="537"/>
      <c r="WMG135" s="537"/>
      <c r="WMH135" s="537"/>
      <c r="WMI135" s="537"/>
      <c r="WMJ135" s="537"/>
      <c r="WMK135" s="537"/>
      <c r="WML135" s="537"/>
      <c r="WMM135" s="537"/>
      <c r="WMN135" s="537"/>
      <c r="WMO135" s="537"/>
      <c r="WMP135" s="537"/>
      <c r="WMQ135" s="537"/>
      <c r="WMR135" s="537"/>
      <c r="WMS135" s="537"/>
      <c r="WMT135" s="537"/>
      <c r="WMU135" s="537"/>
      <c r="WMV135" s="537"/>
      <c r="WMW135" s="537"/>
      <c r="WMX135" s="537"/>
      <c r="WMY135" s="537"/>
      <c r="WMZ135" s="537"/>
      <c r="WNA135" s="537"/>
      <c r="WNB135" s="537"/>
      <c r="WNC135" s="537"/>
      <c r="WND135" s="537"/>
      <c r="WNE135" s="537"/>
      <c r="WNF135" s="537"/>
      <c r="WNG135" s="537"/>
      <c r="WNH135" s="537"/>
      <c r="WNI135" s="537"/>
      <c r="WNJ135" s="537"/>
      <c r="WNK135" s="537"/>
      <c r="WNL135" s="537"/>
      <c r="WNM135" s="537"/>
      <c r="WNN135" s="537"/>
      <c r="WNO135" s="537"/>
      <c r="WNP135" s="537"/>
      <c r="WNQ135" s="537"/>
      <c r="WNR135" s="537"/>
      <c r="WNS135" s="537"/>
      <c r="WNT135" s="537"/>
      <c r="WNU135" s="537"/>
      <c r="WNV135" s="537"/>
      <c r="WNW135" s="537"/>
      <c r="WNX135" s="537"/>
      <c r="WNY135" s="537"/>
      <c r="WNZ135" s="537"/>
      <c r="WOA135" s="537"/>
      <c r="WOB135" s="537"/>
      <c r="WOC135" s="537"/>
      <c r="WOD135" s="537"/>
      <c r="WOE135" s="537"/>
      <c r="WOF135" s="537"/>
      <c r="WOG135" s="537"/>
      <c r="WOH135" s="537"/>
      <c r="WOI135" s="537"/>
      <c r="WOJ135" s="537"/>
      <c r="WOK135" s="537"/>
      <c r="WOL135" s="537"/>
      <c r="WOM135" s="537"/>
      <c r="WON135" s="537"/>
      <c r="WOO135" s="537"/>
      <c r="WOP135" s="537"/>
      <c r="WOQ135" s="537"/>
      <c r="WOR135" s="537"/>
      <c r="WOS135" s="537"/>
      <c r="WOT135" s="537"/>
      <c r="WOU135" s="537"/>
      <c r="WOV135" s="537"/>
      <c r="WOW135" s="537"/>
      <c r="WOX135" s="537"/>
      <c r="WOY135" s="537"/>
      <c r="WOZ135" s="537"/>
      <c r="WPA135" s="537"/>
      <c r="WPB135" s="537"/>
      <c r="WPC135" s="537"/>
      <c r="WPD135" s="537"/>
      <c r="WPE135" s="537"/>
      <c r="WPF135" s="537"/>
      <c r="WPG135" s="537"/>
      <c r="WPH135" s="537"/>
      <c r="WPI135" s="537"/>
      <c r="WPJ135" s="537"/>
      <c r="WPK135" s="537"/>
      <c r="WPL135" s="537"/>
      <c r="WPM135" s="537"/>
      <c r="WPN135" s="537"/>
      <c r="WPO135" s="537"/>
      <c r="WPP135" s="537"/>
      <c r="WPQ135" s="537"/>
      <c r="WPR135" s="537"/>
      <c r="WPS135" s="537"/>
      <c r="WPT135" s="537"/>
      <c r="WPU135" s="537"/>
      <c r="WPV135" s="537"/>
      <c r="WPW135" s="537"/>
      <c r="WPX135" s="537"/>
      <c r="WPY135" s="537"/>
      <c r="WPZ135" s="537"/>
      <c r="WQA135" s="537"/>
      <c r="WQB135" s="537"/>
      <c r="WQC135" s="537"/>
      <c r="WQD135" s="537"/>
      <c r="WQE135" s="537"/>
      <c r="WQF135" s="537"/>
      <c r="WQG135" s="537"/>
      <c r="WQH135" s="537"/>
      <c r="WQI135" s="537"/>
      <c r="WQJ135" s="537"/>
      <c r="WQK135" s="537"/>
      <c r="WQL135" s="537"/>
      <c r="WQM135" s="537"/>
      <c r="WQN135" s="537"/>
      <c r="WQO135" s="537"/>
      <c r="WQP135" s="537"/>
      <c r="WQQ135" s="537"/>
      <c r="WQR135" s="537"/>
      <c r="WQS135" s="537"/>
      <c r="WQT135" s="537"/>
      <c r="WQU135" s="537"/>
      <c r="WQV135" s="537"/>
      <c r="WQW135" s="537"/>
      <c r="WQX135" s="537"/>
      <c r="WQY135" s="537"/>
      <c r="WQZ135" s="537"/>
      <c r="WRA135" s="537"/>
      <c r="WRB135" s="537"/>
      <c r="WRC135" s="537"/>
      <c r="WRD135" s="537"/>
      <c r="WRE135" s="537"/>
      <c r="WRF135" s="537"/>
      <c r="WRG135" s="537"/>
      <c r="WRH135" s="537"/>
      <c r="WRI135" s="537"/>
      <c r="WRJ135" s="537"/>
      <c r="WRK135" s="537"/>
      <c r="WRL135" s="537"/>
      <c r="WRM135" s="537"/>
      <c r="WRN135" s="537"/>
      <c r="WRO135" s="537"/>
      <c r="WRP135" s="537"/>
      <c r="WRQ135" s="537"/>
      <c r="WRR135" s="537"/>
      <c r="WRS135" s="537"/>
      <c r="WRT135" s="537"/>
      <c r="WRU135" s="537"/>
      <c r="WRV135" s="537"/>
      <c r="WRW135" s="537"/>
      <c r="WRX135" s="537"/>
      <c r="WRY135" s="537"/>
      <c r="WRZ135" s="537"/>
      <c r="WSA135" s="537"/>
      <c r="WSB135" s="537"/>
      <c r="WSC135" s="537"/>
      <c r="WSD135" s="537"/>
      <c r="WSE135" s="537"/>
      <c r="WSF135" s="537"/>
      <c r="WSG135" s="537"/>
      <c r="WSH135" s="537"/>
      <c r="WSI135" s="537"/>
      <c r="WSJ135" s="537"/>
      <c r="WSK135" s="537"/>
      <c r="WSL135" s="537"/>
      <c r="WSM135" s="537"/>
      <c r="WSN135" s="537"/>
      <c r="WSO135" s="537"/>
      <c r="WSP135" s="537"/>
      <c r="WSQ135" s="537"/>
      <c r="WSR135" s="537"/>
      <c r="WSS135" s="537"/>
      <c r="WST135" s="537"/>
      <c r="WSU135" s="537"/>
      <c r="WSV135" s="537"/>
      <c r="WSW135" s="537"/>
      <c r="WSX135" s="537"/>
      <c r="WSY135" s="537"/>
      <c r="WSZ135" s="537"/>
      <c r="WTA135" s="537"/>
      <c r="WTB135" s="537"/>
      <c r="WTC135" s="537"/>
      <c r="WTD135" s="537"/>
      <c r="WTE135" s="537"/>
      <c r="WTF135" s="537"/>
      <c r="WTG135" s="537"/>
      <c r="WTH135" s="537"/>
      <c r="WTI135" s="537"/>
      <c r="WTJ135" s="537"/>
      <c r="WTK135" s="537"/>
      <c r="WTL135" s="537"/>
      <c r="WTM135" s="537"/>
      <c r="WTN135" s="537"/>
      <c r="WTO135" s="537"/>
      <c r="WTP135" s="537"/>
      <c r="WTQ135" s="537"/>
      <c r="WTR135" s="537"/>
      <c r="WTS135" s="537"/>
      <c r="WTT135" s="537"/>
      <c r="WTU135" s="537"/>
      <c r="WTV135" s="537"/>
      <c r="WTW135" s="537"/>
      <c r="WTX135" s="537"/>
      <c r="WTY135" s="537"/>
      <c r="WTZ135" s="537"/>
      <c r="WUA135" s="537"/>
      <c r="WUB135" s="537"/>
      <c r="WUC135" s="537"/>
      <c r="WUD135" s="537"/>
      <c r="WUE135" s="537"/>
      <c r="WUF135" s="537"/>
      <c r="WUG135" s="537"/>
      <c r="WUH135" s="537"/>
      <c r="WUI135" s="537"/>
      <c r="WUJ135" s="537"/>
      <c r="WUK135" s="537"/>
      <c r="WUL135" s="537"/>
      <c r="WUM135" s="537"/>
      <c r="WUN135" s="537"/>
      <c r="WUO135" s="537"/>
      <c r="WUP135" s="537"/>
      <c r="WUQ135" s="537"/>
      <c r="WUR135" s="537"/>
      <c r="WUS135" s="537"/>
      <c r="WUT135" s="537"/>
      <c r="WUU135" s="537"/>
      <c r="WUV135" s="537"/>
      <c r="WUW135" s="537"/>
      <c r="WUX135" s="537"/>
      <c r="WUY135" s="537"/>
      <c r="WUZ135" s="537"/>
      <c r="WVA135" s="537"/>
      <c r="WVB135" s="537"/>
      <c r="WVC135" s="537"/>
      <c r="WVD135" s="537"/>
      <c r="WVE135" s="537"/>
      <c r="WVF135" s="537"/>
      <c r="WVG135" s="537"/>
      <c r="WVH135" s="537"/>
      <c r="WVI135" s="537"/>
      <c r="WVJ135" s="537"/>
      <c r="WVK135" s="537"/>
      <c r="WVL135" s="537"/>
      <c r="WVM135" s="537"/>
      <c r="WVN135" s="537"/>
      <c r="WVO135" s="537"/>
      <c r="WVP135" s="537"/>
      <c r="WVQ135" s="537"/>
      <c r="WVR135" s="537"/>
      <c r="WVS135" s="537"/>
      <c r="WVT135" s="537"/>
      <c r="WVU135" s="537"/>
      <c r="WVV135" s="537"/>
      <c r="WVW135" s="537"/>
      <c r="WVX135" s="537"/>
      <c r="WVY135" s="537"/>
      <c r="WVZ135" s="537"/>
      <c r="WWA135" s="537"/>
      <c r="WWB135" s="537"/>
      <c r="WWC135" s="537"/>
      <c r="WWD135" s="537"/>
      <c r="WWE135" s="537"/>
      <c r="WWF135" s="537"/>
      <c r="WWG135" s="537"/>
      <c r="WWH135" s="537"/>
      <c r="WWI135" s="537"/>
      <c r="WWJ135" s="537"/>
      <c r="WWK135" s="537"/>
      <c r="WWL135" s="537"/>
      <c r="WWM135" s="537"/>
      <c r="WWN135" s="537"/>
      <c r="WWO135" s="537"/>
      <c r="WWP135" s="537"/>
      <c r="WWQ135" s="537"/>
      <c r="WWR135" s="537"/>
      <c r="WWS135" s="537"/>
      <c r="WWT135" s="537"/>
      <c r="WWU135" s="537"/>
      <c r="WWV135" s="537"/>
      <c r="WWW135" s="537"/>
      <c r="WWX135" s="537"/>
      <c r="WWY135" s="537"/>
      <c r="WWZ135" s="537"/>
      <c r="WXA135" s="537"/>
      <c r="WXB135" s="537"/>
      <c r="WXC135" s="537"/>
      <c r="WXD135" s="537"/>
      <c r="WXE135" s="537"/>
      <c r="WXF135" s="537"/>
      <c r="WXG135" s="537"/>
      <c r="WXH135" s="537"/>
      <c r="WXI135" s="537"/>
      <c r="WXJ135" s="537"/>
      <c r="WXK135" s="537"/>
      <c r="WXL135" s="537"/>
      <c r="WXM135" s="537"/>
      <c r="WXN135" s="537"/>
      <c r="WXO135" s="537"/>
      <c r="WXP135" s="537"/>
      <c r="WXQ135" s="537"/>
      <c r="WXR135" s="537"/>
      <c r="WXS135" s="537"/>
      <c r="WXT135" s="537"/>
      <c r="WXU135" s="537"/>
      <c r="WXV135" s="537"/>
      <c r="WXW135" s="537"/>
      <c r="WXX135" s="537"/>
      <c r="WXY135" s="537"/>
      <c r="WXZ135" s="537"/>
      <c r="WYA135" s="537"/>
      <c r="WYB135" s="537"/>
      <c r="WYC135" s="537"/>
      <c r="WYD135" s="537"/>
      <c r="WYE135" s="537"/>
      <c r="WYF135" s="537"/>
      <c r="WYG135" s="537"/>
      <c r="WYH135" s="537"/>
      <c r="WYI135" s="537"/>
      <c r="WYJ135" s="537"/>
      <c r="WYK135" s="537"/>
      <c r="WYL135" s="537"/>
      <c r="WYM135" s="537"/>
      <c r="WYN135" s="537"/>
      <c r="WYO135" s="537"/>
      <c r="WYP135" s="537"/>
      <c r="WYQ135" s="537"/>
      <c r="WYR135" s="537"/>
      <c r="WYS135" s="537"/>
      <c r="WYT135" s="537"/>
      <c r="WYU135" s="537"/>
      <c r="WYV135" s="537"/>
      <c r="WYW135" s="537"/>
      <c r="WYX135" s="537"/>
      <c r="WYY135" s="537"/>
      <c r="WYZ135" s="537"/>
      <c r="WZA135" s="537"/>
      <c r="WZB135" s="537"/>
      <c r="WZC135" s="537"/>
      <c r="WZD135" s="537"/>
      <c r="WZE135" s="537"/>
      <c r="WZF135" s="537"/>
      <c r="WZG135" s="537"/>
      <c r="WZH135" s="537"/>
      <c r="WZI135" s="537"/>
      <c r="WZJ135" s="537"/>
      <c r="WZK135" s="537"/>
      <c r="WZL135" s="537"/>
      <c r="WZM135" s="537"/>
      <c r="WZN135" s="537"/>
      <c r="WZO135" s="537"/>
      <c r="WZP135" s="537"/>
      <c r="WZQ135" s="537"/>
      <c r="WZR135" s="537"/>
      <c r="WZS135" s="537"/>
      <c r="WZT135" s="537"/>
      <c r="WZU135" s="537"/>
      <c r="WZV135" s="537"/>
      <c r="WZW135" s="537"/>
      <c r="WZX135" s="537"/>
      <c r="WZY135" s="537"/>
      <c r="WZZ135" s="537"/>
      <c r="XAA135" s="537"/>
      <c r="XAB135" s="537"/>
      <c r="XAC135" s="537"/>
      <c r="XAD135" s="537"/>
      <c r="XAE135" s="537"/>
      <c r="XAF135" s="537"/>
      <c r="XAG135" s="537"/>
      <c r="XAH135" s="537"/>
      <c r="XAI135" s="537"/>
      <c r="XAJ135" s="537"/>
      <c r="XAK135" s="537"/>
      <c r="XAL135" s="537"/>
      <c r="XAM135" s="537"/>
      <c r="XAN135" s="537"/>
      <c r="XAO135" s="537"/>
      <c r="XAP135" s="537"/>
      <c r="XAQ135" s="537"/>
      <c r="XAR135" s="537"/>
      <c r="XAS135" s="537"/>
      <c r="XAT135" s="537"/>
      <c r="XAU135" s="537"/>
      <c r="XAV135" s="537"/>
      <c r="XAW135" s="537"/>
      <c r="XAX135" s="537"/>
      <c r="XAY135" s="537"/>
      <c r="XAZ135" s="537"/>
      <c r="XBA135" s="537"/>
      <c r="XBB135" s="537"/>
      <c r="XBC135" s="537"/>
      <c r="XBD135" s="537"/>
      <c r="XBE135" s="537"/>
      <c r="XBF135" s="537"/>
      <c r="XBG135" s="537"/>
      <c r="XBH135" s="537"/>
      <c r="XBI135" s="537"/>
      <c r="XBJ135" s="537"/>
      <c r="XBK135" s="537"/>
      <c r="XBL135" s="537"/>
      <c r="XBM135" s="537"/>
      <c r="XBN135" s="537"/>
      <c r="XBO135" s="537"/>
      <c r="XBP135" s="537"/>
      <c r="XBQ135" s="537"/>
      <c r="XBR135" s="537"/>
      <c r="XBS135" s="537"/>
      <c r="XBT135" s="537"/>
      <c r="XBU135" s="537"/>
      <c r="XBV135" s="537"/>
      <c r="XBW135" s="537"/>
      <c r="XBX135" s="537"/>
      <c r="XBY135" s="537"/>
      <c r="XBZ135" s="537"/>
      <c r="XCA135" s="537"/>
      <c r="XCB135" s="537"/>
      <c r="XCC135" s="537"/>
      <c r="XCD135" s="537"/>
      <c r="XCE135" s="537"/>
      <c r="XCF135" s="537"/>
      <c r="XCG135" s="537"/>
      <c r="XCH135" s="537"/>
      <c r="XCI135" s="537"/>
      <c r="XCJ135" s="537"/>
      <c r="XCK135" s="537"/>
      <c r="XCL135" s="537"/>
      <c r="XCM135" s="537"/>
      <c r="XCN135" s="537"/>
      <c r="XCO135" s="537"/>
      <c r="XCP135" s="537"/>
      <c r="XCQ135" s="537"/>
      <c r="XCR135" s="537"/>
      <c r="XCS135" s="537"/>
      <c r="XCT135" s="537"/>
      <c r="XCU135" s="537"/>
      <c r="XCV135" s="537"/>
      <c r="XCW135" s="537"/>
      <c r="XCX135" s="537"/>
      <c r="XCY135" s="537"/>
      <c r="XCZ135" s="537"/>
      <c r="XDA135" s="537"/>
      <c r="XDB135" s="537"/>
      <c r="XDC135" s="537"/>
      <c r="XDD135" s="537"/>
      <c r="XDE135" s="537"/>
      <c r="XDF135" s="537"/>
      <c r="XDG135" s="537"/>
      <c r="XDH135" s="537"/>
      <c r="XDI135" s="537"/>
      <c r="XDJ135" s="537"/>
      <c r="XDK135" s="537"/>
      <c r="XDL135" s="537"/>
      <c r="XDM135" s="537"/>
      <c r="XDN135" s="537"/>
      <c r="XDO135" s="537"/>
      <c r="XDP135" s="537"/>
      <c r="XDQ135" s="537"/>
      <c r="XDR135" s="537"/>
      <c r="XDS135" s="537"/>
      <c r="XDT135" s="537"/>
      <c r="XDU135" s="537"/>
      <c r="XDV135" s="537"/>
      <c r="XDW135" s="537"/>
      <c r="XDX135" s="537"/>
      <c r="XDY135" s="537"/>
      <c r="XDZ135" s="537"/>
      <c r="XEA135" s="537"/>
      <c r="XEB135" s="537"/>
      <c r="XEC135" s="537"/>
      <c r="XED135" s="537"/>
      <c r="XEE135" s="537"/>
      <c r="XEF135" s="537"/>
      <c r="XEG135" s="537"/>
      <c r="XEH135" s="537"/>
      <c r="XEI135" s="537"/>
      <c r="XEJ135" s="537"/>
      <c r="XEK135" s="537"/>
      <c r="XEL135" s="537"/>
      <c r="XEM135" s="537"/>
      <c r="XEN135" s="537"/>
      <c r="XEO135" s="537"/>
      <c r="XEP135" s="537"/>
      <c r="XEQ135" s="537"/>
      <c r="XER135" s="537"/>
      <c r="XES135" s="537"/>
      <c r="XET135" s="537"/>
      <c r="XEU135" s="537"/>
      <c r="XEV135" s="537"/>
      <c r="XEW135" s="537"/>
      <c r="XEX135" s="537"/>
      <c r="XEY135" s="537"/>
      <c r="XEZ135" s="537"/>
      <c r="XFA135" s="537"/>
      <c r="XFB135" s="537"/>
      <c r="XFC135" s="537"/>
      <c r="XFD135" s="537"/>
    </row>
    <row r="136" spans="1:16384">
      <c r="A136" s="279">
        <v>42005</v>
      </c>
      <c r="B136" s="26">
        <v>51.325000000000003</v>
      </c>
      <c r="C136" s="26">
        <v>56.765000000000001</v>
      </c>
      <c r="D136" s="26">
        <v>49.524999999999999</v>
      </c>
      <c r="E136" s="26">
        <v>55.375999999999998</v>
      </c>
      <c r="F136" s="26">
        <v>55.378</v>
      </c>
      <c r="G136" s="26">
        <v>48.594999999999999</v>
      </c>
      <c r="H136" s="26">
        <v>11.858000000000001</v>
      </c>
      <c r="I136" s="26">
        <v>54.758000000000003</v>
      </c>
      <c r="J136" s="26">
        <v>55.368000000000002</v>
      </c>
      <c r="K136" s="26">
        <v>55.731999999999999</v>
      </c>
      <c r="L136" s="26">
        <v>30.013999999999999</v>
      </c>
      <c r="M136" s="26">
        <v>49.51</v>
      </c>
      <c r="N136" s="26">
        <v>43.860999999999997</v>
      </c>
      <c r="O136" s="26">
        <v>49.51</v>
      </c>
      <c r="P136" s="26">
        <v>50.5</v>
      </c>
      <c r="Q136" s="26">
        <v>37.299999999999997</v>
      </c>
      <c r="R136" s="26">
        <v>40.804000000000002</v>
      </c>
      <c r="S136" s="26">
        <v>55.384999999999998</v>
      </c>
      <c r="T136" s="26">
        <v>42.746000000000002</v>
      </c>
      <c r="U136" s="26">
        <v>16.8</v>
      </c>
      <c r="V136" s="26">
        <v>44.442999999999998</v>
      </c>
      <c r="W136" s="26">
        <v>51.359000000000002</v>
      </c>
      <c r="X136" s="26">
        <v>28.81</v>
      </c>
      <c r="Y136" s="26">
        <v>85.108000000000004</v>
      </c>
      <c r="Z136" s="26">
        <v>44.807000000000002</v>
      </c>
      <c r="AA136" s="26">
        <v>16.887</v>
      </c>
      <c r="AB136" s="26">
        <v>37.204000000000001</v>
      </c>
      <c r="AC136" s="26">
        <v>42.667000000000002</v>
      </c>
      <c r="AD136" s="26">
        <v>50.426000000000002</v>
      </c>
      <c r="AE136" s="26">
        <v>55.610999999999997</v>
      </c>
      <c r="AF136" s="26">
        <v>62.741999999999997</v>
      </c>
      <c r="AG136" s="26">
        <v>55.744999999999997</v>
      </c>
      <c r="AH136" s="26">
        <v>39.539000000000001</v>
      </c>
      <c r="AI136" s="26">
        <v>31.629000000000001</v>
      </c>
      <c r="AJ136" s="26">
        <v>32.308</v>
      </c>
      <c r="AK136" s="26">
        <v>44.78</v>
      </c>
      <c r="AL136" s="26">
        <v>55.368000000000002</v>
      </c>
      <c r="AM136" s="26">
        <v>47.268999999999998</v>
      </c>
      <c r="AN136" s="26">
        <v>55.906999999999996</v>
      </c>
      <c r="AO136" s="26">
        <v>17.984000000000002</v>
      </c>
      <c r="AP136" s="26">
        <v>42.86</v>
      </c>
      <c r="AQ136" s="26">
        <v>16.384</v>
      </c>
      <c r="AR136" s="26">
        <v>55.368000000000002</v>
      </c>
      <c r="AS136" s="26">
        <v>45.795000000000002</v>
      </c>
      <c r="AT136" s="26">
        <v>55.368000000000002</v>
      </c>
      <c r="AU136" s="26">
        <v>63.283999999999999</v>
      </c>
      <c r="AV136" s="26">
        <v>51.325000000000003</v>
      </c>
      <c r="AW136" s="26">
        <v>50.051000000000002</v>
      </c>
      <c r="AX136" s="26">
        <v>55.368000000000002</v>
      </c>
      <c r="AY136" s="26">
        <v>17.911999999999999</v>
      </c>
      <c r="AZ136" s="26">
        <v>55.731999999999999</v>
      </c>
      <c r="BA136" s="26">
        <v>50.405999999999999</v>
      </c>
      <c r="BB136" s="26">
        <v>52.585000000000001</v>
      </c>
      <c r="BC136" s="26">
        <v>9.7363</v>
      </c>
      <c r="BD136" s="26">
        <v>47.387999999999998</v>
      </c>
      <c r="BE136" s="26">
        <v>55.398000000000003</v>
      </c>
      <c r="BF136" s="26">
        <v>55.715000000000003</v>
      </c>
      <c r="BG136" s="26">
        <v>11.217000000000001</v>
      </c>
      <c r="BH136" s="26">
        <v>21.756</v>
      </c>
      <c r="BI136" s="26">
        <v>52.929000000000002</v>
      </c>
      <c r="BJ136" s="26">
        <v>16.245000000000001</v>
      </c>
      <c r="BK136" s="26">
        <v>31.276</v>
      </c>
      <c r="BL136" s="26">
        <v>7.6584000000000003</v>
      </c>
      <c r="BM136" s="26">
        <v>40.728000000000002</v>
      </c>
      <c r="BN136" s="26">
        <v>47.707999999999998</v>
      </c>
      <c r="BO136" s="26">
        <v>32.686</v>
      </c>
      <c r="BP136" s="26">
        <v>55.604999999999997</v>
      </c>
      <c r="BQ136" s="26">
        <v>45.915999999999997</v>
      </c>
      <c r="BR136" s="26">
        <v>32.686</v>
      </c>
      <c r="BS136" s="26">
        <v>55.371000000000002</v>
      </c>
      <c r="BT136" s="26">
        <v>59.143999999999998</v>
      </c>
      <c r="BU136" s="26">
        <v>20.094999999999999</v>
      </c>
      <c r="BV136" s="26">
        <v>42.86</v>
      </c>
      <c r="BW136" s="26">
        <v>55.387999999999998</v>
      </c>
      <c r="BX136" s="26">
        <v>55.478000000000002</v>
      </c>
      <c r="BY136" s="26">
        <v>50.094999999999999</v>
      </c>
      <c r="BZ136" s="26">
        <v>16.189</v>
      </c>
      <c r="CA136" s="26">
        <v>45.198</v>
      </c>
      <c r="CB136" s="26">
        <v>55.478000000000002</v>
      </c>
      <c r="CC136" s="26">
        <v>55.58</v>
      </c>
      <c r="CD136" s="26">
        <v>7.88</v>
      </c>
      <c r="CE136" s="26">
        <v>59.500999999999998</v>
      </c>
      <c r="CF136" s="26">
        <v>45.033999999999999</v>
      </c>
      <c r="CG136" s="26">
        <v>59.212000000000003</v>
      </c>
      <c r="CH136" s="26">
        <v>55.625999999999998</v>
      </c>
      <c r="CI136" s="26">
        <v>32.201999999999998</v>
      </c>
      <c r="CJ136" s="26">
        <v>44.176000000000002</v>
      </c>
      <c r="CK136" s="26">
        <v>16.402000000000001</v>
      </c>
      <c r="CL136" s="26">
        <v>49.027999999999999</v>
      </c>
      <c r="CM136" s="26">
        <v>40.680999999999997</v>
      </c>
      <c r="CN136" s="26">
        <v>55.371000000000002</v>
      </c>
      <c r="CO136" s="26">
        <v>57.465000000000003</v>
      </c>
      <c r="CP136" s="26">
        <v>55.371000000000002</v>
      </c>
      <c r="CQ136" s="26">
        <v>55.658999999999999</v>
      </c>
      <c r="CR136" s="26">
        <v>55.677999999999997</v>
      </c>
      <c r="CS136" s="26">
        <v>55.368000000000002</v>
      </c>
      <c r="CT136" s="26">
        <v>51.334000000000003</v>
      </c>
      <c r="CU136" s="26">
        <v>11.548999999999999</v>
      </c>
      <c r="CV136" s="26">
        <v>55.715000000000003</v>
      </c>
      <c r="CW136" s="26">
        <v>55.716000000000001</v>
      </c>
      <c r="CX136" s="26">
        <v>43.463999999999999</v>
      </c>
      <c r="CY136" s="61"/>
      <c r="CZ136" s="537"/>
      <c r="DA136" s="61"/>
    </row>
    <row r="137" spans="1:16384">
      <c r="A137" s="279">
        <v>42036</v>
      </c>
      <c r="B137" s="26">
        <v>53.24</v>
      </c>
      <c r="C137" s="26">
        <v>51.478000000000002</v>
      </c>
      <c r="D137" s="26">
        <v>49.786999999999999</v>
      </c>
      <c r="E137" s="26">
        <v>48.070999999999998</v>
      </c>
      <c r="F137" s="26">
        <v>55.451999999999998</v>
      </c>
      <c r="G137" s="26">
        <v>55.189</v>
      </c>
      <c r="H137" s="26">
        <v>19.119</v>
      </c>
      <c r="I137" s="26">
        <v>56.01</v>
      </c>
      <c r="J137" s="26">
        <v>55.189</v>
      </c>
      <c r="K137" s="26">
        <v>54.674999999999997</v>
      </c>
      <c r="L137" s="26">
        <v>47.704999999999998</v>
      </c>
      <c r="M137" s="26">
        <v>51.475000000000001</v>
      </c>
      <c r="N137" s="26">
        <v>45.292000000000002</v>
      </c>
      <c r="O137" s="26">
        <v>52.68</v>
      </c>
      <c r="P137" s="26">
        <v>55.451999999999998</v>
      </c>
      <c r="Q137" s="26">
        <v>45.878999999999998</v>
      </c>
      <c r="R137" s="26">
        <v>46.46</v>
      </c>
      <c r="S137" s="26">
        <v>55.451999999999998</v>
      </c>
      <c r="T137" s="26">
        <v>42.847999999999999</v>
      </c>
      <c r="U137" s="26">
        <v>37.887</v>
      </c>
      <c r="V137" s="26">
        <v>51.475000000000001</v>
      </c>
      <c r="W137" s="26">
        <v>55.112000000000002</v>
      </c>
      <c r="X137" s="26">
        <v>20.692</v>
      </c>
      <c r="Y137" s="26">
        <v>61.734999999999999</v>
      </c>
      <c r="Z137" s="26">
        <v>50.484999999999999</v>
      </c>
      <c r="AA137" s="26">
        <v>26.625</v>
      </c>
      <c r="AB137" s="26">
        <v>42.844999999999999</v>
      </c>
      <c r="AC137" s="26">
        <v>53.24</v>
      </c>
      <c r="AD137" s="26">
        <v>55.189</v>
      </c>
      <c r="AE137" s="26">
        <v>56.857999999999997</v>
      </c>
      <c r="AF137" s="26">
        <v>63.67</v>
      </c>
      <c r="AG137" s="26">
        <v>55.189</v>
      </c>
      <c r="AH137" s="26">
        <v>51.475000000000001</v>
      </c>
      <c r="AI137" s="26">
        <v>26.032</v>
      </c>
      <c r="AJ137" s="26">
        <v>46.125999999999998</v>
      </c>
      <c r="AK137" s="26">
        <v>43.320999999999998</v>
      </c>
      <c r="AL137" s="26">
        <v>44.901000000000003</v>
      </c>
      <c r="AM137" s="26">
        <v>51.475000000000001</v>
      </c>
      <c r="AN137" s="26">
        <v>55.451999999999998</v>
      </c>
      <c r="AO137" s="26">
        <v>44.38</v>
      </c>
      <c r="AP137" s="26">
        <v>51.475000000000001</v>
      </c>
      <c r="AQ137" s="26">
        <v>6.1289999999999996</v>
      </c>
      <c r="AR137" s="26">
        <v>55.451999999999998</v>
      </c>
      <c r="AS137" s="26">
        <v>55.451999999999998</v>
      </c>
      <c r="AT137" s="26">
        <v>54.988999999999997</v>
      </c>
      <c r="AU137" s="26">
        <v>55.8</v>
      </c>
      <c r="AV137" s="26">
        <v>46.182000000000002</v>
      </c>
      <c r="AW137" s="26">
        <v>43.676000000000002</v>
      </c>
      <c r="AX137" s="26">
        <v>55.8</v>
      </c>
      <c r="AY137" s="26">
        <v>42.844999999999999</v>
      </c>
      <c r="AZ137" s="26">
        <v>56.561999999999998</v>
      </c>
      <c r="BA137" s="26">
        <v>55.451999999999998</v>
      </c>
      <c r="BB137" s="26">
        <v>55.46</v>
      </c>
      <c r="BC137" s="26">
        <v>12.646000000000001</v>
      </c>
      <c r="BD137" s="26">
        <v>43.69</v>
      </c>
      <c r="BE137" s="26">
        <v>45.000999999999998</v>
      </c>
      <c r="BF137" s="26">
        <v>55.46</v>
      </c>
      <c r="BG137" s="26">
        <v>16.978999999999999</v>
      </c>
      <c r="BH137" s="26">
        <v>17.157</v>
      </c>
      <c r="BI137" s="26">
        <v>56.622</v>
      </c>
      <c r="BJ137" s="26">
        <v>16.513999999999999</v>
      </c>
      <c r="BK137" s="26">
        <v>42.954999999999998</v>
      </c>
      <c r="BL137" s="26">
        <v>6.0338000000000003</v>
      </c>
      <c r="BM137" s="26">
        <v>26.556000000000001</v>
      </c>
      <c r="BN137" s="26">
        <v>48.488</v>
      </c>
      <c r="BO137" s="26">
        <v>36.017000000000003</v>
      </c>
      <c r="BP137" s="26">
        <v>37.281999999999996</v>
      </c>
      <c r="BQ137" s="26">
        <v>14.176</v>
      </c>
      <c r="BR137" s="26">
        <v>40.277000000000001</v>
      </c>
      <c r="BS137" s="26">
        <v>55.274000000000001</v>
      </c>
      <c r="BT137" s="26">
        <v>56.466999999999999</v>
      </c>
      <c r="BU137" s="26">
        <v>40.191000000000003</v>
      </c>
      <c r="BV137" s="26">
        <v>55.189</v>
      </c>
      <c r="BW137" s="26">
        <v>45.14</v>
      </c>
      <c r="BX137" s="26">
        <v>52.637999999999998</v>
      </c>
      <c r="BY137" s="26">
        <v>55.994</v>
      </c>
      <c r="BZ137" s="26">
        <v>16.768000000000001</v>
      </c>
      <c r="CA137" s="26">
        <v>51.399000000000001</v>
      </c>
      <c r="CB137" s="26">
        <v>55.451999999999998</v>
      </c>
      <c r="CC137" s="26">
        <v>55.8</v>
      </c>
      <c r="CD137" s="26">
        <v>5.9238999999999997</v>
      </c>
      <c r="CE137" s="26">
        <v>54.962000000000003</v>
      </c>
      <c r="CF137" s="26">
        <v>51.475000000000001</v>
      </c>
      <c r="CG137" s="26">
        <v>123.53</v>
      </c>
      <c r="CH137" s="26">
        <v>45.634</v>
      </c>
      <c r="CI137" s="26">
        <v>43.320999999999998</v>
      </c>
      <c r="CJ137" s="26">
        <v>48.488</v>
      </c>
      <c r="CK137" s="26">
        <v>24.128</v>
      </c>
      <c r="CL137" s="26">
        <v>55.853999999999999</v>
      </c>
      <c r="CM137" s="26">
        <v>46.296999999999997</v>
      </c>
      <c r="CN137" s="26">
        <v>37.491</v>
      </c>
      <c r="CO137" s="26">
        <v>55.46</v>
      </c>
      <c r="CP137" s="26">
        <v>54.893000000000001</v>
      </c>
      <c r="CQ137" s="26">
        <v>51.564999999999998</v>
      </c>
      <c r="CR137" s="26">
        <v>45.131</v>
      </c>
      <c r="CS137" s="26">
        <v>54.536000000000001</v>
      </c>
      <c r="CT137" s="26">
        <v>55.451999999999998</v>
      </c>
      <c r="CU137" s="26">
        <v>16.567</v>
      </c>
      <c r="CV137" s="26">
        <v>55.195</v>
      </c>
      <c r="CW137" s="26">
        <v>52.643000000000001</v>
      </c>
      <c r="CX137" s="26">
        <v>49.774000000000001</v>
      </c>
      <c r="CY137" s="61"/>
      <c r="CZ137" s="537"/>
      <c r="DA137" s="61"/>
    </row>
    <row r="138" spans="1:16384">
      <c r="A138" s="279">
        <v>42064</v>
      </c>
      <c r="B138" s="26">
        <v>51.484000000000002</v>
      </c>
      <c r="C138" s="26">
        <v>54.518000000000001</v>
      </c>
      <c r="D138" s="26">
        <v>54.518000000000001</v>
      </c>
      <c r="E138" s="26">
        <v>50.875</v>
      </c>
      <c r="F138" s="26">
        <v>51.853000000000002</v>
      </c>
      <c r="G138" s="26">
        <v>54.518000000000001</v>
      </c>
      <c r="H138" s="26">
        <v>42.012</v>
      </c>
      <c r="I138" s="26">
        <v>54.527999999999999</v>
      </c>
      <c r="J138" s="26">
        <v>54.527999999999999</v>
      </c>
      <c r="K138" s="26">
        <v>54.518000000000001</v>
      </c>
      <c r="L138" s="26">
        <v>50.875</v>
      </c>
      <c r="M138" s="26">
        <v>54.527999999999999</v>
      </c>
      <c r="N138" s="26">
        <v>24.087</v>
      </c>
      <c r="O138" s="26">
        <v>50.875</v>
      </c>
      <c r="P138" s="26">
        <v>54.527999999999999</v>
      </c>
      <c r="Q138" s="26">
        <v>54.518000000000001</v>
      </c>
      <c r="R138" s="26">
        <v>50.875</v>
      </c>
      <c r="S138" s="26">
        <v>54.527999999999999</v>
      </c>
      <c r="T138" s="26">
        <v>17.678000000000001</v>
      </c>
      <c r="U138" s="26">
        <v>50.875</v>
      </c>
      <c r="V138" s="26">
        <v>54.527999999999999</v>
      </c>
      <c r="W138" s="26">
        <v>54.527999999999999</v>
      </c>
      <c r="X138" s="26">
        <v>41.195</v>
      </c>
      <c r="Y138" s="26">
        <v>50.963000000000001</v>
      </c>
      <c r="Z138" s="26">
        <v>54.518000000000001</v>
      </c>
      <c r="AA138" s="26">
        <v>46.241</v>
      </c>
      <c r="AB138" s="26">
        <v>54.518000000000001</v>
      </c>
      <c r="AC138" s="26">
        <v>54.518000000000001</v>
      </c>
      <c r="AD138" s="26">
        <v>56.14</v>
      </c>
      <c r="AE138" s="26">
        <v>54.527999999999999</v>
      </c>
      <c r="AF138" s="26">
        <v>54.527999999999999</v>
      </c>
      <c r="AG138" s="26">
        <v>52.216999999999999</v>
      </c>
      <c r="AH138" s="26">
        <v>50.875</v>
      </c>
      <c r="AI138" s="26">
        <v>50.875</v>
      </c>
      <c r="AJ138" s="26">
        <v>54.518000000000001</v>
      </c>
      <c r="AK138" s="26">
        <v>54.527999999999999</v>
      </c>
      <c r="AL138" s="26">
        <v>29.800999999999998</v>
      </c>
      <c r="AM138" s="26">
        <v>54.518000000000001</v>
      </c>
      <c r="AN138" s="26">
        <v>51.973999999999997</v>
      </c>
      <c r="AO138" s="26">
        <v>48.713000000000001</v>
      </c>
      <c r="AP138" s="26">
        <v>50.875</v>
      </c>
      <c r="AQ138" s="26">
        <v>6.766</v>
      </c>
      <c r="AR138" s="26">
        <v>54.527999999999999</v>
      </c>
      <c r="AS138" s="26">
        <v>54.527999999999999</v>
      </c>
      <c r="AT138" s="26">
        <v>38.201000000000001</v>
      </c>
      <c r="AU138" s="26">
        <v>44.256</v>
      </c>
      <c r="AV138" s="26">
        <v>50.896999999999998</v>
      </c>
      <c r="AW138" s="26">
        <v>43.039000000000001</v>
      </c>
      <c r="AX138" s="26">
        <v>50.875</v>
      </c>
      <c r="AY138" s="26">
        <v>47.686999999999998</v>
      </c>
      <c r="AZ138" s="26">
        <v>54.527999999999999</v>
      </c>
      <c r="BA138" s="26">
        <v>54.527999999999999</v>
      </c>
      <c r="BB138" s="26">
        <v>54.518000000000001</v>
      </c>
      <c r="BC138" s="26">
        <v>9.6329999999999991</v>
      </c>
      <c r="BD138" s="26">
        <v>50.875</v>
      </c>
      <c r="BE138" s="26">
        <v>27.093</v>
      </c>
      <c r="BF138" s="26">
        <v>54.866</v>
      </c>
      <c r="BG138" s="26">
        <v>16.808</v>
      </c>
      <c r="BH138" s="26">
        <v>22.748000000000001</v>
      </c>
      <c r="BI138" s="26">
        <v>54.527999999999999</v>
      </c>
      <c r="BJ138" s="26">
        <v>35.463000000000001</v>
      </c>
      <c r="BK138" s="26">
        <v>36.865000000000002</v>
      </c>
      <c r="BL138" s="26">
        <v>6.3273000000000001</v>
      </c>
      <c r="BM138" s="26">
        <v>34.488999999999997</v>
      </c>
      <c r="BN138" s="26">
        <v>43.503999999999998</v>
      </c>
      <c r="BO138" s="26">
        <v>47.594000000000001</v>
      </c>
      <c r="BP138" s="26">
        <v>43.015000000000001</v>
      </c>
      <c r="BQ138" s="26">
        <v>17.100000000000001</v>
      </c>
      <c r="BR138" s="26">
        <v>50.875</v>
      </c>
      <c r="BS138" s="26">
        <v>57.94</v>
      </c>
      <c r="BT138" s="26">
        <v>54.527999999999999</v>
      </c>
      <c r="BU138" s="26">
        <v>40.509</v>
      </c>
      <c r="BV138" s="26">
        <v>35.628</v>
      </c>
      <c r="BW138" s="26">
        <v>51.786999999999999</v>
      </c>
      <c r="BX138" s="26">
        <v>53.204999999999998</v>
      </c>
      <c r="BY138" s="26">
        <v>54.527999999999999</v>
      </c>
      <c r="BZ138" s="26">
        <v>17.777000000000001</v>
      </c>
      <c r="CA138" s="26">
        <v>54.527999999999999</v>
      </c>
      <c r="CB138" s="26">
        <v>54.268000000000001</v>
      </c>
      <c r="CC138" s="26">
        <v>54.518000000000001</v>
      </c>
      <c r="CD138" s="26">
        <v>6.3883000000000001</v>
      </c>
      <c r="CE138" s="26">
        <v>54.527999999999999</v>
      </c>
      <c r="CF138" s="26">
        <v>54.527999999999999</v>
      </c>
      <c r="CG138" s="26">
        <v>60.07</v>
      </c>
      <c r="CH138" s="26">
        <v>54.527999999999999</v>
      </c>
      <c r="CI138" s="26">
        <v>51.325000000000003</v>
      </c>
      <c r="CJ138" s="26">
        <v>54.527999999999999</v>
      </c>
      <c r="CK138" s="26">
        <v>42.985999999999997</v>
      </c>
      <c r="CL138" s="26">
        <v>50.896999999999998</v>
      </c>
      <c r="CM138" s="26">
        <v>49.725999999999999</v>
      </c>
      <c r="CN138" s="26">
        <v>47.99</v>
      </c>
      <c r="CO138" s="26">
        <v>54.527999999999999</v>
      </c>
      <c r="CP138" s="26">
        <v>49.832999999999998</v>
      </c>
      <c r="CQ138" s="26">
        <v>50.892000000000003</v>
      </c>
      <c r="CR138" s="26">
        <v>48.054000000000002</v>
      </c>
      <c r="CS138" s="26">
        <v>51.820999999999998</v>
      </c>
      <c r="CT138" s="26">
        <v>54.518000000000001</v>
      </c>
      <c r="CU138" s="26">
        <v>21.143999999999998</v>
      </c>
      <c r="CV138" s="26">
        <v>54.527999999999999</v>
      </c>
      <c r="CW138" s="26">
        <v>46.319000000000003</v>
      </c>
      <c r="CX138" s="26">
        <v>47.442</v>
      </c>
      <c r="CY138" s="61"/>
      <c r="CZ138" s="537"/>
      <c r="DA138" s="61"/>
    </row>
    <row r="139" spans="1:16384">
      <c r="A139" s="279">
        <v>42095</v>
      </c>
      <c r="B139" s="26">
        <v>49.792999999999999</v>
      </c>
      <c r="C139" s="26">
        <v>40.356000000000002</v>
      </c>
      <c r="D139" s="26">
        <v>50.05</v>
      </c>
      <c r="E139" s="26">
        <v>43.012999999999998</v>
      </c>
      <c r="F139" s="26">
        <v>50.05</v>
      </c>
      <c r="G139" s="26">
        <v>50.703000000000003</v>
      </c>
      <c r="H139" s="26">
        <v>1.6264000000000001</v>
      </c>
      <c r="I139" s="26">
        <v>36.383000000000003</v>
      </c>
      <c r="J139" s="26">
        <v>40.554000000000002</v>
      </c>
      <c r="K139" s="26">
        <v>50.066000000000003</v>
      </c>
      <c r="L139" s="26">
        <v>50.05</v>
      </c>
      <c r="M139" s="26">
        <v>50.05</v>
      </c>
      <c r="N139" s="26">
        <v>36.643999999999998</v>
      </c>
      <c r="O139" s="26">
        <v>42.923999999999999</v>
      </c>
      <c r="P139" s="26">
        <v>45.143999999999998</v>
      </c>
      <c r="Q139" s="26">
        <v>46.215000000000003</v>
      </c>
      <c r="R139" s="26">
        <v>34.066000000000003</v>
      </c>
      <c r="S139" s="26">
        <v>43.06</v>
      </c>
      <c r="T139" s="26">
        <v>17.966000000000001</v>
      </c>
      <c r="U139" s="26">
        <v>43.018999999999998</v>
      </c>
      <c r="V139" s="26">
        <v>43.031999999999996</v>
      </c>
      <c r="W139" s="26">
        <v>50.05</v>
      </c>
      <c r="X139" s="26">
        <v>43.127000000000002</v>
      </c>
      <c r="Y139" s="26">
        <v>37.091999999999999</v>
      </c>
      <c r="Z139" s="26">
        <v>50.05</v>
      </c>
      <c r="AA139" s="26">
        <v>36.643999999999998</v>
      </c>
      <c r="AB139" s="26">
        <v>50.05</v>
      </c>
      <c r="AC139" s="26">
        <v>42.923999999999999</v>
      </c>
      <c r="AD139" s="26">
        <v>42.923999999999999</v>
      </c>
      <c r="AE139" s="26">
        <v>49.131999999999998</v>
      </c>
      <c r="AF139" s="26">
        <v>49.118000000000002</v>
      </c>
      <c r="AG139" s="26">
        <v>44.545000000000002</v>
      </c>
      <c r="AH139" s="26">
        <v>47.343000000000004</v>
      </c>
      <c r="AI139" s="26">
        <v>43.127000000000002</v>
      </c>
      <c r="AJ139" s="26">
        <v>38.040999999999997</v>
      </c>
      <c r="AK139" s="26">
        <v>39.600999999999999</v>
      </c>
      <c r="AL139" s="26">
        <v>43.984000000000002</v>
      </c>
      <c r="AM139" s="26">
        <v>31.617999999999999</v>
      </c>
      <c r="AN139" s="26">
        <v>48.692999999999998</v>
      </c>
      <c r="AO139" s="26">
        <v>32.451999999999998</v>
      </c>
      <c r="AP139" s="26">
        <v>43.018999999999998</v>
      </c>
      <c r="AQ139" s="26">
        <v>9.2931000000000008</v>
      </c>
      <c r="AR139" s="26">
        <v>50.767000000000003</v>
      </c>
      <c r="AS139" s="26">
        <v>36.159999999999997</v>
      </c>
      <c r="AT139" s="26">
        <v>36.758000000000003</v>
      </c>
      <c r="AU139" s="26">
        <v>43.484000000000002</v>
      </c>
      <c r="AV139" s="26">
        <v>41.402000000000001</v>
      </c>
      <c r="AW139" s="26">
        <v>43.018999999999998</v>
      </c>
      <c r="AX139" s="26">
        <v>44.579000000000001</v>
      </c>
      <c r="AY139" s="26">
        <v>42.853000000000002</v>
      </c>
      <c r="AZ139" s="26">
        <v>46.177</v>
      </c>
      <c r="BA139" s="26">
        <v>46.125999999999998</v>
      </c>
      <c r="BB139" s="26">
        <v>44.768999999999998</v>
      </c>
      <c r="BC139" s="26">
        <v>8.8261000000000003</v>
      </c>
      <c r="BD139" s="26">
        <v>39.590000000000003</v>
      </c>
      <c r="BE139" s="26">
        <v>28.933</v>
      </c>
      <c r="BF139" s="26">
        <v>28.585000000000001</v>
      </c>
      <c r="BG139" s="26">
        <v>41.311999999999998</v>
      </c>
      <c r="BH139" s="26">
        <v>34.374000000000002</v>
      </c>
      <c r="BI139" s="26">
        <v>53.350999999999999</v>
      </c>
      <c r="BJ139" s="26">
        <v>50.05</v>
      </c>
      <c r="BK139" s="26">
        <v>14.048</v>
      </c>
      <c r="BL139" s="26">
        <v>6.1828000000000003</v>
      </c>
      <c r="BM139" s="26">
        <v>38.604999999999997</v>
      </c>
      <c r="BN139" s="26">
        <v>46.466000000000001</v>
      </c>
      <c r="BO139" s="26">
        <v>43.127000000000002</v>
      </c>
      <c r="BP139" s="26">
        <v>30.263999999999999</v>
      </c>
      <c r="BQ139" s="26">
        <v>30.687999999999999</v>
      </c>
      <c r="BR139" s="26">
        <v>42.954999999999998</v>
      </c>
      <c r="BS139" s="26">
        <v>44.433999999999997</v>
      </c>
      <c r="BT139" s="26">
        <v>53.350999999999999</v>
      </c>
      <c r="BU139" s="26">
        <v>37.630000000000003</v>
      </c>
      <c r="BV139" s="26">
        <v>48.057000000000002</v>
      </c>
      <c r="BW139" s="26">
        <v>41.779000000000003</v>
      </c>
      <c r="BX139" s="26">
        <v>37.087000000000003</v>
      </c>
      <c r="BY139" s="26">
        <v>50.05</v>
      </c>
      <c r="BZ139" s="26">
        <v>8.4265000000000008</v>
      </c>
      <c r="CA139" s="26">
        <v>36.472999999999999</v>
      </c>
      <c r="CB139" s="26">
        <v>50.066000000000003</v>
      </c>
      <c r="CC139" s="26">
        <v>40.576000000000001</v>
      </c>
      <c r="CD139" s="26">
        <v>6.2424999999999997</v>
      </c>
      <c r="CE139" s="26">
        <v>50.05</v>
      </c>
      <c r="CF139" s="26">
        <v>29.574999999999999</v>
      </c>
      <c r="CG139" s="26">
        <v>53.677999999999997</v>
      </c>
      <c r="CH139" s="26">
        <v>32.991</v>
      </c>
      <c r="CI139" s="26">
        <v>28.766999999999999</v>
      </c>
      <c r="CJ139" s="26">
        <v>46.158000000000001</v>
      </c>
      <c r="CK139" s="26">
        <v>33.094999999999999</v>
      </c>
      <c r="CL139" s="26">
        <v>43.127000000000002</v>
      </c>
      <c r="CM139" s="26">
        <v>42.173999999999999</v>
      </c>
      <c r="CN139" s="26">
        <v>35.502000000000002</v>
      </c>
      <c r="CO139" s="26">
        <v>46.125999999999998</v>
      </c>
      <c r="CP139" s="26">
        <v>42.582000000000001</v>
      </c>
      <c r="CQ139" s="26">
        <v>37.414999999999999</v>
      </c>
      <c r="CR139" s="26">
        <v>28.661999999999999</v>
      </c>
      <c r="CS139" s="26">
        <v>46.220999999999997</v>
      </c>
      <c r="CT139" s="26">
        <v>27.402999999999999</v>
      </c>
      <c r="CU139" s="26">
        <v>37.630000000000003</v>
      </c>
      <c r="CV139" s="26">
        <v>44.863</v>
      </c>
      <c r="CW139" s="26">
        <v>43.034999999999997</v>
      </c>
      <c r="CX139" s="26">
        <v>37.601999999999997</v>
      </c>
      <c r="CY139" s="61"/>
      <c r="CZ139" s="537"/>
      <c r="DA139" s="61"/>
    </row>
    <row r="140" spans="1:16384">
      <c r="A140" s="279">
        <v>42125</v>
      </c>
      <c r="B140" s="26">
        <v>42.78</v>
      </c>
      <c r="C140" s="26">
        <v>28.626000000000001</v>
      </c>
      <c r="D140" s="26">
        <v>41.898000000000003</v>
      </c>
      <c r="E140" s="26">
        <v>21.31</v>
      </c>
      <c r="F140" s="26">
        <v>48.262999999999998</v>
      </c>
      <c r="G140" s="26">
        <v>40.941000000000003</v>
      </c>
      <c r="H140" s="26">
        <v>8.3160000000000007</v>
      </c>
      <c r="I140" s="26">
        <v>31.021000000000001</v>
      </c>
      <c r="J140" s="26">
        <v>30.62</v>
      </c>
      <c r="K140" s="26">
        <v>42.917999999999999</v>
      </c>
      <c r="L140" s="26">
        <v>39.488999999999997</v>
      </c>
      <c r="M140" s="26">
        <v>44.927</v>
      </c>
      <c r="N140" s="26">
        <v>39.795000000000002</v>
      </c>
      <c r="O140" s="26">
        <v>30.274000000000001</v>
      </c>
      <c r="P140" s="26">
        <v>32.317</v>
      </c>
      <c r="Q140" s="26">
        <v>43.018999999999998</v>
      </c>
      <c r="R140" s="26">
        <v>37.6</v>
      </c>
      <c r="S140" s="26">
        <v>41.831000000000003</v>
      </c>
      <c r="T140" s="26">
        <v>13.542999999999999</v>
      </c>
      <c r="U140" s="26">
        <v>13.686</v>
      </c>
      <c r="V140" s="26">
        <v>43.15</v>
      </c>
      <c r="W140" s="26">
        <v>49.45</v>
      </c>
      <c r="X140" s="26">
        <v>36.502000000000002</v>
      </c>
      <c r="Y140" s="26">
        <v>41.298999999999999</v>
      </c>
      <c r="Z140" s="26">
        <v>30.460999999999999</v>
      </c>
      <c r="AA140" s="26">
        <v>34.268000000000001</v>
      </c>
      <c r="AB140" s="26">
        <v>42.957999999999998</v>
      </c>
      <c r="AC140" s="26">
        <v>41.088999999999999</v>
      </c>
      <c r="AD140" s="26">
        <v>41.371000000000002</v>
      </c>
      <c r="AE140" s="26">
        <v>49.45</v>
      </c>
      <c r="AF140" s="26">
        <v>44.76</v>
      </c>
      <c r="AG140" s="26">
        <v>33.591000000000001</v>
      </c>
      <c r="AH140" s="26">
        <v>31.866</v>
      </c>
      <c r="AI140" s="26">
        <v>29.97</v>
      </c>
      <c r="AJ140" s="26">
        <v>34.529000000000003</v>
      </c>
      <c r="AK140" s="26">
        <v>32.886000000000003</v>
      </c>
      <c r="AL140" s="26">
        <v>49.45</v>
      </c>
      <c r="AM140" s="26">
        <v>39.134999999999998</v>
      </c>
      <c r="AN140" s="26">
        <v>13.221</v>
      </c>
      <c r="AO140" s="26">
        <v>41.326999999999998</v>
      </c>
      <c r="AP140" s="26">
        <v>32.238</v>
      </c>
      <c r="AQ140" s="26">
        <v>8.6963000000000008</v>
      </c>
      <c r="AR140" s="26">
        <v>46.095999999999997</v>
      </c>
      <c r="AS140" s="26">
        <v>19.681999999999999</v>
      </c>
      <c r="AT140" s="26">
        <v>39.061999999999998</v>
      </c>
      <c r="AU140" s="26">
        <v>44.947000000000003</v>
      </c>
      <c r="AV140" s="26">
        <v>37.759</v>
      </c>
      <c r="AW140" s="26">
        <v>9.8093000000000004</v>
      </c>
      <c r="AX140" s="26">
        <v>28.312999999999999</v>
      </c>
      <c r="AY140" s="26">
        <v>24.672000000000001</v>
      </c>
      <c r="AZ140" s="26">
        <v>46.557000000000002</v>
      </c>
      <c r="BA140" s="26">
        <v>35.558999999999997</v>
      </c>
      <c r="BB140" s="26">
        <v>21.277999999999999</v>
      </c>
      <c r="BC140" s="26">
        <v>13.2</v>
      </c>
      <c r="BD140" s="26">
        <v>17.675999999999998</v>
      </c>
      <c r="BE140" s="26">
        <v>23.231000000000002</v>
      </c>
      <c r="BF140" s="26">
        <v>24.648</v>
      </c>
      <c r="BG140" s="26">
        <v>28.920999999999999</v>
      </c>
      <c r="BH140" s="26">
        <v>32.904000000000003</v>
      </c>
      <c r="BI140" s="26">
        <v>49.451999999999998</v>
      </c>
      <c r="BJ140" s="26">
        <v>49.45</v>
      </c>
      <c r="BK140" s="26">
        <v>2.0375000000000001</v>
      </c>
      <c r="BL140" s="26">
        <v>0.39834999999999998</v>
      </c>
      <c r="BM140" s="26">
        <v>36.884</v>
      </c>
      <c r="BN140" s="26">
        <v>42.167999999999999</v>
      </c>
      <c r="BO140" s="26">
        <v>24.234000000000002</v>
      </c>
      <c r="BP140" s="26">
        <v>18.143000000000001</v>
      </c>
      <c r="BQ140" s="26">
        <v>9.7453000000000003</v>
      </c>
      <c r="BR140" s="26">
        <v>16.158000000000001</v>
      </c>
      <c r="BS140" s="26">
        <v>46.058999999999997</v>
      </c>
      <c r="BT140" s="26">
        <v>46.912999999999997</v>
      </c>
      <c r="BU140" s="26">
        <v>15.353999999999999</v>
      </c>
      <c r="BV140" s="26">
        <v>27.704000000000001</v>
      </c>
      <c r="BW140" s="26">
        <v>42.988999999999997</v>
      </c>
      <c r="BX140" s="26">
        <v>30.797999999999998</v>
      </c>
      <c r="BY140" s="26">
        <v>46.537999999999997</v>
      </c>
      <c r="BZ140" s="26">
        <v>16.687000000000001</v>
      </c>
      <c r="CA140" s="26">
        <v>44.246000000000002</v>
      </c>
      <c r="CB140" s="26">
        <v>49.45</v>
      </c>
      <c r="CC140" s="26">
        <v>40.265000000000001</v>
      </c>
      <c r="CD140" s="26">
        <v>6.4676</v>
      </c>
      <c r="CE140" s="26">
        <v>28.239000000000001</v>
      </c>
      <c r="CF140" s="26">
        <v>34.201000000000001</v>
      </c>
      <c r="CG140" s="26">
        <v>49.293999999999997</v>
      </c>
      <c r="CH140" s="26">
        <v>34.405000000000001</v>
      </c>
      <c r="CI140" s="26">
        <v>35.625999999999998</v>
      </c>
      <c r="CJ140" s="26">
        <v>44.149000000000001</v>
      </c>
      <c r="CK140" s="26">
        <v>14.599</v>
      </c>
      <c r="CL140" s="26">
        <v>40.813000000000002</v>
      </c>
      <c r="CM140" s="26">
        <v>18.669</v>
      </c>
      <c r="CN140" s="26">
        <v>34.473999999999997</v>
      </c>
      <c r="CO140" s="26">
        <v>46.593000000000004</v>
      </c>
      <c r="CP140" s="26">
        <v>42.323</v>
      </c>
      <c r="CQ140" s="26">
        <v>34.737000000000002</v>
      </c>
      <c r="CR140" s="26">
        <v>20.047000000000001</v>
      </c>
      <c r="CS140" s="26">
        <v>42.884999999999998</v>
      </c>
      <c r="CT140" s="26">
        <v>33.097000000000001</v>
      </c>
      <c r="CU140" s="26">
        <v>7.6521999999999997</v>
      </c>
      <c r="CV140" s="26">
        <v>46.436999999999998</v>
      </c>
      <c r="CW140" s="26">
        <v>37.918999999999997</v>
      </c>
      <c r="CX140" s="26">
        <v>32.305999999999997</v>
      </c>
      <c r="CY140" s="61"/>
      <c r="CZ140" s="537"/>
      <c r="DA140" s="61"/>
    </row>
    <row r="141" spans="1:16384">
      <c r="A141" s="279">
        <v>42156</v>
      </c>
      <c r="B141" s="26">
        <v>41.634999999999998</v>
      </c>
      <c r="C141" s="26">
        <v>26.221</v>
      </c>
      <c r="D141" s="26">
        <v>42.679000000000002</v>
      </c>
      <c r="E141" s="26">
        <v>4.7157999999999998</v>
      </c>
      <c r="F141" s="26">
        <v>50.274999999999999</v>
      </c>
      <c r="G141" s="26">
        <v>24.648</v>
      </c>
      <c r="H141" s="26">
        <v>9.1137999999999995</v>
      </c>
      <c r="I141" s="26">
        <v>28.966000000000001</v>
      </c>
      <c r="J141" s="26">
        <v>33.718000000000004</v>
      </c>
      <c r="K141" s="26">
        <v>43.103000000000002</v>
      </c>
      <c r="L141" s="26">
        <v>42.177</v>
      </c>
      <c r="M141" s="26">
        <v>44.216999999999999</v>
      </c>
      <c r="N141" s="26">
        <v>44.72</v>
      </c>
      <c r="O141" s="26">
        <v>27.45</v>
      </c>
      <c r="P141" s="26">
        <v>32.256999999999998</v>
      </c>
      <c r="Q141" s="26">
        <v>27.672000000000001</v>
      </c>
      <c r="R141" s="26">
        <v>26.638999999999999</v>
      </c>
      <c r="S141" s="26">
        <v>36.085999999999999</v>
      </c>
      <c r="T141" s="26">
        <v>22.951000000000001</v>
      </c>
      <c r="U141" s="26">
        <v>11.236000000000001</v>
      </c>
      <c r="V141" s="26">
        <v>37.945999999999998</v>
      </c>
      <c r="W141" s="26">
        <v>45.954000000000001</v>
      </c>
      <c r="X141" s="26">
        <v>42.212000000000003</v>
      </c>
      <c r="Y141" s="26">
        <v>46.438000000000002</v>
      </c>
      <c r="Z141" s="26">
        <v>26.308</v>
      </c>
      <c r="AA141" s="26">
        <v>23.411000000000001</v>
      </c>
      <c r="AB141" s="26">
        <v>38.651000000000003</v>
      </c>
      <c r="AC141" s="26">
        <v>32.011000000000003</v>
      </c>
      <c r="AD141" s="26">
        <v>37.945999999999998</v>
      </c>
      <c r="AE141" s="26">
        <v>52.668999999999997</v>
      </c>
      <c r="AF141" s="26">
        <v>45.927</v>
      </c>
      <c r="AG141" s="26">
        <v>18.8</v>
      </c>
      <c r="AH141" s="26">
        <v>24.602</v>
      </c>
      <c r="AI141" s="26">
        <v>23.719000000000001</v>
      </c>
      <c r="AJ141" s="26">
        <v>38.173000000000002</v>
      </c>
      <c r="AK141" s="26">
        <v>26.544</v>
      </c>
      <c r="AL141" s="26">
        <v>30.303999999999998</v>
      </c>
      <c r="AM141" s="26">
        <v>42.871000000000002</v>
      </c>
      <c r="AN141" s="26">
        <v>5.1375000000000002</v>
      </c>
      <c r="AO141" s="26">
        <v>42.789000000000001</v>
      </c>
      <c r="AP141" s="26">
        <v>26.594999999999999</v>
      </c>
      <c r="AQ141" s="26">
        <v>6.1424000000000003</v>
      </c>
      <c r="AR141" s="26">
        <v>43.750999999999998</v>
      </c>
      <c r="AS141" s="26">
        <v>4.5453999999999999</v>
      </c>
      <c r="AT141" s="26">
        <v>4.5242000000000004</v>
      </c>
      <c r="AU141" s="26">
        <v>25.311</v>
      </c>
      <c r="AV141" s="26">
        <v>28.297999999999998</v>
      </c>
      <c r="AW141" s="26">
        <v>4.5347999999999997</v>
      </c>
      <c r="AX141" s="26">
        <v>38.892000000000003</v>
      </c>
      <c r="AY141" s="26">
        <v>26.539000000000001</v>
      </c>
      <c r="AZ141" s="26">
        <v>42.670999999999999</v>
      </c>
      <c r="BA141" s="26">
        <v>32.134</v>
      </c>
      <c r="BB141" s="26">
        <v>25.440999999999999</v>
      </c>
      <c r="BC141" s="26">
        <v>6.3619000000000003</v>
      </c>
      <c r="BD141" s="26">
        <v>13.968</v>
      </c>
      <c r="BE141" s="26">
        <v>19.861000000000001</v>
      </c>
      <c r="BF141" s="26">
        <v>11.548999999999999</v>
      </c>
      <c r="BG141" s="26">
        <v>11.6</v>
      </c>
      <c r="BH141" s="26">
        <v>31.934000000000001</v>
      </c>
      <c r="BI141" s="26">
        <v>50.274999999999999</v>
      </c>
      <c r="BJ141" s="26">
        <v>38.646000000000001</v>
      </c>
      <c r="BK141" s="26">
        <v>1.218</v>
      </c>
      <c r="BL141" s="26">
        <v>1.0644</v>
      </c>
      <c r="BM141" s="26">
        <v>44.814999999999998</v>
      </c>
      <c r="BN141" s="26">
        <v>46.216000000000001</v>
      </c>
      <c r="BO141" s="26">
        <v>27.771000000000001</v>
      </c>
      <c r="BP141" s="26">
        <v>17.88</v>
      </c>
      <c r="BQ141" s="26">
        <v>1.5462</v>
      </c>
      <c r="BR141" s="26">
        <v>20.946000000000002</v>
      </c>
      <c r="BS141" s="26">
        <v>38.546999999999997</v>
      </c>
      <c r="BT141" s="26">
        <v>49.393000000000001</v>
      </c>
      <c r="BU141" s="26">
        <v>1.4676</v>
      </c>
      <c r="BV141" s="26">
        <v>18.498999999999999</v>
      </c>
      <c r="BW141" s="26">
        <v>11.548999999999999</v>
      </c>
      <c r="BX141" s="26">
        <v>32.328000000000003</v>
      </c>
      <c r="BY141" s="26">
        <v>39.459000000000003</v>
      </c>
      <c r="BZ141" s="26">
        <v>10.821</v>
      </c>
      <c r="CA141" s="26">
        <v>18.606000000000002</v>
      </c>
      <c r="CB141" s="26">
        <v>5.7415000000000003</v>
      </c>
      <c r="CC141" s="26">
        <v>20.7</v>
      </c>
      <c r="CD141" s="26">
        <v>2.6173000000000002</v>
      </c>
      <c r="CE141" s="26">
        <v>4.7111999999999998</v>
      </c>
      <c r="CF141" s="26">
        <v>27.484999999999999</v>
      </c>
      <c r="CG141" s="26">
        <v>53.854999999999997</v>
      </c>
      <c r="CH141" s="26">
        <v>39.695999999999998</v>
      </c>
      <c r="CI141" s="26">
        <v>18.808</v>
      </c>
      <c r="CJ141" s="26">
        <v>33.606000000000002</v>
      </c>
      <c r="CK141" s="26">
        <v>18.41</v>
      </c>
      <c r="CL141" s="26">
        <v>46.591999999999999</v>
      </c>
      <c r="CM141" s="26">
        <v>18.035</v>
      </c>
      <c r="CN141" s="26">
        <v>26.704000000000001</v>
      </c>
      <c r="CO141" s="26">
        <v>35.506</v>
      </c>
      <c r="CP141" s="26">
        <v>38.685000000000002</v>
      </c>
      <c r="CQ141" s="26">
        <v>19.082000000000001</v>
      </c>
      <c r="CR141" s="26">
        <v>35.381999999999998</v>
      </c>
      <c r="CS141" s="26">
        <v>50.274999999999999</v>
      </c>
      <c r="CT141" s="26">
        <v>36.023000000000003</v>
      </c>
      <c r="CU141" s="26">
        <v>4.7007000000000003</v>
      </c>
      <c r="CV141" s="26">
        <v>41.343000000000004</v>
      </c>
      <c r="CW141" s="26">
        <v>35.372999999999998</v>
      </c>
      <c r="CX141" s="26">
        <v>31.064</v>
      </c>
      <c r="CY141" s="61"/>
      <c r="CZ141" s="537"/>
      <c r="DA141" s="61"/>
    </row>
    <row r="142" spans="1:16384">
      <c r="A142" s="279">
        <v>42186</v>
      </c>
      <c r="B142" s="26">
        <v>27.39</v>
      </c>
      <c r="C142" s="26">
        <v>33.564999999999998</v>
      </c>
      <c r="D142" s="26">
        <v>51.033000000000001</v>
      </c>
      <c r="E142" s="26">
        <v>3.7928999999999999</v>
      </c>
      <c r="F142" s="26">
        <v>36.979999999999997</v>
      </c>
      <c r="G142" s="26">
        <v>11.105</v>
      </c>
      <c r="H142" s="26">
        <v>11.483000000000001</v>
      </c>
      <c r="I142" s="26">
        <v>37.548999999999999</v>
      </c>
      <c r="J142" s="26">
        <v>35.817999999999998</v>
      </c>
      <c r="K142" s="26">
        <v>39.832999999999998</v>
      </c>
      <c r="L142" s="26">
        <v>50.615000000000002</v>
      </c>
      <c r="M142" s="26">
        <v>51.728999999999999</v>
      </c>
      <c r="N142" s="26">
        <v>50.576999999999998</v>
      </c>
      <c r="O142" s="26">
        <v>25.841000000000001</v>
      </c>
      <c r="P142" s="26">
        <v>24.042999999999999</v>
      </c>
      <c r="Q142" s="26">
        <v>19.34</v>
      </c>
      <c r="R142" s="26">
        <v>39.798999999999999</v>
      </c>
      <c r="S142" s="26">
        <v>37.945</v>
      </c>
      <c r="T142" s="26">
        <v>30.462</v>
      </c>
      <c r="U142" s="26">
        <v>11.856999999999999</v>
      </c>
      <c r="V142" s="26">
        <v>4.9527000000000001</v>
      </c>
      <c r="W142" s="26">
        <v>42.969000000000001</v>
      </c>
      <c r="X142" s="26">
        <v>43.771000000000001</v>
      </c>
      <c r="Y142" s="26">
        <v>52.15</v>
      </c>
      <c r="Z142" s="26">
        <v>31.344000000000001</v>
      </c>
      <c r="AA142" s="26">
        <v>26.167000000000002</v>
      </c>
      <c r="AB142" s="26">
        <v>36.073999999999998</v>
      </c>
      <c r="AC142" s="26">
        <v>36.905999999999999</v>
      </c>
      <c r="AD142" s="26">
        <v>32.185000000000002</v>
      </c>
      <c r="AE142" s="26">
        <v>49.789000000000001</v>
      </c>
      <c r="AF142" s="26">
        <v>51.033000000000001</v>
      </c>
      <c r="AG142" s="26">
        <v>10.67</v>
      </c>
      <c r="AH142" s="26">
        <v>31.715</v>
      </c>
      <c r="AI142" s="26">
        <v>25.693999999999999</v>
      </c>
      <c r="AJ142" s="26">
        <v>47.405999999999999</v>
      </c>
      <c r="AK142" s="26">
        <v>18.045999999999999</v>
      </c>
      <c r="AL142" s="26">
        <v>8.2025000000000006</v>
      </c>
      <c r="AM142" s="26">
        <v>47.37</v>
      </c>
      <c r="AN142" s="26">
        <v>9.2667999999999999</v>
      </c>
      <c r="AO142" s="26">
        <v>33.6</v>
      </c>
      <c r="AP142" s="26">
        <v>25.427</v>
      </c>
      <c r="AQ142" s="26">
        <v>10.95</v>
      </c>
      <c r="AR142" s="26">
        <v>33.204999999999998</v>
      </c>
      <c r="AS142" s="26">
        <v>14.454000000000001</v>
      </c>
      <c r="AT142" s="26">
        <v>8.1888000000000005</v>
      </c>
      <c r="AU142" s="26">
        <v>33.011000000000003</v>
      </c>
      <c r="AV142" s="26">
        <v>32.271000000000001</v>
      </c>
      <c r="AW142" s="26">
        <v>4.3758999999999997</v>
      </c>
      <c r="AX142" s="26">
        <v>41.220999999999997</v>
      </c>
      <c r="AY142" s="26">
        <v>12.641</v>
      </c>
      <c r="AZ142" s="26">
        <v>50.923999999999999</v>
      </c>
      <c r="BA142" s="26">
        <v>35.502000000000002</v>
      </c>
      <c r="BB142" s="26">
        <v>17.516999999999999</v>
      </c>
      <c r="BC142" s="26">
        <v>17.114000000000001</v>
      </c>
      <c r="BD142" s="26">
        <v>25.722000000000001</v>
      </c>
      <c r="BE142" s="26">
        <v>8.8704999999999998</v>
      </c>
      <c r="BF142" s="26">
        <v>25.472999999999999</v>
      </c>
      <c r="BG142" s="26">
        <v>26.327999999999999</v>
      </c>
      <c r="BH142" s="26">
        <v>42.844999999999999</v>
      </c>
      <c r="BI142" s="26">
        <v>53.338000000000001</v>
      </c>
      <c r="BJ142" s="26">
        <v>37.555999999999997</v>
      </c>
      <c r="BK142" s="26">
        <v>0</v>
      </c>
      <c r="BL142" s="26">
        <v>0</v>
      </c>
      <c r="BM142" s="26">
        <v>52.569000000000003</v>
      </c>
      <c r="BN142" s="26">
        <v>51.216000000000001</v>
      </c>
      <c r="BO142" s="26">
        <v>37.764000000000003</v>
      </c>
      <c r="BP142" s="26">
        <v>18.027000000000001</v>
      </c>
      <c r="BQ142" s="26">
        <v>11.952</v>
      </c>
      <c r="BR142" s="26">
        <v>18.483000000000001</v>
      </c>
      <c r="BS142" s="26">
        <v>43.436</v>
      </c>
      <c r="BT142" s="26">
        <v>48.511000000000003</v>
      </c>
      <c r="BU142" s="26">
        <v>0.29724</v>
      </c>
      <c r="BV142" s="26">
        <v>10.881</v>
      </c>
      <c r="BW142" s="26">
        <v>26.937999999999999</v>
      </c>
      <c r="BX142" s="26">
        <v>45.84</v>
      </c>
      <c r="BY142" s="26">
        <v>40.682000000000002</v>
      </c>
      <c r="BZ142" s="26">
        <v>0.30780000000000002</v>
      </c>
      <c r="CA142" s="26">
        <v>19.204000000000001</v>
      </c>
      <c r="CB142" s="26">
        <v>13.896000000000001</v>
      </c>
      <c r="CC142" s="26">
        <v>15.648999999999999</v>
      </c>
      <c r="CD142" s="26">
        <v>1.2639</v>
      </c>
      <c r="CE142" s="26">
        <v>0.30503999999999998</v>
      </c>
      <c r="CF142" s="26">
        <v>41.744</v>
      </c>
      <c r="CG142" s="26">
        <v>53.24</v>
      </c>
      <c r="CH142" s="26">
        <v>43.058</v>
      </c>
      <c r="CI142" s="26">
        <v>28.364999999999998</v>
      </c>
      <c r="CJ142" s="26">
        <v>48.686</v>
      </c>
      <c r="CK142" s="26">
        <v>11.52</v>
      </c>
      <c r="CL142" s="26">
        <v>45.332999999999998</v>
      </c>
      <c r="CM142" s="26">
        <v>10.693</v>
      </c>
      <c r="CN142" s="26">
        <v>33.384</v>
      </c>
      <c r="CO142" s="26">
        <v>35.945</v>
      </c>
      <c r="CP142" s="26">
        <v>41.939</v>
      </c>
      <c r="CQ142" s="26">
        <v>19.745999999999999</v>
      </c>
      <c r="CR142" s="26">
        <v>40.591000000000001</v>
      </c>
      <c r="CS142" s="26">
        <v>47.883000000000003</v>
      </c>
      <c r="CT142" s="26">
        <v>41.393000000000001</v>
      </c>
      <c r="CU142" s="26">
        <v>11.646000000000001</v>
      </c>
      <c r="CV142" s="26">
        <v>49.19</v>
      </c>
      <c r="CW142" s="26">
        <v>32.814999999999998</v>
      </c>
      <c r="CX142" s="26">
        <v>29.905000000000001</v>
      </c>
      <c r="CY142" s="61"/>
      <c r="CZ142" s="537"/>
      <c r="DA142" s="61"/>
    </row>
    <row r="143" spans="1:16384">
      <c r="A143" s="279">
        <v>42217</v>
      </c>
      <c r="B143" s="26">
        <v>8.3443000000000005</v>
      </c>
      <c r="C143" s="26">
        <v>35.326999999999998</v>
      </c>
      <c r="D143" s="26">
        <v>51.456000000000003</v>
      </c>
      <c r="E143" s="26">
        <v>0</v>
      </c>
      <c r="F143" s="26">
        <v>47.758000000000003</v>
      </c>
      <c r="G143" s="26">
        <v>8.5929000000000002</v>
      </c>
      <c r="H143" s="26">
        <v>30.132999999999999</v>
      </c>
      <c r="I143" s="26">
        <v>13.09</v>
      </c>
      <c r="J143" s="26">
        <v>41.094999999999999</v>
      </c>
      <c r="K143" s="26">
        <v>37.427999999999997</v>
      </c>
      <c r="L143" s="26">
        <v>50.97</v>
      </c>
      <c r="M143" s="26">
        <v>53.173999999999999</v>
      </c>
      <c r="N143" s="26">
        <v>52.054000000000002</v>
      </c>
      <c r="O143" s="26">
        <v>30.076000000000001</v>
      </c>
      <c r="P143" s="26">
        <v>29.664000000000001</v>
      </c>
      <c r="Q143" s="26">
        <v>35.481000000000002</v>
      </c>
      <c r="R143" s="26">
        <v>36.912999999999997</v>
      </c>
      <c r="S143" s="26">
        <v>41.158999999999999</v>
      </c>
      <c r="T143" s="26">
        <v>35.933</v>
      </c>
      <c r="U143" s="26">
        <v>2.8465000000000001E-2</v>
      </c>
      <c r="V143" s="26">
        <v>7.7939999999999996</v>
      </c>
      <c r="W143" s="26">
        <v>32.090000000000003</v>
      </c>
      <c r="X143" s="26">
        <v>35.927999999999997</v>
      </c>
      <c r="Y143" s="26">
        <v>55.121000000000002</v>
      </c>
      <c r="Z143" s="26">
        <v>30.231999999999999</v>
      </c>
      <c r="AA143" s="26">
        <v>11.483000000000001</v>
      </c>
      <c r="AB143" s="26">
        <v>47.561</v>
      </c>
      <c r="AC143" s="26">
        <v>42.131999999999998</v>
      </c>
      <c r="AD143" s="26">
        <v>37.454000000000001</v>
      </c>
      <c r="AE143" s="26">
        <v>52.024999999999999</v>
      </c>
      <c r="AF143" s="26">
        <v>54.008000000000003</v>
      </c>
      <c r="AG143" s="26">
        <v>13.629</v>
      </c>
      <c r="AH143" s="26">
        <v>40.651000000000003</v>
      </c>
      <c r="AI143" s="26">
        <v>30.382000000000001</v>
      </c>
      <c r="AJ143" s="26">
        <v>50.143999999999998</v>
      </c>
      <c r="AK143" s="26">
        <v>32.389000000000003</v>
      </c>
      <c r="AL143" s="26">
        <v>8.0965000000000007</v>
      </c>
      <c r="AM143" s="26">
        <v>50.901000000000003</v>
      </c>
      <c r="AN143" s="26">
        <v>20.454000000000001</v>
      </c>
      <c r="AO143" s="26">
        <v>48.054000000000002</v>
      </c>
      <c r="AP143" s="26">
        <v>8.5295000000000005</v>
      </c>
      <c r="AQ143" s="26">
        <v>29.78</v>
      </c>
      <c r="AR143" s="26">
        <v>31.474</v>
      </c>
      <c r="AS143" s="26">
        <v>30.332999999999998</v>
      </c>
      <c r="AT143" s="26">
        <v>7.4298999999999997E-3</v>
      </c>
      <c r="AU143" s="26">
        <v>29.702000000000002</v>
      </c>
      <c r="AV143" s="26">
        <v>30.457999999999998</v>
      </c>
      <c r="AW143" s="26">
        <v>6.7835000000000001</v>
      </c>
      <c r="AX143" s="26">
        <v>50.540999999999997</v>
      </c>
      <c r="AY143" s="26">
        <v>4.4782000000000002</v>
      </c>
      <c r="AZ143" s="26">
        <v>50.79</v>
      </c>
      <c r="BA143" s="26">
        <v>31.056000000000001</v>
      </c>
      <c r="BB143" s="26">
        <v>25.382000000000001</v>
      </c>
      <c r="BC143" s="26">
        <v>30.312999999999999</v>
      </c>
      <c r="BD143" s="26">
        <v>30.398</v>
      </c>
      <c r="BE143" s="26">
        <v>8.3424999999999994</v>
      </c>
      <c r="BF143" s="26">
        <v>30.92</v>
      </c>
      <c r="BG143" s="26">
        <v>30.385999999999999</v>
      </c>
      <c r="BH143" s="26">
        <v>31.021000000000001</v>
      </c>
      <c r="BI143" s="26">
        <v>53.779000000000003</v>
      </c>
      <c r="BJ143" s="26">
        <v>42.268999999999998</v>
      </c>
      <c r="BK143" s="26">
        <v>0</v>
      </c>
      <c r="BL143" s="26">
        <v>0</v>
      </c>
      <c r="BM143" s="26">
        <v>54.78</v>
      </c>
      <c r="BN143" s="26">
        <v>53.871000000000002</v>
      </c>
      <c r="BO143" s="26">
        <v>35.804000000000002</v>
      </c>
      <c r="BP143" s="26">
        <v>19.007999999999999</v>
      </c>
      <c r="BQ143" s="26">
        <v>25.477</v>
      </c>
      <c r="BR143" s="26">
        <v>31.52</v>
      </c>
      <c r="BS143" s="26">
        <v>49.180999999999997</v>
      </c>
      <c r="BT143" s="26">
        <v>48.213999999999999</v>
      </c>
      <c r="BU143" s="26">
        <v>0.14895</v>
      </c>
      <c r="BV143" s="26">
        <v>10.472</v>
      </c>
      <c r="BW143" s="26">
        <v>35.914000000000001</v>
      </c>
      <c r="BX143" s="26">
        <v>46.75</v>
      </c>
      <c r="BY143" s="26">
        <v>30.882999999999999</v>
      </c>
      <c r="BZ143" s="26">
        <v>6.3513999999999999</v>
      </c>
      <c r="CA143" s="26">
        <v>20.538</v>
      </c>
      <c r="CB143" s="26">
        <v>20.951000000000001</v>
      </c>
      <c r="CC143" s="26">
        <v>13.118</v>
      </c>
      <c r="CD143" s="26">
        <v>0</v>
      </c>
      <c r="CE143" s="26">
        <v>1.2397</v>
      </c>
      <c r="CF143" s="26">
        <v>47.75</v>
      </c>
      <c r="CG143" s="26">
        <v>52.054000000000002</v>
      </c>
      <c r="CH143" s="26">
        <v>42.771999999999998</v>
      </c>
      <c r="CI143" s="26">
        <v>21.581</v>
      </c>
      <c r="CJ143" s="26">
        <v>47.578000000000003</v>
      </c>
      <c r="CK143" s="26">
        <v>9.1980000000000004</v>
      </c>
      <c r="CL143" s="26">
        <v>53.055999999999997</v>
      </c>
      <c r="CM143" s="26">
        <v>12.69</v>
      </c>
      <c r="CN143" s="26">
        <v>41.792000000000002</v>
      </c>
      <c r="CO143" s="26">
        <v>34.94</v>
      </c>
      <c r="CP143" s="26">
        <v>31.434999999999999</v>
      </c>
      <c r="CQ143" s="26">
        <v>14.997</v>
      </c>
      <c r="CR143" s="26">
        <v>49.155999999999999</v>
      </c>
      <c r="CS143" s="26">
        <v>50.290999999999997</v>
      </c>
      <c r="CT143" s="26">
        <v>42.594999999999999</v>
      </c>
      <c r="CU143" s="26">
        <v>1.3386</v>
      </c>
      <c r="CV143" s="26">
        <v>50.95</v>
      </c>
      <c r="CW143" s="26">
        <v>30.07</v>
      </c>
      <c r="CX143" s="26">
        <v>30.736999999999998</v>
      </c>
      <c r="CY143" s="61"/>
      <c r="CZ143" s="537"/>
      <c r="DA143" s="61"/>
    </row>
    <row r="144" spans="1:16384">
      <c r="A144" s="279">
        <v>42248</v>
      </c>
      <c r="B144" s="26">
        <v>9.8739000000000008</v>
      </c>
      <c r="C144" s="26">
        <v>45.927999999999997</v>
      </c>
      <c r="D144" s="26">
        <v>54.695999999999998</v>
      </c>
      <c r="E144" s="26">
        <v>0</v>
      </c>
      <c r="F144" s="26">
        <v>51.027999999999999</v>
      </c>
      <c r="G144" s="26">
        <v>8.3788</v>
      </c>
      <c r="H144" s="26">
        <v>32.088999999999999</v>
      </c>
      <c r="I144" s="26">
        <v>7.3013000000000003</v>
      </c>
      <c r="J144" s="26">
        <v>45.353999999999999</v>
      </c>
      <c r="K144" s="26">
        <v>40.893999999999998</v>
      </c>
      <c r="L144" s="26">
        <v>47.274999999999999</v>
      </c>
      <c r="M144" s="26">
        <v>54.923999999999999</v>
      </c>
      <c r="N144" s="26">
        <v>43.305999999999997</v>
      </c>
      <c r="O144" s="26">
        <v>22.728000000000002</v>
      </c>
      <c r="P144" s="26">
        <v>28.268000000000001</v>
      </c>
      <c r="Q144" s="26">
        <v>45.783000000000001</v>
      </c>
      <c r="R144" s="26">
        <v>32.094000000000001</v>
      </c>
      <c r="S144" s="26">
        <v>46.039000000000001</v>
      </c>
      <c r="T144" s="26">
        <v>33.173999999999999</v>
      </c>
      <c r="U144" s="26">
        <v>2.5055999999999998</v>
      </c>
      <c r="V144" s="26">
        <v>19.978000000000002</v>
      </c>
      <c r="W144" s="26">
        <v>43.158000000000001</v>
      </c>
      <c r="X144" s="26">
        <v>41.892000000000003</v>
      </c>
      <c r="Y144" s="26">
        <v>54.942999999999998</v>
      </c>
      <c r="Z144" s="26">
        <v>31.806999999999999</v>
      </c>
      <c r="AA144" s="26">
        <v>22.798999999999999</v>
      </c>
      <c r="AB144" s="26">
        <v>50.209000000000003</v>
      </c>
      <c r="AC144" s="26">
        <v>46.304000000000002</v>
      </c>
      <c r="AD144" s="26">
        <v>27.22</v>
      </c>
      <c r="AE144" s="26">
        <v>45.319000000000003</v>
      </c>
      <c r="AF144" s="26">
        <v>50.76</v>
      </c>
      <c r="AG144" s="26">
        <v>0</v>
      </c>
      <c r="AH144" s="26">
        <v>42.561</v>
      </c>
      <c r="AI144" s="26">
        <v>31.879000000000001</v>
      </c>
      <c r="AJ144" s="26">
        <v>50.280999999999999</v>
      </c>
      <c r="AK144" s="26">
        <v>39.991</v>
      </c>
      <c r="AL144" s="26">
        <v>21.515999999999998</v>
      </c>
      <c r="AM144" s="26">
        <v>50.366999999999997</v>
      </c>
      <c r="AN144" s="26">
        <v>12.956</v>
      </c>
      <c r="AO144" s="26">
        <v>42.167999999999999</v>
      </c>
      <c r="AP144" s="26">
        <v>8.5020000000000007</v>
      </c>
      <c r="AQ144" s="26">
        <v>28.457999999999998</v>
      </c>
      <c r="AR144" s="26">
        <v>43.241999999999997</v>
      </c>
      <c r="AS144" s="26">
        <v>40.366999999999997</v>
      </c>
      <c r="AT144" s="26">
        <v>0</v>
      </c>
      <c r="AU144" s="26">
        <v>31.994</v>
      </c>
      <c r="AV144" s="26">
        <v>41.247999999999998</v>
      </c>
      <c r="AW144" s="26">
        <v>1.6644000000000001</v>
      </c>
      <c r="AX144" s="26">
        <v>54.118000000000002</v>
      </c>
      <c r="AY144" s="26">
        <v>10.082000000000001</v>
      </c>
      <c r="AZ144" s="26">
        <v>53.9</v>
      </c>
      <c r="BA144" s="26">
        <v>27.2</v>
      </c>
      <c r="BB144" s="26">
        <v>32.375999999999998</v>
      </c>
      <c r="BC144" s="26">
        <v>8.1050000000000004</v>
      </c>
      <c r="BD144" s="26">
        <v>23.51</v>
      </c>
      <c r="BE144" s="26">
        <v>18.187000000000001</v>
      </c>
      <c r="BF144" s="26">
        <v>42.674999999999997</v>
      </c>
      <c r="BG144" s="26">
        <v>16.797000000000001</v>
      </c>
      <c r="BH144" s="26">
        <v>27.873000000000001</v>
      </c>
      <c r="BI144" s="26">
        <v>56.744</v>
      </c>
      <c r="BJ144" s="26">
        <v>42.957999999999998</v>
      </c>
      <c r="BK144" s="26">
        <v>0.43492999999999998</v>
      </c>
      <c r="BL144" s="26">
        <v>9.7133000000000003</v>
      </c>
      <c r="BM144" s="26">
        <v>54.695999999999998</v>
      </c>
      <c r="BN144" s="26">
        <v>53.106999999999999</v>
      </c>
      <c r="BO144" s="26">
        <v>45.387</v>
      </c>
      <c r="BP144" s="26">
        <v>39.756999999999998</v>
      </c>
      <c r="BQ144" s="26">
        <v>38.954000000000001</v>
      </c>
      <c r="BR144" s="26">
        <v>40.656999999999996</v>
      </c>
      <c r="BS144" s="26">
        <v>47.122999999999998</v>
      </c>
      <c r="BT144" s="26">
        <v>47.186</v>
      </c>
      <c r="BU144" s="26">
        <v>0</v>
      </c>
      <c r="BV144" s="26">
        <v>14.122999999999999</v>
      </c>
      <c r="BW144" s="26">
        <v>43.095999999999997</v>
      </c>
      <c r="BX144" s="26">
        <v>49.529000000000003</v>
      </c>
      <c r="BY144" s="26">
        <v>40.253</v>
      </c>
      <c r="BZ144" s="26">
        <v>0.41224</v>
      </c>
      <c r="CA144" s="26">
        <v>22.533000000000001</v>
      </c>
      <c r="CB144" s="26">
        <v>8.1507000000000005</v>
      </c>
      <c r="CC144" s="26">
        <v>27.097000000000001</v>
      </c>
      <c r="CD144" s="26">
        <v>0</v>
      </c>
      <c r="CE144" s="26">
        <v>0.20843999999999999</v>
      </c>
      <c r="CF144" s="26">
        <v>48.954999999999998</v>
      </c>
      <c r="CG144" s="26">
        <v>54.149000000000001</v>
      </c>
      <c r="CH144" s="26">
        <v>27.149000000000001</v>
      </c>
      <c r="CI144" s="26">
        <v>23.09</v>
      </c>
      <c r="CJ144" s="26">
        <v>43.55</v>
      </c>
      <c r="CK144" s="26">
        <v>10.372</v>
      </c>
      <c r="CL144" s="26">
        <v>56.212000000000003</v>
      </c>
      <c r="CM144" s="26">
        <v>22.414000000000001</v>
      </c>
      <c r="CN144" s="26">
        <v>43.517000000000003</v>
      </c>
      <c r="CO144" s="26">
        <v>27.018000000000001</v>
      </c>
      <c r="CP144" s="26">
        <v>33.228999999999999</v>
      </c>
      <c r="CQ144" s="26">
        <v>27.137</v>
      </c>
      <c r="CR144" s="26">
        <v>45.906999999999996</v>
      </c>
      <c r="CS144" s="26">
        <v>54.262999999999998</v>
      </c>
      <c r="CT144" s="26">
        <v>50.087000000000003</v>
      </c>
      <c r="CU144" s="26">
        <v>0</v>
      </c>
      <c r="CV144" s="26">
        <v>50.704000000000001</v>
      </c>
      <c r="CW144" s="26">
        <v>30.132999999999999</v>
      </c>
      <c r="CX144" s="26">
        <v>33.667000000000002</v>
      </c>
      <c r="CY144" s="61"/>
      <c r="CZ144" s="537"/>
      <c r="DA144" s="61"/>
    </row>
    <row r="145" spans="1:16384">
      <c r="A145" s="279">
        <v>42278</v>
      </c>
      <c r="B145" s="26">
        <v>1.3815</v>
      </c>
      <c r="C145" s="26">
        <v>43.255000000000003</v>
      </c>
      <c r="D145" s="26">
        <v>54.942</v>
      </c>
      <c r="E145" s="26">
        <v>0</v>
      </c>
      <c r="F145" s="26">
        <v>55.195</v>
      </c>
      <c r="G145" s="26">
        <v>0</v>
      </c>
      <c r="H145" s="26">
        <v>23.745999999999999</v>
      </c>
      <c r="I145" s="26">
        <v>9.1026999999999997E-2</v>
      </c>
      <c r="J145" s="26">
        <v>42.232999999999997</v>
      </c>
      <c r="K145" s="26">
        <v>42.667999999999999</v>
      </c>
      <c r="L145" s="26">
        <v>47.314999999999998</v>
      </c>
      <c r="M145" s="26">
        <v>55.512</v>
      </c>
      <c r="N145" s="26">
        <v>49.521000000000001</v>
      </c>
      <c r="O145" s="26">
        <v>23.04</v>
      </c>
      <c r="P145" s="26">
        <v>25.151</v>
      </c>
      <c r="Q145" s="26">
        <v>50.210999999999999</v>
      </c>
      <c r="R145" s="26">
        <v>26.651</v>
      </c>
      <c r="S145" s="26">
        <v>49.000999999999998</v>
      </c>
      <c r="T145" s="26">
        <v>11.05</v>
      </c>
      <c r="U145" s="26">
        <v>27.13</v>
      </c>
      <c r="V145" s="26">
        <v>24.890999999999998</v>
      </c>
      <c r="W145" s="26">
        <v>45.576000000000001</v>
      </c>
      <c r="X145" s="26">
        <v>48.076999999999998</v>
      </c>
      <c r="Y145" s="26">
        <v>55.38</v>
      </c>
      <c r="Z145" s="26">
        <v>38.393999999999998</v>
      </c>
      <c r="AA145" s="26">
        <v>27.102</v>
      </c>
      <c r="AB145" s="26">
        <v>51.338999999999999</v>
      </c>
      <c r="AC145" s="26">
        <v>44.612000000000002</v>
      </c>
      <c r="AD145" s="26">
        <v>26.917000000000002</v>
      </c>
      <c r="AE145" s="26">
        <v>47.954000000000001</v>
      </c>
      <c r="AF145" s="26">
        <v>54.98</v>
      </c>
      <c r="AG145" s="26">
        <v>11.737</v>
      </c>
      <c r="AH145" s="26">
        <v>40.447000000000003</v>
      </c>
      <c r="AI145" s="26">
        <v>10.491</v>
      </c>
      <c r="AJ145" s="26">
        <v>48.511000000000003</v>
      </c>
      <c r="AK145" s="26">
        <v>24.672999999999998</v>
      </c>
      <c r="AL145" s="26">
        <v>0</v>
      </c>
      <c r="AM145" s="26">
        <v>52.945999999999998</v>
      </c>
      <c r="AN145" s="26">
        <v>39.158000000000001</v>
      </c>
      <c r="AO145" s="26">
        <v>39.243000000000002</v>
      </c>
      <c r="AP145" s="26">
        <v>7.3822999999999999</v>
      </c>
      <c r="AQ145" s="26">
        <v>22.18</v>
      </c>
      <c r="AR145" s="26">
        <v>47.978999999999999</v>
      </c>
      <c r="AS145" s="26">
        <v>38.192</v>
      </c>
      <c r="AT145" s="26">
        <v>0</v>
      </c>
      <c r="AU145" s="26">
        <v>38.046999999999997</v>
      </c>
      <c r="AV145" s="26">
        <v>25.478000000000002</v>
      </c>
      <c r="AW145" s="26">
        <v>0</v>
      </c>
      <c r="AX145" s="26">
        <v>53.503</v>
      </c>
      <c r="AY145" s="26">
        <v>14.319000000000001</v>
      </c>
      <c r="AZ145" s="26">
        <v>45.273000000000003</v>
      </c>
      <c r="BA145" s="26">
        <v>25.712</v>
      </c>
      <c r="BB145" s="26">
        <v>40.499000000000002</v>
      </c>
      <c r="BC145" s="26">
        <v>19.498000000000001</v>
      </c>
      <c r="BD145" s="26">
        <v>23.164999999999999</v>
      </c>
      <c r="BE145" s="26">
        <v>14.984</v>
      </c>
      <c r="BF145" s="26">
        <v>45.93</v>
      </c>
      <c r="BG145" s="26">
        <v>6.0884999999999998</v>
      </c>
      <c r="BH145" s="26">
        <v>39.649000000000001</v>
      </c>
      <c r="BI145" s="26">
        <v>55.372</v>
      </c>
      <c r="BJ145" s="26">
        <v>40.335000000000001</v>
      </c>
      <c r="BK145" s="26">
        <v>0</v>
      </c>
      <c r="BL145" s="26">
        <v>26.173999999999999</v>
      </c>
      <c r="BM145" s="26">
        <v>55.368000000000002</v>
      </c>
      <c r="BN145" s="26">
        <v>45.615000000000002</v>
      </c>
      <c r="BO145" s="26">
        <v>45.664999999999999</v>
      </c>
      <c r="BP145" s="26">
        <v>38.295999999999999</v>
      </c>
      <c r="BQ145" s="26">
        <v>41.472999999999999</v>
      </c>
      <c r="BR145" s="26">
        <v>42.027999999999999</v>
      </c>
      <c r="BS145" s="26">
        <v>45.701000000000001</v>
      </c>
      <c r="BT145" s="26">
        <v>53.588000000000001</v>
      </c>
      <c r="BU145" s="26">
        <v>0</v>
      </c>
      <c r="BV145" s="26">
        <v>0</v>
      </c>
      <c r="BW145" s="26">
        <v>49.512</v>
      </c>
      <c r="BX145" s="26">
        <v>54.774999999999999</v>
      </c>
      <c r="BY145" s="26">
        <v>38.743000000000002</v>
      </c>
      <c r="BZ145" s="26">
        <v>0</v>
      </c>
      <c r="CA145" s="26">
        <v>35.549999999999997</v>
      </c>
      <c r="CB145" s="26">
        <v>22.093</v>
      </c>
      <c r="CC145" s="26">
        <v>39.332999999999998</v>
      </c>
      <c r="CD145" s="26">
        <v>0</v>
      </c>
      <c r="CE145" s="26">
        <v>0</v>
      </c>
      <c r="CF145" s="26">
        <v>44.51</v>
      </c>
      <c r="CG145" s="26">
        <v>44.845999999999997</v>
      </c>
      <c r="CH145" s="26">
        <v>45.058</v>
      </c>
      <c r="CI145" s="26">
        <v>29.984000000000002</v>
      </c>
      <c r="CJ145" s="26">
        <v>44.600999999999999</v>
      </c>
      <c r="CK145" s="26">
        <v>27.077000000000002</v>
      </c>
      <c r="CL145" s="26">
        <v>55.558</v>
      </c>
      <c r="CM145" s="26">
        <v>27.786999999999999</v>
      </c>
      <c r="CN145" s="26">
        <v>44.061999999999998</v>
      </c>
      <c r="CO145" s="26">
        <v>38.886000000000003</v>
      </c>
      <c r="CP145" s="26">
        <v>28.510999999999999</v>
      </c>
      <c r="CQ145" s="26">
        <v>26.818000000000001</v>
      </c>
      <c r="CR145" s="26">
        <v>49.94</v>
      </c>
      <c r="CS145" s="26">
        <v>53.720999999999997</v>
      </c>
      <c r="CT145" s="26">
        <v>55.368000000000002</v>
      </c>
      <c r="CU145" s="26">
        <v>1.2153</v>
      </c>
      <c r="CV145" s="26">
        <v>53.228999999999999</v>
      </c>
      <c r="CW145" s="26">
        <v>43.177999999999997</v>
      </c>
      <c r="CX145" s="26">
        <v>34.887</v>
      </c>
      <c r="CY145" s="61"/>
      <c r="CZ145" s="537"/>
      <c r="DA145" s="61"/>
    </row>
    <row r="146" spans="1:16384">
      <c r="A146" s="279">
        <v>42309</v>
      </c>
      <c r="B146" s="26">
        <v>17.646000000000001</v>
      </c>
      <c r="C146" s="26">
        <v>42.353000000000002</v>
      </c>
      <c r="D146" s="26">
        <v>55.348999999999997</v>
      </c>
      <c r="E146" s="26">
        <v>0</v>
      </c>
      <c r="F146" s="26">
        <v>55.534999999999997</v>
      </c>
      <c r="G146" s="26">
        <v>17.399000000000001</v>
      </c>
      <c r="H146" s="26">
        <v>37.908000000000001</v>
      </c>
      <c r="I146" s="26">
        <v>16.942</v>
      </c>
      <c r="J146" s="26">
        <v>45.15</v>
      </c>
      <c r="K146" s="26">
        <v>38.375</v>
      </c>
      <c r="L146" s="26">
        <v>47.244</v>
      </c>
      <c r="M146" s="26">
        <v>51.774999999999999</v>
      </c>
      <c r="N146" s="26">
        <v>52.377000000000002</v>
      </c>
      <c r="O146" s="26">
        <v>27.488</v>
      </c>
      <c r="P146" s="26">
        <v>36.97</v>
      </c>
      <c r="Q146" s="26">
        <v>52.348999999999997</v>
      </c>
      <c r="R146" s="26">
        <v>37.93</v>
      </c>
      <c r="S146" s="26">
        <v>33.264000000000003</v>
      </c>
      <c r="T146" s="26">
        <v>17.940999999999999</v>
      </c>
      <c r="U146" s="26">
        <v>37.246000000000002</v>
      </c>
      <c r="V146" s="26">
        <v>38.048999999999999</v>
      </c>
      <c r="W146" s="26">
        <v>52.976999999999997</v>
      </c>
      <c r="X146" s="26">
        <v>53.268000000000001</v>
      </c>
      <c r="Y146" s="26">
        <v>55.079000000000001</v>
      </c>
      <c r="Z146" s="26">
        <v>36.512999999999998</v>
      </c>
      <c r="AA146" s="26">
        <v>32.517000000000003</v>
      </c>
      <c r="AB146" s="26">
        <v>52.866999999999997</v>
      </c>
      <c r="AC146" s="26">
        <v>52.338999999999999</v>
      </c>
      <c r="AD146" s="26">
        <v>33.392000000000003</v>
      </c>
      <c r="AE146" s="26">
        <v>45.984999999999999</v>
      </c>
      <c r="AF146" s="26">
        <v>52.176000000000002</v>
      </c>
      <c r="AG146" s="26">
        <v>17.416</v>
      </c>
      <c r="AH146" s="26">
        <v>50.707999999999998</v>
      </c>
      <c r="AI146" s="26">
        <v>17.408999999999999</v>
      </c>
      <c r="AJ146" s="26">
        <v>51.777999999999999</v>
      </c>
      <c r="AK146" s="26">
        <v>16.600999999999999</v>
      </c>
      <c r="AL146" s="26">
        <v>0</v>
      </c>
      <c r="AM146" s="26">
        <v>43.402999999999999</v>
      </c>
      <c r="AN146" s="26">
        <v>28.195</v>
      </c>
      <c r="AO146" s="26">
        <v>42.215000000000003</v>
      </c>
      <c r="AP146" s="26">
        <v>16.884</v>
      </c>
      <c r="AQ146" s="26">
        <v>27.649000000000001</v>
      </c>
      <c r="AR146" s="26">
        <v>52.045000000000002</v>
      </c>
      <c r="AS146" s="26">
        <v>38.738999999999997</v>
      </c>
      <c r="AT146" s="26">
        <v>8.3807000000000006E-2</v>
      </c>
      <c r="AU146" s="26">
        <v>37.404000000000003</v>
      </c>
      <c r="AV146" s="26">
        <v>32.957999999999998</v>
      </c>
      <c r="AW146" s="26">
        <v>0</v>
      </c>
      <c r="AX146" s="26">
        <v>46.813000000000002</v>
      </c>
      <c r="AY146" s="26">
        <v>0.16733000000000001</v>
      </c>
      <c r="AZ146" s="26">
        <v>46.156999999999996</v>
      </c>
      <c r="BA146" s="26">
        <v>26.945</v>
      </c>
      <c r="BB146" s="26">
        <v>42.281999999999996</v>
      </c>
      <c r="BC146" s="26">
        <v>24.286000000000001</v>
      </c>
      <c r="BD146" s="26">
        <v>27.064</v>
      </c>
      <c r="BE146" s="26">
        <v>17.713999999999999</v>
      </c>
      <c r="BF146" s="26">
        <v>46.534999999999997</v>
      </c>
      <c r="BG146" s="26">
        <v>1.2448999999999999</v>
      </c>
      <c r="BH146" s="26">
        <v>38.710999999999999</v>
      </c>
      <c r="BI146" s="26">
        <v>55.536999999999999</v>
      </c>
      <c r="BJ146" s="26">
        <v>45.01</v>
      </c>
      <c r="BK146" s="26">
        <v>0</v>
      </c>
      <c r="BL146" s="26">
        <v>24.651</v>
      </c>
      <c r="BM146" s="26">
        <v>57.420999999999999</v>
      </c>
      <c r="BN146" s="26">
        <v>51.301000000000002</v>
      </c>
      <c r="BO146" s="26">
        <v>42.432000000000002</v>
      </c>
      <c r="BP146" s="26">
        <v>37.886000000000003</v>
      </c>
      <c r="BQ146" s="26">
        <v>45.828000000000003</v>
      </c>
      <c r="BR146" s="26">
        <v>38.587000000000003</v>
      </c>
      <c r="BS146" s="26">
        <v>46.933</v>
      </c>
      <c r="BT146" s="26">
        <v>54.756</v>
      </c>
      <c r="BU146" s="26">
        <v>13.287000000000001</v>
      </c>
      <c r="BV146" s="26">
        <v>0</v>
      </c>
      <c r="BW146" s="26">
        <v>46.991999999999997</v>
      </c>
      <c r="BX146" s="26">
        <v>52.991</v>
      </c>
      <c r="BY146" s="26">
        <v>42.512</v>
      </c>
      <c r="BZ146" s="26">
        <v>0</v>
      </c>
      <c r="CA146" s="26">
        <v>28.582999999999998</v>
      </c>
      <c r="CB146" s="26">
        <v>21.946999999999999</v>
      </c>
      <c r="CC146" s="26">
        <v>43.106999999999999</v>
      </c>
      <c r="CD146" s="26">
        <v>0</v>
      </c>
      <c r="CE146" s="26">
        <v>0.43081000000000003</v>
      </c>
      <c r="CF146" s="26">
        <v>49.417000000000002</v>
      </c>
      <c r="CG146" s="26">
        <v>51.48</v>
      </c>
      <c r="CH146" s="26">
        <v>45.594000000000001</v>
      </c>
      <c r="CI146" s="26">
        <v>33.753</v>
      </c>
      <c r="CJ146" s="26">
        <v>39.027999999999999</v>
      </c>
      <c r="CK146" s="26">
        <v>37.875999999999998</v>
      </c>
      <c r="CL146" s="26">
        <v>57.43</v>
      </c>
      <c r="CM146" s="26">
        <v>37.945999999999998</v>
      </c>
      <c r="CN146" s="26">
        <v>39.151000000000003</v>
      </c>
      <c r="CO146" s="26">
        <v>36.872</v>
      </c>
      <c r="CP146" s="26">
        <v>38.872999999999998</v>
      </c>
      <c r="CQ146" s="26">
        <v>38.527999999999999</v>
      </c>
      <c r="CR146" s="26">
        <v>48.305</v>
      </c>
      <c r="CS146" s="26">
        <v>55.378</v>
      </c>
      <c r="CT146" s="26">
        <v>56.05</v>
      </c>
      <c r="CU146" s="26">
        <v>0.32607000000000003</v>
      </c>
      <c r="CV146" s="26">
        <v>51.774999999999999</v>
      </c>
      <c r="CW146" s="26">
        <v>42.582000000000001</v>
      </c>
      <c r="CX146" s="26">
        <v>36.781999999999996</v>
      </c>
      <c r="CY146" s="61"/>
      <c r="CZ146" s="537"/>
      <c r="DA146" s="61"/>
    </row>
    <row r="147" spans="1:16384">
      <c r="A147" s="279">
        <v>42339</v>
      </c>
      <c r="B147" s="26">
        <v>22.786000000000001</v>
      </c>
      <c r="C147" s="26">
        <v>42.670999999999999</v>
      </c>
      <c r="D147" s="26">
        <v>56.713000000000001</v>
      </c>
      <c r="E147" s="26">
        <v>0</v>
      </c>
      <c r="F147" s="26">
        <v>56.334000000000003</v>
      </c>
      <c r="G147" s="26">
        <v>16.395</v>
      </c>
      <c r="H147" s="26">
        <v>43.298000000000002</v>
      </c>
      <c r="I147" s="26">
        <v>13.564</v>
      </c>
      <c r="J147" s="26">
        <v>42.493000000000002</v>
      </c>
      <c r="K147" s="26">
        <v>43.195</v>
      </c>
      <c r="L147" s="26">
        <v>55.194000000000003</v>
      </c>
      <c r="M147" s="26">
        <v>55.49</v>
      </c>
      <c r="N147" s="26">
        <v>55.807000000000002</v>
      </c>
      <c r="O147" s="26">
        <v>34.151000000000003</v>
      </c>
      <c r="P147" s="26">
        <v>37.804000000000002</v>
      </c>
      <c r="Q147" s="26">
        <v>49.768999999999998</v>
      </c>
      <c r="R147" s="26">
        <v>25.277999999999999</v>
      </c>
      <c r="S147" s="26">
        <v>16.613</v>
      </c>
      <c r="T147" s="26">
        <v>22.469000000000001</v>
      </c>
      <c r="U147" s="26">
        <v>38.003999999999998</v>
      </c>
      <c r="V147" s="26">
        <v>40.268000000000001</v>
      </c>
      <c r="W147" s="26">
        <v>52.3</v>
      </c>
      <c r="X147" s="26">
        <v>52.712000000000003</v>
      </c>
      <c r="Y147" s="26">
        <v>56.713000000000001</v>
      </c>
      <c r="Z147" s="26">
        <v>42.546999999999997</v>
      </c>
      <c r="AA147" s="26">
        <v>39.923000000000002</v>
      </c>
      <c r="AB147" s="26">
        <v>55.88</v>
      </c>
      <c r="AC147" s="26">
        <v>44.075000000000003</v>
      </c>
      <c r="AD147" s="26">
        <v>37.887</v>
      </c>
      <c r="AE147" s="26">
        <v>52.3</v>
      </c>
      <c r="AF147" s="26">
        <v>51.947000000000003</v>
      </c>
      <c r="AG147" s="26">
        <v>16.579999999999998</v>
      </c>
      <c r="AH147" s="26">
        <v>48.179000000000002</v>
      </c>
      <c r="AI147" s="26">
        <v>16.501999999999999</v>
      </c>
      <c r="AJ147" s="26">
        <v>44.811</v>
      </c>
      <c r="AK147" s="26">
        <v>16.428999999999998</v>
      </c>
      <c r="AL147" s="26">
        <v>12.88</v>
      </c>
      <c r="AM147" s="26">
        <v>44.372999999999998</v>
      </c>
      <c r="AN147" s="26">
        <v>39.124000000000002</v>
      </c>
      <c r="AO147" s="26">
        <v>45.808999999999997</v>
      </c>
      <c r="AP147" s="26">
        <v>16.599</v>
      </c>
      <c r="AQ147" s="26">
        <v>33.475000000000001</v>
      </c>
      <c r="AR147" s="26">
        <v>51.829000000000001</v>
      </c>
      <c r="AS147" s="26">
        <v>39.037999999999997</v>
      </c>
      <c r="AT147" s="26">
        <v>0</v>
      </c>
      <c r="AU147" s="26">
        <v>27.152000000000001</v>
      </c>
      <c r="AV147" s="26">
        <v>38.725999999999999</v>
      </c>
      <c r="AW147" s="26">
        <v>25.844999999999999</v>
      </c>
      <c r="AX147" s="26">
        <v>49.62</v>
      </c>
      <c r="AY147" s="26">
        <v>12.971</v>
      </c>
      <c r="AZ147" s="26">
        <v>55.170999999999999</v>
      </c>
      <c r="BA147" s="26">
        <v>10.565</v>
      </c>
      <c r="BB147" s="26">
        <v>43.863999999999997</v>
      </c>
      <c r="BC147" s="26">
        <v>22.192</v>
      </c>
      <c r="BD147" s="26">
        <v>33.356999999999999</v>
      </c>
      <c r="BE147" s="26">
        <v>16.655000000000001</v>
      </c>
      <c r="BF147" s="26">
        <v>49.377000000000002</v>
      </c>
      <c r="BG147" s="26">
        <v>0.22767999999999999</v>
      </c>
      <c r="BH147" s="26">
        <v>23.353999999999999</v>
      </c>
      <c r="BI147" s="26">
        <v>56.110999999999997</v>
      </c>
      <c r="BJ147" s="26">
        <v>39.148000000000003</v>
      </c>
      <c r="BK147" s="26">
        <v>24.675000000000001</v>
      </c>
      <c r="BL147" s="26">
        <v>25.913</v>
      </c>
      <c r="BM147" s="26">
        <v>60.53</v>
      </c>
      <c r="BN147" s="26">
        <v>52.3</v>
      </c>
      <c r="BO147" s="26">
        <v>33.241</v>
      </c>
      <c r="BP147" s="26">
        <v>39.908999999999999</v>
      </c>
      <c r="BQ147" s="26">
        <v>39.938000000000002</v>
      </c>
      <c r="BR147" s="26">
        <v>42.670999999999999</v>
      </c>
      <c r="BS147" s="26">
        <v>42.683</v>
      </c>
      <c r="BT147" s="26">
        <v>56.713000000000001</v>
      </c>
      <c r="BU147" s="26">
        <v>12.308999999999999</v>
      </c>
      <c r="BV147" s="26">
        <v>0</v>
      </c>
      <c r="BW147" s="26">
        <v>42.555999999999997</v>
      </c>
      <c r="BX147" s="26">
        <v>56.713000000000001</v>
      </c>
      <c r="BY147" s="26">
        <v>43.298000000000002</v>
      </c>
      <c r="BZ147" s="26">
        <v>23.605</v>
      </c>
      <c r="CA147" s="26">
        <v>22.739000000000001</v>
      </c>
      <c r="CB147" s="26">
        <v>33.412999999999997</v>
      </c>
      <c r="CC147" s="26">
        <v>42.494</v>
      </c>
      <c r="CD147" s="26">
        <v>23.605</v>
      </c>
      <c r="CE147" s="26">
        <v>12.571999999999999</v>
      </c>
      <c r="CF147" s="26">
        <v>44.610999999999997</v>
      </c>
      <c r="CG147" s="26">
        <v>49.072000000000003</v>
      </c>
      <c r="CH147" s="26">
        <v>48.39</v>
      </c>
      <c r="CI147" s="26">
        <v>37.457999999999998</v>
      </c>
      <c r="CJ147" s="26">
        <v>34.113</v>
      </c>
      <c r="CK147" s="26">
        <v>39.777000000000001</v>
      </c>
      <c r="CL147" s="26">
        <v>54.953000000000003</v>
      </c>
      <c r="CM147" s="26">
        <v>38.290999999999997</v>
      </c>
      <c r="CN147" s="26">
        <v>37.789000000000001</v>
      </c>
      <c r="CO147" s="26">
        <v>33.756</v>
      </c>
      <c r="CP147" s="26">
        <v>39.710999999999999</v>
      </c>
      <c r="CQ147" s="26">
        <v>34.811</v>
      </c>
      <c r="CR147" s="26">
        <v>37.688000000000002</v>
      </c>
      <c r="CS147" s="26">
        <v>42.137</v>
      </c>
      <c r="CT147" s="26">
        <v>52.640999999999998</v>
      </c>
      <c r="CU147" s="26">
        <v>10.064</v>
      </c>
      <c r="CV147" s="26">
        <v>51.805999999999997</v>
      </c>
      <c r="CW147" s="26">
        <v>44.41</v>
      </c>
      <c r="CX147" s="26">
        <v>36.847000000000001</v>
      </c>
      <c r="CY147" s="61"/>
      <c r="CZ147" s="537"/>
      <c r="DA147" s="61"/>
    </row>
    <row r="148" spans="1:16384" s="540" customFormat="1">
      <c r="A148" s="538" t="s">
        <v>126</v>
      </c>
      <c r="B148" s="539">
        <f>AVERAGE(B136:B147)</f>
        <v>31.473224999999999</v>
      </c>
      <c r="C148" s="539">
        <f t="shared" ref="C148:BN148" si="11">AVERAGE(C136:C147)</f>
        <v>41.755249999999997</v>
      </c>
      <c r="D148" s="539">
        <f t="shared" si="11"/>
        <v>51.053833333333337</v>
      </c>
      <c r="E148" s="539">
        <f t="shared" si="11"/>
        <v>18.929475</v>
      </c>
      <c r="F148" s="539">
        <f t="shared" si="11"/>
        <v>51.175083333333326</v>
      </c>
      <c r="G148" s="539">
        <f t="shared" si="11"/>
        <v>28.038724999999999</v>
      </c>
      <c r="H148" s="539">
        <f t="shared" si="11"/>
        <v>22.558516666666666</v>
      </c>
      <c r="I148" s="539">
        <f t="shared" si="11"/>
        <v>29.183610583333333</v>
      </c>
      <c r="J148" s="539">
        <f t="shared" si="11"/>
        <v>43.51</v>
      </c>
      <c r="K148" s="539">
        <f t="shared" si="11"/>
        <v>45.283750000000005</v>
      </c>
      <c r="L148" s="539">
        <f t="shared" si="11"/>
        <v>46.576916666666655</v>
      </c>
      <c r="M148" s="539">
        <f t="shared" si="11"/>
        <v>51.442583333333324</v>
      </c>
      <c r="N148" s="539">
        <f t="shared" si="11"/>
        <v>44.836749999999995</v>
      </c>
      <c r="O148" s="539">
        <f t="shared" si="11"/>
        <v>34.753083333333336</v>
      </c>
      <c r="P148" s="539">
        <f t="shared" si="11"/>
        <v>37.674833333333332</v>
      </c>
      <c r="Q148" s="539">
        <f t="shared" si="11"/>
        <v>42.294666666666664</v>
      </c>
      <c r="R148" s="539">
        <f t="shared" si="11"/>
        <v>36.259083333333336</v>
      </c>
      <c r="S148" s="539">
        <f t="shared" si="11"/>
        <v>42.530249999999995</v>
      </c>
      <c r="T148" s="539">
        <f t="shared" si="11"/>
        <v>25.730083333333329</v>
      </c>
      <c r="U148" s="539">
        <f t="shared" si="11"/>
        <v>24.189505416666666</v>
      </c>
      <c r="V148" s="539">
        <f t="shared" si="11"/>
        <v>34.208891666666666</v>
      </c>
      <c r="W148" s="539">
        <f t="shared" si="11"/>
        <v>47.960249999999995</v>
      </c>
      <c r="X148" s="539">
        <f t="shared" si="11"/>
        <v>40.682166666666667</v>
      </c>
      <c r="Y148" s="539">
        <f t="shared" si="11"/>
        <v>54.335083333333323</v>
      </c>
      <c r="Z148" s="539">
        <f t="shared" si="11"/>
        <v>38.955500000000001</v>
      </c>
      <c r="AA148" s="539">
        <f t="shared" si="11"/>
        <v>28.672250000000002</v>
      </c>
      <c r="AB148" s="539">
        <f t="shared" si="11"/>
        <v>46.67966666666667</v>
      </c>
      <c r="AC148" s="539">
        <f t="shared" si="11"/>
        <v>44.401416666666677</v>
      </c>
      <c r="AD148" s="539">
        <f t="shared" si="11"/>
        <v>39.92091666666667</v>
      </c>
      <c r="AE148" s="539">
        <f t="shared" si="11"/>
        <v>50.968333333333327</v>
      </c>
      <c r="AF148" s="539">
        <f t="shared" si="11"/>
        <v>52.970750000000002</v>
      </c>
      <c r="AG148" s="539">
        <f t="shared" si="11"/>
        <v>27.509916666666673</v>
      </c>
      <c r="AH148" s="539">
        <f t="shared" si="11"/>
        <v>41.66341666666667</v>
      </c>
      <c r="AI148" s="539">
        <f t="shared" si="11"/>
        <v>28.142416666666666</v>
      </c>
      <c r="AJ148" s="539">
        <f t="shared" si="11"/>
        <v>44.718833333333343</v>
      </c>
      <c r="AK148" s="539">
        <f t="shared" si="11"/>
        <v>32.482416666666666</v>
      </c>
      <c r="AL148" s="539">
        <f t="shared" si="11"/>
        <v>25.375250000000005</v>
      </c>
      <c r="AM148" s="539">
        <f t="shared" si="11"/>
        <v>46.353833333333341</v>
      </c>
      <c r="AN148" s="539">
        <f t="shared" si="11"/>
        <v>31.62819166666667</v>
      </c>
      <c r="AO148" s="539">
        <f t="shared" si="11"/>
        <v>39.894499999999994</v>
      </c>
      <c r="AP148" s="539">
        <f t="shared" si="11"/>
        <v>27.532150000000001</v>
      </c>
      <c r="AQ148" s="539">
        <f t="shared" si="11"/>
        <v>17.158566666666665</v>
      </c>
      <c r="AR148" s="539">
        <f t="shared" si="11"/>
        <v>47.144666666666659</v>
      </c>
      <c r="AS148" s="539">
        <f t="shared" si="11"/>
        <v>34.773783333333334</v>
      </c>
      <c r="AT148" s="539">
        <f t="shared" si="11"/>
        <v>19.765186408333335</v>
      </c>
      <c r="AU148" s="539">
        <f t="shared" si="11"/>
        <v>39.532666666666664</v>
      </c>
      <c r="AV148" s="539">
        <f t="shared" si="11"/>
        <v>38.083499999999994</v>
      </c>
      <c r="AW148" s="539">
        <f t="shared" si="11"/>
        <v>19.399825000000003</v>
      </c>
      <c r="AX148" s="539">
        <f t="shared" si="11"/>
        <v>47.47025</v>
      </c>
      <c r="AY148" s="539">
        <f t="shared" si="11"/>
        <v>21.43054416666666</v>
      </c>
      <c r="AZ148" s="539">
        <f t="shared" si="11"/>
        <v>50.37016666666667</v>
      </c>
      <c r="BA148" s="539">
        <f t="shared" si="11"/>
        <v>35.932083333333331</v>
      </c>
      <c r="BB148" s="539">
        <f t="shared" si="11"/>
        <v>37.997583333333331</v>
      </c>
      <c r="BC148" s="539">
        <f t="shared" si="11"/>
        <v>15.159275000000001</v>
      </c>
      <c r="BD148" s="539">
        <f t="shared" si="11"/>
        <v>31.366916666666668</v>
      </c>
      <c r="BE148" s="539">
        <f t="shared" si="11"/>
        <v>23.689166666666665</v>
      </c>
      <c r="BF148" s="539">
        <f t="shared" si="11"/>
        <v>39.311083333333336</v>
      </c>
      <c r="BG148" s="539">
        <f t="shared" si="11"/>
        <v>17.325756666666667</v>
      </c>
      <c r="BH148" s="539">
        <f t="shared" si="11"/>
        <v>30.360499999999998</v>
      </c>
      <c r="BI148" s="539">
        <f t="shared" si="11"/>
        <v>54.003166666666665</v>
      </c>
      <c r="BJ148" s="539">
        <f t="shared" si="11"/>
        <v>37.803666666666665</v>
      </c>
      <c r="BK148" s="539">
        <f t="shared" si="11"/>
        <v>12.792452500000001</v>
      </c>
      <c r="BL148" s="539">
        <f t="shared" si="11"/>
        <v>9.5096958333333337</v>
      </c>
      <c r="BM148" s="539">
        <f t="shared" si="11"/>
        <v>46.453416666666669</v>
      </c>
      <c r="BN148" s="539">
        <f t="shared" si="11"/>
        <v>48.49666666666667</v>
      </c>
      <c r="BO148" s="539">
        <f t="shared" ref="BO148:CX148" si="12">AVERAGE(BO136:BO147)</f>
        <v>37.64350000000001</v>
      </c>
      <c r="BP148" s="539">
        <f t="shared" si="12"/>
        <v>32.922666666666665</v>
      </c>
      <c r="BQ148" s="539">
        <f t="shared" si="12"/>
        <v>26.899458333333332</v>
      </c>
      <c r="BR148" s="539">
        <f t="shared" si="12"/>
        <v>34.820250000000001</v>
      </c>
      <c r="BS148" s="539">
        <f t="shared" si="12"/>
        <v>47.723500000000001</v>
      </c>
      <c r="BT148" s="539">
        <f t="shared" si="12"/>
        <v>52.396999999999991</v>
      </c>
      <c r="BU148" s="539">
        <f t="shared" si="12"/>
        <v>15.107399166666667</v>
      </c>
      <c r="BV148" s="539">
        <f t="shared" si="12"/>
        <v>21.95108333333334</v>
      </c>
      <c r="BW148" s="539">
        <f t="shared" si="12"/>
        <v>41.136666666666663</v>
      </c>
      <c r="BX148" s="539">
        <f t="shared" si="12"/>
        <v>47.344333333333331</v>
      </c>
      <c r="BY148" s="539">
        <f t="shared" si="12"/>
        <v>44.419583333333328</v>
      </c>
      <c r="BZ148" s="539">
        <f t="shared" si="12"/>
        <v>9.7787449999999989</v>
      </c>
      <c r="CA148" s="539">
        <f t="shared" si="12"/>
        <v>33.299750000000003</v>
      </c>
      <c r="CB148" s="539">
        <f t="shared" si="12"/>
        <v>32.575516666666672</v>
      </c>
      <c r="CC148" s="539">
        <f t="shared" si="12"/>
        <v>37.353083333333331</v>
      </c>
      <c r="CD148" s="539">
        <f t="shared" si="12"/>
        <v>5.0323749999999992</v>
      </c>
      <c r="CE148" s="539">
        <f t="shared" si="12"/>
        <v>22.228932499999999</v>
      </c>
      <c r="CF148" s="539">
        <f t="shared" si="12"/>
        <v>43.27375</v>
      </c>
      <c r="CG148" s="539">
        <f t="shared" si="12"/>
        <v>58.706666666666671</v>
      </c>
      <c r="CH148" s="539">
        <f t="shared" si="12"/>
        <v>42.90841666666666</v>
      </c>
      <c r="CI148" s="539">
        <f t="shared" si="12"/>
        <v>32.023333333333333</v>
      </c>
      <c r="CJ148" s="539">
        <f t="shared" si="12"/>
        <v>44.055083333333336</v>
      </c>
      <c r="CK148" s="539">
        <f t="shared" si="12"/>
        <v>23.786666666666665</v>
      </c>
      <c r="CL148" s="539">
        <f t="shared" si="12"/>
        <v>50.737749999999998</v>
      </c>
      <c r="CM148" s="539">
        <f t="shared" si="12"/>
        <v>30.450249999999997</v>
      </c>
      <c r="CN148" s="539">
        <f t="shared" si="12"/>
        <v>39.768916666666662</v>
      </c>
      <c r="CO148" s="539">
        <f t="shared" si="12"/>
        <v>41.924583333333338</v>
      </c>
      <c r="CP148" s="539">
        <f t="shared" si="12"/>
        <v>41.448750000000004</v>
      </c>
      <c r="CQ148" s="539">
        <f t="shared" si="12"/>
        <v>34.282249999999998</v>
      </c>
      <c r="CR148" s="539">
        <f t="shared" si="12"/>
        <v>42.045083333333331</v>
      </c>
      <c r="CS148" s="539">
        <f t="shared" si="12"/>
        <v>50.398249999999997</v>
      </c>
      <c r="CT148" s="539">
        <f t="shared" si="12"/>
        <v>46.330083333333334</v>
      </c>
      <c r="CU148" s="539">
        <f t="shared" si="12"/>
        <v>10.319405833333333</v>
      </c>
      <c r="CV148" s="539">
        <f t="shared" si="12"/>
        <v>50.477916666666665</v>
      </c>
      <c r="CW148" s="539">
        <f t="shared" si="12"/>
        <v>41.182749999999999</v>
      </c>
      <c r="CX148" s="539">
        <f t="shared" si="12"/>
        <v>37.039749999999998</v>
      </c>
      <c r="CY148" s="61"/>
      <c r="CZ148" s="537"/>
      <c r="DA148" s="537"/>
      <c r="DB148" s="537"/>
      <c r="DC148" s="537"/>
      <c r="DD148" s="537"/>
      <c r="DE148" s="537"/>
      <c r="DF148" s="537"/>
      <c r="DG148" s="537"/>
      <c r="DH148" s="537"/>
      <c r="DI148" s="537"/>
      <c r="DJ148" s="537"/>
      <c r="DK148" s="537"/>
      <c r="DL148" s="537"/>
      <c r="DM148" s="537"/>
      <c r="DN148" s="537"/>
      <c r="DO148" s="537"/>
      <c r="DP148" s="537"/>
      <c r="DQ148" s="537"/>
      <c r="DR148" s="537"/>
      <c r="DS148" s="537"/>
      <c r="DT148" s="537"/>
      <c r="DU148" s="537"/>
      <c r="DV148" s="537"/>
      <c r="DW148" s="537"/>
      <c r="DX148" s="537"/>
      <c r="DY148" s="537"/>
      <c r="DZ148" s="537"/>
      <c r="EA148" s="537"/>
      <c r="EB148" s="537"/>
      <c r="EC148" s="537"/>
      <c r="ED148" s="537"/>
      <c r="EE148" s="537"/>
      <c r="EF148" s="537"/>
      <c r="EG148" s="537"/>
      <c r="EH148" s="537"/>
      <c r="EI148" s="537"/>
      <c r="EJ148" s="537"/>
      <c r="EK148" s="537"/>
      <c r="EL148" s="537"/>
      <c r="EM148" s="537"/>
      <c r="EN148" s="537"/>
      <c r="EO148" s="537"/>
      <c r="EP148" s="537"/>
      <c r="EQ148" s="537"/>
      <c r="ER148" s="537"/>
      <c r="ES148" s="537"/>
      <c r="ET148" s="537"/>
      <c r="EU148" s="537"/>
      <c r="EV148" s="537"/>
      <c r="EW148" s="537"/>
      <c r="EX148" s="537"/>
      <c r="EY148" s="537"/>
      <c r="EZ148" s="537"/>
      <c r="FA148" s="537"/>
      <c r="FB148" s="537"/>
      <c r="FC148" s="537"/>
      <c r="FD148" s="537"/>
      <c r="FE148" s="537"/>
      <c r="FF148" s="537"/>
      <c r="FG148" s="537"/>
      <c r="FH148" s="537"/>
      <c r="FI148" s="537"/>
      <c r="FJ148" s="537"/>
      <c r="FK148" s="537"/>
      <c r="FL148" s="537"/>
      <c r="FM148" s="537"/>
      <c r="FN148" s="537"/>
      <c r="FO148" s="537"/>
      <c r="FP148" s="537"/>
      <c r="FQ148" s="537"/>
      <c r="FR148" s="537"/>
      <c r="FS148" s="537"/>
      <c r="FT148" s="537"/>
      <c r="FU148" s="537"/>
      <c r="FV148" s="537"/>
      <c r="FW148" s="537"/>
      <c r="FX148" s="537"/>
      <c r="FY148" s="537"/>
      <c r="FZ148" s="537"/>
      <c r="GA148" s="537"/>
      <c r="GB148" s="537"/>
      <c r="GC148" s="537"/>
      <c r="GD148" s="537"/>
      <c r="GE148" s="537"/>
      <c r="GF148" s="537"/>
      <c r="GG148" s="537"/>
      <c r="GH148" s="537"/>
      <c r="GI148" s="537"/>
      <c r="GJ148" s="537"/>
      <c r="GK148" s="537"/>
      <c r="GL148" s="537"/>
      <c r="GM148" s="537"/>
      <c r="GN148" s="537"/>
      <c r="GO148" s="537"/>
      <c r="GP148" s="537"/>
      <c r="GQ148" s="537"/>
      <c r="GR148" s="537"/>
      <c r="GS148" s="537"/>
      <c r="GT148" s="537"/>
      <c r="GU148" s="537"/>
      <c r="GV148" s="537"/>
      <c r="GW148" s="537"/>
      <c r="GX148" s="537"/>
      <c r="GY148" s="537"/>
      <c r="GZ148" s="537"/>
      <c r="HA148" s="537"/>
      <c r="HB148" s="537"/>
      <c r="HC148" s="537"/>
      <c r="HD148" s="537"/>
      <c r="HE148" s="537"/>
      <c r="HF148" s="537"/>
      <c r="HG148" s="537"/>
      <c r="HH148" s="537"/>
      <c r="HI148" s="537"/>
      <c r="HJ148" s="537"/>
      <c r="HK148" s="537"/>
      <c r="HL148" s="537"/>
      <c r="HM148" s="537"/>
      <c r="HN148" s="537"/>
      <c r="HO148" s="537"/>
      <c r="HP148" s="537"/>
      <c r="HQ148" s="537"/>
      <c r="HR148" s="537"/>
      <c r="HS148" s="537"/>
      <c r="HT148" s="537"/>
      <c r="HU148" s="537"/>
      <c r="HV148" s="537"/>
      <c r="HW148" s="537"/>
      <c r="HX148" s="537"/>
      <c r="HY148" s="537"/>
      <c r="HZ148" s="537"/>
      <c r="IA148" s="537"/>
      <c r="IB148" s="537"/>
      <c r="IC148" s="537"/>
      <c r="ID148" s="537"/>
      <c r="IE148" s="537"/>
      <c r="IF148" s="537"/>
      <c r="IG148" s="537"/>
      <c r="IH148" s="537"/>
      <c r="II148" s="537"/>
      <c r="IJ148" s="537"/>
      <c r="IK148" s="537"/>
      <c r="IL148" s="537"/>
      <c r="IM148" s="537"/>
      <c r="IN148" s="537"/>
      <c r="IO148" s="537"/>
      <c r="IP148" s="537"/>
      <c r="IQ148" s="537"/>
      <c r="IR148" s="537"/>
      <c r="IS148" s="537"/>
      <c r="IT148" s="537"/>
      <c r="IU148" s="537"/>
      <c r="IV148" s="537"/>
      <c r="IW148" s="537"/>
      <c r="IX148" s="537"/>
      <c r="IY148" s="537"/>
      <c r="IZ148" s="537"/>
      <c r="JA148" s="537"/>
      <c r="JB148" s="537"/>
      <c r="JC148" s="537"/>
      <c r="JD148" s="537"/>
      <c r="JE148" s="537"/>
      <c r="JF148" s="537"/>
      <c r="JG148" s="537"/>
      <c r="JH148" s="537"/>
      <c r="JI148" s="537"/>
      <c r="JJ148" s="537"/>
      <c r="JK148" s="537"/>
      <c r="JL148" s="537"/>
      <c r="JM148" s="537"/>
      <c r="JN148" s="537"/>
      <c r="JO148" s="537"/>
      <c r="JP148" s="537"/>
      <c r="JQ148" s="537"/>
      <c r="JR148" s="537"/>
      <c r="JS148" s="537"/>
      <c r="JT148" s="537"/>
      <c r="JU148" s="537"/>
      <c r="JV148" s="537"/>
      <c r="JW148" s="537"/>
      <c r="JX148" s="537"/>
      <c r="JY148" s="537"/>
      <c r="JZ148" s="537"/>
      <c r="KA148" s="537"/>
      <c r="KB148" s="537"/>
      <c r="KC148" s="537"/>
      <c r="KD148" s="537"/>
      <c r="KE148" s="537"/>
      <c r="KF148" s="537"/>
      <c r="KG148" s="537"/>
      <c r="KH148" s="537"/>
      <c r="KI148" s="537"/>
      <c r="KJ148" s="537"/>
      <c r="KK148" s="537"/>
      <c r="KL148" s="537"/>
      <c r="KM148" s="537"/>
      <c r="KN148" s="537"/>
      <c r="KO148" s="537"/>
      <c r="KP148" s="537"/>
      <c r="KQ148" s="537"/>
      <c r="KR148" s="537"/>
      <c r="KS148" s="537"/>
      <c r="KT148" s="537"/>
      <c r="KU148" s="537"/>
      <c r="KV148" s="537"/>
      <c r="KW148" s="537"/>
      <c r="KX148" s="537"/>
      <c r="KY148" s="537"/>
      <c r="KZ148" s="537"/>
      <c r="LA148" s="537"/>
      <c r="LB148" s="537"/>
      <c r="LC148" s="537"/>
      <c r="LD148" s="537"/>
      <c r="LE148" s="537"/>
      <c r="LF148" s="537"/>
      <c r="LG148" s="537"/>
      <c r="LH148" s="537"/>
      <c r="LI148" s="537"/>
      <c r="LJ148" s="537"/>
      <c r="LK148" s="537"/>
      <c r="LL148" s="537"/>
      <c r="LM148" s="537"/>
      <c r="LN148" s="537"/>
      <c r="LO148" s="537"/>
      <c r="LP148" s="537"/>
      <c r="LQ148" s="537"/>
      <c r="LR148" s="537"/>
      <c r="LS148" s="537"/>
      <c r="LT148" s="537"/>
      <c r="LU148" s="537"/>
      <c r="LV148" s="537"/>
      <c r="LW148" s="537"/>
      <c r="LX148" s="537"/>
      <c r="LY148" s="537"/>
      <c r="LZ148" s="537"/>
      <c r="MA148" s="537"/>
      <c r="MB148" s="537"/>
      <c r="MC148" s="537"/>
      <c r="MD148" s="537"/>
      <c r="ME148" s="537"/>
      <c r="MF148" s="537"/>
      <c r="MG148" s="537"/>
      <c r="MH148" s="537"/>
      <c r="MI148" s="537"/>
      <c r="MJ148" s="537"/>
      <c r="MK148" s="537"/>
      <c r="ML148" s="537"/>
      <c r="MM148" s="537"/>
      <c r="MN148" s="537"/>
      <c r="MO148" s="537"/>
      <c r="MP148" s="537"/>
      <c r="MQ148" s="537"/>
      <c r="MR148" s="537"/>
      <c r="MS148" s="537"/>
      <c r="MT148" s="537"/>
      <c r="MU148" s="537"/>
      <c r="MV148" s="537"/>
      <c r="MW148" s="537"/>
      <c r="MX148" s="537"/>
      <c r="MY148" s="537"/>
      <c r="MZ148" s="537"/>
      <c r="NA148" s="537"/>
      <c r="NB148" s="537"/>
      <c r="NC148" s="537"/>
      <c r="ND148" s="537"/>
      <c r="NE148" s="537"/>
      <c r="NF148" s="537"/>
      <c r="NG148" s="537"/>
      <c r="NH148" s="537"/>
      <c r="NI148" s="537"/>
      <c r="NJ148" s="537"/>
      <c r="NK148" s="537"/>
      <c r="NL148" s="537"/>
      <c r="NM148" s="537"/>
      <c r="NN148" s="537"/>
      <c r="NO148" s="537"/>
      <c r="NP148" s="537"/>
      <c r="NQ148" s="537"/>
      <c r="NR148" s="537"/>
      <c r="NS148" s="537"/>
      <c r="NT148" s="537"/>
      <c r="NU148" s="537"/>
      <c r="NV148" s="537"/>
      <c r="NW148" s="537"/>
      <c r="NX148" s="537"/>
      <c r="NY148" s="537"/>
      <c r="NZ148" s="537"/>
      <c r="OA148" s="537"/>
      <c r="OB148" s="537"/>
      <c r="OC148" s="537"/>
      <c r="OD148" s="537"/>
      <c r="OE148" s="537"/>
      <c r="OF148" s="537"/>
      <c r="OG148" s="537"/>
      <c r="OH148" s="537"/>
      <c r="OI148" s="537"/>
      <c r="OJ148" s="537"/>
      <c r="OK148" s="537"/>
      <c r="OL148" s="537"/>
      <c r="OM148" s="537"/>
      <c r="ON148" s="537"/>
      <c r="OO148" s="537"/>
      <c r="OP148" s="537"/>
      <c r="OQ148" s="537"/>
      <c r="OR148" s="537"/>
      <c r="OS148" s="537"/>
      <c r="OT148" s="537"/>
      <c r="OU148" s="537"/>
      <c r="OV148" s="537"/>
      <c r="OW148" s="537"/>
      <c r="OX148" s="537"/>
      <c r="OY148" s="537"/>
      <c r="OZ148" s="537"/>
      <c r="PA148" s="537"/>
      <c r="PB148" s="537"/>
      <c r="PC148" s="537"/>
      <c r="PD148" s="537"/>
      <c r="PE148" s="537"/>
      <c r="PF148" s="537"/>
      <c r="PG148" s="537"/>
      <c r="PH148" s="537"/>
      <c r="PI148" s="537"/>
      <c r="PJ148" s="537"/>
      <c r="PK148" s="537"/>
      <c r="PL148" s="537"/>
      <c r="PM148" s="537"/>
      <c r="PN148" s="537"/>
      <c r="PO148" s="537"/>
      <c r="PP148" s="537"/>
      <c r="PQ148" s="537"/>
      <c r="PR148" s="537"/>
      <c r="PS148" s="537"/>
      <c r="PT148" s="537"/>
      <c r="PU148" s="537"/>
      <c r="PV148" s="537"/>
      <c r="PW148" s="537"/>
      <c r="PX148" s="537"/>
      <c r="PY148" s="537"/>
      <c r="PZ148" s="537"/>
      <c r="QA148" s="537"/>
      <c r="QB148" s="537"/>
      <c r="QC148" s="537"/>
      <c r="QD148" s="537"/>
      <c r="QE148" s="537"/>
      <c r="QF148" s="537"/>
      <c r="QG148" s="537"/>
      <c r="QH148" s="537"/>
      <c r="QI148" s="537"/>
      <c r="QJ148" s="537"/>
      <c r="QK148" s="537"/>
      <c r="QL148" s="537"/>
      <c r="QM148" s="537"/>
      <c r="QN148" s="537"/>
      <c r="QO148" s="537"/>
      <c r="QP148" s="537"/>
      <c r="QQ148" s="537"/>
      <c r="QR148" s="537"/>
      <c r="QS148" s="537"/>
      <c r="QT148" s="537"/>
      <c r="QU148" s="537"/>
      <c r="QV148" s="537"/>
      <c r="QW148" s="537"/>
      <c r="QX148" s="537"/>
      <c r="QY148" s="537"/>
      <c r="QZ148" s="537"/>
      <c r="RA148" s="537"/>
      <c r="RB148" s="537"/>
      <c r="RC148" s="537"/>
      <c r="RD148" s="537"/>
      <c r="RE148" s="537"/>
      <c r="RF148" s="537"/>
      <c r="RG148" s="537"/>
      <c r="RH148" s="537"/>
      <c r="RI148" s="537"/>
      <c r="RJ148" s="537"/>
      <c r="RK148" s="537"/>
      <c r="RL148" s="537"/>
      <c r="RM148" s="537"/>
      <c r="RN148" s="537"/>
      <c r="RO148" s="537"/>
      <c r="RP148" s="537"/>
      <c r="RQ148" s="537"/>
      <c r="RR148" s="537"/>
      <c r="RS148" s="537"/>
      <c r="RT148" s="537"/>
      <c r="RU148" s="537"/>
      <c r="RV148" s="537"/>
      <c r="RW148" s="537"/>
      <c r="RX148" s="537"/>
      <c r="RY148" s="537"/>
      <c r="RZ148" s="537"/>
      <c r="SA148" s="537"/>
      <c r="SB148" s="537"/>
      <c r="SC148" s="537"/>
      <c r="SD148" s="537"/>
      <c r="SE148" s="537"/>
      <c r="SF148" s="537"/>
      <c r="SG148" s="537"/>
      <c r="SH148" s="537"/>
      <c r="SI148" s="537"/>
      <c r="SJ148" s="537"/>
      <c r="SK148" s="537"/>
      <c r="SL148" s="537"/>
      <c r="SM148" s="537"/>
      <c r="SN148" s="537"/>
      <c r="SO148" s="537"/>
      <c r="SP148" s="537"/>
      <c r="SQ148" s="537"/>
      <c r="SR148" s="537"/>
      <c r="SS148" s="537"/>
      <c r="ST148" s="537"/>
      <c r="SU148" s="537"/>
      <c r="SV148" s="537"/>
      <c r="SW148" s="537"/>
      <c r="SX148" s="537"/>
      <c r="SY148" s="537"/>
      <c r="SZ148" s="537"/>
      <c r="TA148" s="537"/>
      <c r="TB148" s="537"/>
      <c r="TC148" s="537"/>
      <c r="TD148" s="537"/>
      <c r="TE148" s="537"/>
      <c r="TF148" s="537"/>
      <c r="TG148" s="537"/>
      <c r="TH148" s="537"/>
      <c r="TI148" s="537"/>
      <c r="TJ148" s="537"/>
      <c r="TK148" s="537"/>
      <c r="TL148" s="537"/>
      <c r="TM148" s="537"/>
      <c r="TN148" s="537"/>
      <c r="TO148" s="537"/>
      <c r="TP148" s="537"/>
      <c r="TQ148" s="537"/>
      <c r="TR148" s="537"/>
      <c r="TS148" s="537"/>
      <c r="TT148" s="537"/>
      <c r="TU148" s="537"/>
      <c r="TV148" s="537"/>
      <c r="TW148" s="537"/>
      <c r="TX148" s="537"/>
      <c r="TY148" s="537"/>
      <c r="TZ148" s="537"/>
      <c r="UA148" s="537"/>
      <c r="UB148" s="537"/>
      <c r="UC148" s="537"/>
      <c r="UD148" s="537"/>
      <c r="UE148" s="537"/>
      <c r="UF148" s="537"/>
      <c r="UG148" s="537"/>
      <c r="UH148" s="537"/>
      <c r="UI148" s="537"/>
      <c r="UJ148" s="537"/>
      <c r="UK148" s="537"/>
      <c r="UL148" s="537"/>
      <c r="UM148" s="537"/>
      <c r="UN148" s="537"/>
      <c r="UO148" s="537"/>
      <c r="UP148" s="537"/>
      <c r="UQ148" s="537"/>
      <c r="UR148" s="537"/>
      <c r="US148" s="537"/>
      <c r="UT148" s="537"/>
      <c r="UU148" s="537"/>
      <c r="UV148" s="537"/>
      <c r="UW148" s="537"/>
      <c r="UX148" s="537"/>
      <c r="UY148" s="537"/>
      <c r="UZ148" s="537"/>
      <c r="VA148" s="537"/>
      <c r="VB148" s="537"/>
      <c r="VC148" s="537"/>
      <c r="VD148" s="537"/>
      <c r="VE148" s="537"/>
      <c r="VF148" s="537"/>
      <c r="VG148" s="537"/>
      <c r="VH148" s="537"/>
      <c r="VI148" s="537"/>
      <c r="VJ148" s="537"/>
      <c r="VK148" s="537"/>
      <c r="VL148" s="537"/>
      <c r="VM148" s="537"/>
      <c r="VN148" s="537"/>
      <c r="VO148" s="537"/>
      <c r="VP148" s="537"/>
      <c r="VQ148" s="537"/>
      <c r="VR148" s="537"/>
      <c r="VS148" s="537"/>
      <c r="VT148" s="537"/>
      <c r="VU148" s="537"/>
      <c r="VV148" s="537"/>
      <c r="VW148" s="537"/>
      <c r="VX148" s="537"/>
      <c r="VY148" s="537"/>
      <c r="VZ148" s="537"/>
      <c r="WA148" s="537"/>
      <c r="WB148" s="537"/>
      <c r="WC148" s="537"/>
      <c r="WD148" s="537"/>
      <c r="WE148" s="537"/>
      <c r="WF148" s="537"/>
      <c r="WG148" s="537"/>
      <c r="WH148" s="537"/>
      <c r="WI148" s="537"/>
      <c r="WJ148" s="537"/>
      <c r="WK148" s="537"/>
      <c r="WL148" s="537"/>
      <c r="WM148" s="537"/>
      <c r="WN148" s="537"/>
      <c r="WO148" s="537"/>
      <c r="WP148" s="537"/>
      <c r="WQ148" s="537"/>
      <c r="WR148" s="537"/>
      <c r="WS148" s="537"/>
      <c r="WT148" s="537"/>
      <c r="WU148" s="537"/>
      <c r="WV148" s="537"/>
      <c r="WW148" s="537"/>
      <c r="WX148" s="537"/>
      <c r="WY148" s="537"/>
      <c r="WZ148" s="537"/>
      <c r="XA148" s="537"/>
      <c r="XB148" s="537"/>
      <c r="XC148" s="537"/>
      <c r="XD148" s="537"/>
      <c r="XE148" s="537"/>
      <c r="XF148" s="537"/>
      <c r="XG148" s="537"/>
      <c r="XH148" s="537"/>
      <c r="XI148" s="537"/>
      <c r="XJ148" s="537"/>
      <c r="XK148" s="537"/>
      <c r="XL148" s="537"/>
      <c r="XM148" s="537"/>
      <c r="XN148" s="537"/>
      <c r="XO148" s="537"/>
      <c r="XP148" s="537"/>
      <c r="XQ148" s="537"/>
      <c r="XR148" s="537"/>
      <c r="XS148" s="537"/>
      <c r="XT148" s="537"/>
      <c r="XU148" s="537"/>
      <c r="XV148" s="537"/>
      <c r="XW148" s="537"/>
      <c r="XX148" s="537"/>
      <c r="XY148" s="537"/>
      <c r="XZ148" s="537"/>
      <c r="YA148" s="537"/>
      <c r="YB148" s="537"/>
      <c r="YC148" s="537"/>
      <c r="YD148" s="537"/>
      <c r="YE148" s="537"/>
      <c r="YF148" s="537"/>
      <c r="YG148" s="537"/>
      <c r="YH148" s="537"/>
      <c r="YI148" s="537"/>
      <c r="YJ148" s="537"/>
      <c r="YK148" s="537"/>
      <c r="YL148" s="537"/>
      <c r="YM148" s="537"/>
      <c r="YN148" s="537"/>
      <c r="YO148" s="537"/>
      <c r="YP148" s="537"/>
      <c r="YQ148" s="537"/>
      <c r="YR148" s="537"/>
      <c r="YS148" s="537"/>
      <c r="YT148" s="537"/>
      <c r="YU148" s="537"/>
      <c r="YV148" s="537"/>
      <c r="YW148" s="537"/>
      <c r="YX148" s="537"/>
      <c r="YY148" s="537"/>
      <c r="YZ148" s="537"/>
      <c r="ZA148" s="537"/>
      <c r="ZB148" s="537"/>
      <c r="ZC148" s="537"/>
      <c r="ZD148" s="537"/>
      <c r="ZE148" s="537"/>
      <c r="ZF148" s="537"/>
      <c r="ZG148" s="537"/>
      <c r="ZH148" s="537"/>
      <c r="ZI148" s="537"/>
      <c r="ZJ148" s="537"/>
      <c r="ZK148" s="537"/>
      <c r="ZL148" s="537"/>
      <c r="ZM148" s="537"/>
      <c r="ZN148" s="537"/>
      <c r="ZO148" s="537"/>
      <c r="ZP148" s="537"/>
      <c r="ZQ148" s="537"/>
      <c r="ZR148" s="537"/>
      <c r="ZS148" s="537"/>
      <c r="ZT148" s="537"/>
      <c r="ZU148" s="537"/>
      <c r="ZV148" s="537"/>
      <c r="ZW148" s="537"/>
      <c r="ZX148" s="537"/>
      <c r="ZY148" s="537"/>
      <c r="ZZ148" s="537"/>
      <c r="AAA148" s="537"/>
      <c r="AAB148" s="537"/>
      <c r="AAC148" s="537"/>
      <c r="AAD148" s="537"/>
      <c r="AAE148" s="537"/>
      <c r="AAF148" s="537"/>
      <c r="AAG148" s="537"/>
      <c r="AAH148" s="537"/>
      <c r="AAI148" s="537"/>
      <c r="AAJ148" s="537"/>
      <c r="AAK148" s="537"/>
      <c r="AAL148" s="537"/>
      <c r="AAM148" s="537"/>
      <c r="AAN148" s="537"/>
      <c r="AAO148" s="537"/>
      <c r="AAP148" s="537"/>
      <c r="AAQ148" s="537"/>
      <c r="AAR148" s="537"/>
      <c r="AAS148" s="537"/>
      <c r="AAT148" s="537"/>
      <c r="AAU148" s="537"/>
      <c r="AAV148" s="537"/>
      <c r="AAW148" s="537"/>
      <c r="AAX148" s="537"/>
      <c r="AAY148" s="537"/>
      <c r="AAZ148" s="537"/>
      <c r="ABA148" s="537"/>
      <c r="ABB148" s="537"/>
      <c r="ABC148" s="537"/>
      <c r="ABD148" s="537"/>
      <c r="ABE148" s="537"/>
      <c r="ABF148" s="537"/>
      <c r="ABG148" s="537"/>
      <c r="ABH148" s="537"/>
      <c r="ABI148" s="537"/>
      <c r="ABJ148" s="537"/>
      <c r="ABK148" s="537"/>
      <c r="ABL148" s="537"/>
      <c r="ABM148" s="537"/>
      <c r="ABN148" s="537"/>
      <c r="ABO148" s="537"/>
      <c r="ABP148" s="537"/>
      <c r="ABQ148" s="537"/>
      <c r="ABR148" s="537"/>
      <c r="ABS148" s="537"/>
      <c r="ABT148" s="537"/>
      <c r="ABU148" s="537"/>
      <c r="ABV148" s="537"/>
      <c r="ABW148" s="537"/>
      <c r="ABX148" s="537"/>
      <c r="ABY148" s="537"/>
      <c r="ABZ148" s="537"/>
      <c r="ACA148" s="537"/>
      <c r="ACB148" s="537"/>
      <c r="ACC148" s="537"/>
      <c r="ACD148" s="537"/>
      <c r="ACE148" s="537"/>
      <c r="ACF148" s="537"/>
      <c r="ACG148" s="537"/>
      <c r="ACH148" s="537"/>
      <c r="ACI148" s="537"/>
      <c r="ACJ148" s="537"/>
      <c r="ACK148" s="537"/>
      <c r="ACL148" s="537"/>
      <c r="ACM148" s="537"/>
      <c r="ACN148" s="537"/>
      <c r="ACO148" s="537"/>
      <c r="ACP148" s="537"/>
      <c r="ACQ148" s="537"/>
      <c r="ACR148" s="537"/>
      <c r="ACS148" s="537"/>
      <c r="ACT148" s="537"/>
      <c r="ACU148" s="537"/>
      <c r="ACV148" s="537"/>
      <c r="ACW148" s="537"/>
      <c r="ACX148" s="537"/>
      <c r="ACY148" s="537"/>
      <c r="ACZ148" s="537"/>
      <c r="ADA148" s="537"/>
      <c r="ADB148" s="537"/>
      <c r="ADC148" s="537"/>
      <c r="ADD148" s="537"/>
      <c r="ADE148" s="537"/>
      <c r="ADF148" s="537"/>
      <c r="ADG148" s="537"/>
      <c r="ADH148" s="537"/>
      <c r="ADI148" s="537"/>
      <c r="ADJ148" s="537"/>
      <c r="ADK148" s="537"/>
      <c r="ADL148" s="537"/>
      <c r="ADM148" s="537"/>
      <c r="ADN148" s="537"/>
      <c r="ADO148" s="537"/>
      <c r="ADP148" s="537"/>
      <c r="ADQ148" s="537"/>
      <c r="ADR148" s="537"/>
      <c r="ADS148" s="537"/>
      <c r="ADT148" s="537"/>
      <c r="ADU148" s="537"/>
      <c r="ADV148" s="537"/>
      <c r="ADW148" s="537"/>
      <c r="ADX148" s="537"/>
      <c r="ADY148" s="537"/>
      <c r="ADZ148" s="537"/>
      <c r="AEA148" s="537"/>
      <c r="AEB148" s="537"/>
      <c r="AEC148" s="537"/>
      <c r="AED148" s="537"/>
      <c r="AEE148" s="537"/>
      <c r="AEF148" s="537"/>
      <c r="AEG148" s="537"/>
      <c r="AEH148" s="537"/>
      <c r="AEI148" s="537"/>
      <c r="AEJ148" s="537"/>
      <c r="AEK148" s="537"/>
      <c r="AEL148" s="537"/>
      <c r="AEM148" s="537"/>
      <c r="AEN148" s="537"/>
      <c r="AEO148" s="537"/>
      <c r="AEP148" s="537"/>
      <c r="AEQ148" s="537"/>
      <c r="AER148" s="537"/>
      <c r="AES148" s="537"/>
      <c r="AET148" s="537"/>
      <c r="AEU148" s="537"/>
      <c r="AEV148" s="537"/>
      <c r="AEW148" s="537"/>
      <c r="AEX148" s="537"/>
      <c r="AEY148" s="537"/>
      <c r="AEZ148" s="537"/>
      <c r="AFA148" s="537"/>
      <c r="AFB148" s="537"/>
      <c r="AFC148" s="537"/>
      <c r="AFD148" s="537"/>
      <c r="AFE148" s="537"/>
      <c r="AFF148" s="537"/>
      <c r="AFG148" s="537"/>
      <c r="AFH148" s="537"/>
      <c r="AFI148" s="537"/>
      <c r="AFJ148" s="537"/>
      <c r="AFK148" s="537"/>
      <c r="AFL148" s="537"/>
      <c r="AFM148" s="537"/>
      <c r="AFN148" s="537"/>
      <c r="AFO148" s="537"/>
      <c r="AFP148" s="537"/>
      <c r="AFQ148" s="537"/>
      <c r="AFR148" s="537"/>
      <c r="AFS148" s="537"/>
      <c r="AFT148" s="537"/>
      <c r="AFU148" s="537"/>
      <c r="AFV148" s="537"/>
      <c r="AFW148" s="537"/>
      <c r="AFX148" s="537"/>
      <c r="AFY148" s="537"/>
      <c r="AFZ148" s="537"/>
      <c r="AGA148" s="537"/>
      <c r="AGB148" s="537"/>
      <c r="AGC148" s="537"/>
      <c r="AGD148" s="537"/>
      <c r="AGE148" s="537"/>
      <c r="AGF148" s="537"/>
      <c r="AGG148" s="537"/>
      <c r="AGH148" s="537"/>
      <c r="AGI148" s="537"/>
      <c r="AGJ148" s="537"/>
      <c r="AGK148" s="537"/>
      <c r="AGL148" s="537"/>
      <c r="AGM148" s="537"/>
      <c r="AGN148" s="537"/>
      <c r="AGO148" s="537"/>
      <c r="AGP148" s="537"/>
      <c r="AGQ148" s="537"/>
      <c r="AGR148" s="537"/>
      <c r="AGS148" s="537"/>
      <c r="AGT148" s="537"/>
      <c r="AGU148" s="537"/>
      <c r="AGV148" s="537"/>
      <c r="AGW148" s="537"/>
      <c r="AGX148" s="537"/>
      <c r="AGY148" s="537"/>
      <c r="AGZ148" s="537"/>
      <c r="AHA148" s="537"/>
      <c r="AHB148" s="537"/>
      <c r="AHC148" s="537"/>
      <c r="AHD148" s="537"/>
      <c r="AHE148" s="537"/>
      <c r="AHF148" s="537"/>
      <c r="AHG148" s="537"/>
      <c r="AHH148" s="537"/>
      <c r="AHI148" s="537"/>
      <c r="AHJ148" s="537"/>
      <c r="AHK148" s="537"/>
      <c r="AHL148" s="537"/>
      <c r="AHM148" s="537"/>
      <c r="AHN148" s="537"/>
      <c r="AHO148" s="537"/>
      <c r="AHP148" s="537"/>
      <c r="AHQ148" s="537"/>
      <c r="AHR148" s="537"/>
      <c r="AHS148" s="537"/>
      <c r="AHT148" s="537"/>
      <c r="AHU148" s="537"/>
      <c r="AHV148" s="537"/>
      <c r="AHW148" s="537"/>
      <c r="AHX148" s="537"/>
      <c r="AHY148" s="537"/>
      <c r="AHZ148" s="537"/>
      <c r="AIA148" s="537"/>
      <c r="AIB148" s="537"/>
      <c r="AIC148" s="537"/>
      <c r="AID148" s="537"/>
      <c r="AIE148" s="537"/>
      <c r="AIF148" s="537"/>
      <c r="AIG148" s="537"/>
      <c r="AIH148" s="537"/>
      <c r="AII148" s="537"/>
      <c r="AIJ148" s="537"/>
      <c r="AIK148" s="537"/>
      <c r="AIL148" s="537"/>
      <c r="AIM148" s="537"/>
      <c r="AIN148" s="537"/>
      <c r="AIO148" s="537"/>
      <c r="AIP148" s="537"/>
      <c r="AIQ148" s="537"/>
      <c r="AIR148" s="537"/>
      <c r="AIS148" s="537"/>
      <c r="AIT148" s="537"/>
      <c r="AIU148" s="537"/>
      <c r="AIV148" s="537"/>
      <c r="AIW148" s="537"/>
      <c r="AIX148" s="537"/>
      <c r="AIY148" s="537"/>
      <c r="AIZ148" s="537"/>
      <c r="AJA148" s="537"/>
      <c r="AJB148" s="537"/>
      <c r="AJC148" s="537"/>
      <c r="AJD148" s="537"/>
      <c r="AJE148" s="537"/>
      <c r="AJF148" s="537"/>
      <c r="AJG148" s="537"/>
      <c r="AJH148" s="537"/>
      <c r="AJI148" s="537"/>
      <c r="AJJ148" s="537"/>
      <c r="AJK148" s="537"/>
      <c r="AJL148" s="537"/>
      <c r="AJM148" s="537"/>
      <c r="AJN148" s="537"/>
      <c r="AJO148" s="537"/>
      <c r="AJP148" s="537"/>
      <c r="AJQ148" s="537"/>
      <c r="AJR148" s="537"/>
      <c r="AJS148" s="537"/>
      <c r="AJT148" s="537"/>
      <c r="AJU148" s="537"/>
      <c r="AJV148" s="537"/>
      <c r="AJW148" s="537"/>
      <c r="AJX148" s="537"/>
      <c r="AJY148" s="537"/>
      <c r="AJZ148" s="537"/>
      <c r="AKA148" s="537"/>
      <c r="AKB148" s="537"/>
      <c r="AKC148" s="537"/>
      <c r="AKD148" s="537"/>
      <c r="AKE148" s="537"/>
      <c r="AKF148" s="537"/>
      <c r="AKG148" s="537"/>
      <c r="AKH148" s="537"/>
      <c r="AKI148" s="537"/>
      <c r="AKJ148" s="537"/>
      <c r="AKK148" s="537"/>
      <c r="AKL148" s="537"/>
      <c r="AKM148" s="537"/>
      <c r="AKN148" s="537"/>
      <c r="AKO148" s="537"/>
      <c r="AKP148" s="537"/>
      <c r="AKQ148" s="537"/>
      <c r="AKR148" s="537"/>
      <c r="AKS148" s="537"/>
      <c r="AKT148" s="537"/>
      <c r="AKU148" s="537"/>
      <c r="AKV148" s="537"/>
      <c r="AKW148" s="537"/>
      <c r="AKX148" s="537"/>
      <c r="AKY148" s="537"/>
      <c r="AKZ148" s="537"/>
      <c r="ALA148" s="537"/>
      <c r="ALB148" s="537"/>
      <c r="ALC148" s="537"/>
      <c r="ALD148" s="537"/>
      <c r="ALE148" s="537"/>
      <c r="ALF148" s="537"/>
      <c r="ALG148" s="537"/>
      <c r="ALH148" s="537"/>
      <c r="ALI148" s="537"/>
      <c r="ALJ148" s="537"/>
      <c r="ALK148" s="537"/>
      <c r="ALL148" s="537"/>
      <c r="ALM148" s="537"/>
      <c r="ALN148" s="537"/>
      <c r="ALO148" s="537"/>
      <c r="ALP148" s="537"/>
      <c r="ALQ148" s="537"/>
      <c r="ALR148" s="537"/>
      <c r="ALS148" s="537"/>
      <c r="ALT148" s="537"/>
      <c r="ALU148" s="537"/>
      <c r="ALV148" s="537"/>
      <c r="ALW148" s="537"/>
      <c r="ALX148" s="537"/>
      <c r="ALY148" s="537"/>
      <c r="ALZ148" s="537"/>
      <c r="AMA148" s="537"/>
      <c r="AMB148" s="537"/>
      <c r="AMC148" s="537"/>
      <c r="AMD148" s="537"/>
      <c r="AME148" s="537"/>
      <c r="AMF148" s="537"/>
      <c r="AMG148" s="537"/>
      <c r="AMH148" s="537"/>
      <c r="AMI148" s="537"/>
      <c r="AMJ148" s="537"/>
      <c r="AMK148" s="537"/>
      <c r="AML148" s="537"/>
      <c r="AMM148" s="537"/>
      <c r="AMN148" s="537"/>
      <c r="AMO148" s="537"/>
      <c r="AMP148" s="537"/>
      <c r="AMQ148" s="537"/>
      <c r="AMR148" s="537"/>
      <c r="AMS148" s="537"/>
      <c r="AMT148" s="537"/>
      <c r="AMU148" s="537"/>
      <c r="AMV148" s="537"/>
      <c r="AMW148" s="537"/>
      <c r="AMX148" s="537"/>
      <c r="AMY148" s="537"/>
      <c r="AMZ148" s="537"/>
      <c r="ANA148" s="537"/>
      <c r="ANB148" s="537"/>
      <c r="ANC148" s="537"/>
      <c r="AND148" s="537"/>
      <c r="ANE148" s="537"/>
      <c r="ANF148" s="537"/>
      <c r="ANG148" s="537"/>
      <c r="ANH148" s="537"/>
      <c r="ANI148" s="537"/>
      <c r="ANJ148" s="537"/>
      <c r="ANK148" s="537"/>
      <c r="ANL148" s="537"/>
      <c r="ANM148" s="537"/>
      <c r="ANN148" s="537"/>
      <c r="ANO148" s="537"/>
      <c r="ANP148" s="537"/>
      <c r="ANQ148" s="537"/>
      <c r="ANR148" s="537"/>
      <c r="ANS148" s="537"/>
      <c r="ANT148" s="537"/>
      <c r="ANU148" s="537"/>
      <c r="ANV148" s="537"/>
      <c r="ANW148" s="537"/>
      <c r="ANX148" s="537"/>
      <c r="ANY148" s="537"/>
      <c r="ANZ148" s="537"/>
      <c r="AOA148" s="537"/>
      <c r="AOB148" s="537"/>
      <c r="AOC148" s="537"/>
      <c r="AOD148" s="537"/>
      <c r="AOE148" s="537"/>
      <c r="AOF148" s="537"/>
      <c r="AOG148" s="537"/>
      <c r="AOH148" s="537"/>
      <c r="AOI148" s="537"/>
      <c r="AOJ148" s="537"/>
      <c r="AOK148" s="537"/>
      <c r="AOL148" s="537"/>
      <c r="AOM148" s="537"/>
      <c r="AON148" s="537"/>
      <c r="AOO148" s="537"/>
      <c r="AOP148" s="537"/>
      <c r="AOQ148" s="537"/>
      <c r="AOR148" s="537"/>
      <c r="AOS148" s="537"/>
      <c r="AOT148" s="537"/>
      <c r="AOU148" s="537"/>
      <c r="AOV148" s="537"/>
      <c r="AOW148" s="537"/>
      <c r="AOX148" s="537"/>
      <c r="AOY148" s="537"/>
      <c r="AOZ148" s="537"/>
      <c r="APA148" s="537"/>
      <c r="APB148" s="537"/>
      <c r="APC148" s="537"/>
      <c r="APD148" s="537"/>
      <c r="APE148" s="537"/>
      <c r="APF148" s="537"/>
      <c r="APG148" s="537"/>
      <c r="APH148" s="537"/>
      <c r="API148" s="537"/>
      <c r="APJ148" s="537"/>
      <c r="APK148" s="537"/>
      <c r="APL148" s="537"/>
      <c r="APM148" s="537"/>
      <c r="APN148" s="537"/>
      <c r="APO148" s="537"/>
      <c r="APP148" s="537"/>
      <c r="APQ148" s="537"/>
      <c r="APR148" s="537"/>
      <c r="APS148" s="537"/>
      <c r="APT148" s="537"/>
      <c r="APU148" s="537"/>
      <c r="APV148" s="537"/>
      <c r="APW148" s="537"/>
      <c r="APX148" s="537"/>
      <c r="APY148" s="537"/>
      <c r="APZ148" s="537"/>
      <c r="AQA148" s="537"/>
      <c r="AQB148" s="537"/>
      <c r="AQC148" s="537"/>
      <c r="AQD148" s="537"/>
      <c r="AQE148" s="537"/>
      <c r="AQF148" s="537"/>
      <c r="AQG148" s="537"/>
      <c r="AQH148" s="537"/>
      <c r="AQI148" s="537"/>
      <c r="AQJ148" s="537"/>
      <c r="AQK148" s="537"/>
      <c r="AQL148" s="537"/>
      <c r="AQM148" s="537"/>
      <c r="AQN148" s="537"/>
      <c r="AQO148" s="537"/>
      <c r="AQP148" s="537"/>
      <c r="AQQ148" s="537"/>
      <c r="AQR148" s="537"/>
      <c r="AQS148" s="537"/>
      <c r="AQT148" s="537"/>
      <c r="AQU148" s="537"/>
      <c r="AQV148" s="537"/>
      <c r="AQW148" s="537"/>
      <c r="AQX148" s="537"/>
      <c r="AQY148" s="537"/>
      <c r="AQZ148" s="537"/>
      <c r="ARA148" s="537"/>
      <c r="ARB148" s="537"/>
      <c r="ARC148" s="537"/>
      <c r="ARD148" s="537"/>
      <c r="ARE148" s="537"/>
      <c r="ARF148" s="537"/>
      <c r="ARG148" s="537"/>
      <c r="ARH148" s="537"/>
      <c r="ARI148" s="537"/>
      <c r="ARJ148" s="537"/>
      <c r="ARK148" s="537"/>
      <c r="ARL148" s="537"/>
      <c r="ARM148" s="537"/>
      <c r="ARN148" s="537"/>
      <c r="ARO148" s="537"/>
      <c r="ARP148" s="537"/>
      <c r="ARQ148" s="537"/>
      <c r="ARR148" s="537"/>
      <c r="ARS148" s="537"/>
      <c r="ART148" s="537"/>
      <c r="ARU148" s="537"/>
      <c r="ARV148" s="537"/>
      <c r="ARW148" s="537"/>
      <c r="ARX148" s="537"/>
      <c r="ARY148" s="537"/>
      <c r="ARZ148" s="537"/>
      <c r="ASA148" s="537"/>
      <c r="ASB148" s="537"/>
      <c r="ASC148" s="537"/>
      <c r="ASD148" s="537"/>
      <c r="ASE148" s="537"/>
      <c r="ASF148" s="537"/>
      <c r="ASG148" s="537"/>
      <c r="ASH148" s="537"/>
      <c r="ASI148" s="537"/>
      <c r="ASJ148" s="537"/>
      <c r="ASK148" s="537"/>
      <c r="ASL148" s="537"/>
      <c r="ASM148" s="537"/>
      <c r="ASN148" s="537"/>
      <c r="ASO148" s="537"/>
      <c r="ASP148" s="537"/>
      <c r="ASQ148" s="537"/>
      <c r="ASR148" s="537"/>
      <c r="ASS148" s="537"/>
      <c r="AST148" s="537"/>
      <c r="ASU148" s="537"/>
      <c r="ASV148" s="537"/>
      <c r="ASW148" s="537"/>
      <c r="ASX148" s="537"/>
      <c r="ASY148" s="537"/>
      <c r="ASZ148" s="537"/>
      <c r="ATA148" s="537"/>
      <c r="ATB148" s="537"/>
      <c r="ATC148" s="537"/>
      <c r="ATD148" s="537"/>
      <c r="ATE148" s="537"/>
      <c r="ATF148" s="537"/>
      <c r="ATG148" s="537"/>
      <c r="ATH148" s="537"/>
      <c r="ATI148" s="537"/>
      <c r="ATJ148" s="537"/>
      <c r="ATK148" s="537"/>
      <c r="ATL148" s="537"/>
      <c r="ATM148" s="537"/>
      <c r="ATN148" s="537"/>
      <c r="ATO148" s="537"/>
      <c r="ATP148" s="537"/>
      <c r="ATQ148" s="537"/>
      <c r="ATR148" s="537"/>
      <c r="ATS148" s="537"/>
      <c r="ATT148" s="537"/>
      <c r="ATU148" s="537"/>
      <c r="ATV148" s="537"/>
      <c r="ATW148" s="537"/>
      <c r="ATX148" s="537"/>
      <c r="ATY148" s="537"/>
      <c r="ATZ148" s="537"/>
      <c r="AUA148" s="537"/>
      <c r="AUB148" s="537"/>
      <c r="AUC148" s="537"/>
      <c r="AUD148" s="537"/>
      <c r="AUE148" s="537"/>
      <c r="AUF148" s="537"/>
      <c r="AUG148" s="537"/>
      <c r="AUH148" s="537"/>
      <c r="AUI148" s="537"/>
      <c r="AUJ148" s="537"/>
      <c r="AUK148" s="537"/>
      <c r="AUL148" s="537"/>
      <c r="AUM148" s="537"/>
      <c r="AUN148" s="537"/>
      <c r="AUO148" s="537"/>
      <c r="AUP148" s="537"/>
      <c r="AUQ148" s="537"/>
      <c r="AUR148" s="537"/>
      <c r="AUS148" s="537"/>
      <c r="AUT148" s="537"/>
      <c r="AUU148" s="537"/>
      <c r="AUV148" s="537"/>
      <c r="AUW148" s="537"/>
      <c r="AUX148" s="537"/>
      <c r="AUY148" s="537"/>
      <c r="AUZ148" s="537"/>
      <c r="AVA148" s="537"/>
      <c r="AVB148" s="537"/>
      <c r="AVC148" s="537"/>
      <c r="AVD148" s="537"/>
      <c r="AVE148" s="537"/>
      <c r="AVF148" s="537"/>
      <c r="AVG148" s="537"/>
      <c r="AVH148" s="537"/>
      <c r="AVI148" s="537"/>
      <c r="AVJ148" s="537"/>
      <c r="AVK148" s="537"/>
      <c r="AVL148" s="537"/>
      <c r="AVM148" s="537"/>
      <c r="AVN148" s="537"/>
      <c r="AVO148" s="537"/>
      <c r="AVP148" s="537"/>
      <c r="AVQ148" s="537"/>
      <c r="AVR148" s="537"/>
      <c r="AVS148" s="537"/>
      <c r="AVT148" s="537"/>
      <c r="AVU148" s="537"/>
      <c r="AVV148" s="537"/>
      <c r="AVW148" s="537"/>
      <c r="AVX148" s="537"/>
      <c r="AVY148" s="537"/>
      <c r="AVZ148" s="537"/>
      <c r="AWA148" s="537"/>
      <c r="AWB148" s="537"/>
      <c r="AWC148" s="537"/>
      <c r="AWD148" s="537"/>
      <c r="AWE148" s="537"/>
      <c r="AWF148" s="537"/>
      <c r="AWG148" s="537"/>
      <c r="AWH148" s="537"/>
      <c r="AWI148" s="537"/>
      <c r="AWJ148" s="537"/>
      <c r="AWK148" s="537"/>
      <c r="AWL148" s="537"/>
      <c r="AWM148" s="537"/>
      <c r="AWN148" s="537"/>
      <c r="AWO148" s="537"/>
      <c r="AWP148" s="537"/>
      <c r="AWQ148" s="537"/>
      <c r="AWR148" s="537"/>
      <c r="AWS148" s="537"/>
      <c r="AWT148" s="537"/>
      <c r="AWU148" s="537"/>
      <c r="AWV148" s="537"/>
      <c r="AWW148" s="537"/>
      <c r="AWX148" s="537"/>
      <c r="AWY148" s="537"/>
      <c r="AWZ148" s="537"/>
      <c r="AXA148" s="537"/>
      <c r="AXB148" s="537"/>
      <c r="AXC148" s="537"/>
      <c r="AXD148" s="537"/>
      <c r="AXE148" s="537"/>
      <c r="AXF148" s="537"/>
      <c r="AXG148" s="537"/>
      <c r="AXH148" s="537"/>
      <c r="AXI148" s="537"/>
      <c r="AXJ148" s="537"/>
      <c r="AXK148" s="537"/>
      <c r="AXL148" s="537"/>
      <c r="AXM148" s="537"/>
      <c r="AXN148" s="537"/>
      <c r="AXO148" s="537"/>
      <c r="AXP148" s="537"/>
      <c r="AXQ148" s="537"/>
      <c r="AXR148" s="537"/>
      <c r="AXS148" s="537"/>
      <c r="AXT148" s="537"/>
      <c r="AXU148" s="537"/>
      <c r="AXV148" s="537"/>
      <c r="AXW148" s="537"/>
      <c r="AXX148" s="537"/>
      <c r="AXY148" s="537"/>
      <c r="AXZ148" s="537"/>
      <c r="AYA148" s="537"/>
      <c r="AYB148" s="537"/>
      <c r="AYC148" s="537"/>
      <c r="AYD148" s="537"/>
      <c r="AYE148" s="537"/>
      <c r="AYF148" s="537"/>
      <c r="AYG148" s="537"/>
      <c r="AYH148" s="537"/>
      <c r="AYI148" s="537"/>
      <c r="AYJ148" s="537"/>
      <c r="AYK148" s="537"/>
      <c r="AYL148" s="537"/>
      <c r="AYM148" s="537"/>
      <c r="AYN148" s="537"/>
      <c r="AYO148" s="537"/>
      <c r="AYP148" s="537"/>
      <c r="AYQ148" s="537"/>
      <c r="AYR148" s="537"/>
      <c r="AYS148" s="537"/>
      <c r="AYT148" s="537"/>
      <c r="AYU148" s="537"/>
      <c r="AYV148" s="537"/>
      <c r="AYW148" s="537"/>
      <c r="AYX148" s="537"/>
      <c r="AYY148" s="537"/>
      <c r="AYZ148" s="537"/>
      <c r="AZA148" s="537"/>
      <c r="AZB148" s="537"/>
      <c r="AZC148" s="537"/>
      <c r="AZD148" s="537"/>
      <c r="AZE148" s="537"/>
      <c r="AZF148" s="537"/>
      <c r="AZG148" s="537"/>
      <c r="AZH148" s="537"/>
      <c r="AZI148" s="537"/>
      <c r="AZJ148" s="537"/>
      <c r="AZK148" s="537"/>
      <c r="AZL148" s="537"/>
      <c r="AZM148" s="537"/>
      <c r="AZN148" s="537"/>
      <c r="AZO148" s="537"/>
      <c r="AZP148" s="537"/>
      <c r="AZQ148" s="537"/>
      <c r="AZR148" s="537"/>
      <c r="AZS148" s="537"/>
      <c r="AZT148" s="537"/>
      <c r="AZU148" s="537"/>
      <c r="AZV148" s="537"/>
      <c r="AZW148" s="537"/>
      <c r="AZX148" s="537"/>
      <c r="AZY148" s="537"/>
      <c r="AZZ148" s="537"/>
      <c r="BAA148" s="537"/>
      <c r="BAB148" s="537"/>
      <c r="BAC148" s="537"/>
      <c r="BAD148" s="537"/>
      <c r="BAE148" s="537"/>
      <c r="BAF148" s="537"/>
      <c r="BAG148" s="537"/>
      <c r="BAH148" s="537"/>
      <c r="BAI148" s="537"/>
      <c r="BAJ148" s="537"/>
      <c r="BAK148" s="537"/>
      <c r="BAL148" s="537"/>
      <c r="BAM148" s="537"/>
      <c r="BAN148" s="537"/>
      <c r="BAO148" s="537"/>
      <c r="BAP148" s="537"/>
      <c r="BAQ148" s="537"/>
      <c r="BAR148" s="537"/>
      <c r="BAS148" s="537"/>
      <c r="BAT148" s="537"/>
      <c r="BAU148" s="537"/>
      <c r="BAV148" s="537"/>
      <c r="BAW148" s="537"/>
      <c r="BAX148" s="537"/>
      <c r="BAY148" s="537"/>
      <c r="BAZ148" s="537"/>
      <c r="BBA148" s="537"/>
      <c r="BBB148" s="537"/>
      <c r="BBC148" s="537"/>
      <c r="BBD148" s="537"/>
      <c r="BBE148" s="537"/>
      <c r="BBF148" s="537"/>
      <c r="BBG148" s="537"/>
      <c r="BBH148" s="537"/>
      <c r="BBI148" s="537"/>
      <c r="BBJ148" s="537"/>
      <c r="BBK148" s="537"/>
      <c r="BBL148" s="537"/>
      <c r="BBM148" s="537"/>
      <c r="BBN148" s="537"/>
      <c r="BBO148" s="537"/>
      <c r="BBP148" s="537"/>
      <c r="BBQ148" s="537"/>
      <c r="BBR148" s="537"/>
      <c r="BBS148" s="537"/>
      <c r="BBT148" s="537"/>
      <c r="BBU148" s="537"/>
      <c r="BBV148" s="537"/>
      <c r="BBW148" s="537"/>
      <c r="BBX148" s="537"/>
      <c r="BBY148" s="537"/>
      <c r="BBZ148" s="537"/>
      <c r="BCA148" s="537"/>
      <c r="BCB148" s="537"/>
      <c r="BCC148" s="537"/>
      <c r="BCD148" s="537"/>
      <c r="BCE148" s="537"/>
      <c r="BCF148" s="537"/>
      <c r="BCG148" s="537"/>
      <c r="BCH148" s="537"/>
      <c r="BCI148" s="537"/>
      <c r="BCJ148" s="537"/>
      <c r="BCK148" s="537"/>
      <c r="BCL148" s="537"/>
      <c r="BCM148" s="537"/>
      <c r="BCN148" s="537"/>
      <c r="BCO148" s="537"/>
      <c r="BCP148" s="537"/>
      <c r="BCQ148" s="537"/>
      <c r="BCR148" s="537"/>
      <c r="BCS148" s="537"/>
      <c r="BCT148" s="537"/>
      <c r="BCU148" s="537"/>
      <c r="BCV148" s="537"/>
      <c r="BCW148" s="537"/>
      <c r="BCX148" s="537"/>
      <c r="BCY148" s="537"/>
      <c r="BCZ148" s="537"/>
      <c r="BDA148" s="537"/>
      <c r="BDB148" s="537"/>
      <c r="BDC148" s="537"/>
      <c r="BDD148" s="537"/>
      <c r="BDE148" s="537"/>
      <c r="BDF148" s="537"/>
      <c r="BDG148" s="537"/>
      <c r="BDH148" s="537"/>
      <c r="BDI148" s="537"/>
      <c r="BDJ148" s="537"/>
      <c r="BDK148" s="537"/>
      <c r="BDL148" s="537"/>
      <c r="BDM148" s="537"/>
      <c r="BDN148" s="537"/>
      <c r="BDO148" s="537"/>
      <c r="BDP148" s="537"/>
      <c r="BDQ148" s="537"/>
      <c r="BDR148" s="537"/>
      <c r="BDS148" s="537"/>
      <c r="BDT148" s="537"/>
      <c r="BDU148" s="537"/>
      <c r="BDV148" s="537"/>
      <c r="BDW148" s="537"/>
      <c r="BDX148" s="537"/>
      <c r="BDY148" s="537"/>
      <c r="BDZ148" s="537"/>
      <c r="BEA148" s="537"/>
      <c r="BEB148" s="537"/>
      <c r="BEC148" s="537"/>
      <c r="BED148" s="537"/>
      <c r="BEE148" s="537"/>
      <c r="BEF148" s="537"/>
      <c r="BEG148" s="537"/>
      <c r="BEH148" s="537"/>
      <c r="BEI148" s="537"/>
      <c r="BEJ148" s="537"/>
      <c r="BEK148" s="537"/>
      <c r="BEL148" s="537"/>
      <c r="BEM148" s="537"/>
      <c r="BEN148" s="537"/>
      <c r="BEO148" s="537"/>
      <c r="BEP148" s="537"/>
      <c r="BEQ148" s="537"/>
      <c r="BER148" s="537"/>
      <c r="BES148" s="537"/>
      <c r="BET148" s="537"/>
      <c r="BEU148" s="537"/>
      <c r="BEV148" s="537"/>
      <c r="BEW148" s="537"/>
      <c r="BEX148" s="537"/>
      <c r="BEY148" s="537"/>
      <c r="BEZ148" s="537"/>
      <c r="BFA148" s="537"/>
      <c r="BFB148" s="537"/>
      <c r="BFC148" s="537"/>
      <c r="BFD148" s="537"/>
      <c r="BFE148" s="537"/>
      <c r="BFF148" s="537"/>
      <c r="BFG148" s="537"/>
      <c r="BFH148" s="537"/>
      <c r="BFI148" s="537"/>
      <c r="BFJ148" s="537"/>
      <c r="BFK148" s="537"/>
      <c r="BFL148" s="537"/>
      <c r="BFM148" s="537"/>
      <c r="BFN148" s="537"/>
      <c r="BFO148" s="537"/>
      <c r="BFP148" s="537"/>
      <c r="BFQ148" s="537"/>
      <c r="BFR148" s="537"/>
      <c r="BFS148" s="537"/>
      <c r="BFT148" s="537"/>
      <c r="BFU148" s="537"/>
      <c r="BFV148" s="537"/>
      <c r="BFW148" s="537"/>
      <c r="BFX148" s="537"/>
      <c r="BFY148" s="537"/>
      <c r="BFZ148" s="537"/>
      <c r="BGA148" s="537"/>
      <c r="BGB148" s="537"/>
      <c r="BGC148" s="537"/>
      <c r="BGD148" s="537"/>
      <c r="BGE148" s="537"/>
      <c r="BGF148" s="537"/>
      <c r="BGG148" s="537"/>
      <c r="BGH148" s="537"/>
      <c r="BGI148" s="537"/>
      <c r="BGJ148" s="537"/>
      <c r="BGK148" s="537"/>
      <c r="BGL148" s="537"/>
      <c r="BGM148" s="537"/>
      <c r="BGN148" s="537"/>
      <c r="BGO148" s="537"/>
      <c r="BGP148" s="537"/>
      <c r="BGQ148" s="537"/>
      <c r="BGR148" s="537"/>
      <c r="BGS148" s="537"/>
      <c r="BGT148" s="537"/>
      <c r="BGU148" s="537"/>
      <c r="BGV148" s="537"/>
      <c r="BGW148" s="537"/>
      <c r="BGX148" s="537"/>
      <c r="BGY148" s="537"/>
      <c r="BGZ148" s="537"/>
      <c r="BHA148" s="537"/>
      <c r="BHB148" s="537"/>
      <c r="BHC148" s="537"/>
      <c r="BHD148" s="537"/>
      <c r="BHE148" s="537"/>
      <c r="BHF148" s="537"/>
      <c r="BHG148" s="537"/>
      <c r="BHH148" s="537"/>
      <c r="BHI148" s="537"/>
      <c r="BHJ148" s="537"/>
      <c r="BHK148" s="537"/>
      <c r="BHL148" s="537"/>
      <c r="BHM148" s="537"/>
      <c r="BHN148" s="537"/>
      <c r="BHO148" s="537"/>
      <c r="BHP148" s="537"/>
      <c r="BHQ148" s="537"/>
      <c r="BHR148" s="537"/>
      <c r="BHS148" s="537"/>
      <c r="BHT148" s="537"/>
      <c r="BHU148" s="537"/>
      <c r="BHV148" s="537"/>
      <c r="BHW148" s="537"/>
      <c r="BHX148" s="537"/>
      <c r="BHY148" s="537"/>
      <c r="BHZ148" s="537"/>
      <c r="BIA148" s="537"/>
      <c r="BIB148" s="537"/>
      <c r="BIC148" s="537"/>
      <c r="BID148" s="537"/>
      <c r="BIE148" s="537"/>
      <c r="BIF148" s="537"/>
      <c r="BIG148" s="537"/>
      <c r="BIH148" s="537"/>
      <c r="BII148" s="537"/>
      <c r="BIJ148" s="537"/>
      <c r="BIK148" s="537"/>
      <c r="BIL148" s="537"/>
      <c r="BIM148" s="537"/>
      <c r="BIN148" s="537"/>
      <c r="BIO148" s="537"/>
      <c r="BIP148" s="537"/>
      <c r="BIQ148" s="537"/>
      <c r="BIR148" s="537"/>
      <c r="BIS148" s="537"/>
      <c r="BIT148" s="537"/>
      <c r="BIU148" s="537"/>
      <c r="BIV148" s="537"/>
      <c r="BIW148" s="537"/>
      <c r="BIX148" s="537"/>
      <c r="BIY148" s="537"/>
      <c r="BIZ148" s="537"/>
      <c r="BJA148" s="537"/>
      <c r="BJB148" s="537"/>
      <c r="BJC148" s="537"/>
      <c r="BJD148" s="537"/>
      <c r="BJE148" s="537"/>
      <c r="BJF148" s="537"/>
      <c r="BJG148" s="537"/>
      <c r="BJH148" s="537"/>
      <c r="BJI148" s="537"/>
      <c r="BJJ148" s="537"/>
      <c r="BJK148" s="537"/>
      <c r="BJL148" s="537"/>
      <c r="BJM148" s="537"/>
      <c r="BJN148" s="537"/>
      <c r="BJO148" s="537"/>
      <c r="BJP148" s="537"/>
      <c r="BJQ148" s="537"/>
      <c r="BJR148" s="537"/>
      <c r="BJS148" s="537"/>
      <c r="BJT148" s="537"/>
      <c r="BJU148" s="537"/>
      <c r="BJV148" s="537"/>
      <c r="BJW148" s="537"/>
      <c r="BJX148" s="537"/>
      <c r="BJY148" s="537"/>
      <c r="BJZ148" s="537"/>
      <c r="BKA148" s="537"/>
      <c r="BKB148" s="537"/>
      <c r="BKC148" s="537"/>
      <c r="BKD148" s="537"/>
      <c r="BKE148" s="537"/>
      <c r="BKF148" s="537"/>
      <c r="BKG148" s="537"/>
      <c r="BKH148" s="537"/>
      <c r="BKI148" s="537"/>
      <c r="BKJ148" s="537"/>
      <c r="BKK148" s="537"/>
      <c r="BKL148" s="537"/>
      <c r="BKM148" s="537"/>
      <c r="BKN148" s="537"/>
      <c r="BKO148" s="537"/>
      <c r="BKP148" s="537"/>
      <c r="BKQ148" s="537"/>
      <c r="BKR148" s="537"/>
      <c r="BKS148" s="537"/>
      <c r="BKT148" s="537"/>
      <c r="BKU148" s="537"/>
      <c r="BKV148" s="537"/>
      <c r="BKW148" s="537"/>
      <c r="BKX148" s="537"/>
      <c r="BKY148" s="537"/>
      <c r="BKZ148" s="537"/>
      <c r="BLA148" s="537"/>
      <c r="BLB148" s="537"/>
      <c r="BLC148" s="537"/>
      <c r="BLD148" s="537"/>
      <c r="BLE148" s="537"/>
      <c r="BLF148" s="537"/>
      <c r="BLG148" s="537"/>
      <c r="BLH148" s="537"/>
      <c r="BLI148" s="537"/>
      <c r="BLJ148" s="537"/>
      <c r="BLK148" s="537"/>
      <c r="BLL148" s="537"/>
      <c r="BLM148" s="537"/>
      <c r="BLN148" s="537"/>
      <c r="BLO148" s="537"/>
      <c r="BLP148" s="537"/>
      <c r="BLQ148" s="537"/>
      <c r="BLR148" s="537"/>
      <c r="BLS148" s="537"/>
      <c r="BLT148" s="537"/>
      <c r="BLU148" s="537"/>
      <c r="BLV148" s="537"/>
      <c r="BLW148" s="537"/>
      <c r="BLX148" s="537"/>
      <c r="BLY148" s="537"/>
      <c r="BLZ148" s="537"/>
      <c r="BMA148" s="537"/>
      <c r="BMB148" s="537"/>
      <c r="BMC148" s="537"/>
      <c r="BMD148" s="537"/>
      <c r="BME148" s="537"/>
      <c r="BMF148" s="537"/>
      <c r="BMG148" s="537"/>
      <c r="BMH148" s="537"/>
      <c r="BMI148" s="537"/>
      <c r="BMJ148" s="537"/>
      <c r="BMK148" s="537"/>
      <c r="BML148" s="537"/>
      <c r="BMM148" s="537"/>
      <c r="BMN148" s="537"/>
      <c r="BMO148" s="537"/>
      <c r="BMP148" s="537"/>
      <c r="BMQ148" s="537"/>
      <c r="BMR148" s="537"/>
      <c r="BMS148" s="537"/>
      <c r="BMT148" s="537"/>
      <c r="BMU148" s="537"/>
      <c r="BMV148" s="537"/>
      <c r="BMW148" s="537"/>
      <c r="BMX148" s="537"/>
      <c r="BMY148" s="537"/>
      <c r="BMZ148" s="537"/>
      <c r="BNA148" s="537"/>
      <c r="BNB148" s="537"/>
      <c r="BNC148" s="537"/>
      <c r="BND148" s="537"/>
      <c r="BNE148" s="537"/>
      <c r="BNF148" s="537"/>
      <c r="BNG148" s="537"/>
      <c r="BNH148" s="537"/>
      <c r="BNI148" s="537"/>
      <c r="BNJ148" s="537"/>
      <c r="BNK148" s="537"/>
      <c r="BNL148" s="537"/>
      <c r="BNM148" s="537"/>
      <c r="BNN148" s="537"/>
      <c r="BNO148" s="537"/>
      <c r="BNP148" s="537"/>
      <c r="BNQ148" s="537"/>
      <c r="BNR148" s="537"/>
      <c r="BNS148" s="537"/>
      <c r="BNT148" s="537"/>
      <c r="BNU148" s="537"/>
      <c r="BNV148" s="537"/>
      <c r="BNW148" s="537"/>
      <c r="BNX148" s="537"/>
      <c r="BNY148" s="537"/>
      <c r="BNZ148" s="537"/>
      <c r="BOA148" s="537"/>
      <c r="BOB148" s="537"/>
      <c r="BOC148" s="537"/>
      <c r="BOD148" s="537"/>
      <c r="BOE148" s="537"/>
      <c r="BOF148" s="537"/>
      <c r="BOG148" s="537"/>
      <c r="BOH148" s="537"/>
      <c r="BOI148" s="537"/>
      <c r="BOJ148" s="537"/>
      <c r="BOK148" s="537"/>
      <c r="BOL148" s="537"/>
      <c r="BOM148" s="537"/>
      <c r="BON148" s="537"/>
      <c r="BOO148" s="537"/>
      <c r="BOP148" s="537"/>
      <c r="BOQ148" s="537"/>
      <c r="BOR148" s="537"/>
      <c r="BOS148" s="537"/>
      <c r="BOT148" s="537"/>
      <c r="BOU148" s="537"/>
      <c r="BOV148" s="537"/>
      <c r="BOW148" s="537"/>
      <c r="BOX148" s="537"/>
      <c r="BOY148" s="537"/>
      <c r="BOZ148" s="537"/>
      <c r="BPA148" s="537"/>
      <c r="BPB148" s="537"/>
      <c r="BPC148" s="537"/>
      <c r="BPD148" s="537"/>
      <c r="BPE148" s="537"/>
      <c r="BPF148" s="537"/>
      <c r="BPG148" s="537"/>
      <c r="BPH148" s="537"/>
      <c r="BPI148" s="537"/>
      <c r="BPJ148" s="537"/>
      <c r="BPK148" s="537"/>
      <c r="BPL148" s="537"/>
      <c r="BPM148" s="537"/>
      <c r="BPN148" s="537"/>
      <c r="BPO148" s="537"/>
      <c r="BPP148" s="537"/>
      <c r="BPQ148" s="537"/>
      <c r="BPR148" s="537"/>
      <c r="BPS148" s="537"/>
      <c r="BPT148" s="537"/>
      <c r="BPU148" s="537"/>
      <c r="BPV148" s="537"/>
      <c r="BPW148" s="537"/>
      <c r="BPX148" s="537"/>
      <c r="BPY148" s="537"/>
      <c r="BPZ148" s="537"/>
      <c r="BQA148" s="537"/>
      <c r="BQB148" s="537"/>
      <c r="BQC148" s="537"/>
      <c r="BQD148" s="537"/>
      <c r="BQE148" s="537"/>
      <c r="BQF148" s="537"/>
      <c r="BQG148" s="537"/>
      <c r="BQH148" s="537"/>
      <c r="BQI148" s="537"/>
      <c r="BQJ148" s="537"/>
      <c r="BQK148" s="537"/>
      <c r="BQL148" s="537"/>
      <c r="BQM148" s="537"/>
      <c r="BQN148" s="537"/>
      <c r="BQO148" s="537"/>
      <c r="BQP148" s="537"/>
      <c r="BQQ148" s="537"/>
      <c r="BQR148" s="537"/>
      <c r="BQS148" s="537"/>
      <c r="BQT148" s="537"/>
      <c r="BQU148" s="537"/>
      <c r="BQV148" s="537"/>
      <c r="BQW148" s="537"/>
      <c r="BQX148" s="537"/>
      <c r="BQY148" s="537"/>
      <c r="BQZ148" s="537"/>
      <c r="BRA148" s="537"/>
      <c r="BRB148" s="537"/>
      <c r="BRC148" s="537"/>
      <c r="BRD148" s="537"/>
      <c r="BRE148" s="537"/>
      <c r="BRF148" s="537"/>
      <c r="BRG148" s="537"/>
      <c r="BRH148" s="537"/>
      <c r="BRI148" s="537"/>
      <c r="BRJ148" s="537"/>
      <c r="BRK148" s="537"/>
      <c r="BRL148" s="537"/>
      <c r="BRM148" s="537"/>
      <c r="BRN148" s="537"/>
      <c r="BRO148" s="537"/>
      <c r="BRP148" s="537"/>
      <c r="BRQ148" s="537"/>
      <c r="BRR148" s="537"/>
      <c r="BRS148" s="537"/>
      <c r="BRT148" s="537"/>
      <c r="BRU148" s="537"/>
      <c r="BRV148" s="537"/>
      <c r="BRW148" s="537"/>
      <c r="BRX148" s="537"/>
      <c r="BRY148" s="537"/>
      <c r="BRZ148" s="537"/>
      <c r="BSA148" s="537"/>
      <c r="BSB148" s="537"/>
      <c r="BSC148" s="537"/>
      <c r="BSD148" s="537"/>
      <c r="BSE148" s="537"/>
      <c r="BSF148" s="537"/>
      <c r="BSG148" s="537"/>
      <c r="BSH148" s="537"/>
      <c r="BSI148" s="537"/>
      <c r="BSJ148" s="537"/>
      <c r="BSK148" s="537"/>
      <c r="BSL148" s="537"/>
      <c r="BSM148" s="537"/>
      <c r="BSN148" s="537"/>
      <c r="BSO148" s="537"/>
      <c r="BSP148" s="537"/>
      <c r="BSQ148" s="537"/>
      <c r="BSR148" s="537"/>
      <c r="BSS148" s="537"/>
      <c r="BST148" s="537"/>
      <c r="BSU148" s="537"/>
      <c r="BSV148" s="537"/>
      <c r="BSW148" s="537"/>
      <c r="BSX148" s="537"/>
      <c r="BSY148" s="537"/>
      <c r="BSZ148" s="537"/>
      <c r="BTA148" s="537"/>
      <c r="BTB148" s="537"/>
      <c r="BTC148" s="537"/>
      <c r="BTD148" s="537"/>
      <c r="BTE148" s="537"/>
      <c r="BTF148" s="537"/>
      <c r="BTG148" s="537"/>
      <c r="BTH148" s="537"/>
      <c r="BTI148" s="537"/>
      <c r="BTJ148" s="537"/>
      <c r="BTK148" s="537"/>
      <c r="BTL148" s="537"/>
      <c r="BTM148" s="537"/>
      <c r="BTN148" s="537"/>
      <c r="BTO148" s="537"/>
      <c r="BTP148" s="537"/>
      <c r="BTQ148" s="537"/>
      <c r="BTR148" s="537"/>
      <c r="BTS148" s="537"/>
      <c r="BTT148" s="537"/>
      <c r="BTU148" s="537"/>
      <c r="BTV148" s="537"/>
      <c r="BTW148" s="537"/>
      <c r="BTX148" s="537"/>
      <c r="BTY148" s="537"/>
      <c r="BTZ148" s="537"/>
      <c r="BUA148" s="537"/>
      <c r="BUB148" s="537"/>
      <c r="BUC148" s="537"/>
      <c r="BUD148" s="537"/>
      <c r="BUE148" s="537"/>
      <c r="BUF148" s="537"/>
      <c r="BUG148" s="537"/>
      <c r="BUH148" s="537"/>
      <c r="BUI148" s="537"/>
      <c r="BUJ148" s="537"/>
      <c r="BUK148" s="537"/>
      <c r="BUL148" s="537"/>
      <c r="BUM148" s="537"/>
      <c r="BUN148" s="537"/>
      <c r="BUO148" s="537"/>
      <c r="BUP148" s="537"/>
      <c r="BUQ148" s="537"/>
      <c r="BUR148" s="537"/>
      <c r="BUS148" s="537"/>
      <c r="BUT148" s="537"/>
      <c r="BUU148" s="537"/>
      <c r="BUV148" s="537"/>
      <c r="BUW148" s="537"/>
      <c r="BUX148" s="537"/>
      <c r="BUY148" s="537"/>
      <c r="BUZ148" s="537"/>
      <c r="BVA148" s="537"/>
      <c r="BVB148" s="537"/>
      <c r="BVC148" s="537"/>
      <c r="BVD148" s="537"/>
      <c r="BVE148" s="537"/>
      <c r="BVF148" s="537"/>
      <c r="BVG148" s="537"/>
      <c r="BVH148" s="537"/>
      <c r="BVI148" s="537"/>
      <c r="BVJ148" s="537"/>
      <c r="BVK148" s="537"/>
      <c r="BVL148" s="537"/>
      <c r="BVM148" s="537"/>
      <c r="BVN148" s="537"/>
      <c r="BVO148" s="537"/>
      <c r="BVP148" s="537"/>
      <c r="BVQ148" s="537"/>
      <c r="BVR148" s="537"/>
      <c r="BVS148" s="537"/>
      <c r="BVT148" s="537"/>
      <c r="BVU148" s="537"/>
      <c r="BVV148" s="537"/>
      <c r="BVW148" s="537"/>
      <c r="BVX148" s="537"/>
      <c r="BVY148" s="537"/>
      <c r="BVZ148" s="537"/>
      <c r="BWA148" s="537"/>
      <c r="BWB148" s="537"/>
      <c r="BWC148" s="537"/>
      <c r="BWD148" s="537"/>
      <c r="BWE148" s="537"/>
      <c r="BWF148" s="537"/>
      <c r="BWG148" s="537"/>
      <c r="BWH148" s="537"/>
      <c r="BWI148" s="537"/>
      <c r="BWJ148" s="537"/>
      <c r="BWK148" s="537"/>
      <c r="BWL148" s="537"/>
      <c r="BWM148" s="537"/>
      <c r="BWN148" s="537"/>
      <c r="BWO148" s="537"/>
      <c r="BWP148" s="537"/>
      <c r="BWQ148" s="537"/>
      <c r="BWR148" s="537"/>
      <c r="BWS148" s="537"/>
      <c r="BWT148" s="537"/>
      <c r="BWU148" s="537"/>
      <c r="BWV148" s="537"/>
      <c r="BWW148" s="537"/>
      <c r="BWX148" s="537"/>
      <c r="BWY148" s="537"/>
      <c r="BWZ148" s="537"/>
      <c r="BXA148" s="537"/>
      <c r="BXB148" s="537"/>
      <c r="BXC148" s="537"/>
      <c r="BXD148" s="537"/>
      <c r="BXE148" s="537"/>
      <c r="BXF148" s="537"/>
      <c r="BXG148" s="537"/>
      <c r="BXH148" s="537"/>
      <c r="BXI148" s="537"/>
      <c r="BXJ148" s="537"/>
      <c r="BXK148" s="537"/>
      <c r="BXL148" s="537"/>
      <c r="BXM148" s="537"/>
      <c r="BXN148" s="537"/>
      <c r="BXO148" s="537"/>
      <c r="BXP148" s="537"/>
      <c r="BXQ148" s="537"/>
      <c r="BXR148" s="537"/>
      <c r="BXS148" s="537"/>
      <c r="BXT148" s="537"/>
      <c r="BXU148" s="537"/>
      <c r="BXV148" s="537"/>
      <c r="BXW148" s="537"/>
      <c r="BXX148" s="537"/>
      <c r="BXY148" s="537"/>
      <c r="BXZ148" s="537"/>
      <c r="BYA148" s="537"/>
      <c r="BYB148" s="537"/>
      <c r="BYC148" s="537"/>
      <c r="BYD148" s="537"/>
      <c r="BYE148" s="537"/>
      <c r="BYF148" s="537"/>
      <c r="BYG148" s="537"/>
      <c r="BYH148" s="537"/>
      <c r="BYI148" s="537"/>
      <c r="BYJ148" s="537"/>
      <c r="BYK148" s="537"/>
      <c r="BYL148" s="537"/>
      <c r="BYM148" s="537"/>
      <c r="BYN148" s="537"/>
      <c r="BYO148" s="537"/>
      <c r="BYP148" s="537"/>
      <c r="BYQ148" s="537"/>
      <c r="BYR148" s="537"/>
      <c r="BYS148" s="537"/>
      <c r="BYT148" s="537"/>
      <c r="BYU148" s="537"/>
      <c r="BYV148" s="537"/>
      <c r="BYW148" s="537"/>
      <c r="BYX148" s="537"/>
      <c r="BYY148" s="537"/>
      <c r="BYZ148" s="537"/>
      <c r="BZA148" s="537"/>
      <c r="BZB148" s="537"/>
      <c r="BZC148" s="537"/>
      <c r="BZD148" s="537"/>
      <c r="BZE148" s="537"/>
      <c r="BZF148" s="537"/>
      <c r="BZG148" s="537"/>
      <c r="BZH148" s="537"/>
      <c r="BZI148" s="537"/>
      <c r="BZJ148" s="537"/>
      <c r="BZK148" s="537"/>
      <c r="BZL148" s="537"/>
      <c r="BZM148" s="537"/>
      <c r="BZN148" s="537"/>
      <c r="BZO148" s="537"/>
      <c r="BZP148" s="537"/>
      <c r="BZQ148" s="537"/>
      <c r="BZR148" s="537"/>
      <c r="BZS148" s="537"/>
      <c r="BZT148" s="537"/>
      <c r="BZU148" s="537"/>
      <c r="BZV148" s="537"/>
      <c r="BZW148" s="537"/>
      <c r="BZX148" s="537"/>
      <c r="BZY148" s="537"/>
      <c r="BZZ148" s="537"/>
      <c r="CAA148" s="537"/>
      <c r="CAB148" s="537"/>
      <c r="CAC148" s="537"/>
      <c r="CAD148" s="537"/>
      <c r="CAE148" s="537"/>
      <c r="CAF148" s="537"/>
      <c r="CAG148" s="537"/>
      <c r="CAH148" s="537"/>
      <c r="CAI148" s="537"/>
      <c r="CAJ148" s="537"/>
      <c r="CAK148" s="537"/>
      <c r="CAL148" s="537"/>
      <c r="CAM148" s="537"/>
      <c r="CAN148" s="537"/>
      <c r="CAO148" s="537"/>
      <c r="CAP148" s="537"/>
      <c r="CAQ148" s="537"/>
      <c r="CAR148" s="537"/>
      <c r="CAS148" s="537"/>
      <c r="CAT148" s="537"/>
      <c r="CAU148" s="537"/>
      <c r="CAV148" s="537"/>
      <c r="CAW148" s="537"/>
      <c r="CAX148" s="537"/>
      <c r="CAY148" s="537"/>
      <c r="CAZ148" s="537"/>
      <c r="CBA148" s="537"/>
      <c r="CBB148" s="537"/>
      <c r="CBC148" s="537"/>
      <c r="CBD148" s="537"/>
      <c r="CBE148" s="537"/>
      <c r="CBF148" s="537"/>
      <c r="CBG148" s="537"/>
      <c r="CBH148" s="537"/>
      <c r="CBI148" s="537"/>
      <c r="CBJ148" s="537"/>
      <c r="CBK148" s="537"/>
      <c r="CBL148" s="537"/>
      <c r="CBM148" s="537"/>
      <c r="CBN148" s="537"/>
      <c r="CBO148" s="537"/>
      <c r="CBP148" s="537"/>
      <c r="CBQ148" s="537"/>
      <c r="CBR148" s="537"/>
      <c r="CBS148" s="537"/>
      <c r="CBT148" s="537"/>
      <c r="CBU148" s="537"/>
      <c r="CBV148" s="537"/>
      <c r="CBW148" s="537"/>
      <c r="CBX148" s="537"/>
      <c r="CBY148" s="537"/>
      <c r="CBZ148" s="537"/>
      <c r="CCA148" s="537"/>
      <c r="CCB148" s="537"/>
      <c r="CCC148" s="537"/>
      <c r="CCD148" s="537"/>
      <c r="CCE148" s="537"/>
      <c r="CCF148" s="537"/>
      <c r="CCG148" s="537"/>
      <c r="CCH148" s="537"/>
      <c r="CCI148" s="537"/>
      <c r="CCJ148" s="537"/>
      <c r="CCK148" s="537"/>
      <c r="CCL148" s="537"/>
      <c r="CCM148" s="537"/>
      <c r="CCN148" s="537"/>
      <c r="CCO148" s="537"/>
      <c r="CCP148" s="537"/>
      <c r="CCQ148" s="537"/>
      <c r="CCR148" s="537"/>
      <c r="CCS148" s="537"/>
      <c r="CCT148" s="537"/>
      <c r="CCU148" s="537"/>
      <c r="CCV148" s="537"/>
      <c r="CCW148" s="537"/>
      <c r="CCX148" s="537"/>
      <c r="CCY148" s="537"/>
      <c r="CCZ148" s="537"/>
      <c r="CDA148" s="537"/>
      <c r="CDB148" s="537"/>
      <c r="CDC148" s="537"/>
      <c r="CDD148" s="537"/>
      <c r="CDE148" s="537"/>
      <c r="CDF148" s="537"/>
      <c r="CDG148" s="537"/>
      <c r="CDH148" s="537"/>
      <c r="CDI148" s="537"/>
      <c r="CDJ148" s="537"/>
      <c r="CDK148" s="537"/>
      <c r="CDL148" s="537"/>
      <c r="CDM148" s="537"/>
      <c r="CDN148" s="537"/>
      <c r="CDO148" s="537"/>
      <c r="CDP148" s="537"/>
      <c r="CDQ148" s="537"/>
      <c r="CDR148" s="537"/>
      <c r="CDS148" s="537"/>
      <c r="CDT148" s="537"/>
      <c r="CDU148" s="537"/>
      <c r="CDV148" s="537"/>
      <c r="CDW148" s="537"/>
      <c r="CDX148" s="537"/>
      <c r="CDY148" s="537"/>
      <c r="CDZ148" s="537"/>
      <c r="CEA148" s="537"/>
      <c r="CEB148" s="537"/>
      <c r="CEC148" s="537"/>
      <c r="CED148" s="537"/>
      <c r="CEE148" s="537"/>
      <c r="CEF148" s="537"/>
      <c r="CEG148" s="537"/>
      <c r="CEH148" s="537"/>
      <c r="CEI148" s="537"/>
      <c r="CEJ148" s="537"/>
      <c r="CEK148" s="537"/>
      <c r="CEL148" s="537"/>
      <c r="CEM148" s="537"/>
      <c r="CEN148" s="537"/>
      <c r="CEO148" s="537"/>
      <c r="CEP148" s="537"/>
      <c r="CEQ148" s="537"/>
      <c r="CER148" s="537"/>
      <c r="CES148" s="537"/>
      <c r="CET148" s="537"/>
      <c r="CEU148" s="537"/>
      <c r="CEV148" s="537"/>
      <c r="CEW148" s="537"/>
      <c r="CEX148" s="537"/>
      <c r="CEY148" s="537"/>
      <c r="CEZ148" s="537"/>
      <c r="CFA148" s="537"/>
      <c r="CFB148" s="537"/>
      <c r="CFC148" s="537"/>
      <c r="CFD148" s="537"/>
      <c r="CFE148" s="537"/>
      <c r="CFF148" s="537"/>
      <c r="CFG148" s="537"/>
      <c r="CFH148" s="537"/>
      <c r="CFI148" s="537"/>
      <c r="CFJ148" s="537"/>
      <c r="CFK148" s="537"/>
      <c r="CFL148" s="537"/>
      <c r="CFM148" s="537"/>
      <c r="CFN148" s="537"/>
      <c r="CFO148" s="537"/>
      <c r="CFP148" s="537"/>
      <c r="CFQ148" s="537"/>
      <c r="CFR148" s="537"/>
      <c r="CFS148" s="537"/>
      <c r="CFT148" s="537"/>
      <c r="CFU148" s="537"/>
      <c r="CFV148" s="537"/>
      <c r="CFW148" s="537"/>
      <c r="CFX148" s="537"/>
      <c r="CFY148" s="537"/>
      <c r="CFZ148" s="537"/>
      <c r="CGA148" s="537"/>
      <c r="CGB148" s="537"/>
      <c r="CGC148" s="537"/>
      <c r="CGD148" s="537"/>
      <c r="CGE148" s="537"/>
      <c r="CGF148" s="537"/>
      <c r="CGG148" s="537"/>
      <c r="CGH148" s="537"/>
      <c r="CGI148" s="537"/>
      <c r="CGJ148" s="537"/>
      <c r="CGK148" s="537"/>
      <c r="CGL148" s="537"/>
      <c r="CGM148" s="537"/>
      <c r="CGN148" s="537"/>
      <c r="CGO148" s="537"/>
      <c r="CGP148" s="537"/>
      <c r="CGQ148" s="537"/>
      <c r="CGR148" s="537"/>
      <c r="CGS148" s="537"/>
      <c r="CGT148" s="537"/>
      <c r="CGU148" s="537"/>
      <c r="CGV148" s="537"/>
      <c r="CGW148" s="537"/>
      <c r="CGX148" s="537"/>
      <c r="CGY148" s="537"/>
      <c r="CGZ148" s="537"/>
      <c r="CHA148" s="537"/>
      <c r="CHB148" s="537"/>
      <c r="CHC148" s="537"/>
      <c r="CHD148" s="537"/>
      <c r="CHE148" s="537"/>
      <c r="CHF148" s="537"/>
      <c r="CHG148" s="537"/>
      <c r="CHH148" s="537"/>
      <c r="CHI148" s="537"/>
      <c r="CHJ148" s="537"/>
      <c r="CHK148" s="537"/>
      <c r="CHL148" s="537"/>
      <c r="CHM148" s="537"/>
      <c r="CHN148" s="537"/>
      <c r="CHO148" s="537"/>
      <c r="CHP148" s="537"/>
      <c r="CHQ148" s="537"/>
      <c r="CHR148" s="537"/>
      <c r="CHS148" s="537"/>
      <c r="CHT148" s="537"/>
      <c r="CHU148" s="537"/>
      <c r="CHV148" s="537"/>
      <c r="CHW148" s="537"/>
      <c r="CHX148" s="537"/>
      <c r="CHY148" s="537"/>
      <c r="CHZ148" s="537"/>
      <c r="CIA148" s="537"/>
      <c r="CIB148" s="537"/>
      <c r="CIC148" s="537"/>
      <c r="CID148" s="537"/>
      <c r="CIE148" s="537"/>
      <c r="CIF148" s="537"/>
      <c r="CIG148" s="537"/>
      <c r="CIH148" s="537"/>
      <c r="CII148" s="537"/>
      <c r="CIJ148" s="537"/>
      <c r="CIK148" s="537"/>
      <c r="CIL148" s="537"/>
      <c r="CIM148" s="537"/>
      <c r="CIN148" s="537"/>
      <c r="CIO148" s="537"/>
      <c r="CIP148" s="537"/>
      <c r="CIQ148" s="537"/>
      <c r="CIR148" s="537"/>
      <c r="CIS148" s="537"/>
      <c r="CIT148" s="537"/>
      <c r="CIU148" s="537"/>
      <c r="CIV148" s="537"/>
      <c r="CIW148" s="537"/>
      <c r="CIX148" s="537"/>
      <c r="CIY148" s="537"/>
      <c r="CIZ148" s="537"/>
      <c r="CJA148" s="537"/>
      <c r="CJB148" s="537"/>
      <c r="CJC148" s="537"/>
      <c r="CJD148" s="537"/>
      <c r="CJE148" s="537"/>
      <c r="CJF148" s="537"/>
      <c r="CJG148" s="537"/>
      <c r="CJH148" s="537"/>
      <c r="CJI148" s="537"/>
      <c r="CJJ148" s="537"/>
      <c r="CJK148" s="537"/>
      <c r="CJL148" s="537"/>
      <c r="CJM148" s="537"/>
      <c r="CJN148" s="537"/>
      <c r="CJO148" s="537"/>
      <c r="CJP148" s="537"/>
      <c r="CJQ148" s="537"/>
      <c r="CJR148" s="537"/>
      <c r="CJS148" s="537"/>
      <c r="CJT148" s="537"/>
      <c r="CJU148" s="537"/>
      <c r="CJV148" s="537"/>
      <c r="CJW148" s="537"/>
      <c r="CJX148" s="537"/>
      <c r="CJY148" s="537"/>
      <c r="CJZ148" s="537"/>
      <c r="CKA148" s="537"/>
      <c r="CKB148" s="537"/>
      <c r="CKC148" s="537"/>
      <c r="CKD148" s="537"/>
      <c r="CKE148" s="537"/>
      <c r="CKF148" s="537"/>
      <c r="CKG148" s="537"/>
      <c r="CKH148" s="537"/>
      <c r="CKI148" s="537"/>
      <c r="CKJ148" s="537"/>
      <c r="CKK148" s="537"/>
      <c r="CKL148" s="537"/>
      <c r="CKM148" s="537"/>
      <c r="CKN148" s="537"/>
      <c r="CKO148" s="537"/>
      <c r="CKP148" s="537"/>
      <c r="CKQ148" s="537"/>
      <c r="CKR148" s="537"/>
      <c r="CKS148" s="537"/>
      <c r="CKT148" s="537"/>
      <c r="CKU148" s="537"/>
      <c r="CKV148" s="537"/>
      <c r="CKW148" s="537"/>
      <c r="CKX148" s="537"/>
      <c r="CKY148" s="537"/>
      <c r="CKZ148" s="537"/>
      <c r="CLA148" s="537"/>
      <c r="CLB148" s="537"/>
      <c r="CLC148" s="537"/>
      <c r="CLD148" s="537"/>
      <c r="CLE148" s="537"/>
      <c r="CLF148" s="537"/>
      <c r="CLG148" s="537"/>
      <c r="CLH148" s="537"/>
      <c r="CLI148" s="537"/>
      <c r="CLJ148" s="537"/>
      <c r="CLK148" s="537"/>
      <c r="CLL148" s="537"/>
      <c r="CLM148" s="537"/>
      <c r="CLN148" s="537"/>
      <c r="CLO148" s="537"/>
      <c r="CLP148" s="537"/>
      <c r="CLQ148" s="537"/>
      <c r="CLR148" s="537"/>
      <c r="CLS148" s="537"/>
      <c r="CLT148" s="537"/>
      <c r="CLU148" s="537"/>
      <c r="CLV148" s="537"/>
      <c r="CLW148" s="537"/>
      <c r="CLX148" s="537"/>
      <c r="CLY148" s="537"/>
      <c r="CLZ148" s="537"/>
      <c r="CMA148" s="537"/>
      <c r="CMB148" s="537"/>
      <c r="CMC148" s="537"/>
      <c r="CMD148" s="537"/>
      <c r="CME148" s="537"/>
      <c r="CMF148" s="537"/>
      <c r="CMG148" s="537"/>
      <c r="CMH148" s="537"/>
      <c r="CMI148" s="537"/>
      <c r="CMJ148" s="537"/>
      <c r="CMK148" s="537"/>
      <c r="CML148" s="537"/>
      <c r="CMM148" s="537"/>
      <c r="CMN148" s="537"/>
      <c r="CMO148" s="537"/>
      <c r="CMP148" s="537"/>
      <c r="CMQ148" s="537"/>
      <c r="CMR148" s="537"/>
      <c r="CMS148" s="537"/>
      <c r="CMT148" s="537"/>
      <c r="CMU148" s="537"/>
      <c r="CMV148" s="537"/>
      <c r="CMW148" s="537"/>
      <c r="CMX148" s="537"/>
      <c r="CMY148" s="537"/>
      <c r="CMZ148" s="537"/>
      <c r="CNA148" s="537"/>
      <c r="CNB148" s="537"/>
      <c r="CNC148" s="537"/>
      <c r="CND148" s="537"/>
      <c r="CNE148" s="537"/>
      <c r="CNF148" s="537"/>
      <c r="CNG148" s="537"/>
      <c r="CNH148" s="537"/>
      <c r="CNI148" s="537"/>
      <c r="CNJ148" s="537"/>
      <c r="CNK148" s="537"/>
      <c r="CNL148" s="537"/>
      <c r="CNM148" s="537"/>
      <c r="CNN148" s="537"/>
      <c r="CNO148" s="537"/>
      <c r="CNP148" s="537"/>
      <c r="CNQ148" s="537"/>
      <c r="CNR148" s="537"/>
      <c r="CNS148" s="537"/>
      <c r="CNT148" s="537"/>
      <c r="CNU148" s="537"/>
      <c r="CNV148" s="537"/>
      <c r="CNW148" s="537"/>
      <c r="CNX148" s="537"/>
      <c r="CNY148" s="537"/>
      <c r="CNZ148" s="537"/>
      <c r="COA148" s="537"/>
      <c r="COB148" s="537"/>
      <c r="COC148" s="537"/>
      <c r="COD148" s="537"/>
      <c r="COE148" s="537"/>
      <c r="COF148" s="537"/>
      <c r="COG148" s="537"/>
      <c r="COH148" s="537"/>
      <c r="COI148" s="537"/>
      <c r="COJ148" s="537"/>
      <c r="COK148" s="537"/>
      <c r="COL148" s="537"/>
      <c r="COM148" s="537"/>
      <c r="CON148" s="537"/>
      <c r="COO148" s="537"/>
      <c r="COP148" s="537"/>
      <c r="COQ148" s="537"/>
      <c r="COR148" s="537"/>
      <c r="COS148" s="537"/>
      <c r="COT148" s="537"/>
      <c r="COU148" s="537"/>
      <c r="COV148" s="537"/>
      <c r="COW148" s="537"/>
      <c r="COX148" s="537"/>
      <c r="COY148" s="537"/>
      <c r="COZ148" s="537"/>
      <c r="CPA148" s="537"/>
      <c r="CPB148" s="537"/>
      <c r="CPC148" s="537"/>
      <c r="CPD148" s="537"/>
      <c r="CPE148" s="537"/>
      <c r="CPF148" s="537"/>
      <c r="CPG148" s="537"/>
      <c r="CPH148" s="537"/>
      <c r="CPI148" s="537"/>
      <c r="CPJ148" s="537"/>
      <c r="CPK148" s="537"/>
      <c r="CPL148" s="537"/>
      <c r="CPM148" s="537"/>
      <c r="CPN148" s="537"/>
      <c r="CPO148" s="537"/>
      <c r="CPP148" s="537"/>
      <c r="CPQ148" s="537"/>
      <c r="CPR148" s="537"/>
      <c r="CPS148" s="537"/>
      <c r="CPT148" s="537"/>
      <c r="CPU148" s="537"/>
      <c r="CPV148" s="537"/>
      <c r="CPW148" s="537"/>
      <c r="CPX148" s="537"/>
      <c r="CPY148" s="537"/>
      <c r="CPZ148" s="537"/>
      <c r="CQA148" s="537"/>
      <c r="CQB148" s="537"/>
      <c r="CQC148" s="537"/>
      <c r="CQD148" s="537"/>
      <c r="CQE148" s="537"/>
      <c r="CQF148" s="537"/>
      <c r="CQG148" s="537"/>
      <c r="CQH148" s="537"/>
      <c r="CQI148" s="537"/>
      <c r="CQJ148" s="537"/>
      <c r="CQK148" s="537"/>
      <c r="CQL148" s="537"/>
      <c r="CQM148" s="537"/>
      <c r="CQN148" s="537"/>
      <c r="CQO148" s="537"/>
      <c r="CQP148" s="537"/>
      <c r="CQQ148" s="537"/>
      <c r="CQR148" s="537"/>
      <c r="CQS148" s="537"/>
      <c r="CQT148" s="537"/>
      <c r="CQU148" s="537"/>
      <c r="CQV148" s="537"/>
      <c r="CQW148" s="537"/>
      <c r="CQX148" s="537"/>
      <c r="CQY148" s="537"/>
      <c r="CQZ148" s="537"/>
      <c r="CRA148" s="537"/>
      <c r="CRB148" s="537"/>
      <c r="CRC148" s="537"/>
      <c r="CRD148" s="537"/>
      <c r="CRE148" s="537"/>
      <c r="CRF148" s="537"/>
      <c r="CRG148" s="537"/>
      <c r="CRH148" s="537"/>
      <c r="CRI148" s="537"/>
      <c r="CRJ148" s="537"/>
      <c r="CRK148" s="537"/>
      <c r="CRL148" s="537"/>
      <c r="CRM148" s="537"/>
      <c r="CRN148" s="537"/>
      <c r="CRO148" s="537"/>
      <c r="CRP148" s="537"/>
      <c r="CRQ148" s="537"/>
      <c r="CRR148" s="537"/>
      <c r="CRS148" s="537"/>
      <c r="CRT148" s="537"/>
      <c r="CRU148" s="537"/>
      <c r="CRV148" s="537"/>
      <c r="CRW148" s="537"/>
      <c r="CRX148" s="537"/>
      <c r="CRY148" s="537"/>
      <c r="CRZ148" s="537"/>
      <c r="CSA148" s="537"/>
      <c r="CSB148" s="537"/>
      <c r="CSC148" s="537"/>
      <c r="CSD148" s="537"/>
      <c r="CSE148" s="537"/>
      <c r="CSF148" s="537"/>
      <c r="CSG148" s="537"/>
      <c r="CSH148" s="537"/>
      <c r="CSI148" s="537"/>
      <c r="CSJ148" s="537"/>
      <c r="CSK148" s="537"/>
      <c r="CSL148" s="537"/>
      <c r="CSM148" s="537"/>
      <c r="CSN148" s="537"/>
      <c r="CSO148" s="537"/>
      <c r="CSP148" s="537"/>
      <c r="CSQ148" s="537"/>
      <c r="CSR148" s="537"/>
      <c r="CSS148" s="537"/>
      <c r="CST148" s="537"/>
      <c r="CSU148" s="537"/>
      <c r="CSV148" s="537"/>
      <c r="CSW148" s="537"/>
      <c r="CSX148" s="537"/>
      <c r="CSY148" s="537"/>
      <c r="CSZ148" s="537"/>
      <c r="CTA148" s="537"/>
      <c r="CTB148" s="537"/>
      <c r="CTC148" s="537"/>
      <c r="CTD148" s="537"/>
      <c r="CTE148" s="537"/>
      <c r="CTF148" s="537"/>
      <c r="CTG148" s="537"/>
      <c r="CTH148" s="537"/>
      <c r="CTI148" s="537"/>
      <c r="CTJ148" s="537"/>
      <c r="CTK148" s="537"/>
      <c r="CTL148" s="537"/>
      <c r="CTM148" s="537"/>
      <c r="CTN148" s="537"/>
      <c r="CTO148" s="537"/>
      <c r="CTP148" s="537"/>
      <c r="CTQ148" s="537"/>
      <c r="CTR148" s="537"/>
      <c r="CTS148" s="537"/>
      <c r="CTT148" s="537"/>
      <c r="CTU148" s="537"/>
      <c r="CTV148" s="537"/>
      <c r="CTW148" s="537"/>
      <c r="CTX148" s="537"/>
      <c r="CTY148" s="537"/>
      <c r="CTZ148" s="537"/>
      <c r="CUA148" s="537"/>
      <c r="CUB148" s="537"/>
      <c r="CUC148" s="537"/>
      <c r="CUD148" s="537"/>
      <c r="CUE148" s="537"/>
      <c r="CUF148" s="537"/>
      <c r="CUG148" s="537"/>
      <c r="CUH148" s="537"/>
      <c r="CUI148" s="537"/>
      <c r="CUJ148" s="537"/>
      <c r="CUK148" s="537"/>
      <c r="CUL148" s="537"/>
      <c r="CUM148" s="537"/>
      <c r="CUN148" s="537"/>
      <c r="CUO148" s="537"/>
      <c r="CUP148" s="537"/>
      <c r="CUQ148" s="537"/>
      <c r="CUR148" s="537"/>
      <c r="CUS148" s="537"/>
      <c r="CUT148" s="537"/>
      <c r="CUU148" s="537"/>
      <c r="CUV148" s="537"/>
      <c r="CUW148" s="537"/>
      <c r="CUX148" s="537"/>
      <c r="CUY148" s="537"/>
      <c r="CUZ148" s="537"/>
      <c r="CVA148" s="537"/>
      <c r="CVB148" s="537"/>
      <c r="CVC148" s="537"/>
      <c r="CVD148" s="537"/>
      <c r="CVE148" s="537"/>
      <c r="CVF148" s="537"/>
      <c r="CVG148" s="537"/>
      <c r="CVH148" s="537"/>
      <c r="CVI148" s="537"/>
      <c r="CVJ148" s="537"/>
      <c r="CVK148" s="537"/>
      <c r="CVL148" s="537"/>
      <c r="CVM148" s="537"/>
      <c r="CVN148" s="537"/>
      <c r="CVO148" s="537"/>
      <c r="CVP148" s="537"/>
      <c r="CVQ148" s="537"/>
      <c r="CVR148" s="537"/>
      <c r="CVS148" s="537"/>
      <c r="CVT148" s="537"/>
      <c r="CVU148" s="537"/>
      <c r="CVV148" s="537"/>
      <c r="CVW148" s="537"/>
      <c r="CVX148" s="537"/>
      <c r="CVY148" s="537"/>
      <c r="CVZ148" s="537"/>
      <c r="CWA148" s="537"/>
      <c r="CWB148" s="537"/>
      <c r="CWC148" s="537"/>
      <c r="CWD148" s="537"/>
      <c r="CWE148" s="537"/>
      <c r="CWF148" s="537"/>
      <c r="CWG148" s="537"/>
      <c r="CWH148" s="537"/>
      <c r="CWI148" s="537"/>
      <c r="CWJ148" s="537"/>
      <c r="CWK148" s="537"/>
      <c r="CWL148" s="537"/>
      <c r="CWM148" s="537"/>
      <c r="CWN148" s="537"/>
      <c r="CWO148" s="537"/>
      <c r="CWP148" s="537"/>
      <c r="CWQ148" s="537"/>
      <c r="CWR148" s="537"/>
      <c r="CWS148" s="537"/>
      <c r="CWT148" s="537"/>
      <c r="CWU148" s="537"/>
      <c r="CWV148" s="537"/>
      <c r="CWW148" s="537"/>
      <c r="CWX148" s="537"/>
      <c r="CWY148" s="537"/>
      <c r="CWZ148" s="537"/>
      <c r="CXA148" s="537"/>
      <c r="CXB148" s="537"/>
      <c r="CXC148" s="537"/>
      <c r="CXD148" s="537"/>
      <c r="CXE148" s="537"/>
      <c r="CXF148" s="537"/>
      <c r="CXG148" s="537"/>
      <c r="CXH148" s="537"/>
      <c r="CXI148" s="537"/>
      <c r="CXJ148" s="537"/>
      <c r="CXK148" s="537"/>
      <c r="CXL148" s="537"/>
      <c r="CXM148" s="537"/>
      <c r="CXN148" s="537"/>
      <c r="CXO148" s="537"/>
      <c r="CXP148" s="537"/>
      <c r="CXQ148" s="537"/>
      <c r="CXR148" s="537"/>
      <c r="CXS148" s="537"/>
      <c r="CXT148" s="537"/>
      <c r="CXU148" s="537"/>
      <c r="CXV148" s="537"/>
      <c r="CXW148" s="537"/>
      <c r="CXX148" s="537"/>
      <c r="CXY148" s="537"/>
      <c r="CXZ148" s="537"/>
      <c r="CYA148" s="537"/>
      <c r="CYB148" s="537"/>
      <c r="CYC148" s="537"/>
      <c r="CYD148" s="537"/>
      <c r="CYE148" s="537"/>
      <c r="CYF148" s="537"/>
      <c r="CYG148" s="537"/>
      <c r="CYH148" s="537"/>
      <c r="CYI148" s="537"/>
      <c r="CYJ148" s="537"/>
      <c r="CYK148" s="537"/>
      <c r="CYL148" s="537"/>
      <c r="CYM148" s="537"/>
      <c r="CYN148" s="537"/>
      <c r="CYO148" s="537"/>
      <c r="CYP148" s="537"/>
      <c r="CYQ148" s="537"/>
      <c r="CYR148" s="537"/>
      <c r="CYS148" s="537"/>
      <c r="CYT148" s="537"/>
      <c r="CYU148" s="537"/>
      <c r="CYV148" s="537"/>
      <c r="CYW148" s="537"/>
      <c r="CYX148" s="537"/>
      <c r="CYY148" s="537"/>
      <c r="CYZ148" s="537"/>
      <c r="CZA148" s="537"/>
      <c r="CZB148" s="537"/>
      <c r="CZC148" s="537"/>
      <c r="CZD148" s="537"/>
      <c r="CZE148" s="537"/>
      <c r="CZF148" s="537"/>
      <c r="CZG148" s="537"/>
      <c r="CZH148" s="537"/>
      <c r="CZI148" s="537"/>
      <c r="CZJ148" s="537"/>
      <c r="CZK148" s="537"/>
      <c r="CZL148" s="537"/>
      <c r="CZM148" s="537"/>
      <c r="CZN148" s="537"/>
      <c r="CZO148" s="537"/>
      <c r="CZP148" s="537"/>
      <c r="CZQ148" s="537"/>
      <c r="CZR148" s="537"/>
      <c r="CZS148" s="537"/>
      <c r="CZT148" s="537"/>
      <c r="CZU148" s="537"/>
      <c r="CZV148" s="537"/>
      <c r="CZW148" s="537"/>
      <c r="CZX148" s="537"/>
      <c r="CZY148" s="537"/>
      <c r="CZZ148" s="537"/>
      <c r="DAA148" s="537"/>
      <c r="DAB148" s="537"/>
      <c r="DAC148" s="537"/>
      <c r="DAD148" s="537"/>
      <c r="DAE148" s="537"/>
      <c r="DAF148" s="537"/>
      <c r="DAG148" s="537"/>
      <c r="DAH148" s="537"/>
      <c r="DAI148" s="537"/>
      <c r="DAJ148" s="537"/>
      <c r="DAK148" s="537"/>
      <c r="DAL148" s="537"/>
      <c r="DAM148" s="537"/>
      <c r="DAN148" s="537"/>
      <c r="DAO148" s="537"/>
      <c r="DAP148" s="537"/>
      <c r="DAQ148" s="537"/>
      <c r="DAR148" s="537"/>
      <c r="DAS148" s="537"/>
      <c r="DAT148" s="537"/>
      <c r="DAU148" s="537"/>
      <c r="DAV148" s="537"/>
      <c r="DAW148" s="537"/>
      <c r="DAX148" s="537"/>
      <c r="DAY148" s="537"/>
      <c r="DAZ148" s="537"/>
      <c r="DBA148" s="537"/>
      <c r="DBB148" s="537"/>
      <c r="DBC148" s="537"/>
      <c r="DBD148" s="537"/>
      <c r="DBE148" s="537"/>
      <c r="DBF148" s="537"/>
      <c r="DBG148" s="537"/>
      <c r="DBH148" s="537"/>
      <c r="DBI148" s="537"/>
      <c r="DBJ148" s="537"/>
      <c r="DBK148" s="537"/>
      <c r="DBL148" s="537"/>
      <c r="DBM148" s="537"/>
      <c r="DBN148" s="537"/>
      <c r="DBO148" s="537"/>
      <c r="DBP148" s="537"/>
      <c r="DBQ148" s="537"/>
      <c r="DBR148" s="537"/>
      <c r="DBS148" s="537"/>
      <c r="DBT148" s="537"/>
      <c r="DBU148" s="537"/>
      <c r="DBV148" s="537"/>
      <c r="DBW148" s="537"/>
      <c r="DBX148" s="537"/>
      <c r="DBY148" s="537"/>
      <c r="DBZ148" s="537"/>
      <c r="DCA148" s="537"/>
      <c r="DCB148" s="537"/>
      <c r="DCC148" s="537"/>
      <c r="DCD148" s="537"/>
      <c r="DCE148" s="537"/>
      <c r="DCF148" s="537"/>
      <c r="DCG148" s="537"/>
      <c r="DCH148" s="537"/>
      <c r="DCI148" s="537"/>
      <c r="DCJ148" s="537"/>
      <c r="DCK148" s="537"/>
      <c r="DCL148" s="537"/>
      <c r="DCM148" s="537"/>
      <c r="DCN148" s="537"/>
      <c r="DCO148" s="537"/>
      <c r="DCP148" s="537"/>
      <c r="DCQ148" s="537"/>
      <c r="DCR148" s="537"/>
      <c r="DCS148" s="537"/>
      <c r="DCT148" s="537"/>
      <c r="DCU148" s="537"/>
      <c r="DCV148" s="537"/>
      <c r="DCW148" s="537"/>
      <c r="DCX148" s="537"/>
      <c r="DCY148" s="537"/>
      <c r="DCZ148" s="537"/>
      <c r="DDA148" s="537"/>
      <c r="DDB148" s="537"/>
      <c r="DDC148" s="537"/>
      <c r="DDD148" s="537"/>
      <c r="DDE148" s="537"/>
      <c r="DDF148" s="537"/>
      <c r="DDG148" s="537"/>
      <c r="DDH148" s="537"/>
      <c r="DDI148" s="537"/>
      <c r="DDJ148" s="537"/>
      <c r="DDK148" s="537"/>
      <c r="DDL148" s="537"/>
      <c r="DDM148" s="537"/>
      <c r="DDN148" s="537"/>
      <c r="DDO148" s="537"/>
      <c r="DDP148" s="537"/>
      <c r="DDQ148" s="537"/>
      <c r="DDR148" s="537"/>
      <c r="DDS148" s="537"/>
      <c r="DDT148" s="537"/>
      <c r="DDU148" s="537"/>
      <c r="DDV148" s="537"/>
      <c r="DDW148" s="537"/>
      <c r="DDX148" s="537"/>
      <c r="DDY148" s="537"/>
      <c r="DDZ148" s="537"/>
      <c r="DEA148" s="537"/>
      <c r="DEB148" s="537"/>
      <c r="DEC148" s="537"/>
      <c r="DED148" s="537"/>
      <c r="DEE148" s="537"/>
      <c r="DEF148" s="537"/>
      <c r="DEG148" s="537"/>
      <c r="DEH148" s="537"/>
      <c r="DEI148" s="537"/>
      <c r="DEJ148" s="537"/>
      <c r="DEK148" s="537"/>
      <c r="DEL148" s="537"/>
      <c r="DEM148" s="537"/>
      <c r="DEN148" s="537"/>
      <c r="DEO148" s="537"/>
      <c r="DEP148" s="537"/>
      <c r="DEQ148" s="537"/>
      <c r="DER148" s="537"/>
      <c r="DES148" s="537"/>
      <c r="DET148" s="537"/>
      <c r="DEU148" s="537"/>
      <c r="DEV148" s="537"/>
      <c r="DEW148" s="537"/>
      <c r="DEX148" s="537"/>
      <c r="DEY148" s="537"/>
      <c r="DEZ148" s="537"/>
      <c r="DFA148" s="537"/>
      <c r="DFB148" s="537"/>
      <c r="DFC148" s="537"/>
      <c r="DFD148" s="537"/>
      <c r="DFE148" s="537"/>
      <c r="DFF148" s="537"/>
      <c r="DFG148" s="537"/>
      <c r="DFH148" s="537"/>
      <c r="DFI148" s="537"/>
      <c r="DFJ148" s="537"/>
      <c r="DFK148" s="537"/>
      <c r="DFL148" s="537"/>
      <c r="DFM148" s="537"/>
      <c r="DFN148" s="537"/>
      <c r="DFO148" s="537"/>
      <c r="DFP148" s="537"/>
      <c r="DFQ148" s="537"/>
      <c r="DFR148" s="537"/>
      <c r="DFS148" s="537"/>
      <c r="DFT148" s="537"/>
      <c r="DFU148" s="537"/>
      <c r="DFV148" s="537"/>
      <c r="DFW148" s="537"/>
      <c r="DFX148" s="537"/>
      <c r="DFY148" s="537"/>
      <c r="DFZ148" s="537"/>
      <c r="DGA148" s="537"/>
      <c r="DGB148" s="537"/>
      <c r="DGC148" s="537"/>
      <c r="DGD148" s="537"/>
      <c r="DGE148" s="537"/>
      <c r="DGF148" s="537"/>
      <c r="DGG148" s="537"/>
      <c r="DGH148" s="537"/>
      <c r="DGI148" s="537"/>
      <c r="DGJ148" s="537"/>
      <c r="DGK148" s="537"/>
      <c r="DGL148" s="537"/>
      <c r="DGM148" s="537"/>
      <c r="DGN148" s="537"/>
      <c r="DGO148" s="537"/>
      <c r="DGP148" s="537"/>
      <c r="DGQ148" s="537"/>
      <c r="DGR148" s="537"/>
      <c r="DGS148" s="537"/>
      <c r="DGT148" s="537"/>
      <c r="DGU148" s="537"/>
      <c r="DGV148" s="537"/>
      <c r="DGW148" s="537"/>
      <c r="DGX148" s="537"/>
      <c r="DGY148" s="537"/>
      <c r="DGZ148" s="537"/>
      <c r="DHA148" s="537"/>
      <c r="DHB148" s="537"/>
      <c r="DHC148" s="537"/>
      <c r="DHD148" s="537"/>
      <c r="DHE148" s="537"/>
      <c r="DHF148" s="537"/>
      <c r="DHG148" s="537"/>
      <c r="DHH148" s="537"/>
      <c r="DHI148" s="537"/>
      <c r="DHJ148" s="537"/>
      <c r="DHK148" s="537"/>
      <c r="DHL148" s="537"/>
      <c r="DHM148" s="537"/>
      <c r="DHN148" s="537"/>
      <c r="DHO148" s="537"/>
      <c r="DHP148" s="537"/>
      <c r="DHQ148" s="537"/>
      <c r="DHR148" s="537"/>
      <c r="DHS148" s="537"/>
      <c r="DHT148" s="537"/>
      <c r="DHU148" s="537"/>
      <c r="DHV148" s="537"/>
      <c r="DHW148" s="537"/>
      <c r="DHX148" s="537"/>
      <c r="DHY148" s="537"/>
      <c r="DHZ148" s="537"/>
      <c r="DIA148" s="537"/>
      <c r="DIB148" s="537"/>
      <c r="DIC148" s="537"/>
      <c r="DID148" s="537"/>
      <c r="DIE148" s="537"/>
      <c r="DIF148" s="537"/>
      <c r="DIG148" s="537"/>
      <c r="DIH148" s="537"/>
      <c r="DII148" s="537"/>
      <c r="DIJ148" s="537"/>
      <c r="DIK148" s="537"/>
      <c r="DIL148" s="537"/>
      <c r="DIM148" s="537"/>
      <c r="DIN148" s="537"/>
      <c r="DIO148" s="537"/>
      <c r="DIP148" s="537"/>
      <c r="DIQ148" s="537"/>
      <c r="DIR148" s="537"/>
      <c r="DIS148" s="537"/>
      <c r="DIT148" s="537"/>
      <c r="DIU148" s="537"/>
      <c r="DIV148" s="537"/>
      <c r="DIW148" s="537"/>
      <c r="DIX148" s="537"/>
      <c r="DIY148" s="537"/>
      <c r="DIZ148" s="537"/>
      <c r="DJA148" s="537"/>
      <c r="DJB148" s="537"/>
      <c r="DJC148" s="537"/>
      <c r="DJD148" s="537"/>
      <c r="DJE148" s="537"/>
      <c r="DJF148" s="537"/>
      <c r="DJG148" s="537"/>
      <c r="DJH148" s="537"/>
      <c r="DJI148" s="537"/>
      <c r="DJJ148" s="537"/>
      <c r="DJK148" s="537"/>
      <c r="DJL148" s="537"/>
      <c r="DJM148" s="537"/>
      <c r="DJN148" s="537"/>
      <c r="DJO148" s="537"/>
      <c r="DJP148" s="537"/>
      <c r="DJQ148" s="537"/>
      <c r="DJR148" s="537"/>
      <c r="DJS148" s="537"/>
      <c r="DJT148" s="537"/>
      <c r="DJU148" s="537"/>
      <c r="DJV148" s="537"/>
      <c r="DJW148" s="537"/>
      <c r="DJX148" s="537"/>
      <c r="DJY148" s="537"/>
      <c r="DJZ148" s="537"/>
      <c r="DKA148" s="537"/>
      <c r="DKB148" s="537"/>
      <c r="DKC148" s="537"/>
      <c r="DKD148" s="537"/>
      <c r="DKE148" s="537"/>
      <c r="DKF148" s="537"/>
      <c r="DKG148" s="537"/>
      <c r="DKH148" s="537"/>
      <c r="DKI148" s="537"/>
      <c r="DKJ148" s="537"/>
      <c r="DKK148" s="537"/>
      <c r="DKL148" s="537"/>
      <c r="DKM148" s="537"/>
      <c r="DKN148" s="537"/>
      <c r="DKO148" s="537"/>
      <c r="DKP148" s="537"/>
      <c r="DKQ148" s="537"/>
      <c r="DKR148" s="537"/>
      <c r="DKS148" s="537"/>
      <c r="DKT148" s="537"/>
      <c r="DKU148" s="537"/>
      <c r="DKV148" s="537"/>
      <c r="DKW148" s="537"/>
      <c r="DKX148" s="537"/>
      <c r="DKY148" s="537"/>
      <c r="DKZ148" s="537"/>
      <c r="DLA148" s="537"/>
      <c r="DLB148" s="537"/>
      <c r="DLC148" s="537"/>
      <c r="DLD148" s="537"/>
      <c r="DLE148" s="537"/>
      <c r="DLF148" s="537"/>
      <c r="DLG148" s="537"/>
      <c r="DLH148" s="537"/>
      <c r="DLI148" s="537"/>
      <c r="DLJ148" s="537"/>
      <c r="DLK148" s="537"/>
      <c r="DLL148" s="537"/>
      <c r="DLM148" s="537"/>
      <c r="DLN148" s="537"/>
      <c r="DLO148" s="537"/>
      <c r="DLP148" s="537"/>
      <c r="DLQ148" s="537"/>
      <c r="DLR148" s="537"/>
      <c r="DLS148" s="537"/>
      <c r="DLT148" s="537"/>
      <c r="DLU148" s="537"/>
      <c r="DLV148" s="537"/>
      <c r="DLW148" s="537"/>
      <c r="DLX148" s="537"/>
      <c r="DLY148" s="537"/>
      <c r="DLZ148" s="537"/>
      <c r="DMA148" s="537"/>
      <c r="DMB148" s="537"/>
      <c r="DMC148" s="537"/>
      <c r="DMD148" s="537"/>
      <c r="DME148" s="537"/>
      <c r="DMF148" s="537"/>
      <c r="DMG148" s="537"/>
      <c r="DMH148" s="537"/>
      <c r="DMI148" s="537"/>
      <c r="DMJ148" s="537"/>
      <c r="DMK148" s="537"/>
      <c r="DML148" s="537"/>
      <c r="DMM148" s="537"/>
      <c r="DMN148" s="537"/>
      <c r="DMO148" s="537"/>
      <c r="DMP148" s="537"/>
      <c r="DMQ148" s="537"/>
      <c r="DMR148" s="537"/>
      <c r="DMS148" s="537"/>
      <c r="DMT148" s="537"/>
      <c r="DMU148" s="537"/>
      <c r="DMV148" s="537"/>
      <c r="DMW148" s="537"/>
      <c r="DMX148" s="537"/>
      <c r="DMY148" s="537"/>
      <c r="DMZ148" s="537"/>
      <c r="DNA148" s="537"/>
      <c r="DNB148" s="537"/>
      <c r="DNC148" s="537"/>
      <c r="DND148" s="537"/>
      <c r="DNE148" s="537"/>
      <c r="DNF148" s="537"/>
      <c r="DNG148" s="537"/>
      <c r="DNH148" s="537"/>
      <c r="DNI148" s="537"/>
      <c r="DNJ148" s="537"/>
      <c r="DNK148" s="537"/>
      <c r="DNL148" s="537"/>
      <c r="DNM148" s="537"/>
      <c r="DNN148" s="537"/>
      <c r="DNO148" s="537"/>
      <c r="DNP148" s="537"/>
      <c r="DNQ148" s="537"/>
      <c r="DNR148" s="537"/>
      <c r="DNS148" s="537"/>
      <c r="DNT148" s="537"/>
      <c r="DNU148" s="537"/>
      <c r="DNV148" s="537"/>
      <c r="DNW148" s="537"/>
      <c r="DNX148" s="537"/>
      <c r="DNY148" s="537"/>
      <c r="DNZ148" s="537"/>
      <c r="DOA148" s="537"/>
      <c r="DOB148" s="537"/>
      <c r="DOC148" s="537"/>
      <c r="DOD148" s="537"/>
      <c r="DOE148" s="537"/>
      <c r="DOF148" s="537"/>
      <c r="DOG148" s="537"/>
      <c r="DOH148" s="537"/>
      <c r="DOI148" s="537"/>
      <c r="DOJ148" s="537"/>
      <c r="DOK148" s="537"/>
      <c r="DOL148" s="537"/>
      <c r="DOM148" s="537"/>
      <c r="DON148" s="537"/>
      <c r="DOO148" s="537"/>
      <c r="DOP148" s="537"/>
      <c r="DOQ148" s="537"/>
      <c r="DOR148" s="537"/>
      <c r="DOS148" s="537"/>
      <c r="DOT148" s="537"/>
      <c r="DOU148" s="537"/>
      <c r="DOV148" s="537"/>
      <c r="DOW148" s="537"/>
      <c r="DOX148" s="537"/>
      <c r="DOY148" s="537"/>
      <c r="DOZ148" s="537"/>
      <c r="DPA148" s="537"/>
      <c r="DPB148" s="537"/>
      <c r="DPC148" s="537"/>
      <c r="DPD148" s="537"/>
      <c r="DPE148" s="537"/>
      <c r="DPF148" s="537"/>
      <c r="DPG148" s="537"/>
      <c r="DPH148" s="537"/>
      <c r="DPI148" s="537"/>
      <c r="DPJ148" s="537"/>
      <c r="DPK148" s="537"/>
      <c r="DPL148" s="537"/>
      <c r="DPM148" s="537"/>
      <c r="DPN148" s="537"/>
      <c r="DPO148" s="537"/>
      <c r="DPP148" s="537"/>
      <c r="DPQ148" s="537"/>
      <c r="DPR148" s="537"/>
      <c r="DPS148" s="537"/>
      <c r="DPT148" s="537"/>
      <c r="DPU148" s="537"/>
      <c r="DPV148" s="537"/>
      <c r="DPW148" s="537"/>
      <c r="DPX148" s="537"/>
      <c r="DPY148" s="537"/>
      <c r="DPZ148" s="537"/>
      <c r="DQA148" s="537"/>
      <c r="DQB148" s="537"/>
      <c r="DQC148" s="537"/>
      <c r="DQD148" s="537"/>
      <c r="DQE148" s="537"/>
      <c r="DQF148" s="537"/>
      <c r="DQG148" s="537"/>
      <c r="DQH148" s="537"/>
      <c r="DQI148" s="537"/>
      <c r="DQJ148" s="537"/>
      <c r="DQK148" s="537"/>
      <c r="DQL148" s="537"/>
      <c r="DQM148" s="537"/>
      <c r="DQN148" s="537"/>
      <c r="DQO148" s="537"/>
      <c r="DQP148" s="537"/>
      <c r="DQQ148" s="537"/>
      <c r="DQR148" s="537"/>
      <c r="DQS148" s="537"/>
      <c r="DQT148" s="537"/>
      <c r="DQU148" s="537"/>
      <c r="DQV148" s="537"/>
      <c r="DQW148" s="537"/>
      <c r="DQX148" s="537"/>
      <c r="DQY148" s="537"/>
      <c r="DQZ148" s="537"/>
      <c r="DRA148" s="537"/>
      <c r="DRB148" s="537"/>
      <c r="DRC148" s="537"/>
      <c r="DRD148" s="537"/>
      <c r="DRE148" s="537"/>
      <c r="DRF148" s="537"/>
      <c r="DRG148" s="537"/>
      <c r="DRH148" s="537"/>
      <c r="DRI148" s="537"/>
      <c r="DRJ148" s="537"/>
      <c r="DRK148" s="537"/>
      <c r="DRL148" s="537"/>
      <c r="DRM148" s="537"/>
      <c r="DRN148" s="537"/>
      <c r="DRO148" s="537"/>
      <c r="DRP148" s="537"/>
      <c r="DRQ148" s="537"/>
      <c r="DRR148" s="537"/>
      <c r="DRS148" s="537"/>
      <c r="DRT148" s="537"/>
      <c r="DRU148" s="537"/>
      <c r="DRV148" s="537"/>
      <c r="DRW148" s="537"/>
      <c r="DRX148" s="537"/>
      <c r="DRY148" s="537"/>
      <c r="DRZ148" s="537"/>
      <c r="DSA148" s="537"/>
      <c r="DSB148" s="537"/>
      <c r="DSC148" s="537"/>
      <c r="DSD148" s="537"/>
      <c r="DSE148" s="537"/>
      <c r="DSF148" s="537"/>
      <c r="DSG148" s="537"/>
      <c r="DSH148" s="537"/>
      <c r="DSI148" s="537"/>
      <c r="DSJ148" s="537"/>
      <c r="DSK148" s="537"/>
      <c r="DSL148" s="537"/>
      <c r="DSM148" s="537"/>
      <c r="DSN148" s="537"/>
      <c r="DSO148" s="537"/>
      <c r="DSP148" s="537"/>
      <c r="DSQ148" s="537"/>
      <c r="DSR148" s="537"/>
      <c r="DSS148" s="537"/>
      <c r="DST148" s="537"/>
      <c r="DSU148" s="537"/>
      <c r="DSV148" s="537"/>
      <c r="DSW148" s="537"/>
      <c r="DSX148" s="537"/>
      <c r="DSY148" s="537"/>
      <c r="DSZ148" s="537"/>
      <c r="DTA148" s="537"/>
      <c r="DTB148" s="537"/>
      <c r="DTC148" s="537"/>
      <c r="DTD148" s="537"/>
      <c r="DTE148" s="537"/>
      <c r="DTF148" s="537"/>
      <c r="DTG148" s="537"/>
      <c r="DTH148" s="537"/>
      <c r="DTI148" s="537"/>
      <c r="DTJ148" s="537"/>
      <c r="DTK148" s="537"/>
      <c r="DTL148" s="537"/>
      <c r="DTM148" s="537"/>
      <c r="DTN148" s="537"/>
      <c r="DTO148" s="537"/>
      <c r="DTP148" s="537"/>
      <c r="DTQ148" s="537"/>
      <c r="DTR148" s="537"/>
      <c r="DTS148" s="537"/>
      <c r="DTT148" s="537"/>
      <c r="DTU148" s="537"/>
      <c r="DTV148" s="537"/>
      <c r="DTW148" s="537"/>
      <c r="DTX148" s="537"/>
      <c r="DTY148" s="537"/>
      <c r="DTZ148" s="537"/>
      <c r="DUA148" s="537"/>
      <c r="DUB148" s="537"/>
      <c r="DUC148" s="537"/>
      <c r="DUD148" s="537"/>
      <c r="DUE148" s="537"/>
      <c r="DUF148" s="537"/>
      <c r="DUG148" s="537"/>
      <c r="DUH148" s="537"/>
      <c r="DUI148" s="537"/>
      <c r="DUJ148" s="537"/>
      <c r="DUK148" s="537"/>
      <c r="DUL148" s="537"/>
      <c r="DUM148" s="537"/>
      <c r="DUN148" s="537"/>
      <c r="DUO148" s="537"/>
      <c r="DUP148" s="537"/>
      <c r="DUQ148" s="537"/>
      <c r="DUR148" s="537"/>
      <c r="DUS148" s="537"/>
      <c r="DUT148" s="537"/>
      <c r="DUU148" s="537"/>
      <c r="DUV148" s="537"/>
      <c r="DUW148" s="537"/>
      <c r="DUX148" s="537"/>
      <c r="DUY148" s="537"/>
      <c r="DUZ148" s="537"/>
      <c r="DVA148" s="537"/>
      <c r="DVB148" s="537"/>
      <c r="DVC148" s="537"/>
      <c r="DVD148" s="537"/>
      <c r="DVE148" s="537"/>
      <c r="DVF148" s="537"/>
      <c r="DVG148" s="537"/>
      <c r="DVH148" s="537"/>
      <c r="DVI148" s="537"/>
      <c r="DVJ148" s="537"/>
      <c r="DVK148" s="537"/>
      <c r="DVL148" s="537"/>
      <c r="DVM148" s="537"/>
      <c r="DVN148" s="537"/>
      <c r="DVO148" s="537"/>
      <c r="DVP148" s="537"/>
      <c r="DVQ148" s="537"/>
      <c r="DVR148" s="537"/>
      <c r="DVS148" s="537"/>
      <c r="DVT148" s="537"/>
      <c r="DVU148" s="537"/>
      <c r="DVV148" s="537"/>
      <c r="DVW148" s="537"/>
      <c r="DVX148" s="537"/>
      <c r="DVY148" s="537"/>
      <c r="DVZ148" s="537"/>
      <c r="DWA148" s="537"/>
      <c r="DWB148" s="537"/>
      <c r="DWC148" s="537"/>
      <c r="DWD148" s="537"/>
      <c r="DWE148" s="537"/>
      <c r="DWF148" s="537"/>
      <c r="DWG148" s="537"/>
      <c r="DWH148" s="537"/>
      <c r="DWI148" s="537"/>
      <c r="DWJ148" s="537"/>
      <c r="DWK148" s="537"/>
      <c r="DWL148" s="537"/>
      <c r="DWM148" s="537"/>
      <c r="DWN148" s="537"/>
      <c r="DWO148" s="537"/>
      <c r="DWP148" s="537"/>
      <c r="DWQ148" s="537"/>
      <c r="DWR148" s="537"/>
      <c r="DWS148" s="537"/>
      <c r="DWT148" s="537"/>
      <c r="DWU148" s="537"/>
      <c r="DWV148" s="537"/>
      <c r="DWW148" s="537"/>
      <c r="DWX148" s="537"/>
      <c r="DWY148" s="537"/>
      <c r="DWZ148" s="537"/>
      <c r="DXA148" s="537"/>
      <c r="DXB148" s="537"/>
      <c r="DXC148" s="537"/>
      <c r="DXD148" s="537"/>
      <c r="DXE148" s="537"/>
      <c r="DXF148" s="537"/>
      <c r="DXG148" s="537"/>
      <c r="DXH148" s="537"/>
      <c r="DXI148" s="537"/>
      <c r="DXJ148" s="537"/>
      <c r="DXK148" s="537"/>
      <c r="DXL148" s="537"/>
      <c r="DXM148" s="537"/>
      <c r="DXN148" s="537"/>
      <c r="DXO148" s="537"/>
      <c r="DXP148" s="537"/>
      <c r="DXQ148" s="537"/>
      <c r="DXR148" s="537"/>
      <c r="DXS148" s="537"/>
      <c r="DXT148" s="537"/>
      <c r="DXU148" s="537"/>
      <c r="DXV148" s="537"/>
      <c r="DXW148" s="537"/>
      <c r="DXX148" s="537"/>
      <c r="DXY148" s="537"/>
      <c r="DXZ148" s="537"/>
      <c r="DYA148" s="537"/>
      <c r="DYB148" s="537"/>
      <c r="DYC148" s="537"/>
      <c r="DYD148" s="537"/>
      <c r="DYE148" s="537"/>
      <c r="DYF148" s="537"/>
      <c r="DYG148" s="537"/>
      <c r="DYH148" s="537"/>
      <c r="DYI148" s="537"/>
      <c r="DYJ148" s="537"/>
      <c r="DYK148" s="537"/>
      <c r="DYL148" s="537"/>
      <c r="DYM148" s="537"/>
      <c r="DYN148" s="537"/>
      <c r="DYO148" s="537"/>
      <c r="DYP148" s="537"/>
      <c r="DYQ148" s="537"/>
      <c r="DYR148" s="537"/>
      <c r="DYS148" s="537"/>
      <c r="DYT148" s="537"/>
      <c r="DYU148" s="537"/>
      <c r="DYV148" s="537"/>
      <c r="DYW148" s="537"/>
      <c r="DYX148" s="537"/>
      <c r="DYY148" s="537"/>
      <c r="DYZ148" s="537"/>
      <c r="DZA148" s="537"/>
      <c r="DZB148" s="537"/>
      <c r="DZC148" s="537"/>
      <c r="DZD148" s="537"/>
      <c r="DZE148" s="537"/>
      <c r="DZF148" s="537"/>
      <c r="DZG148" s="537"/>
      <c r="DZH148" s="537"/>
      <c r="DZI148" s="537"/>
      <c r="DZJ148" s="537"/>
      <c r="DZK148" s="537"/>
      <c r="DZL148" s="537"/>
      <c r="DZM148" s="537"/>
      <c r="DZN148" s="537"/>
      <c r="DZO148" s="537"/>
      <c r="DZP148" s="537"/>
      <c r="DZQ148" s="537"/>
      <c r="DZR148" s="537"/>
      <c r="DZS148" s="537"/>
      <c r="DZT148" s="537"/>
      <c r="DZU148" s="537"/>
      <c r="DZV148" s="537"/>
      <c r="DZW148" s="537"/>
      <c r="DZX148" s="537"/>
      <c r="DZY148" s="537"/>
      <c r="DZZ148" s="537"/>
      <c r="EAA148" s="537"/>
      <c r="EAB148" s="537"/>
      <c r="EAC148" s="537"/>
      <c r="EAD148" s="537"/>
      <c r="EAE148" s="537"/>
      <c r="EAF148" s="537"/>
      <c r="EAG148" s="537"/>
      <c r="EAH148" s="537"/>
      <c r="EAI148" s="537"/>
      <c r="EAJ148" s="537"/>
      <c r="EAK148" s="537"/>
      <c r="EAL148" s="537"/>
      <c r="EAM148" s="537"/>
      <c r="EAN148" s="537"/>
      <c r="EAO148" s="537"/>
      <c r="EAP148" s="537"/>
      <c r="EAQ148" s="537"/>
      <c r="EAR148" s="537"/>
      <c r="EAS148" s="537"/>
      <c r="EAT148" s="537"/>
      <c r="EAU148" s="537"/>
      <c r="EAV148" s="537"/>
      <c r="EAW148" s="537"/>
      <c r="EAX148" s="537"/>
      <c r="EAY148" s="537"/>
      <c r="EAZ148" s="537"/>
      <c r="EBA148" s="537"/>
      <c r="EBB148" s="537"/>
      <c r="EBC148" s="537"/>
      <c r="EBD148" s="537"/>
      <c r="EBE148" s="537"/>
      <c r="EBF148" s="537"/>
      <c r="EBG148" s="537"/>
      <c r="EBH148" s="537"/>
      <c r="EBI148" s="537"/>
      <c r="EBJ148" s="537"/>
      <c r="EBK148" s="537"/>
      <c r="EBL148" s="537"/>
      <c r="EBM148" s="537"/>
      <c r="EBN148" s="537"/>
      <c r="EBO148" s="537"/>
      <c r="EBP148" s="537"/>
      <c r="EBQ148" s="537"/>
      <c r="EBR148" s="537"/>
      <c r="EBS148" s="537"/>
      <c r="EBT148" s="537"/>
      <c r="EBU148" s="537"/>
      <c r="EBV148" s="537"/>
      <c r="EBW148" s="537"/>
      <c r="EBX148" s="537"/>
      <c r="EBY148" s="537"/>
      <c r="EBZ148" s="537"/>
      <c r="ECA148" s="537"/>
      <c r="ECB148" s="537"/>
      <c r="ECC148" s="537"/>
      <c r="ECD148" s="537"/>
      <c r="ECE148" s="537"/>
      <c r="ECF148" s="537"/>
      <c r="ECG148" s="537"/>
      <c r="ECH148" s="537"/>
      <c r="ECI148" s="537"/>
      <c r="ECJ148" s="537"/>
      <c r="ECK148" s="537"/>
      <c r="ECL148" s="537"/>
      <c r="ECM148" s="537"/>
      <c r="ECN148" s="537"/>
      <c r="ECO148" s="537"/>
      <c r="ECP148" s="537"/>
      <c r="ECQ148" s="537"/>
      <c r="ECR148" s="537"/>
      <c r="ECS148" s="537"/>
      <c r="ECT148" s="537"/>
      <c r="ECU148" s="537"/>
      <c r="ECV148" s="537"/>
      <c r="ECW148" s="537"/>
      <c r="ECX148" s="537"/>
      <c r="ECY148" s="537"/>
      <c r="ECZ148" s="537"/>
      <c r="EDA148" s="537"/>
      <c r="EDB148" s="537"/>
      <c r="EDC148" s="537"/>
      <c r="EDD148" s="537"/>
      <c r="EDE148" s="537"/>
      <c r="EDF148" s="537"/>
      <c r="EDG148" s="537"/>
      <c r="EDH148" s="537"/>
      <c r="EDI148" s="537"/>
      <c r="EDJ148" s="537"/>
      <c r="EDK148" s="537"/>
      <c r="EDL148" s="537"/>
      <c r="EDM148" s="537"/>
      <c r="EDN148" s="537"/>
      <c r="EDO148" s="537"/>
      <c r="EDP148" s="537"/>
      <c r="EDQ148" s="537"/>
      <c r="EDR148" s="537"/>
      <c r="EDS148" s="537"/>
      <c r="EDT148" s="537"/>
      <c r="EDU148" s="537"/>
      <c r="EDV148" s="537"/>
      <c r="EDW148" s="537"/>
      <c r="EDX148" s="537"/>
      <c r="EDY148" s="537"/>
      <c r="EDZ148" s="537"/>
      <c r="EEA148" s="537"/>
      <c r="EEB148" s="537"/>
      <c r="EEC148" s="537"/>
      <c r="EED148" s="537"/>
      <c r="EEE148" s="537"/>
      <c r="EEF148" s="537"/>
      <c r="EEG148" s="537"/>
      <c r="EEH148" s="537"/>
      <c r="EEI148" s="537"/>
      <c r="EEJ148" s="537"/>
      <c r="EEK148" s="537"/>
      <c r="EEL148" s="537"/>
      <c r="EEM148" s="537"/>
      <c r="EEN148" s="537"/>
      <c r="EEO148" s="537"/>
      <c r="EEP148" s="537"/>
      <c r="EEQ148" s="537"/>
      <c r="EER148" s="537"/>
      <c r="EES148" s="537"/>
      <c r="EET148" s="537"/>
      <c r="EEU148" s="537"/>
      <c r="EEV148" s="537"/>
      <c r="EEW148" s="537"/>
      <c r="EEX148" s="537"/>
      <c r="EEY148" s="537"/>
      <c r="EEZ148" s="537"/>
      <c r="EFA148" s="537"/>
      <c r="EFB148" s="537"/>
      <c r="EFC148" s="537"/>
      <c r="EFD148" s="537"/>
      <c r="EFE148" s="537"/>
      <c r="EFF148" s="537"/>
      <c r="EFG148" s="537"/>
      <c r="EFH148" s="537"/>
      <c r="EFI148" s="537"/>
      <c r="EFJ148" s="537"/>
      <c r="EFK148" s="537"/>
      <c r="EFL148" s="537"/>
      <c r="EFM148" s="537"/>
      <c r="EFN148" s="537"/>
      <c r="EFO148" s="537"/>
      <c r="EFP148" s="537"/>
      <c r="EFQ148" s="537"/>
      <c r="EFR148" s="537"/>
      <c r="EFS148" s="537"/>
      <c r="EFT148" s="537"/>
      <c r="EFU148" s="537"/>
      <c r="EFV148" s="537"/>
      <c r="EFW148" s="537"/>
      <c r="EFX148" s="537"/>
      <c r="EFY148" s="537"/>
      <c r="EFZ148" s="537"/>
      <c r="EGA148" s="537"/>
      <c r="EGB148" s="537"/>
      <c r="EGC148" s="537"/>
      <c r="EGD148" s="537"/>
      <c r="EGE148" s="537"/>
      <c r="EGF148" s="537"/>
      <c r="EGG148" s="537"/>
      <c r="EGH148" s="537"/>
      <c r="EGI148" s="537"/>
      <c r="EGJ148" s="537"/>
      <c r="EGK148" s="537"/>
      <c r="EGL148" s="537"/>
      <c r="EGM148" s="537"/>
      <c r="EGN148" s="537"/>
      <c r="EGO148" s="537"/>
      <c r="EGP148" s="537"/>
      <c r="EGQ148" s="537"/>
      <c r="EGR148" s="537"/>
      <c r="EGS148" s="537"/>
      <c r="EGT148" s="537"/>
      <c r="EGU148" s="537"/>
      <c r="EGV148" s="537"/>
      <c r="EGW148" s="537"/>
      <c r="EGX148" s="537"/>
      <c r="EGY148" s="537"/>
      <c r="EGZ148" s="537"/>
      <c r="EHA148" s="537"/>
      <c r="EHB148" s="537"/>
      <c r="EHC148" s="537"/>
      <c r="EHD148" s="537"/>
      <c r="EHE148" s="537"/>
      <c r="EHF148" s="537"/>
      <c r="EHG148" s="537"/>
      <c r="EHH148" s="537"/>
      <c r="EHI148" s="537"/>
      <c r="EHJ148" s="537"/>
      <c r="EHK148" s="537"/>
      <c r="EHL148" s="537"/>
      <c r="EHM148" s="537"/>
      <c r="EHN148" s="537"/>
      <c r="EHO148" s="537"/>
      <c r="EHP148" s="537"/>
      <c r="EHQ148" s="537"/>
      <c r="EHR148" s="537"/>
      <c r="EHS148" s="537"/>
      <c r="EHT148" s="537"/>
      <c r="EHU148" s="537"/>
      <c r="EHV148" s="537"/>
      <c r="EHW148" s="537"/>
      <c r="EHX148" s="537"/>
      <c r="EHY148" s="537"/>
      <c r="EHZ148" s="537"/>
      <c r="EIA148" s="537"/>
      <c r="EIB148" s="537"/>
      <c r="EIC148" s="537"/>
      <c r="EID148" s="537"/>
      <c r="EIE148" s="537"/>
      <c r="EIF148" s="537"/>
      <c r="EIG148" s="537"/>
      <c r="EIH148" s="537"/>
      <c r="EII148" s="537"/>
      <c r="EIJ148" s="537"/>
      <c r="EIK148" s="537"/>
      <c r="EIL148" s="537"/>
      <c r="EIM148" s="537"/>
      <c r="EIN148" s="537"/>
      <c r="EIO148" s="537"/>
      <c r="EIP148" s="537"/>
      <c r="EIQ148" s="537"/>
      <c r="EIR148" s="537"/>
      <c r="EIS148" s="537"/>
      <c r="EIT148" s="537"/>
      <c r="EIU148" s="537"/>
      <c r="EIV148" s="537"/>
      <c r="EIW148" s="537"/>
      <c r="EIX148" s="537"/>
      <c r="EIY148" s="537"/>
      <c r="EIZ148" s="537"/>
      <c r="EJA148" s="537"/>
      <c r="EJB148" s="537"/>
      <c r="EJC148" s="537"/>
      <c r="EJD148" s="537"/>
      <c r="EJE148" s="537"/>
      <c r="EJF148" s="537"/>
      <c r="EJG148" s="537"/>
      <c r="EJH148" s="537"/>
      <c r="EJI148" s="537"/>
      <c r="EJJ148" s="537"/>
      <c r="EJK148" s="537"/>
      <c r="EJL148" s="537"/>
      <c r="EJM148" s="537"/>
      <c r="EJN148" s="537"/>
      <c r="EJO148" s="537"/>
      <c r="EJP148" s="537"/>
      <c r="EJQ148" s="537"/>
      <c r="EJR148" s="537"/>
      <c r="EJS148" s="537"/>
      <c r="EJT148" s="537"/>
      <c r="EJU148" s="537"/>
      <c r="EJV148" s="537"/>
      <c r="EJW148" s="537"/>
      <c r="EJX148" s="537"/>
      <c r="EJY148" s="537"/>
      <c r="EJZ148" s="537"/>
      <c r="EKA148" s="537"/>
      <c r="EKB148" s="537"/>
      <c r="EKC148" s="537"/>
      <c r="EKD148" s="537"/>
      <c r="EKE148" s="537"/>
      <c r="EKF148" s="537"/>
      <c r="EKG148" s="537"/>
      <c r="EKH148" s="537"/>
      <c r="EKI148" s="537"/>
      <c r="EKJ148" s="537"/>
      <c r="EKK148" s="537"/>
      <c r="EKL148" s="537"/>
      <c r="EKM148" s="537"/>
      <c r="EKN148" s="537"/>
      <c r="EKO148" s="537"/>
      <c r="EKP148" s="537"/>
      <c r="EKQ148" s="537"/>
      <c r="EKR148" s="537"/>
      <c r="EKS148" s="537"/>
      <c r="EKT148" s="537"/>
      <c r="EKU148" s="537"/>
      <c r="EKV148" s="537"/>
      <c r="EKW148" s="537"/>
      <c r="EKX148" s="537"/>
      <c r="EKY148" s="537"/>
      <c r="EKZ148" s="537"/>
      <c r="ELA148" s="537"/>
      <c r="ELB148" s="537"/>
      <c r="ELC148" s="537"/>
      <c r="ELD148" s="537"/>
      <c r="ELE148" s="537"/>
      <c r="ELF148" s="537"/>
      <c r="ELG148" s="537"/>
      <c r="ELH148" s="537"/>
      <c r="ELI148" s="537"/>
      <c r="ELJ148" s="537"/>
      <c r="ELK148" s="537"/>
      <c r="ELL148" s="537"/>
      <c r="ELM148" s="537"/>
      <c r="ELN148" s="537"/>
      <c r="ELO148" s="537"/>
      <c r="ELP148" s="537"/>
      <c r="ELQ148" s="537"/>
      <c r="ELR148" s="537"/>
      <c r="ELS148" s="537"/>
      <c r="ELT148" s="537"/>
      <c r="ELU148" s="537"/>
      <c r="ELV148" s="537"/>
      <c r="ELW148" s="537"/>
      <c r="ELX148" s="537"/>
      <c r="ELY148" s="537"/>
      <c r="ELZ148" s="537"/>
      <c r="EMA148" s="537"/>
      <c r="EMB148" s="537"/>
      <c r="EMC148" s="537"/>
      <c r="EMD148" s="537"/>
      <c r="EME148" s="537"/>
      <c r="EMF148" s="537"/>
      <c r="EMG148" s="537"/>
      <c r="EMH148" s="537"/>
      <c r="EMI148" s="537"/>
      <c r="EMJ148" s="537"/>
      <c r="EMK148" s="537"/>
      <c r="EML148" s="537"/>
      <c r="EMM148" s="537"/>
      <c r="EMN148" s="537"/>
      <c r="EMO148" s="537"/>
      <c r="EMP148" s="537"/>
      <c r="EMQ148" s="537"/>
      <c r="EMR148" s="537"/>
      <c r="EMS148" s="537"/>
      <c r="EMT148" s="537"/>
      <c r="EMU148" s="537"/>
      <c r="EMV148" s="537"/>
      <c r="EMW148" s="537"/>
      <c r="EMX148" s="537"/>
      <c r="EMY148" s="537"/>
      <c r="EMZ148" s="537"/>
      <c r="ENA148" s="537"/>
      <c r="ENB148" s="537"/>
      <c r="ENC148" s="537"/>
      <c r="END148" s="537"/>
      <c r="ENE148" s="537"/>
      <c r="ENF148" s="537"/>
      <c r="ENG148" s="537"/>
      <c r="ENH148" s="537"/>
      <c r="ENI148" s="537"/>
      <c r="ENJ148" s="537"/>
      <c r="ENK148" s="537"/>
      <c r="ENL148" s="537"/>
      <c r="ENM148" s="537"/>
      <c r="ENN148" s="537"/>
      <c r="ENO148" s="537"/>
      <c r="ENP148" s="537"/>
      <c r="ENQ148" s="537"/>
      <c r="ENR148" s="537"/>
      <c r="ENS148" s="537"/>
      <c r="ENT148" s="537"/>
      <c r="ENU148" s="537"/>
      <c r="ENV148" s="537"/>
      <c r="ENW148" s="537"/>
      <c r="ENX148" s="537"/>
      <c r="ENY148" s="537"/>
      <c r="ENZ148" s="537"/>
      <c r="EOA148" s="537"/>
      <c r="EOB148" s="537"/>
      <c r="EOC148" s="537"/>
      <c r="EOD148" s="537"/>
      <c r="EOE148" s="537"/>
      <c r="EOF148" s="537"/>
      <c r="EOG148" s="537"/>
      <c r="EOH148" s="537"/>
      <c r="EOI148" s="537"/>
      <c r="EOJ148" s="537"/>
      <c r="EOK148" s="537"/>
      <c r="EOL148" s="537"/>
      <c r="EOM148" s="537"/>
      <c r="EON148" s="537"/>
      <c r="EOO148" s="537"/>
      <c r="EOP148" s="537"/>
      <c r="EOQ148" s="537"/>
      <c r="EOR148" s="537"/>
      <c r="EOS148" s="537"/>
      <c r="EOT148" s="537"/>
      <c r="EOU148" s="537"/>
      <c r="EOV148" s="537"/>
      <c r="EOW148" s="537"/>
      <c r="EOX148" s="537"/>
      <c r="EOY148" s="537"/>
      <c r="EOZ148" s="537"/>
      <c r="EPA148" s="537"/>
      <c r="EPB148" s="537"/>
      <c r="EPC148" s="537"/>
      <c r="EPD148" s="537"/>
      <c r="EPE148" s="537"/>
      <c r="EPF148" s="537"/>
      <c r="EPG148" s="537"/>
      <c r="EPH148" s="537"/>
      <c r="EPI148" s="537"/>
      <c r="EPJ148" s="537"/>
      <c r="EPK148" s="537"/>
      <c r="EPL148" s="537"/>
      <c r="EPM148" s="537"/>
      <c r="EPN148" s="537"/>
      <c r="EPO148" s="537"/>
      <c r="EPP148" s="537"/>
      <c r="EPQ148" s="537"/>
      <c r="EPR148" s="537"/>
      <c r="EPS148" s="537"/>
      <c r="EPT148" s="537"/>
      <c r="EPU148" s="537"/>
      <c r="EPV148" s="537"/>
      <c r="EPW148" s="537"/>
      <c r="EPX148" s="537"/>
      <c r="EPY148" s="537"/>
      <c r="EPZ148" s="537"/>
      <c r="EQA148" s="537"/>
      <c r="EQB148" s="537"/>
      <c r="EQC148" s="537"/>
      <c r="EQD148" s="537"/>
      <c r="EQE148" s="537"/>
      <c r="EQF148" s="537"/>
      <c r="EQG148" s="537"/>
      <c r="EQH148" s="537"/>
      <c r="EQI148" s="537"/>
      <c r="EQJ148" s="537"/>
      <c r="EQK148" s="537"/>
      <c r="EQL148" s="537"/>
      <c r="EQM148" s="537"/>
      <c r="EQN148" s="537"/>
      <c r="EQO148" s="537"/>
      <c r="EQP148" s="537"/>
      <c r="EQQ148" s="537"/>
      <c r="EQR148" s="537"/>
      <c r="EQS148" s="537"/>
      <c r="EQT148" s="537"/>
      <c r="EQU148" s="537"/>
      <c r="EQV148" s="537"/>
      <c r="EQW148" s="537"/>
      <c r="EQX148" s="537"/>
      <c r="EQY148" s="537"/>
      <c r="EQZ148" s="537"/>
      <c r="ERA148" s="537"/>
      <c r="ERB148" s="537"/>
      <c r="ERC148" s="537"/>
      <c r="ERD148" s="537"/>
      <c r="ERE148" s="537"/>
      <c r="ERF148" s="537"/>
      <c r="ERG148" s="537"/>
      <c r="ERH148" s="537"/>
      <c r="ERI148" s="537"/>
      <c r="ERJ148" s="537"/>
      <c r="ERK148" s="537"/>
      <c r="ERL148" s="537"/>
      <c r="ERM148" s="537"/>
      <c r="ERN148" s="537"/>
      <c r="ERO148" s="537"/>
      <c r="ERP148" s="537"/>
      <c r="ERQ148" s="537"/>
      <c r="ERR148" s="537"/>
      <c r="ERS148" s="537"/>
      <c r="ERT148" s="537"/>
      <c r="ERU148" s="537"/>
      <c r="ERV148" s="537"/>
      <c r="ERW148" s="537"/>
      <c r="ERX148" s="537"/>
      <c r="ERY148" s="537"/>
      <c r="ERZ148" s="537"/>
      <c r="ESA148" s="537"/>
      <c r="ESB148" s="537"/>
      <c r="ESC148" s="537"/>
      <c r="ESD148" s="537"/>
      <c r="ESE148" s="537"/>
      <c r="ESF148" s="537"/>
      <c r="ESG148" s="537"/>
      <c r="ESH148" s="537"/>
      <c r="ESI148" s="537"/>
      <c r="ESJ148" s="537"/>
      <c r="ESK148" s="537"/>
      <c r="ESL148" s="537"/>
      <c r="ESM148" s="537"/>
      <c r="ESN148" s="537"/>
      <c r="ESO148" s="537"/>
      <c r="ESP148" s="537"/>
      <c r="ESQ148" s="537"/>
      <c r="ESR148" s="537"/>
      <c r="ESS148" s="537"/>
      <c r="EST148" s="537"/>
      <c r="ESU148" s="537"/>
      <c r="ESV148" s="537"/>
      <c r="ESW148" s="537"/>
      <c r="ESX148" s="537"/>
      <c r="ESY148" s="537"/>
      <c r="ESZ148" s="537"/>
      <c r="ETA148" s="537"/>
      <c r="ETB148" s="537"/>
      <c r="ETC148" s="537"/>
      <c r="ETD148" s="537"/>
      <c r="ETE148" s="537"/>
      <c r="ETF148" s="537"/>
      <c r="ETG148" s="537"/>
      <c r="ETH148" s="537"/>
      <c r="ETI148" s="537"/>
      <c r="ETJ148" s="537"/>
      <c r="ETK148" s="537"/>
      <c r="ETL148" s="537"/>
      <c r="ETM148" s="537"/>
      <c r="ETN148" s="537"/>
      <c r="ETO148" s="537"/>
      <c r="ETP148" s="537"/>
      <c r="ETQ148" s="537"/>
      <c r="ETR148" s="537"/>
      <c r="ETS148" s="537"/>
      <c r="ETT148" s="537"/>
      <c r="ETU148" s="537"/>
      <c r="ETV148" s="537"/>
      <c r="ETW148" s="537"/>
      <c r="ETX148" s="537"/>
      <c r="ETY148" s="537"/>
      <c r="ETZ148" s="537"/>
      <c r="EUA148" s="537"/>
      <c r="EUB148" s="537"/>
      <c r="EUC148" s="537"/>
      <c r="EUD148" s="537"/>
      <c r="EUE148" s="537"/>
      <c r="EUF148" s="537"/>
      <c r="EUG148" s="537"/>
      <c r="EUH148" s="537"/>
      <c r="EUI148" s="537"/>
      <c r="EUJ148" s="537"/>
      <c r="EUK148" s="537"/>
      <c r="EUL148" s="537"/>
      <c r="EUM148" s="537"/>
      <c r="EUN148" s="537"/>
      <c r="EUO148" s="537"/>
      <c r="EUP148" s="537"/>
      <c r="EUQ148" s="537"/>
      <c r="EUR148" s="537"/>
      <c r="EUS148" s="537"/>
      <c r="EUT148" s="537"/>
      <c r="EUU148" s="537"/>
      <c r="EUV148" s="537"/>
      <c r="EUW148" s="537"/>
      <c r="EUX148" s="537"/>
      <c r="EUY148" s="537"/>
      <c r="EUZ148" s="537"/>
      <c r="EVA148" s="537"/>
      <c r="EVB148" s="537"/>
      <c r="EVC148" s="537"/>
      <c r="EVD148" s="537"/>
      <c r="EVE148" s="537"/>
      <c r="EVF148" s="537"/>
      <c r="EVG148" s="537"/>
      <c r="EVH148" s="537"/>
      <c r="EVI148" s="537"/>
      <c r="EVJ148" s="537"/>
      <c r="EVK148" s="537"/>
      <c r="EVL148" s="537"/>
      <c r="EVM148" s="537"/>
      <c r="EVN148" s="537"/>
      <c r="EVO148" s="537"/>
      <c r="EVP148" s="537"/>
      <c r="EVQ148" s="537"/>
      <c r="EVR148" s="537"/>
      <c r="EVS148" s="537"/>
      <c r="EVT148" s="537"/>
      <c r="EVU148" s="537"/>
      <c r="EVV148" s="537"/>
      <c r="EVW148" s="537"/>
      <c r="EVX148" s="537"/>
      <c r="EVY148" s="537"/>
      <c r="EVZ148" s="537"/>
      <c r="EWA148" s="537"/>
      <c r="EWB148" s="537"/>
      <c r="EWC148" s="537"/>
      <c r="EWD148" s="537"/>
      <c r="EWE148" s="537"/>
      <c r="EWF148" s="537"/>
      <c r="EWG148" s="537"/>
      <c r="EWH148" s="537"/>
      <c r="EWI148" s="537"/>
      <c r="EWJ148" s="537"/>
      <c r="EWK148" s="537"/>
      <c r="EWL148" s="537"/>
      <c r="EWM148" s="537"/>
      <c r="EWN148" s="537"/>
      <c r="EWO148" s="537"/>
      <c r="EWP148" s="537"/>
      <c r="EWQ148" s="537"/>
      <c r="EWR148" s="537"/>
      <c r="EWS148" s="537"/>
      <c r="EWT148" s="537"/>
      <c r="EWU148" s="537"/>
      <c r="EWV148" s="537"/>
      <c r="EWW148" s="537"/>
      <c r="EWX148" s="537"/>
      <c r="EWY148" s="537"/>
      <c r="EWZ148" s="537"/>
      <c r="EXA148" s="537"/>
      <c r="EXB148" s="537"/>
      <c r="EXC148" s="537"/>
      <c r="EXD148" s="537"/>
      <c r="EXE148" s="537"/>
      <c r="EXF148" s="537"/>
      <c r="EXG148" s="537"/>
      <c r="EXH148" s="537"/>
      <c r="EXI148" s="537"/>
      <c r="EXJ148" s="537"/>
      <c r="EXK148" s="537"/>
      <c r="EXL148" s="537"/>
      <c r="EXM148" s="537"/>
      <c r="EXN148" s="537"/>
      <c r="EXO148" s="537"/>
      <c r="EXP148" s="537"/>
      <c r="EXQ148" s="537"/>
      <c r="EXR148" s="537"/>
      <c r="EXS148" s="537"/>
      <c r="EXT148" s="537"/>
      <c r="EXU148" s="537"/>
      <c r="EXV148" s="537"/>
      <c r="EXW148" s="537"/>
      <c r="EXX148" s="537"/>
      <c r="EXY148" s="537"/>
      <c r="EXZ148" s="537"/>
      <c r="EYA148" s="537"/>
      <c r="EYB148" s="537"/>
      <c r="EYC148" s="537"/>
      <c r="EYD148" s="537"/>
      <c r="EYE148" s="537"/>
      <c r="EYF148" s="537"/>
      <c r="EYG148" s="537"/>
      <c r="EYH148" s="537"/>
      <c r="EYI148" s="537"/>
      <c r="EYJ148" s="537"/>
      <c r="EYK148" s="537"/>
      <c r="EYL148" s="537"/>
      <c r="EYM148" s="537"/>
      <c r="EYN148" s="537"/>
      <c r="EYO148" s="537"/>
      <c r="EYP148" s="537"/>
      <c r="EYQ148" s="537"/>
      <c r="EYR148" s="537"/>
      <c r="EYS148" s="537"/>
      <c r="EYT148" s="537"/>
      <c r="EYU148" s="537"/>
      <c r="EYV148" s="537"/>
      <c r="EYW148" s="537"/>
      <c r="EYX148" s="537"/>
      <c r="EYY148" s="537"/>
      <c r="EYZ148" s="537"/>
      <c r="EZA148" s="537"/>
      <c r="EZB148" s="537"/>
      <c r="EZC148" s="537"/>
      <c r="EZD148" s="537"/>
      <c r="EZE148" s="537"/>
      <c r="EZF148" s="537"/>
      <c r="EZG148" s="537"/>
      <c r="EZH148" s="537"/>
      <c r="EZI148" s="537"/>
      <c r="EZJ148" s="537"/>
      <c r="EZK148" s="537"/>
      <c r="EZL148" s="537"/>
      <c r="EZM148" s="537"/>
      <c r="EZN148" s="537"/>
      <c r="EZO148" s="537"/>
      <c r="EZP148" s="537"/>
      <c r="EZQ148" s="537"/>
      <c r="EZR148" s="537"/>
      <c r="EZS148" s="537"/>
      <c r="EZT148" s="537"/>
      <c r="EZU148" s="537"/>
      <c r="EZV148" s="537"/>
      <c r="EZW148" s="537"/>
      <c r="EZX148" s="537"/>
      <c r="EZY148" s="537"/>
      <c r="EZZ148" s="537"/>
      <c r="FAA148" s="537"/>
      <c r="FAB148" s="537"/>
      <c r="FAC148" s="537"/>
      <c r="FAD148" s="537"/>
      <c r="FAE148" s="537"/>
      <c r="FAF148" s="537"/>
      <c r="FAG148" s="537"/>
      <c r="FAH148" s="537"/>
      <c r="FAI148" s="537"/>
      <c r="FAJ148" s="537"/>
      <c r="FAK148" s="537"/>
      <c r="FAL148" s="537"/>
      <c r="FAM148" s="537"/>
      <c r="FAN148" s="537"/>
      <c r="FAO148" s="537"/>
      <c r="FAP148" s="537"/>
      <c r="FAQ148" s="537"/>
      <c r="FAR148" s="537"/>
      <c r="FAS148" s="537"/>
      <c r="FAT148" s="537"/>
      <c r="FAU148" s="537"/>
      <c r="FAV148" s="537"/>
      <c r="FAW148" s="537"/>
      <c r="FAX148" s="537"/>
      <c r="FAY148" s="537"/>
      <c r="FAZ148" s="537"/>
      <c r="FBA148" s="537"/>
      <c r="FBB148" s="537"/>
      <c r="FBC148" s="537"/>
      <c r="FBD148" s="537"/>
      <c r="FBE148" s="537"/>
      <c r="FBF148" s="537"/>
      <c r="FBG148" s="537"/>
      <c r="FBH148" s="537"/>
      <c r="FBI148" s="537"/>
      <c r="FBJ148" s="537"/>
      <c r="FBK148" s="537"/>
      <c r="FBL148" s="537"/>
      <c r="FBM148" s="537"/>
      <c r="FBN148" s="537"/>
      <c r="FBO148" s="537"/>
      <c r="FBP148" s="537"/>
      <c r="FBQ148" s="537"/>
      <c r="FBR148" s="537"/>
      <c r="FBS148" s="537"/>
      <c r="FBT148" s="537"/>
      <c r="FBU148" s="537"/>
      <c r="FBV148" s="537"/>
      <c r="FBW148" s="537"/>
      <c r="FBX148" s="537"/>
      <c r="FBY148" s="537"/>
      <c r="FBZ148" s="537"/>
      <c r="FCA148" s="537"/>
      <c r="FCB148" s="537"/>
      <c r="FCC148" s="537"/>
      <c r="FCD148" s="537"/>
      <c r="FCE148" s="537"/>
      <c r="FCF148" s="537"/>
      <c r="FCG148" s="537"/>
      <c r="FCH148" s="537"/>
      <c r="FCI148" s="537"/>
      <c r="FCJ148" s="537"/>
      <c r="FCK148" s="537"/>
      <c r="FCL148" s="537"/>
      <c r="FCM148" s="537"/>
      <c r="FCN148" s="537"/>
      <c r="FCO148" s="537"/>
      <c r="FCP148" s="537"/>
      <c r="FCQ148" s="537"/>
      <c r="FCR148" s="537"/>
      <c r="FCS148" s="537"/>
      <c r="FCT148" s="537"/>
      <c r="FCU148" s="537"/>
      <c r="FCV148" s="537"/>
      <c r="FCW148" s="537"/>
      <c r="FCX148" s="537"/>
      <c r="FCY148" s="537"/>
      <c r="FCZ148" s="537"/>
      <c r="FDA148" s="537"/>
      <c r="FDB148" s="537"/>
      <c r="FDC148" s="537"/>
      <c r="FDD148" s="537"/>
      <c r="FDE148" s="537"/>
      <c r="FDF148" s="537"/>
      <c r="FDG148" s="537"/>
      <c r="FDH148" s="537"/>
      <c r="FDI148" s="537"/>
      <c r="FDJ148" s="537"/>
      <c r="FDK148" s="537"/>
      <c r="FDL148" s="537"/>
      <c r="FDM148" s="537"/>
      <c r="FDN148" s="537"/>
      <c r="FDO148" s="537"/>
      <c r="FDP148" s="537"/>
      <c r="FDQ148" s="537"/>
      <c r="FDR148" s="537"/>
      <c r="FDS148" s="537"/>
      <c r="FDT148" s="537"/>
      <c r="FDU148" s="537"/>
      <c r="FDV148" s="537"/>
      <c r="FDW148" s="537"/>
      <c r="FDX148" s="537"/>
      <c r="FDY148" s="537"/>
      <c r="FDZ148" s="537"/>
      <c r="FEA148" s="537"/>
      <c r="FEB148" s="537"/>
      <c r="FEC148" s="537"/>
      <c r="FED148" s="537"/>
      <c r="FEE148" s="537"/>
      <c r="FEF148" s="537"/>
      <c r="FEG148" s="537"/>
      <c r="FEH148" s="537"/>
      <c r="FEI148" s="537"/>
      <c r="FEJ148" s="537"/>
      <c r="FEK148" s="537"/>
      <c r="FEL148" s="537"/>
      <c r="FEM148" s="537"/>
      <c r="FEN148" s="537"/>
      <c r="FEO148" s="537"/>
      <c r="FEP148" s="537"/>
      <c r="FEQ148" s="537"/>
      <c r="FER148" s="537"/>
      <c r="FES148" s="537"/>
      <c r="FET148" s="537"/>
      <c r="FEU148" s="537"/>
      <c r="FEV148" s="537"/>
      <c r="FEW148" s="537"/>
      <c r="FEX148" s="537"/>
      <c r="FEY148" s="537"/>
      <c r="FEZ148" s="537"/>
      <c r="FFA148" s="537"/>
      <c r="FFB148" s="537"/>
      <c r="FFC148" s="537"/>
      <c r="FFD148" s="537"/>
      <c r="FFE148" s="537"/>
      <c r="FFF148" s="537"/>
      <c r="FFG148" s="537"/>
      <c r="FFH148" s="537"/>
      <c r="FFI148" s="537"/>
      <c r="FFJ148" s="537"/>
      <c r="FFK148" s="537"/>
      <c r="FFL148" s="537"/>
      <c r="FFM148" s="537"/>
      <c r="FFN148" s="537"/>
      <c r="FFO148" s="537"/>
      <c r="FFP148" s="537"/>
      <c r="FFQ148" s="537"/>
      <c r="FFR148" s="537"/>
      <c r="FFS148" s="537"/>
      <c r="FFT148" s="537"/>
      <c r="FFU148" s="537"/>
      <c r="FFV148" s="537"/>
      <c r="FFW148" s="537"/>
      <c r="FFX148" s="537"/>
      <c r="FFY148" s="537"/>
      <c r="FFZ148" s="537"/>
      <c r="FGA148" s="537"/>
      <c r="FGB148" s="537"/>
      <c r="FGC148" s="537"/>
      <c r="FGD148" s="537"/>
      <c r="FGE148" s="537"/>
      <c r="FGF148" s="537"/>
      <c r="FGG148" s="537"/>
      <c r="FGH148" s="537"/>
      <c r="FGI148" s="537"/>
      <c r="FGJ148" s="537"/>
      <c r="FGK148" s="537"/>
      <c r="FGL148" s="537"/>
      <c r="FGM148" s="537"/>
      <c r="FGN148" s="537"/>
      <c r="FGO148" s="537"/>
      <c r="FGP148" s="537"/>
      <c r="FGQ148" s="537"/>
      <c r="FGR148" s="537"/>
      <c r="FGS148" s="537"/>
      <c r="FGT148" s="537"/>
      <c r="FGU148" s="537"/>
      <c r="FGV148" s="537"/>
      <c r="FGW148" s="537"/>
      <c r="FGX148" s="537"/>
      <c r="FGY148" s="537"/>
      <c r="FGZ148" s="537"/>
      <c r="FHA148" s="537"/>
      <c r="FHB148" s="537"/>
      <c r="FHC148" s="537"/>
      <c r="FHD148" s="537"/>
      <c r="FHE148" s="537"/>
      <c r="FHF148" s="537"/>
      <c r="FHG148" s="537"/>
      <c r="FHH148" s="537"/>
      <c r="FHI148" s="537"/>
      <c r="FHJ148" s="537"/>
      <c r="FHK148" s="537"/>
      <c r="FHL148" s="537"/>
      <c r="FHM148" s="537"/>
      <c r="FHN148" s="537"/>
      <c r="FHO148" s="537"/>
      <c r="FHP148" s="537"/>
      <c r="FHQ148" s="537"/>
      <c r="FHR148" s="537"/>
      <c r="FHS148" s="537"/>
      <c r="FHT148" s="537"/>
      <c r="FHU148" s="537"/>
      <c r="FHV148" s="537"/>
      <c r="FHW148" s="537"/>
      <c r="FHX148" s="537"/>
      <c r="FHY148" s="537"/>
      <c r="FHZ148" s="537"/>
      <c r="FIA148" s="537"/>
      <c r="FIB148" s="537"/>
      <c r="FIC148" s="537"/>
      <c r="FID148" s="537"/>
      <c r="FIE148" s="537"/>
      <c r="FIF148" s="537"/>
      <c r="FIG148" s="537"/>
      <c r="FIH148" s="537"/>
      <c r="FII148" s="537"/>
      <c r="FIJ148" s="537"/>
      <c r="FIK148" s="537"/>
      <c r="FIL148" s="537"/>
      <c r="FIM148" s="537"/>
      <c r="FIN148" s="537"/>
      <c r="FIO148" s="537"/>
      <c r="FIP148" s="537"/>
      <c r="FIQ148" s="537"/>
      <c r="FIR148" s="537"/>
      <c r="FIS148" s="537"/>
      <c r="FIT148" s="537"/>
      <c r="FIU148" s="537"/>
      <c r="FIV148" s="537"/>
      <c r="FIW148" s="537"/>
      <c r="FIX148" s="537"/>
      <c r="FIY148" s="537"/>
      <c r="FIZ148" s="537"/>
      <c r="FJA148" s="537"/>
      <c r="FJB148" s="537"/>
      <c r="FJC148" s="537"/>
      <c r="FJD148" s="537"/>
      <c r="FJE148" s="537"/>
      <c r="FJF148" s="537"/>
      <c r="FJG148" s="537"/>
      <c r="FJH148" s="537"/>
      <c r="FJI148" s="537"/>
      <c r="FJJ148" s="537"/>
      <c r="FJK148" s="537"/>
      <c r="FJL148" s="537"/>
      <c r="FJM148" s="537"/>
      <c r="FJN148" s="537"/>
      <c r="FJO148" s="537"/>
      <c r="FJP148" s="537"/>
      <c r="FJQ148" s="537"/>
      <c r="FJR148" s="537"/>
      <c r="FJS148" s="537"/>
      <c r="FJT148" s="537"/>
      <c r="FJU148" s="537"/>
      <c r="FJV148" s="537"/>
      <c r="FJW148" s="537"/>
      <c r="FJX148" s="537"/>
      <c r="FJY148" s="537"/>
      <c r="FJZ148" s="537"/>
      <c r="FKA148" s="537"/>
      <c r="FKB148" s="537"/>
      <c r="FKC148" s="537"/>
      <c r="FKD148" s="537"/>
      <c r="FKE148" s="537"/>
      <c r="FKF148" s="537"/>
      <c r="FKG148" s="537"/>
      <c r="FKH148" s="537"/>
      <c r="FKI148" s="537"/>
      <c r="FKJ148" s="537"/>
      <c r="FKK148" s="537"/>
      <c r="FKL148" s="537"/>
      <c r="FKM148" s="537"/>
      <c r="FKN148" s="537"/>
      <c r="FKO148" s="537"/>
      <c r="FKP148" s="537"/>
      <c r="FKQ148" s="537"/>
      <c r="FKR148" s="537"/>
      <c r="FKS148" s="537"/>
      <c r="FKT148" s="537"/>
      <c r="FKU148" s="537"/>
      <c r="FKV148" s="537"/>
      <c r="FKW148" s="537"/>
      <c r="FKX148" s="537"/>
      <c r="FKY148" s="537"/>
      <c r="FKZ148" s="537"/>
      <c r="FLA148" s="537"/>
      <c r="FLB148" s="537"/>
      <c r="FLC148" s="537"/>
      <c r="FLD148" s="537"/>
      <c r="FLE148" s="537"/>
      <c r="FLF148" s="537"/>
      <c r="FLG148" s="537"/>
      <c r="FLH148" s="537"/>
      <c r="FLI148" s="537"/>
      <c r="FLJ148" s="537"/>
      <c r="FLK148" s="537"/>
      <c r="FLL148" s="537"/>
      <c r="FLM148" s="537"/>
      <c r="FLN148" s="537"/>
      <c r="FLO148" s="537"/>
      <c r="FLP148" s="537"/>
      <c r="FLQ148" s="537"/>
      <c r="FLR148" s="537"/>
      <c r="FLS148" s="537"/>
      <c r="FLT148" s="537"/>
      <c r="FLU148" s="537"/>
      <c r="FLV148" s="537"/>
      <c r="FLW148" s="537"/>
      <c r="FLX148" s="537"/>
      <c r="FLY148" s="537"/>
      <c r="FLZ148" s="537"/>
      <c r="FMA148" s="537"/>
      <c r="FMB148" s="537"/>
      <c r="FMC148" s="537"/>
      <c r="FMD148" s="537"/>
      <c r="FME148" s="537"/>
      <c r="FMF148" s="537"/>
      <c r="FMG148" s="537"/>
      <c r="FMH148" s="537"/>
      <c r="FMI148" s="537"/>
      <c r="FMJ148" s="537"/>
      <c r="FMK148" s="537"/>
      <c r="FML148" s="537"/>
      <c r="FMM148" s="537"/>
      <c r="FMN148" s="537"/>
      <c r="FMO148" s="537"/>
      <c r="FMP148" s="537"/>
      <c r="FMQ148" s="537"/>
      <c r="FMR148" s="537"/>
      <c r="FMS148" s="537"/>
      <c r="FMT148" s="537"/>
      <c r="FMU148" s="537"/>
      <c r="FMV148" s="537"/>
      <c r="FMW148" s="537"/>
      <c r="FMX148" s="537"/>
      <c r="FMY148" s="537"/>
      <c r="FMZ148" s="537"/>
      <c r="FNA148" s="537"/>
      <c r="FNB148" s="537"/>
      <c r="FNC148" s="537"/>
      <c r="FND148" s="537"/>
      <c r="FNE148" s="537"/>
      <c r="FNF148" s="537"/>
      <c r="FNG148" s="537"/>
      <c r="FNH148" s="537"/>
      <c r="FNI148" s="537"/>
      <c r="FNJ148" s="537"/>
      <c r="FNK148" s="537"/>
      <c r="FNL148" s="537"/>
      <c r="FNM148" s="537"/>
      <c r="FNN148" s="537"/>
      <c r="FNO148" s="537"/>
      <c r="FNP148" s="537"/>
      <c r="FNQ148" s="537"/>
      <c r="FNR148" s="537"/>
      <c r="FNS148" s="537"/>
      <c r="FNT148" s="537"/>
      <c r="FNU148" s="537"/>
      <c r="FNV148" s="537"/>
      <c r="FNW148" s="537"/>
      <c r="FNX148" s="537"/>
      <c r="FNY148" s="537"/>
      <c r="FNZ148" s="537"/>
      <c r="FOA148" s="537"/>
      <c r="FOB148" s="537"/>
      <c r="FOC148" s="537"/>
      <c r="FOD148" s="537"/>
      <c r="FOE148" s="537"/>
      <c r="FOF148" s="537"/>
      <c r="FOG148" s="537"/>
      <c r="FOH148" s="537"/>
      <c r="FOI148" s="537"/>
      <c r="FOJ148" s="537"/>
      <c r="FOK148" s="537"/>
      <c r="FOL148" s="537"/>
      <c r="FOM148" s="537"/>
      <c r="FON148" s="537"/>
      <c r="FOO148" s="537"/>
      <c r="FOP148" s="537"/>
      <c r="FOQ148" s="537"/>
      <c r="FOR148" s="537"/>
      <c r="FOS148" s="537"/>
      <c r="FOT148" s="537"/>
      <c r="FOU148" s="537"/>
      <c r="FOV148" s="537"/>
      <c r="FOW148" s="537"/>
      <c r="FOX148" s="537"/>
      <c r="FOY148" s="537"/>
      <c r="FOZ148" s="537"/>
      <c r="FPA148" s="537"/>
      <c r="FPB148" s="537"/>
      <c r="FPC148" s="537"/>
      <c r="FPD148" s="537"/>
      <c r="FPE148" s="537"/>
      <c r="FPF148" s="537"/>
      <c r="FPG148" s="537"/>
      <c r="FPH148" s="537"/>
      <c r="FPI148" s="537"/>
      <c r="FPJ148" s="537"/>
      <c r="FPK148" s="537"/>
      <c r="FPL148" s="537"/>
      <c r="FPM148" s="537"/>
      <c r="FPN148" s="537"/>
      <c r="FPO148" s="537"/>
      <c r="FPP148" s="537"/>
      <c r="FPQ148" s="537"/>
      <c r="FPR148" s="537"/>
      <c r="FPS148" s="537"/>
      <c r="FPT148" s="537"/>
      <c r="FPU148" s="537"/>
      <c r="FPV148" s="537"/>
      <c r="FPW148" s="537"/>
      <c r="FPX148" s="537"/>
      <c r="FPY148" s="537"/>
      <c r="FPZ148" s="537"/>
      <c r="FQA148" s="537"/>
      <c r="FQB148" s="537"/>
      <c r="FQC148" s="537"/>
      <c r="FQD148" s="537"/>
      <c r="FQE148" s="537"/>
      <c r="FQF148" s="537"/>
      <c r="FQG148" s="537"/>
      <c r="FQH148" s="537"/>
      <c r="FQI148" s="537"/>
      <c r="FQJ148" s="537"/>
      <c r="FQK148" s="537"/>
      <c r="FQL148" s="537"/>
      <c r="FQM148" s="537"/>
      <c r="FQN148" s="537"/>
      <c r="FQO148" s="537"/>
      <c r="FQP148" s="537"/>
      <c r="FQQ148" s="537"/>
      <c r="FQR148" s="537"/>
      <c r="FQS148" s="537"/>
      <c r="FQT148" s="537"/>
      <c r="FQU148" s="537"/>
      <c r="FQV148" s="537"/>
      <c r="FQW148" s="537"/>
      <c r="FQX148" s="537"/>
      <c r="FQY148" s="537"/>
      <c r="FQZ148" s="537"/>
      <c r="FRA148" s="537"/>
      <c r="FRB148" s="537"/>
      <c r="FRC148" s="537"/>
      <c r="FRD148" s="537"/>
      <c r="FRE148" s="537"/>
      <c r="FRF148" s="537"/>
      <c r="FRG148" s="537"/>
      <c r="FRH148" s="537"/>
      <c r="FRI148" s="537"/>
      <c r="FRJ148" s="537"/>
      <c r="FRK148" s="537"/>
      <c r="FRL148" s="537"/>
      <c r="FRM148" s="537"/>
      <c r="FRN148" s="537"/>
      <c r="FRO148" s="537"/>
      <c r="FRP148" s="537"/>
      <c r="FRQ148" s="537"/>
      <c r="FRR148" s="537"/>
      <c r="FRS148" s="537"/>
      <c r="FRT148" s="537"/>
      <c r="FRU148" s="537"/>
      <c r="FRV148" s="537"/>
      <c r="FRW148" s="537"/>
      <c r="FRX148" s="537"/>
      <c r="FRY148" s="537"/>
      <c r="FRZ148" s="537"/>
      <c r="FSA148" s="537"/>
      <c r="FSB148" s="537"/>
      <c r="FSC148" s="537"/>
      <c r="FSD148" s="537"/>
      <c r="FSE148" s="537"/>
      <c r="FSF148" s="537"/>
      <c r="FSG148" s="537"/>
      <c r="FSH148" s="537"/>
      <c r="FSI148" s="537"/>
      <c r="FSJ148" s="537"/>
      <c r="FSK148" s="537"/>
      <c r="FSL148" s="537"/>
      <c r="FSM148" s="537"/>
      <c r="FSN148" s="537"/>
      <c r="FSO148" s="537"/>
      <c r="FSP148" s="537"/>
      <c r="FSQ148" s="537"/>
      <c r="FSR148" s="537"/>
      <c r="FSS148" s="537"/>
      <c r="FST148" s="537"/>
      <c r="FSU148" s="537"/>
      <c r="FSV148" s="537"/>
      <c r="FSW148" s="537"/>
      <c r="FSX148" s="537"/>
      <c r="FSY148" s="537"/>
      <c r="FSZ148" s="537"/>
      <c r="FTA148" s="537"/>
      <c r="FTB148" s="537"/>
      <c r="FTC148" s="537"/>
      <c r="FTD148" s="537"/>
      <c r="FTE148" s="537"/>
      <c r="FTF148" s="537"/>
      <c r="FTG148" s="537"/>
      <c r="FTH148" s="537"/>
      <c r="FTI148" s="537"/>
      <c r="FTJ148" s="537"/>
      <c r="FTK148" s="537"/>
      <c r="FTL148" s="537"/>
      <c r="FTM148" s="537"/>
      <c r="FTN148" s="537"/>
      <c r="FTO148" s="537"/>
      <c r="FTP148" s="537"/>
      <c r="FTQ148" s="537"/>
      <c r="FTR148" s="537"/>
      <c r="FTS148" s="537"/>
      <c r="FTT148" s="537"/>
      <c r="FTU148" s="537"/>
      <c r="FTV148" s="537"/>
      <c r="FTW148" s="537"/>
      <c r="FTX148" s="537"/>
      <c r="FTY148" s="537"/>
      <c r="FTZ148" s="537"/>
      <c r="FUA148" s="537"/>
      <c r="FUB148" s="537"/>
      <c r="FUC148" s="537"/>
      <c r="FUD148" s="537"/>
      <c r="FUE148" s="537"/>
      <c r="FUF148" s="537"/>
      <c r="FUG148" s="537"/>
      <c r="FUH148" s="537"/>
      <c r="FUI148" s="537"/>
      <c r="FUJ148" s="537"/>
      <c r="FUK148" s="537"/>
      <c r="FUL148" s="537"/>
      <c r="FUM148" s="537"/>
      <c r="FUN148" s="537"/>
      <c r="FUO148" s="537"/>
      <c r="FUP148" s="537"/>
      <c r="FUQ148" s="537"/>
      <c r="FUR148" s="537"/>
      <c r="FUS148" s="537"/>
      <c r="FUT148" s="537"/>
      <c r="FUU148" s="537"/>
      <c r="FUV148" s="537"/>
      <c r="FUW148" s="537"/>
      <c r="FUX148" s="537"/>
      <c r="FUY148" s="537"/>
      <c r="FUZ148" s="537"/>
      <c r="FVA148" s="537"/>
      <c r="FVB148" s="537"/>
      <c r="FVC148" s="537"/>
      <c r="FVD148" s="537"/>
      <c r="FVE148" s="537"/>
      <c r="FVF148" s="537"/>
      <c r="FVG148" s="537"/>
      <c r="FVH148" s="537"/>
      <c r="FVI148" s="537"/>
      <c r="FVJ148" s="537"/>
      <c r="FVK148" s="537"/>
      <c r="FVL148" s="537"/>
      <c r="FVM148" s="537"/>
      <c r="FVN148" s="537"/>
      <c r="FVO148" s="537"/>
      <c r="FVP148" s="537"/>
      <c r="FVQ148" s="537"/>
      <c r="FVR148" s="537"/>
      <c r="FVS148" s="537"/>
      <c r="FVT148" s="537"/>
      <c r="FVU148" s="537"/>
      <c r="FVV148" s="537"/>
      <c r="FVW148" s="537"/>
      <c r="FVX148" s="537"/>
      <c r="FVY148" s="537"/>
      <c r="FVZ148" s="537"/>
      <c r="FWA148" s="537"/>
      <c r="FWB148" s="537"/>
      <c r="FWC148" s="537"/>
      <c r="FWD148" s="537"/>
      <c r="FWE148" s="537"/>
      <c r="FWF148" s="537"/>
      <c r="FWG148" s="537"/>
      <c r="FWH148" s="537"/>
      <c r="FWI148" s="537"/>
      <c r="FWJ148" s="537"/>
      <c r="FWK148" s="537"/>
      <c r="FWL148" s="537"/>
      <c r="FWM148" s="537"/>
      <c r="FWN148" s="537"/>
      <c r="FWO148" s="537"/>
      <c r="FWP148" s="537"/>
      <c r="FWQ148" s="537"/>
      <c r="FWR148" s="537"/>
      <c r="FWS148" s="537"/>
      <c r="FWT148" s="537"/>
      <c r="FWU148" s="537"/>
      <c r="FWV148" s="537"/>
      <c r="FWW148" s="537"/>
      <c r="FWX148" s="537"/>
      <c r="FWY148" s="537"/>
      <c r="FWZ148" s="537"/>
      <c r="FXA148" s="537"/>
      <c r="FXB148" s="537"/>
      <c r="FXC148" s="537"/>
      <c r="FXD148" s="537"/>
      <c r="FXE148" s="537"/>
      <c r="FXF148" s="537"/>
      <c r="FXG148" s="537"/>
      <c r="FXH148" s="537"/>
      <c r="FXI148" s="537"/>
      <c r="FXJ148" s="537"/>
      <c r="FXK148" s="537"/>
      <c r="FXL148" s="537"/>
      <c r="FXM148" s="537"/>
      <c r="FXN148" s="537"/>
      <c r="FXO148" s="537"/>
      <c r="FXP148" s="537"/>
      <c r="FXQ148" s="537"/>
      <c r="FXR148" s="537"/>
      <c r="FXS148" s="537"/>
      <c r="FXT148" s="537"/>
      <c r="FXU148" s="537"/>
      <c r="FXV148" s="537"/>
      <c r="FXW148" s="537"/>
      <c r="FXX148" s="537"/>
      <c r="FXY148" s="537"/>
      <c r="FXZ148" s="537"/>
      <c r="FYA148" s="537"/>
      <c r="FYB148" s="537"/>
      <c r="FYC148" s="537"/>
      <c r="FYD148" s="537"/>
      <c r="FYE148" s="537"/>
      <c r="FYF148" s="537"/>
      <c r="FYG148" s="537"/>
      <c r="FYH148" s="537"/>
      <c r="FYI148" s="537"/>
      <c r="FYJ148" s="537"/>
      <c r="FYK148" s="537"/>
      <c r="FYL148" s="537"/>
      <c r="FYM148" s="537"/>
      <c r="FYN148" s="537"/>
      <c r="FYO148" s="537"/>
      <c r="FYP148" s="537"/>
      <c r="FYQ148" s="537"/>
      <c r="FYR148" s="537"/>
      <c r="FYS148" s="537"/>
      <c r="FYT148" s="537"/>
      <c r="FYU148" s="537"/>
      <c r="FYV148" s="537"/>
      <c r="FYW148" s="537"/>
      <c r="FYX148" s="537"/>
      <c r="FYY148" s="537"/>
      <c r="FYZ148" s="537"/>
      <c r="FZA148" s="537"/>
      <c r="FZB148" s="537"/>
      <c r="FZC148" s="537"/>
      <c r="FZD148" s="537"/>
      <c r="FZE148" s="537"/>
      <c r="FZF148" s="537"/>
      <c r="FZG148" s="537"/>
      <c r="FZH148" s="537"/>
      <c r="FZI148" s="537"/>
      <c r="FZJ148" s="537"/>
      <c r="FZK148" s="537"/>
      <c r="FZL148" s="537"/>
      <c r="FZM148" s="537"/>
      <c r="FZN148" s="537"/>
      <c r="FZO148" s="537"/>
      <c r="FZP148" s="537"/>
      <c r="FZQ148" s="537"/>
      <c r="FZR148" s="537"/>
      <c r="FZS148" s="537"/>
      <c r="FZT148" s="537"/>
      <c r="FZU148" s="537"/>
      <c r="FZV148" s="537"/>
      <c r="FZW148" s="537"/>
      <c r="FZX148" s="537"/>
      <c r="FZY148" s="537"/>
      <c r="FZZ148" s="537"/>
      <c r="GAA148" s="537"/>
      <c r="GAB148" s="537"/>
      <c r="GAC148" s="537"/>
      <c r="GAD148" s="537"/>
      <c r="GAE148" s="537"/>
      <c r="GAF148" s="537"/>
      <c r="GAG148" s="537"/>
      <c r="GAH148" s="537"/>
      <c r="GAI148" s="537"/>
      <c r="GAJ148" s="537"/>
      <c r="GAK148" s="537"/>
      <c r="GAL148" s="537"/>
      <c r="GAM148" s="537"/>
      <c r="GAN148" s="537"/>
      <c r="GAO148" s="537"/>
      <c r="GAP148" s="537"/>
      <c r="GAQ148" s="537"/>
      <c r="GAR148" s="537"/>
      <c r="GAS148" s="537"/>
      <c r="GAT148" s="537"/>
      <c r="GAU148" s="537"/>
      <c r="GAV148" s="537"/>
      <c r="GAW148" s="537"/>
      <c r="GAX148" s="537"/>
      <c r="GAY148" s="537"/>
      <c r="GAZ148" s="537"/>
      <c r="GBA148" s="537"/>
      <c r="GBB148" s="537"/>
      <c r="GBC148" s="537"/>
      <c r="GBD148" s="537"/>
      <c r="GBE148" s="537"/>
      <c r="GBF148" s="537"/>
      <c r="GBG148" s="537"/>
      <c r="GBH148" s="537"/>
      <c r="GBI148" s="537"/>
      <c r="GBJ148" s="537"/>
      <c r="GBK148" s="537"/>
      <c r="GBL148" s="537"/>
      <c r="GBM148" s="537"/>
      <c r="GBN148" s="537"/>
      <c r="GBO148" s="537"/>
      <c r="GBP148" s="537"/>
      <c r="GBQ148" s="537"/>
      <c r="GBR148" s="537"/>
      <c r="GBS148" s="537"/>
      <c r="GBT148" s="537"/>
      <c r="GBU148" s="537"/>
      <c r="GBV148" s="537"/>
      <c r="GBW148" s="537"/>
      <c r="GBX148" s="537"/>
      <c r="GBY148" s="537"/>
      <c r="GBZ148" s="537"/>
      <c r="GCA148" s="537"/>
      <c r="GCB148" s="537"/>
      <c r="GCC148" s="537"/>
      <c r="GCD148" s="537"/>
      <c r="GCE148" s="537"/>
      <c r="GCF148" s="537"/>
      <c r="GCG148" s="537"/>
      <c r="GCH148" s="537"/>
      <c r="GCI148" s="537"/>
      <c r="GCJ148" s="537"/>
      <c r="GCK148" s="537"/>
      <c r="GCL148" s="537"/>
      <c r="GCM148" s="537"/>
      <c r="GCN148" s="537"/>
      <c r="GCO148" s="537"/>
      <c r="GCP148" s="537"/>
      <c r="GCQ148" s="537"/>
      <c r="GCR148" s="537"/>
      <c r="GCS148" s="537"/>
      <c r="GCT148" s="537"/>
      <c r="GCU148" s="537"/>
      <c r="GCV148" s="537"/>
      <c r="GCW148" s="537"/>
      <c r="GCX148" s="537"/>
      <c r="GCY148" s="537"/>
      <c r="GCZ148" s="537"/>
      <c r="GDA148" s="537"/>
      <c r="GDB148" s="537"/>
      <c r="GDC148" s="537"/>
      <c r="GDD148" s="537"/>
      <c r="GDE148" s="537"/>
      <c r="GDF148" s="537"/>
      <c r="GDG148" s="537"/>
      <c r="GDH148" s="537"/>
      <c r="GDI148" s="537"/>
      <c r="GDJ148" s="537"/>
      <c r="GDK148" s="537"/>
      <c r="GDL148" s="537"/>
      <c r="GDM148" s="537"/>
      <c r="GDN148" s="537"/>
      <c r="GDO148" s="537"/>
      <c r="GDP148" s="537"/>
      <c r="GDQ148" s="537"/>
      <c r="GDR148" s="537"/>
      <c r="GDS148" s="537"/>
      <c r="GDT148" s="537"/>
      <c r="GDU148" s="537"/>
      <c r="GDV148" s="537"/>
      <c r="GDW148" s="537"/>
      <c r="GDX148" s="537"/>
      <c r="GDY148" s="537"/>
      <c r="GDZ148" s="537"/>
      <c r="GEA148" s="537"/>
      <c r="GEB148" s="537"/>
      <c r="GEC148" s="537"/>
      <c r="GED148" s="537"/>
      <c r="GEE148" s="537"/>
      <c r="GEF148" s="537"/>
      <c r="GEG148" s="537"/>
      <c r="GEH148" s="537"/>
      <c r="GEI148" s="537"/>
      <c r="GEJ148" s="537"/>
      <c r="GEK148" s="537"/>
      <c r="GEL148" s="537"/>
      <c r="GEM148" s="537"/>
      <c r="GEN148" s="537"/>
      <c r="GEO148" s="537"/>
      <c r="GEP148" s="537"/>
      <c r="GEQ148" s="537"/>
      <c r="GER148" s="537"/>
      <c r="GES148" s="537"/>
      <c r="GET148" s="537"/>
      <c r="GEU148" s="537"/>
      <c r="GEV148" s="537"/>
      <c r="GEW148" s="537"/>
      <c r="GEX148" s="537"/>
      <c r="GEY148" s="537"/>
      <c r="GEZ148" s="537"/>
      <c r="GFA148" s="537"/>
      <c r="GFB148" s="537"/>
      <c r="GFC148" s="537"/>
      <c r="GFD148" s="537"/>
      <c r="GFE148" s="537"/>
      <c r="GFF148" s="537"/>
      <c r="GFG148" s="537"/>
      <c r="GFH148" s="537"/>
      <c r="GFI148" s="537"/>
      <c r="GFJ148" s="537"/>
      <c r="GFK148" s="537"/>
      <c r="GFL148" s="537"/>
      <c r="GFM148" s="537"/>
      <c r="GFN148" s="537"/>
      <c r="GFO148" s="537"/>
      <c r="GFP148" s="537"/>
      <c r="GFQ148" s="537"/>
      <c r="GFR148" s="537"/>
      <c r="GFS148" s="537"/>
      <c r="GFT148" s="537"/>
      <c r="GFU148" s="537"/>
      <c r="GFV148" s="537"/>
      <c r="GFW148" s="537"/>
      <c r="GFX148" s="537"/>
      <c r="GFY148" s="537"/>
      <c r="GFZ148" s="537"/>
      <c r="GGA148" s="537"/>
      <c r="GGB148" s="537"/>
      <c r="GGC148" s="537"/>
      <c r="GGD148" s="537"/>
      <c r="GGE148" s="537"/>
      <c r="GGF148" s="537"/>
      <c r="GGG148" s="537"/>
      <c r="GGH148" s="537"/>
      <c r="GGI148" s="537"/>
      <c r="GGJ148" s="537"/>
      <c r="GGK148" s="537"/>
      <c r="GGL148" s="537"/>
      <c r="GGM148" s="537"/>
      <c r="GGN148" s="537"/>
      <c r="GGO148" s="537"/>
      <c r="GGP148" s="537"/>
      <c r="GGQ148" s="537"/>
      <c r="GGR148" s="537"/>
      <c r="GGS148" s="537"/>
      <c r="GGT148" s="537"/>
      <c r="GGU148" s="537"/>
      <c r="GGV148" s="537"/>
      <c r="GGW148" s="537"/>
      <c r="GGX148" s="537"/>
      <c r="GGY148" s="537"/>
      <c r="GGZ148" s="537"/>
      <c r="GHA148" s="537"/>
      <c r="GHB148" s="537"/>
      <c r="GHC148" s="537"/>
      <c r="GHD148" s="537"/>
      <c r="GHE148" s="537"/>
      <c r="GHF148" s="537"/>
      <c r="GHG148" s="537"/>
      <c r="GHH148" s="537"/>
      <c r="GHI148" s="537"/>
      <c r="GHJ148" s="537"/>
      <c r="GHK148" s="537"/>
      <c r="GHL148" s="537"/>
      <c r="GHM148" s="537"/>
      <c r="GHN148" s="537"/>
      <c r="GHO148" s="537"/>
      <c r="GHP148" s="537"/>
      <c r="GHQ148" s="537"/>
      <c r="GHR148" s="537"/>
      <c r="GHS148" s="537"/>
      <c r="GHT148" s="537"/>
      <c r="GHU148" s="537"/>
      <c r="GHV148" s="537"/>
      <c r="GHW148" s="537"/>
      <c r="GHX148" s="537"/>
      <c r="GHY148" s="537"/>
      <c r="GHZ148" s="537"/>
      <c r="GIA148" s="537"/>
      <c r="GIB148" s="537"/>
      <c r="GIC148" s="537"/>
      <c r="GID148" s="537"/>
      <c r="GIE148" s="537"/>
      <c r="GIF148" s="537"/>
      <c r="GIG148" s="537"/>
      <c r="GIH148" s="537"/>
      <c r="GII148" s="537"/>
      <c r="GIJ148" s="537"/>
      <c r="GIK148" s="537"/>
      <c r="GIL148" s="537"/>
      <c r="GIM148" s="537"/>
      <c r="GIN148" s="537"/>
      <c r="GIO148" s="537"/>
      <c r="GIP148" s="537"/>
      <c r="GIQ148" s="537"/>
      <c r="GIR148" s="537"/>
      <c r="GIS148" s="537"/>
      <c r="GIT148" s="537"/>
      <c r="GIU148" s="537"/>
      <c r="GIV148" s="537"/>
      <c r="GIW148" s="537"/>
      <c r="GIX148" s="537"/>
      <c r="GIY148" s="537"/>
      <c r="GIZ148" s="537"/>
      <c r="GJA148" s="537"/>
      <c r="GJB148" s="537"/>
      <c r="GJC148" s="537"/>
      <c r="GJD148" s="537"/>
      <c r="GJE148" s="537"/>
      <c r="GJF148" s="537"/>
      <c r="GJG148" s="537"/>
      <c r="GJH148" s="537"/>
      <c r="GJI148" s="537"/>
      <c r="GJJ148" s="537"/>
      <c r="GJK148" s="537"/>
      <c r="GJL148" s="537"/>
      <c r="GJM148" s="537"/>
      <c r="GJN148" s="537"/>
      <c r="GJO148" s="537"/>
      <c r="GJP148" s="537"/>
      <c r="GJQ148" s="537"/>
      <c r="GJR148" s="537"/>
      <c r="GJS148" s="537"/>
      <c r="GJT148" s="537"/>
      <c r="GJU148" s="537"/>
      <c r="GJV148" s="537"/>
      <c r="GJW148" s="537"/>
      <c r="GJX148" s="537"/>
      <c r="GJY148" s="537"/>
      <c r="GJZ148" s="537"/>
      <c r="GKA148" s="537"/>
      <c r="GKB148" s="537"/>
      <c r="GKC148" s="537"/>
      <c r="GKD148" s="537"/>
      <c r="GKE148" s="537"/>
      <c r="GKF148" s="537"/>
      <c r="GKG148" s="537"/>
      <c r="GKH148" s="537"/>
      <c r="GKI148" s="537"/>
      <c r="GKJ148" s="537"/>
      <c r="GKK148" s="537"/>
      <c r="GKL148" s="537"/>
      <c r="GKM148" s="537"/>
      <c r="GKN148" s="537"/>
      <c r="GKO148" s="537"/>
      <c r="GKP148" s="537"/>
      <c r="GKQ148" s="537"/>
      <c r="GKR148" s="537"/>
      <c r="GKS148" s="537"/>
      <c r="GKT148" s="537"/>
      <c r="GKU148" s="537"/>
      <c r="GKV148" s="537"/>
      <c r="GKW148" s="537"/>
      <c r="GKX148" s="537"/>
      <c r="GKY148" s="537"/>
      <c r="GKZ148" s="537"/>
      <c r="GLA148" s="537"/>
      <c r="GLB148" s="537"/>
      <c r="GLC148" s="537"/>
      <c r="GLD148" s="537"/>
      <c r="GLE148" s="537"/>
      <c r="GLF148" s="537"/>
      <c r="GLG148" s="537"/>
      <c r="GLH148" s="537"/>
      <c r="GLI148" s="537"/>
      <c r="GLJ148" s="537"/>
      <c r="GLK148" s="537"/>
      <c r="GLL148" s="537"/>
      <c r="GLM148" s="537"/>
      <c r="GLN148" s="537"/>
      <c r="GLO148" s="537"/>
      <c r="GLP148" s="537"/>
      <c r="GLQ148" s="537"/>
      <c r="GLR148" s="537"/>
      <c r="GLS148" s="537"/>
      <c r="GLT148" s="537"/>
      <c r="GLU148" s="537"/>
      <c r="GLV148" s="537"/>
      <c r="GLW148" s="537"/>
      <c r="GLX148" s="537"/>
      <c r="GLY148" s="537"/>
      <c r="GLZ148" s="537"/>
      <c r="GMA148" s="537"/>
      <c r="GMB148" s="537"/>
      <c r="GMC148" s="537"/>
      <c r="GMD148" s="537"/>
      <c r="GME148" s="537"/>
      <c r="GMF148" s="537"/>
      <c r="GMG148" s="537"/>
      <c r="GMH148" s="537"/>
      <c r="GMI148" s="537"/>
      <c r="GMJ148" s="537"/>
      <c r="GMK148" s="537"/>
      <c r="GML148" s="537"/>
      <c r="GMM148" s="537"/>
      <c r="GMN148" s="537"/>
      <c r="GMO148" s="537"/>
      <c r="GMP148" s="537"/>
      <c r="GMQ148" s="537"/>
      <c r="GMR148" s="537"/>
      <c r="GMS148" s="537"/>
      <c r="GMT148" s="537"/>
      <c r="GMU148" s="537"/>
      <c r="GMV148" s="537"/>
      <c r="GMW148" s="537"/>
      <c r="GMX148" s="537"/>
      <c r="GMY148" s="537"/>
      <c r="GMZ148" s="537"/>
      <c r="GNA148" s="537"/>
      <c r="GNB148" s="537"/>
      <c r="GNC148" s="537"/>
      <c r="GND148" s="537"/>
      <c r="GNE148" s="537"/>
      <c r="GNF148" s="537"/>
      <c r="GNG148" s="537"/>
      <c r="GNH148" s="537"/>
      <c r="GNI148" s="537"/>
      <c r="GNJ148" s="537"/>
      <c r="GNK148" s="537"/>
      <c r="GNL148" s="537"/>
      <c r="GNM148" s="537"/>
      <c r="GNN148" s="537"/>
      <c r="GNO148" s="537"/>
      <c r="GNP148" s="537"/>
      <c r="GNQ148" s="537"/>
      <c r="GNR148" s="537"/>
      <c r="GNS148" s="537"/>
      <c r="GNT148" s="537"/>
      <c r="GNU148" s="537"/>
      <c r="GNV148" s="537"/>
      <c r="GNW148" s="537"/>
      <c r="GNX148" s="537"/>
      <c r="GNY148" s="537"/>
      <c r="GNZ148" s="537"/>
      <c r="GOA148" s="537"/>
      <c r="GOB148" s="537"/>
      <c r="GOC148" s="537"/>
      <c r="GOD148" s="537"/>
      <c r="GOE148" s="537"/>
      <c r="GOF148" s="537"/>
      <c r="GOG148" s="537"/>
      <c r="GOH148" s="537"/>
      <c r="GOI148" s="537"/>
      <c r="GOJ148" s="537"/>
      <c r="GOK148" s="537"/>
      <c r="GOL148" s="537"/>
      <c r="GOM148" s="537"/>
      <c r="GON148" s="537"/>
      <c r="GOO148" s="537"/>
      <c r="GOP148" s="537"/>
      <c r="GOQ148" s="537"/>
      <c r="GOR148" s="537"/>
      <c r="GOS148" s="537"/>
      <c r="GOT148" s="537"/>
      <c r="GOU148" s="537"/>
      <c r="GOV148" s="537"/>
      <c r="GOW148" s="537"/>
      <c r="GOX148" s="537"/>
      <c r="GOY148" s="537"/>
      <c r="GOZ148" s="537"/>
      <c r="GPA148" s="537"/>
      <c r="GPB148" s="537"/>
      <c r="GPC148" s="537"/>
      <c r="GPD148" s="537"/>
      <c r="GPE148" s="537"/>
      <c r="GPF148" s="537"/>
      <c r="GPG148" s="537"/>
      <c r="GPH148" s="537"/>
      <c r="GPI148" s="537"/>
      <c r="GPJ148" s="537"/>
      <c r="GPK148" s="537"/>
      <c r="GPL148" s="537"/>
      <c r="GPM148" s="537"/>
      <c r="GPN148" s="537"/>
      <c r="GPO148" s="537"/>
      <c r="GPP148" s="537"/>
      <c r="GPQ148" s="537"/>
      <c r="GPR148" s="537"/>
      <c r="GPS148" s="537"/>
      <c r="GPT148" s="537"/>
      <c r="GPU148" s="537"/>
      <c r="GPV148" s="537"/>
      <c r="GPW148" s="537"/>
      <c r="GPX148" s="537"/>
      <c r="GPY148" s="537"/>
      <c r="GPZ148" s="537"/>
      <c r="GQA148" s="537"/>
      <c r="GQB148" s="537"/>
      <c r="GQC148" s="537"/>
      <c r="GQD148" s="537"/>
      <c r="GQE148" s="537"/>
      <c r="GQF148" s="537"/>
      <c r="GQG148" s="537"/>
      <c r="GQH148" s="537"/>
      <c r="GQI148" s="537"/>
      <c r="GQJ148" s="537"/>
      <c r="GQK148" s="537"/>
      <c r="GQL148" s="537"/>
      <c r="GQM148" s="537"/>
      <c r="GQN148" s="537"/>
      <c r="GQO148" s="537"/>
      <c r="GQP148" s="537"/>
      <c r="GQQ148" s="537"/>
      <c r="GQR148" s="537"/>
      <c r="GQS148" s="537"/>
      <c r="GQT148" s="537"/>
      <c r="GQU148" s="537"/>
      <c r="GQV148" s="537"/>
      <c r="GQW148" s="537"/>
      <c r="GQX148" s="537"/>
      <c r="GQY148" s="537"/>
      <c r="GQZ148" s="537"/>
      <c r="GRA148" s="537"/>
      <c r="GRB148" s="537"/>
      <c r="GRC148" s="537"/>
      <c r="GRD148" s="537"/>
      <c r="GRE148" s="537"/>
      <c r="GRF148" s="537"/>
      <c r="GRG148" s="537"/>
      <c r="GRH148" s="537"/>
      <c r="GRI148" s="537"/>
      <c r="GRJ148" s="537"/>
      <c r="GRK148" s="537"/>
      <c r="GRL148" s="537"/>
      <c r="GRM148" s="537"/>
      <c r="GRN148" s="537"/>
      <c r="GRO148" s="537"/>
      <c r="GRP148" s="537"/>
      <c r="GRQ148" s="537"/>
      <c r="GRR148" s="537"/>
      <c r="GRS148" s="537"/>
      <c r="GRT148" s="537"/>
      <c r="GRU148" s="537"/>
      <c r="GRV148" s="537"/>
      <c r="GRW148" s="537"/>
      <c r="GRX148" s="537"/>
      <c r="GRY148" s="537"/>
      <c r="GRZ148" s="537"/>
      <c r="GSA148" s="537"/>
      <c r="GSB148" s="537"/>
      <c r="GSC148" s="537"/>
      <c r="GSD148" s="537"/>
      <c r="GSE148" s="537"/>
      <c r="GSF148" s="537"/>
      <c r="GSG148" s="537"/>
      <c r="GSH148" s="537"/>
      <c r="GSI148" s="537"/>
      <c r="GSJ148" s="537"/>
      <c r="GSK148" s="537"/>
      <c r="GSL148" s="537"/>
      <c r="GSM148" s="537"/>
      <c r="GSN148" s="537"/>
      <c r="GSO148" s="537"/>
      <c r="GSP148" s="537"/>
      <c r="GSQ148" s="537"/>
      <c r="GSR148" s="537"/>
      <c r="GSS148" s="537"/>
      <c r="GST148" s="537"/>
      <c r="GSU148" s="537"/>
      <c r="GSV148" s="537"/>
      <c r="GSW148" s="537"/>
      <c r="GSX148" s="537"/>
      <c r="GSY148" s="537"/>
      <c r="GSZ148" s="537"/>
      <c r="GTA148" s="537"/>
      <c r="GTB148" s="537"/>
      <c r="GTC148" s="537"/>
      <c r="GTD148" s="537"/>
      <c r="GTE148" s="537"/>
      <c r="GTF148" s="537"/>
      <c r="GTG148" s="537"/>
      <c r="GTH148" s="537"/>
      <c r="GTI148" s="537"/>
      <c r="GTJ148" s="537"/>
      <c r="GTK148" s="537"/>
      <c r="GTL148" s="537"/>
      <c r="GTM148" s="537"/>
      <c r="GTN148" s="537"/>
      <c r="GTO148" s="537"/>
      <c r="GTP148" s="537"/>
      <c r="GTQ148" s="537"/>
      <c r="GTR148" s="537"/>
      <c r="GTS148" s="537"/>
      <c r="GTT148" s="537"/>
      <c r="GTU148" s="537"/>
      <c r="GTV148" s="537"/>
      <c r="GTW148" s="537"/>
      <c r="GTX148" s="537"/>
      <c r="GTY148" s="537"/>
      <c r="GTZ148" s="537"/>
      <c r="GUA148" s="537"/>
      <c r="GUB148" s="537"/>
      <c r="GUC148" s="537"/>
      <c r="GUD148" s="537"/>
      <c r="GUE148" s="537"/>
      <c r="GUF148" s="537"/>
      <c r="GUG148" s="537"/>
      <c r="GUH148" s="537"/>
      <c r="GUI148" s="537"/>
      <c r="GUJ148" s="537"/>
      <c r="GUK148" s="537"/>
      <c r="GUL148" s="537"/>
      <c r="GUM148" s="537"/>
      <c r="GUN148" s="537"/>
      <c r="GUO148" s="537"/>
      <c r="GUP148" s="537"/>
      <c r="GUQ148" s="537"/>
      <c r="GUR148" s="537"/>
      <c r="GUS148" s="537"/>
      <c r="GUT148" s="537"/>
      <c r="GUU148" s="537"/>
      <c r="GUV148" s="537"/>
      <c r="GUW148" s="537"/>
      <c r="GUX148" s="537"/>
      <c r="GUY148" s="537"/>
      <c r="GUZ148" s="537"/>
      <c r="GVA148" s="537"/>
      <c r="GVB148" s="537"/>
      <c r="GVC148" s="537"/>
      <c r="GVD148" s="537"/>
      <c r="GVE148" s="537"/>
      <c r="GVF148" s="537"/>
      <c r="GVG148" s="537"/>
      <c r="GVH148" s="537"/>
      <c r="GVI148" s="537"/>
      <c r="GVJ148" s="537"/>
      <c r="GVK148" s="537"/>
      <c r="GVL148" s="537"/>
      <c r="GVM148" s="537"/>
      <c r="GVN148" s="537"/>
      <c r="GVO148" s="537"/>
      <c r="GVP148" s="537"/>
      <c r="GVQ148" s="537"/>
      <c r="GVR148" s="537"/>
      <c r="GVS148" s="537"/>
      <c r="GVT148" s="537"/>
      <c r="GVU148" s="537"/>
      <c r="GVV148" s="537"/>
      <c r="GVW148" s="537"/>
      <c r="GVX148" s="537"/>
      <c r="GVY148" s="537"/>
      <c r="GVZ148" s="537"/>
      <c r="GWA148" s="537"/>
      <c r="GWB148" s="537"/>
      <c r="GWC148" s="537"/>
      <c r="GWD148" s="537"/>
      <c r="GWE148" s="537"/>
      <c r="GWF148" s="537"/>
      <c r="GWG148" s="537"/>
      <c r="GWH148" s="537"/>
      <c r="GWI148" s="537"/>
      <c r="GWJ148" s="537"/>
      <c r="GWK148" s="537"/>
      <c r="GWL148" s="537"/>
      <c r="GWM148" s="537"/>
      <c r="GWN148" s="537"/>
      <c r="GWO148" s="537"/>
      <c r="GWP148" s="537"/>
      <c r="GWQ148" s="537"/>
      <c r="GWR148" s="537"/>
      <c r="GWS148" s="537"/>
      <c r="GWT148" s="537"/>
      <c r="GWU148" s="537"/>
      <c r="GWV148" s="537"/>
      <c r="GWW148" s="537"/>
      <c r="GWX148" s="537"/>
      <c r="GWY148" s="537"/>
      <c r="GWZ148" s="537"/>
      <c r="GXA148" s="537"/>
      <c r="GXB148" s="537"/>
      <c r="GXC148" s="537"/>
      <c r="GXD148" s="537"/>
      <c r="GXE148" s="537"/>
      <c r="GXF148" s="537"/>
      <c r="GXG148" s="537"/>
      <c r="GXH148" s="537"/>
      <c r="GXI148" s="537"/>
      <c r="GXJ148" s="537"/>
      <c r="GXK148" s="537"/>
      <c r="GXL148" s="537"/>
      <c r="GXM148" s="537"/>
      <c r="GXN148" s="537"/>
      <c r="GXO148" s="537"/>
      <c r="GXP148" s="537"/>
      <c r="GXQ148" s="537"/>
      <c r="GXR148" s="537"/>
      <c r="GXS148" s="537"/>
      <c r="GXT148" s="537"/>
      <c r="GXU148" s="537"/>
      <c r="GXV148" s="537"/>
      <c r="GXW148" s="537"/>
      <c r="GXX148" s="537"/>
      <c r="GXY148" s="537"/>
      <c r="GXZ148" s="537"/>
      <c r="GYA148" s="537"/>
      <c r="GYB148" s="537"/>
      <c r="GYC148" s="537"/>
      <c r="GYD148" s="537"/>
      <c r="GYE148" s="537"/>
      <c r="GYF148" s="537"/>
      <c r="GYG148" s="537"/>
      <c r="GYH148" s="537"/>
      <c r="GYI148" s="537"/>
      <c r="GYJ148" s="537"/>
      <c r="GYK148" s="537"/>
      <c r="GYL148" s="537"/>
      <c r="GYM148" s="537"/>
      <c r="GYN148" s="537"/>
      <c r="GYO148" s="537"/>
      <c r="GYP148" s="537"/>
      <c r="GYQ148" s="537"/>
      <c r="GYR148" s="537"/>
      <c r="GYS148" s="537"/>
      <c r="GYT148" s="537"/>
      <c r="GYU148" s="537"/>
      <c r="GYV148" s="537"/>
      <c r="GYW148" s="537"/>
      <c r="GYX148" s="537"/>
      <c r="GYY148" s="537"/>
      <c r="GYZ148" s="537"/>
      <c r="GZA148" s="537"/>
      <c r="GZB148" s="537"/>
      <c r="GZC148" s="537"/>
      <c r="GZD148" s="537"/>
      <c r="GZE148" s="537"/>
      <c r="GZF148" s="537"/>
      <c r="GZG148" s="537"/>
      <c r="GZH148" s="537"/>
      <c r="GZI148" s="537"/>
      <c r="GZJ148" s="537"/>
      <c r="GZK148" s="537"/>
      <c r="GZL148" s="537"/>
      <c r="GZM148" s="537"/>
      <c r="GZN148" s="537"/>
      <c r="GZO148" s="537"/>
      <c r="GZP148" s="537"/>
      <c r="GZQ148" s="537"/>
      <c r="GZR148" s="537"/>
      <c r="GZS148" s="537"/>
      <c r="GZT148" s="537"/>
      <c r="GZU148" s="537"/>
      <c r="GZV148" s="537"/>
      <c r="GZW148" s="537"/>
      <c r="GZX148" s="537"/>
      <c r="GZY148" s="537"/>
      <c r="GZZ148" s="537"/>
      <c r="HAA148" s="537"/>
      <c r="HAB148" s="537"/>
      <c r="HAC148" s="537"/>
      <c r="HAD148" s="537"/>
      <c r="HAE148" s="537"/>
      <c r="HAF148" s="537"/>
      <c r="HAG148" s="537"/>
      <c r="HAH148" s="537"/>
      <c r="HAI148" s="537"/>
      <c r="HAJ148" s="537"/>
      <c r="HAK148" s="537"/>
      <c r="HAL148" s="537"/>
      <c r="HAM148" s="537"/>
      <c r="HAN148" s="537"/>
      <c r="HAO148" s="537"/>
      <c r="HAP148" s="537"/>
      <c r="HAQ148" s="537"/>
      <c r="HAR148" s="537"/>
      <c r="HAS148" s="537"/>
      <c r="HAT148" s="537"/>
      <c r="HAU148" s="537"/>
      <c r="HAV148" s="537"/>
      <c r="HAW148" s="537"/>
      <c r="HAX148" s="537"/>
      <c r="HAY148" s="537"/>
      <c r="HAZ148" s="537"/>
      <c r="HBA148" s="537"/>
      <c r="HBB148" s="537"/>
      <c r="HBC148" s="537"/>
      <c r="HBD148" s="537"/>
      <c r="HBE148" s="537"/>
      <c r="HBF148" s="537"/>
      <c r="HBG148" s="537"/>
      <c r="HBH148" s="537"/>
      <c r="HBI148" s="537"/>
      <c r="HBJ148" s="537"/>
      <c r="HBK148" s="537"/>
      <c r="HBL148" s="537"/>
      <c r="HBM148" s="537"/>
      <c r="HBN148" s="537"/>
      <c r="HBO148" s="537"/>
      <c r="HBP148" s="537"/>
      <c r="HBQ148" s="537"/>
      <c r="HBR148" s="537"/>
      <c r="HBS148" s="537"/>
      <c r="HBT148" s="537"/>
      <c r="HBU148" s="537"/>
      <c r="HBV148" s="537"/>
      <c r="HBW148" s="537"/>
      <c r="HBX148" s="537"/>
      <c r="HBY148" s="537"/>
      <c r="HBZ148" s="537"/>
      <c r="HCA148" s="537"/>
      <c r="HCB148" s="537"/>
      <c r="HCC148" s="537"/>
      <c r="HCD148" s="537"/>
      <c r="HCE148" s="537"/>
      <c r="HCF148" s="537"/>
      <c r="HCG148" s="537"/>
      <c r="HCH148" s="537"/>
      <c r="HCI148" s="537"/>
      <c r="HCJ148" s="537"/>
      <c r="HCK148" s="537"/>
      <c r="HCL148" s="537"/>
      <c r="HCM148" s="537"/>
      <c r="HCN148" s="537"/>
      <c r="HCO148" s="537"/>
      <c r="HCP148" s="537"/>
      <c r="HCQ148" s="537"/>
      <c r="HCR148" s="537"/>
      <c r="HCS148" s="537"/>
      <c r="HCT148" s="537"/>
      <c r="HCU148" s="537"/>
      <c r="HCV148" s="537"/>
      <c r="HCW148" s="537"/>
      <c r="HCX148" s="537"/>
      <c r="HCY148" s="537"/>
      <c r="HCZ148" s="537"/>
      <c r="HDA148" s="537"/>
      <c r="HDB148" s="537"/>
      <c r="HDC148" s="537"/>
      <c r="HDD148" s="537"/>
      <c r="HDE148" s="537"/>
      <c r="HDF148" s="537"/>
      <c r="HDG148" s="537"/>
      <c r="HDH148" s="537"/>
      <c r="HDI148" s="537"/>
      <c r="HDJ148" s="537"/>
      <c r="HDK148" s="537"/>
      <c r="HDL148" s="537"/>
      <c r="HDM148" s="537"/>
      <c r="HDN148" s="537"/>
      <c r="HDO148" s="537"/>
      <c r="HDP148" s="537"/>
      <c r="HDQ148" s="537"/>
      <c r="HDR148" s="537"/>
      <c r="HDS148" s="537"/>
      <c r="HDT148" s="537"/>
      <c r="HDU148" s="537"/>
      <c r="HDV148" s="537"/>
      <c r="HDW148" s="537"/>
      <c r="HDX148" s="537"/>
      <c r="HDY148" s="537"/>
      <c r="HDZ148" s="537"/>
      <c r="HEA148" s="537"/>
      <c r="HEB148" s="537"/>
      <c r="HEC148" s="537"/>
      <c r="HED148" s="537"/>
      <c r="HEE148" s="537"/>
      <c r="HEF148" s="537"/>
      <c r="HEG148" s="537"/>
      <c r="HEH148" s="537"/>
      <c r="HEI148" s="537"/>
      <c r="HEJ148" s="537"/>
      <c r="HEK148" s="537"/>
      <c r="HEL148" s="537"/>
      <c r="HEM148" s="537"/>
      <c r="HEN148" s="537"/>
      <c r="HEO148" s="537"/>
      <c r="HEP148" s="537"/>
      <c r="HEQ148" s="537"/>
      <c r="HER148" s="537"/>
      <c r="HES148" s="537"/>
      <c r="HET148" s="537"/>
      <c r="HEU148" s="537"/>
      <c r="HEV148" s="537"/>
      <c r="HEW148" s="537"/>
      <c r="HEX148" s="537"/>
      <c r="HEY148" s="537"/>
      <c r="HEZ148" s="537"/>
      <c r="HFA148" s="537"/>
      <c r="HFB148" s="537"/>
      <c r="HFC148" s="537"/>
      <c r="HFD148" s="537"/>
      <c r="HFE148" s="537"/>
      <c r="HFF148" s="537"/>
      <c r="HFG148" s="537"/>
      <c r="HFH148" s="537"/>
      <c r="HFI148" s="537"/>
      <c r="HFJ148" s="537"/>
      <c r="HFK148" s="537"/>
      <c r="HFL148" s="537"/>
      <c r="HFM148" s="537"/>
      <c r="HFN148" s="537"/>
      <c r="HFO148" s="537"/>
      <c r="HFP148" s="537"/>
      <c r="HFQ148" s="537"/>
      <c r="HFR148" s="537"/>
      <c r="HFS148" s="537"/>
      <c r="HFT148" s="537"/>
      <c r="HFU148" s="537"/>
      <c r="HFV148" s="537"/>
      <c r="HFW148" s="537"/>
      <c r="HFX148" s="537"/>
      <c r="HFY148" s="537"/>
      <c r="HFZ148" s="537"/>
      <c r="HGA148" s="537"/>
      <c r="HGB148" s="537"/>
      <c r="HGC148" s="537"/>
      <c r="HGD148" s="537"/>
      <c r="HGE148" s="537"/>
      <c r="HGF148" s="537"/>
      <c r="HGG148" s="537"/>
      <c r="HGH148" s="537"/>
      <c r="HGI148" s="537"/>
      <c r="HGJ148" s="537"/>
      <c r="HGK148" s="537"/>
      <c r="HGL148" s="537"/>
      <c r="HGM148" s="537"/>
      <c r="HGN148" s="537"/>
      <c r="HGO148" s="537"/>
      <c r="HGP148" s="537"/>
      <c r="HGQ148" s="537"/>
      <c r="HGR148" s="537"/>
      <c r="HGS148" s="537"/>
      <c r="HGT148" s="537"/>
      <c r="HGU148" s="537"/>
      <c r="HGV148" s="537"/>
      <c r="HGW148" s="537"/>
      <c r="HGX148" s="537"/>
      <c r="HGY148" s="537"/>
      <c r="HGZ148" s="537"/>
      <c r="HHA148" s="537"/>
      <c r="HHB148" s="537"/>
      <c r="HHC148" s="537"/>
      <c r="HHD148" s="537"/>
      <c r="HHE148" s="537"/>
      <c r="HHF148" s="537"/>
      <c r="HHG148" s="537"/>
      <c r="HHH148" s="537"/>
      <c r="HHI148" s="537"/>
      <c r="HHJ148" s="537"/>
      <c r="HHK148" s="537"/>
      <c r="HHL148" s="537"/>
      <c r="HHM148" s="537"/>
      <c r="HHN148" s="537"/>
      <c r="HHO148" s="537"/>
      <c r="HHP148" s="537"/>
      <c r="HHQ148" s="537"/>
      <c r="HHR148" s="537"/>
      <c r="HHS148" s="537"/>
      <c r="HHT148" s="537"/>
      <c r="HHU148" s="537"/>
      <c r="HHV148" s="537"/>
      <c r="HHW148" s="537"/>
      <c r="HHX148" s="537"/>
      <c r="HHY148" s="537"/>
      <c r="HHZ148" s="537"/>
      <c r="HIA148" s="537"/>
      <c r="HIB148" s="537"/>
      <c r="HIC148" s="537"/>
      <c r="HID148" s="537"/>
      <c r="HIE148" s="537"/>
      <c r="HIF148" s="537"/>
      <c r="HIG148" s="537"/>
      <c r="HIH148" s="537"/>
      <c r="HII148" s="537"/>
      <c r="HIJ148" s="537"/>
      <c r="HIK148" s="537"/>
      <c r="HIL148" s="537"/>
      <c r="HIM148" s="537"/>
      <c r="HIN148" s="537"/>
      <c r="HIO148" s="537"/>
      <c r="HIP148" s="537"/>
      <c r="HIQ148" s="537"/>
      <c r="HIR148" s="537"/>
      <c r="HIS148" s="537"/>
      <c r="HIT148" s="537"/>
      <c r="HIU148" s="537"/>
      <c r="HIV148" s="537"/>
      <c r="HIW148" s="537"/>
      <c r="HIX148" s="537"/>
      <c r="HIY148" s="537"/>
      <c r="HIZ148" s="537"/>
      <c r="HJA148" s="537"/>
      <c r="HJB148" s="537"/>
      <c r="HJC148" s="537"/>
      <c r="HJD148" s="537"/>
      <c r="HJE148" s="537"/>
      <c r="HJF148" s="537"/>
      <c r="HJG148" s="537"/>
      <c r="HJH148" s="537"/>
      <c r="HJI148" s="537"/>
      <c r="HJJ148" s="537"/>
      <c r="HJK148" s="537"/>
      <c r="HJL148" s="537"/>
      <c r="HJM148" s="537"/>
      <c r="HJN148" s="537"/>
      <c r="HJO148" s="537"/>
      <c r="HJP148" s="537"/>
      <c r="HJQ148" s="537"/>
      <c r="HJR148" s="537"/>
      <c r="HJS148" s="537"/>
      <c r="HJT148" s="537"/>
      <c r="HJU148" s="537"/>
      <c r="HJV148" s="537"/>
      <c r="HJW148" s="537"/>
      <c r="HJX148" s="537"/>
      <c r="HJY148" s="537"/>
      <c r="HJZ148" s="537"/>
      <c r="HKA148" s="537"/>
      <c r="HKB148" s="537"/>
      <c r="HKC148" s="537"/>
      <c r="HKD148" s="537"/>
      <c r="HKE148" s="537"/>
      <c r="HKF148" s="537"/>
      <c r="HKG148" s="537"/>
      <c r="HKH148" s="537"/>
      <c r="HKI148" s="537"/>
      <c r="HKJ148" s="537"/>
      <c r="HKK148" s="537"/>
      <c r="HKL148" s="537"/>
      <c r="HKM148" s="537"/>
      <c r="HKN148" s="537"/>
      <c r="HKO148" s="537"/>
      <c r="HKP148" s="537"/>
      <c r="HKQ148" s="537"/>
      <c r="HKR148" s="537"/>
      <c r="HKS148" s="537"/>
      <c r="HKT148" s="537"/>
      <c r="HKU148" s="537"/>
      <c r="HKV148" s="537"/>
      <c r="HKW148" s="537"/>
      <c r="HKX148" s="537"/>
      <c r="HKY148" s="537"/>
      <c r="HKZ148" s="537"/>
      <c r="HLA148" s="537"/>
      <c r="HLB148" s="537"/>
      <c r="HLC148" s="537"/>
      <c r="HLD148" s="537"/>
      <c r="HLE148" s="537"/>
      <c r="HLF148" s="537"/>
      <c r="HLG148" s="537"/>
      <c r="HLH148" s="537"/>
      <c r="HLI148" s="537"/>
      <c r="HLJ148" s="537"/>
      <c r="HLK148" s="537"/>
      <c r="HLL148" s="537"/>
      <c r="HLM148" s="537"/>
      <c r="HLN148" s="537"/>
      <c r="HLO148" s="537"/>
      <c r="HLP148" s="537"/>
      <c r="HLQ148" s="537"/>
      <c r="HLR148" s="537"/>
      <c r="HLS148" s="537"/>
      <c r="HLT148" s="537"/>
      <c r="HLU148" s="537"/>
      <c r="HLV148" s="537"/>
      <c r="HLW148" s="537"/>
      <c r="HLX148" s="537"/>
      <c r="HLY148" s="537"/>
      <c r="HLZ148" s="537"/>
      <c r="HMA148" s="537"/>
      <c r="HMB148" s="537"/>
      <c r="HMC148" s="537"/>
      <c r="HMD148" s="537"/>
      <c r="HME148" s="537"/>
      <c r="HMF148" s="537"/>
      <c r="HMG148" s="537"/>
      <c r="HMH148" s="537"/>
      <c r="HMI148" s="537"/>
      <c r="HMJ148" s="537"/>
      <c r="HMK148" s="537"/>
      <c r="HML148" s="537"/>
      <c r="HMM148" s="537"/>
      <c r="HMN148" s="537"/>
      <c r="HMO148" s="537"/>
      <c r="HMP148" s="537"/>
      <c r="HMQ148" s="537"/>
      <c r="HMR148" s="537"/>
      <c r="HMS148" s="537"/>
      <c r="HMT148" s="537"/>
      <c r="HMU148" s="537"/>
      <c r="HMV148" s="537"/>
      <c r="HMW148" s="537"/>
      <c r="HMX148" s="537"/>
      <c r="HMY148" s="537"/>
      <c r="HMZ148" s="537"/>
      <c r="HNA148" s="537"/>
      <c r="HNB148" s="537"/>
      <c r="HNC148" s="537"/>
      <c r="HND148" s="537"/>
      <c r="HNE148" s="537"/>
      <c r="HNF148" s="537"/>
      <c r="HNG148" s="537"/>
      <c r="HNH148" s="537"/>
      <c r="HNI148" s="537"/>
      <c r="HNJ148" s="537"/>
      <c r="HNK148" s="537"/>
      <c r="HNL148" s="537"/>
      <c r="HNM148" s="537"/>
      <c r="HNN148" s="537"/>
      <c r="HNO148" s="537"/>
      <c r="HNP148" s="537"/>
      <c r="HNQ148" s="537"/>
      <c r="HNR148" s="537"/>
      <c r="HNS148" s="537"/>
      <c r="HNT148" s="537"/>
      <c r="HNU148" s="537"/>
      <c r="HNV148" s="537"/>
      <c r="HNW148" s="537"/>
      <c r="HNX148" s="537"/>
      <c r="HNY148" s="537"/>
      <c r="HNZ148" s="537"/>
      <c r="HOA148" s="537"/>
      <c r="HOB148" s="537"/>
      <c r="HOC148" s="537"/>
      <c r="HOD148" s="537"/>
      <c r="HOE148" s="537"/>
      <c r="HOF148" s="537"/>
      <c r="HOG148" s="537"/>
      <c r="HOH148" s="537"/>
      <c r="HOI148" s="537"/>
      <c r="HOJ148" s="537"/>
      <c r="HOK148" s="537"/>
      <c r="HOL148" s="537"/>
      <c r="HOM148" s="537"/>
      <c r="HON148" s="537"/>
      <c r="HOO148" s="537"/>
      <c r="HOP148" s="537"/>
      <c r="HOQ148" s="537"/>
      <c r="HOR148" s="537"/>
      <c r="HOS148" s="537"/>
      <c r="HOT148" s="537"/>
      <c r="HOU148" s="537"/>
      <c r="HOV148" s="537"/>
      <c r="HOW148" s="537"/>
      <c r="HOX148" s="537"/>
      <c r="HOY148" s="537"/>
      <c r="HOZ148" s="537"/>
      <c r="HPA148" s="537"/>
      <c r="HPB148" s="537"/>
      <c r="HPC148" s="537"/>
      <c r="HPD148" s="537"/>
      <c r="HPE148" s="537"/>
      <c r="HPF148" s="537"/>
      <c r="HPG148" s="537"/>
      <c r="HPH148" s="537"/>
      <c r="HPI148" s="537"/>
      <c r="HPJ148" s="537"/>
      <c r="HPK148" s="537"/>
      <c r="HPL148" s="537"/>
      <c r="HPM148" s="537"/>
      <c r="HPN148" s="537"/>
      <c r="HPO148" s="537"/>
      <c r="HPP148" s="537"/>
      <c r="HPQ148" s="537"/>
      <c r="HPR148" s="537"/>
      <c r="HPS148" s="537"/>
      <c r="HPT148" s="537"/>
      <c r="HPU148" s="537"/>
      <c r="HPV148" s="537"/>
      <c r="HPW148" s="537"/>
      <c r="HPX148" s="537"/>
      <c r="HPY148" s="537"/>
      <c r="HPZ148" s="537"/>
      <c r="HQA148" s="537"/>
      <c r="HQB148" s="537"/>
      <c r="HQC148" s="537"/>
      <c r="HQD148" s="537"/>
      <c r="HQE148" s="537"/>
      <c r="HQF148" s="537"/>
      <c r="HQG148" s="537"/>
      <c r="HQH148" s="537"/>
      <c r="HQI148" s="537"/>
      <c r="HQJ148" s="537"/>
      <c r="HQK148" s="537"/>
      <c r="HQL148" s="537"/>
      <c r="HQM148" s="537"/>
      <c r="HQN148" s="537"/>
      <c r="HQO148" s="537"/>
      <c r="HQP148" s="537"/>
      <c r="HQQ148" s="537"/>
      <c r="HQR148" s="537"/>
      <c r="HQS148" s="537"/>
      <c r="HQT148" s="537"/>
      <c r="HQU148" s="537"/>
      <c r="HQV148" s="537"/>
      <c r="HQW148" s="537"/>
      <c r="HQX148" s="537"/>
      <c r="HQY148" s="537"/>
      <c r="HQZ148" s="537"/>
      <c r="HRA148" s="537"/>
      <c r="HRB148" s="537"/>
      <c r="HRC148" s="537"/>
      <c r="HRD148" s="537"/>
      <c r="HRE148" s="537"/>
      <c r="HRF148" s="537"/>
      <c r="HRG148" s="537"/>
      <c r="HRH148" s="537"/>
      <c r="HRI148" s="537"/>
      <c r="HRJ148" s="537"/>
      <c r="HRK148" s="537"/>
      <c r="HRL148" s="537"/>
      <c r="HRM148" s="537"/>
      <c r="HRN148" s="537"/>
      <c r="HRO148" s="537"/>
      <c r="HRP148" s="537"/>
      <c r="HRQ148" s="537"/>
      <c r="HRR148" s="537"/>
      <c r="HRS148" s="537"/>
      <c r="HRT148" s="537"/>
      <c r="HRU148" s="537"/>
      <c r="HRV148" s="537"/>
      <c r="HRW148" s="537"/>
      <c r="HRX148" s="537"/>
      <c r="HRY148" s="537"/>
      <c r="HRZ148" s="537"/>
      <c r="HSA148" s="537"/>
      <c r="HSB148" s="537"/>
      <c r="HSC148" s="537"/>
      <c r="HSD148" s="537"/>
      <c r="HSE148" s="537"/>
      <c r="HSF148" s="537"/>
      <c r="HSG148" s="537"/>
      <c r="HSH148" s="537"/>
      <c r="HSI148" s="537"/>
      <c r="HSJ148" s="537"/>
      <c r="HSK148" s="537"/>
      <c r="HSL148" s="537"/>
      <c r="HSM148" s="537"/>
      <c r="HSN148" s="537"/>
      <c r="HSO148" s="537"/>
      <c r="HSP148" s="537"/>
      <c r="HSQ148" s="537"/>
      <c r="HSR148" s="537"/>
      <c r="HSS148" s="537"/>
      <c r="HST148" s="537"/>
      <c r="HSU148" s="537"/>
      <c r="HSV148" s="537"/>
      <c r="HSW148" s="537"/>
      <c r="HSX148" s="537"/>
      <c r="HSY148" s="537"/>
      <c r="HSZ148" s="537"/>
      <c r="HTA148" s="537"/>
      <c r="HTB148" s="537"/>
      <c r="HTC148" s="537"/>
      <c r="HTD148" s="537"/>
      <c r="HTE148" s="537"/>
      <c r="HTF148" s="537"/>
      <c r="HTG148" s="537"/>
      <c r="HTH148" s="537"/>
      <c r="HTI148" s="537"/>
      <c r="HTJ148" s="537"/>
      <c r="HTK148" s="537"/>
      <c r="HTL148" s="537"/>
      <c r="HTM148" s="537"/>
      <c r="HTN148" s="537"/>
      <c r="HTO148" s="537"/>
      <c r="HTP148" s="537"/>
      <c r="HTQ148" s="537"/>
      <c r="HTR148" s="537"/>
      <c r="HTS148" s="537"/>
      <c r="HTT148" s="537"/>
      <c r="HTU148" s="537"/>
      <c r="HTV148" s="537"/>
      <c r="HTW148" s="537"/>
      <c r="HTX148" s="537"/>
      <c r="HTY148" s="537"/>
      <c r="HTZ148" s="537"/>
      <c r="HUA148" s="537"/>
      <c r="HUB148" s="537"/>
      <c r="HUC148" s="537"/>
      <c r="HUD148" s="537"/>
      <c r="HUE148" s="537"/>
      <c r="HUF148" s="537"/>
      <c r="HUG148" s="537"/>
      <c r="HUH148" s="537"/>
      <c r="HUI148" s="537"/>
      <c r="HUJ148" s="537"/>
      <c r="HUK148" s="537"/>
      <c r="HUL148" s="537"/>
      <c r="HUM148" s="537"/>
      <c r="HUN148" s="537"/>
      <c r="HUO148" s="537"/>
      <c r="HUP148" s="537"/>
      <c r="HUQ148" s="537"/>
      <c r="HUR148" s="537"/>
      <c r="HUS148" s="537"/>
      <c r="HUT148" s="537"/>
      <c r="HUU148" s="537"/>
      <c r="HUV148" s="537"/>
      <c r="HUW148" s="537"/>
      <c r="HUX148" s="537"/>
      <c r="HUY148" s="537"/>
      <c r="HUZ148" s="537"/>
      <c r="HVA148" s="537"/>
      <c r="HVB148" s="537"/>
      <c r="HVC148" s="537"/>
      <c r="HVD148" s="537"/>
      <c r="HVE148" s="537"/>
      <c r="HVF148" s="537"/>
      <c r="HVG148" s="537"/>
      <c r="HVH148" s="537"/>
      <c r="HVI148" s="537"/>
      <c r="HVJ148" s="537"/>
      <c r="HVK148" s="537"/>
      <c r="HVL148" s="537"/>
      <c r="HVM148" s="537"/>
      <c r="HVN148" s="537"/>
      <c r="HVO148" s="537"/>
      <c r="HVP148" s="537"/>
      <c r="HVQ148" s="537"/>
      <c r="HVR148" s="537"/>
      <c r="HVS148" s="537"/>
      <c r="HVT148" s="537"/>
      <c r="HVU148" s="537"/>
      <c r="HVV148" s="537"/>
      <c r="HVW148" s="537"/>
      <c r="HVX148" s="537"/>
      <c r="HVY148" s="537"/>
      <c r="HVZ148" s="537"/>
      <c r="HWA148" s="537"/>
      <c r="HWB148" s="537"/>
      <c r="HWC148" s="537"/>
      <c r="HWD148" s="537"/>
      <c r="HWE148" s="537"/>
      <c r="HWF148" s="537"/>
      <c r="HWG148" s="537"/>
      <c r="HWH148" s="537"/>
      <c r="HWI148" s="537"/>
      <c r="HWJ148" s="537"/>
      <c r="HWK148" s="537"/>
      <c r="HWL148" s="537"/>
      <c r="HWM148" s="537"/>
      <c r="HWN148" s="537"/>
      <c r="HWO148" s="537"/>
      <c r="HWP148" s="537"/>
      <c r="HWQ148" s="537"/>
      <c r="HWR148" s="537"/>
      <c r="HWS148" s="537"/>
      <c r="HWT148" s="537"/>
      <c r="HWU148" s="537"/>
      <c r="HWV148" s="537"/>
      <c r="HWW148" s="537"/>
      <c r="HWX148" s="537"/>
      <c r="HWY148" s="537"/>
      <c r="HWZ148" s="537"/>
      <c r="HXA148" s="537"/>
      <c r="HXB148" s="537"/>
      <c r="HXC148" s="537"/>
      <c r="HXD148" s="537"/>
      <c r="HXE148" s="537"/>
      <c r="HXF148" s="537"/>
      <c r="HXG148" s="537"/>
      <c r="HXH148" s="537"/>
      <c r="HXI148" s="537"/>
      <c r="HXJ148" s="537"/>
      <c r="HXK148" s="537"/>
      <c r="HXL148" s="537"/>
      <c r="HXM148" s="537"/>
      <c r="HXN148" s="537"/>
      <c r="HXO148" s="537"/>
      <c r="HXP148" s="537"/>
      <c r="HXQ148" s="537"/>
      <c r="HXR148" s="537"/>
      <c r="HXS148" s="537"/>
      <c r="HXT148" s="537"/>
      <c r="HXU148" s="537"/>
      <c r="HXV148" s="537"/>
      <c r="HXW148" s="537"/>
      <c r="HXX148" s="537"/>
      <c r="HXY148" s="537"/>
      <c r="HXZ148" s="537"/>
      <c r="HYA148" s="537"/>
      <c r="HYB148" s="537"/>
      <c r="HYC148" s="537"/>
      <c r="HYD148" s="537"/>
      <c r="HYE148" s="537"/>
      <c r="HYF148" s="537"/>
      <c r="HYG148" s="537"/>
      <c r="HYH148" s="537"/>
      <c r="HYI148" s="537"/>
      <c r="HYJ148" s="537"/>
      <c r="HYK148" s="537"/>
      <c r="HYL148" s="537"/>
      <c r="HYM148" s="537"/>
      <c r="HYN148" s="537"/>
      <c r="HYO148" s="537"/>
      <c r="HYP148" s="537"/>
      <c r="HYQ148" s="537"/>
      <c r="HYR148" s="537"/>
      <c r="HYS148" s="537"/>
      <c r="HYT148" s="537"/>
      <c r="HYU148" s="537"/>
      <c r="HYV148" s="537"/>
      <c r="HYW148" s="537"/>
      <c r="HYX148" s="537"/>
      <c r="HYY148" s="537"/>
      <c r="HYZ148" s="537"/>
      <c r="HZA148" s="537"/>
      <c r="HZB148" s="537"/>
      <c r="HZC148" s="537"/>
      <c r="HZD148" s="537"/>
      <c r="HZE148" s="537"/>
      <c r="HZF148" s="537"/>
      <c r="HZG148" s="537"/>
      <c r="HZH148" s="537"/>
      <c r="HZI148" s="537"/>
      <c r="HZJ148" s="537"/>
      <c r="HZK148" s="537"/>
      <c r="HZL148" s="537"/>
      <c r="HZM148" s="537"/>
      <c r="HZN148" s="537"/>
      <c r="HZO148" s="537"/>
      <c r="HZP148" s="537"/>
      <c r="HZQ148" s="537"/>
      <c r="HZR148" s="537"/>
      <c r="HZS148" s="537"/>
      <c r="HZT148" s="537"/>
      <c r="HZU148" s="537"/>
      <c r="HZV148" s="537"/>
      <c r="HZW148" s="537"/>
      <c r="HZX148" s="537"/>
      <c r="HZY148" s="537"/>
      <c r="HZZ148" s="537"/>
      <c r="IAA148" s="537"/>
      <c r="IAB148" s="537"/>
      <c r="IAC148" s="537"/>
      <c r="IAD148" s="537"/>
      <c r="IAE148" s="537"/>
      <c r="IAF148" s="537"/>
      <c r="IAG148" s="537"/>
      <c r="IAH148" s="537"/>
      <c r="IAI148" s="537"/>
      <c r="IAJ148" s="537"/>
      <c r="IAK148" s="537"/>
      <c r="IAL148" s="537"/>
      <c r="IAM148" s="537"/>
      <c r="IAN148" s="537"/>
      <c r="IAO148" s="537"/>
      <c r="IAP148" s="537"/>
      <c r="IAQ148" s="537"/>
      <c r="IAR148" s="537"/>
      <c r="IAS148" s="537"/>
      <c r="IAT148" s="537"/>
      <c r="IAU148" s="537"/>
      <c r="IAV148" s="537"/>
      <c r="IAW148" s="537"/>
      <c r="IAX148" s="537"/>
      <c r="IAY148" s="537"/>
      <c r="IAZ148" s="537"/>
      <c r="IBA148" s="537"/>
      <c r="IBB148" s="537"/>
      <c r="IBC148" s="537"/>
      <c r="IBD148" s="537"/>
      <c r="IBE148" s="537"/>
      <c r="IBF148" s="537"/>
      <c r="IBG148" s="537"/>
      <c r="IBH148" s="537"/>
      <c r="IBI148" s="537"/>
      <c r="IBJ148" s="537"/>
      <c r="IBK148" s="537"/>
      <c r="IBL148" s="537"/>
      <c r="IBM148" s="537"/>
      <c r="IBN148" s="537"/>
      <c r="IBO148" s="537"/>
      <c r="IBP148" s="537"/>
      <c r="IBQ148" s="537"/>
      <c r="IBR148" s="537"/>
      <c r="IBS148" s="537"/>
      <c r="IBT148" s="537"/>
      <c r="IBU148" s="537"/>
      <c r="IBV148" s="537"/>
      <c r="IBW148" s="537"/>
      <c r="IBX148" s="537"/>
      <c r="IBY148" s="537"/>
      <c r="IBZ148" s="537"/>
      <c r="ICA148" s="537"/>
      <c r="ICB148" s="537"/>
      <c r="ICC148" s="537"/>
      <c r="ICD148" s="537"/>
      <c r="ICE148" s="537"/>
      <c r="ICF148" s="537"/>
      <c r="ICG148" s="537"/>
      <c r="ICH148" s="537"/>
      <c r="ICI148" s="537"/>
      <c r="ICJ148" s="537"/>
      <c r="ICK148" s="537"/>
      <c r="ICL148" s="537"/>
      <c r="ICM148" s="537"/>
      <c r="ICN148" s="537"/>
      <c r="ICO148" s="537"/>
      <c r="ICP148" s="537"/>
      <c r="ICQ148" s="537"/>
      <c r="ICR148" s="537"/>
      <c r="ICS148" s="537"/>
      <c r="ICT148" s="537"/>
      <c r="ICU148" s="537"/>
      <c r="ICV148" s="537"/>
      <c r="ICW148" s="537"/>
      <c r="ICX148" s="537"/>
      <c r="ICY148" s="537"/>
      <c r="ICZ148" s="537"/>
      <c r="IDA148" s="537"/>
      <c r="IDB148" s="537"/>
      <c r="IDC148" s="537"/>
      <c r="IDD148" s="537"/>
      <c r="IDE148" s="537"/>
      <c r="IDF148" s="537"/>
      <c r="IDG148" s="537"/>
      <c r="IDH148" s="537"/>
      <c r="IDI148" s="537"/>
      <c r="IDJ148" s="537"/>
      <c r="IDK148" s="537"/>
      <c r="IDL148" s="537"/>
      <c r="IDM148" s="537"/>
      <c r="IDN148" s="537"/>
      <c r="IDO148" s="537"/>
      <c r="IDP148" s="537"/>
      <c r="IDQ148" s="537"/>
      <c r="IDR148" s="537"/>
      <c r="IDS148" s="537"/>
      <c r="IDT148" s="537"/>
      <c r="IDU148" s="537"/>
      <c r="IDV148" s="537"/>
      <c r="IDW148" s="537"/>
      <c r="IDX148" s="537"/>
      <c r="IDY148" s="537"/>
      <c r="IDZ148" s="537"/>
      <c r="IEA148" s="537"/>
      <c r="IEB148" s="537"/>
      <c r="IEC148" s="537"/>
      <c r="IED148" s="537"/>
      <c r="IEE148" s="537"/>
      <c r="IEF148" s="537"/>
      <c r="IEG148" s="537"/>
      <c r="IEH148" s="537"/>
      <c r="IEI148" s="537"/>
      <c r="IEJ148" s="537"/>
      <c r="IEK148" s="537"/>
      <c r="IEL148" s="537"/>
      <c r="IEM148" s="537"/>
      <c r="IEN148" s="537"/>
      <c r="IEO148" s="537"/>
      <c r="IEP148" s="537"/>
      <c r="IEQ148" s="537"/>
      <c r="IER148" s="537"/>
      <c r="IES148" s="537"/>
      <c r="IET148" s="537"/>
      <c r="IEU148" s="537"/>
      <c r="IEV148" s="537"/>
      <c r="IEW148" s="537"/>
      <c r="IEX148" s="537"/>
      <c r="IEY148" s="537"/>
      <c r="IEZ148" s="537"/>
      <c r="IFA148" s="537"/>
      <c r="IFB148" s="537"/>
      <c r="IFC148" s="537"/>
      <c r="IFD148" s="537"/>
      <c r="IFE148" s="537"/>
      <c r="IFF148" s="537"/>
      <c r="IFG148" s="537"/>
      <c r="IFH148" s="537"/>
      <c r="IFI148" s="537"/>
      <c r="IFJ148" s="537"/>
      <c r="IFK148" s="537"/>
      <c r="IFL148" s="537"/>
      <c r="IFM148" s="537"/>
      <c r="IFN148" s="537"/>
      <c r="IFO148" s="537"/>
      <c r="IFP148" s="537"/>
      <c r="IFQ148" s="537"/>
      <c r="IFR148" s="537"/>
      <c r="IFS148" s="537"/>
      <c r="IFT148" s="537"/>
      <c r="IFU148" s="537"/>
      <c r="IFV148" s="537"/>
      <c r="IFW148" s="537"/>
      <c r="IFX148" s="537"/>
      <c r="IFY148" s="537"/>
      <c r="IFZ148" s="537"/>
      <c r="IGA148" s="537"/>
      <c r="IGB148" s="537"/>
      <c r="IGC148" s="537"/>
      <c r="IGD148" s="537"/>
      <c r="IGE148" s="537"/>
      <c r="IGF148" s="537"/>
      <c r="IGG148" s="537"/>
      <c r="IGH148" s="537"/>
      <c r="IGI148" s="537"/>
      <c r="IGJ148" s="537"/>
      <c r="IGK148" s="537"/>
      <c r="IGL148" s="537"/>
      <c r="IGM148" s="537"/>
      <c r="IGN148" s="537"/>
      <c r="IGO148" s="537"/>
      <c r="IGP148" s="537"/>
      <c r="IGQ148" s="537"/>
      <c r="IGR148" s="537"/>
      <c r="IGS148" s="537"/>
      <c r="IGT148" s="537"/>
      <c r="IGU148" s="537"/>
      <c r="IGV148" s="537"/>
      <c r="IGW148" s="537"/>
      <c r="IGX148" s="537"/>
      <c r="IGY148" s="537"/>
      <c r="IGZ148" s="537"/>
      <c r="IHA148" s="537"/>
      <c r="IHB148" s="537"/>
      <c r="IHC148" s="537"/>
      <c r="IHD148" s="537"/>
      <c r="IHE148" s="537"/>
      <c r="IHF148" s="537"/>
      <c r="IHG148" s="537"/>
      <c r="IHH148" s="537"/>
      <c r="IHI148" s="537"/>
      <c r="IHJ148" s="537"/>
      <c r="IHK148" s="537"/>
      <c r="IHL148" s="537"/>
      <c r="IHM148" s="537"/>
      <c r="IHN148" s="537"/>
      <c r="IHO148" s="537"/>
      <c r="IHP148" s="537"/>
      <c r="IHQ148" s="537"/>
      <c r="IHR148" s="537"/>
      <c r="IHS148" s="537"/>
      <c r="IHT148" s="537"/>
      <c r="IHU148" s="537"/>
      <c r="IHV148" s="537"/>
      <c r="IHW148" s="537"/>
      <c r="IHX148" s="537"/>
      <c r="IHY148" s="537"/>
      <c r="IHZ148" s="537"/>
      <c r="IIA148" s="537"/>
      <c r="IIB148" s="537"/>
      <c r="IIC148" s="537"/>
      <c r="IID148" s="537"/>
      <c r="IIE148" s="537"/>
      <c r="IIF148" s="537"/>
      <c r="IIG148" s="537"/>
      <c r="IIH148" s="537"/>
      <c r="III148" s="537"/>
      <c r="IIJ148" s="537"/>
      <c r="IIK148" s="537"/>
      <c r="IIL148" s="537"/>
      <c r="IIM148" s="537"/>
      <c r="IIN148" s="537"/>
      <c r="IIO148" s="537"/>
      <c r="IIP148" s="537"/>
      <c r="IIQ148" s="537"/>
      <c r="IIR148" s="537"/>
      <c r="IIS148" s="537"/>
      <c r="IIT148" s="537"/>
      <c r="IIU148" s="537"/>
      <c r="IIV148" s="537"/>
      <c r="IIW148" s="537"/>
      <c r="IIX148" s="537"/>
      <c r="IIY148" s="537"/>
      <c r="IIZ148" s="537"/>
      <c r="IJA148" s="537"/>
      <c r="IJB148" s="537"/>
      <c r="IJC148" s="537"/>
      <c r="IJD148" s="537"/>
      <c r="IJE148" s="537"/>
      <c r="IJF148" s="537"/>
      <c r="IJG148" s="537"/>
      <c r="IJH148" s="537"/>
      <c r="IJI148" s="537"/>
      <c r="IJJ148" s="537"/>
      <c r="IJK148" s="537"/>
      <c r="IJL148" s="537"/>
      <c r="IJM148" s="537"/>
      <c r="IJN148" s="537"/>
      <c r="IJO148" s="537"/>
      <c r="IJP148" s="537"/>
      <c r="IJQ148" s="537"/>
      <c r="IJR148" s="537"/>
      <c r="IJS148" s="537"/>
      <c r="IJT148" s="537"/>
      <c r="IJU148" s="537"/>
      <c r="IJV148" s="537"/>
      <c r="IJW148" s="537"/>
      <c r="IJX148" s="537"/>
      <c r="IJY148" s="537"/>
      <c r="IJZ148" s="537"/>
      <c r="IKA148" s="537"/>
      <c r="IKB148" s="537"/>
      <c r="IKC148" s="537"/>
      <c r="IKD148" s="537"/>
      <c r="IKE148" s="537"/>
      <c r="IKF148" s="537"/>
      <c r="IKG148" s="537"/>
      <c r="IKH148" s="537"/>
      <c r="IKI148" s="537"/>
      <c r="IKJ148" s="537"/>
      <c r="IKK148" s="537"/>
      <c r="IKL148" s="537"/>
      <c r="IKM148" s="537"/>
      <c r="IKN148" s="537"/>
      <c r="IKO148" s="537"/>
      <c r="IKP148" s="537"/>
      <c r="IKQ148" s="537"/>
      <c r="IKR148" s="537"/>
      <c r="IKS148" s="537"/>
      <c r="IKT148" s="537"/>
      <c r="IKU148" s="537"/>
      <c r="IKV148" s="537"/>
      <c r="IKW148" s="537"/>
      <c r="IKX148" s="537"/>
      <c r="IKY148" s="537"/>
      <c r="IKZ148" s="537"/>
      <c r="ILA148" s="537"/>
      <c r="ILB148" s="537"/>
      <c r="ILC148" s="537"/>
      <c r="ILD148" s="537"/>
      <c r="ILE148" s="537"/>
      <c r="ILF148" s="537"/>
      <c r="ILG148" s="537"/>
      <c r="ILH148" s="537"/>
      <c r="ILI148" s="537"/>
      <c r="ILJ148" s="537"/>
      <c r="ILK148" s="537"/>
      <c r="ILL148" s="537"/>
      <c r="ILM148" s="537"/>
      <c r="ILN148" s="537"/>
      <c r="ILO148" s="537"/>
      <c r="ILP148" s="537"/>
      <c r="ILQ148" s="537"/>
      <c r="ILR148" s="537"/>
      <c r="ILS148" s="537"/>
      <c r="ILT148" s="537"/>
      <c r="ILU148" s="537"/>
      <c r="ILV148" s="537"/>
      <c r="ILW148" s="537"/>
      <c r="ILX148" s="537"/>
      <c r="ILY148" s="537"/>
      <c r="ILZ148" s="537"/>
      <c r="IMA148" s="537"/>
      <c r="IMB148" s="537"/>
      <c r="IMC148" s="537"/>
      <c r="IMD148" s="537"/>
      <c r="IME148" s="537"/>
      <c r="IMF148" s="537"/>
      <c r="IMG148" s="537"/>
      <c r="IMH148" s="537"/>
      <c r="IMI148" s="537"/>
      <c r="IMJ148" s="537"/>
      <c r="IMK148" s="537"/>
      <c r="IML148" s="537"/>
      <c r="IMM148" s="537"/>
      <c r="IMN148" s="537"/>
      <c r="IMO148" s="537"/>
      <c r="IMP148" s="537"/>
      <c r="IMQ148" s="537"/>
      <c r="IMR148" s="537"/>
      <c r="IMS148" s="537"/>
      <c r="IMT148" s="537"/>
      <c r="IMU148" s="537"/>
      <c r="IMV148" s="537"/>
      <c r="IMW148" s="537"/>
      <c r="IMX148" s="537"/>
      <c r="IMY148" s="537"/>
      <c r="IMZ148" s="537"/>
      <c r="INA148" s="537"/>
      <c r="INB148" s="537"/>
      <c r="INC148" s="537"/>
      <c r="IND148" s="537"/>
      <c r="INE148" s="537"/>
      <c r="INF148" s="537"/>
      <c r="ING148" s="537"/>
      <c r="INH148" s="537"/>
      <c r="INI148" s="537"/>
      <c r="INJ148" s="537"/>
      <c r="INK148" s="537"/>
      <c r="INL148" s="537"/>
      <c r="INM148" s="537"/>
      <c r="INN148" s="537"/>
      <c r="INO148" s="537"/>
      <c r="INP148" s="537"/>
      <c r="INQ148" s="537"/>
      <c r="INR148" s="537"/>
      <c r="INS148" s="537"/>
      <c r="INT148" s="537"/>
      <c r="INU148" s="537"/>
      <c r="INV148" s="537"/>
      <c r="INW148" s="537"/>
      <c r="INX148" s="537"/>
      <c r="INY148" s="537"/>
      <c r="INZ148" s="537"/>
      <c r="IOA148" s="537"/>
      <c r="IOB148" s="537"/>
      <c r="IOC148" s="537"/>
      <c r="IOD148" s="537"/>
      <c r="IOE148" s="537"/>
      <c r="IOF148" s="537"/>
      <c r="IOG148" s="537"/>
      <c r="IOH148" s="537"/>
      <c r="IOI148" s="537"/>
      <c r="IOJ148" s="537"/>
      <c r="IOK148" s="537"/>
      <c r="IOL148" s="537"/>
      <c r="IOM148" s="537"/>
      <c r="ION148" s="537"/>
      <c r="IOO148" s="537"/>
      <c r="IOP148" s="537"/>
      <c r="IOQ148" s="537"/>
      <c r="IOR148" s="537"/>
      <c r="IOS148" s="537"/>
      <c r="IOT148" s="537"/>
      <c r="IOU148" s="537"/>
      <c r="IOV148" s="537"/>
      <c r="IOW148" s="537"/>
      <c r="IOX148" s="537"/>
      <c r="IOY148" s="537"/>
      <c r="IOZ148" s="537"/>
      <c r="IPA148" s="537"/>
      <c r="IPB148" s="537"/>
      <c r="IPC148" s="537"/>
      <c r="IPD148" s="537"/>
      <c r="IPE148" s="537"/>
      <c r="IPF148" s="537"/>
      <c r="IPG148" s="537"/>
      <c r="IPH148" s="537"/>
      <c r="IPI148" s="537"/>
      <c r="IPJ148" s="537"/>
      <c r="IPK148" s="537"/>
      <c r="IPL148" s="537"/>
      <c r="IPM148" s="537"/>
      <c r="IPN148" s="537"/>
      <c r="IPO148" s="537"/>
      <c r="IPP148" s="537"/>
      <c r="IPQ148" s="537"/>
      <c r="IPR148" s="537"/>
      <c r="IPS148" s="537"/>
      <c r="IPT148" s="537"/>
      <c r="IPU148" s="537"/>
      <c r="IPV148" s="537"/>
      <c r="IPW148" s="537"/>
      <c r="IPX148" s="537"/>
      <c r="IPY148" s="537"/>
      <c r="IPZ148" s="537"/>
      <c r="IQA148" s="537"/>
      <c r="IQB148" s="537"/>
      <c r="IQC148" s="537"/>
      <c r="IQD148" s="537"/>
      <c r="IQE148" s="537"/>
      <c r="IQF148" s="537"/>
      <c r="IQG148" s="537"/>
      <c r="IQH148" s="537"/>
      <c r="IQI148" s="537"/>
      <c r="IQJ148" s="537"/>
      <c r="IQK148" s="537"/>
      <c r="IQL148" s="537"/>
      <c r="IQM148" s="537"/>
      <c r="IQN148" s="537"/>
      <c r="IQO148" s="537"/>
      <c r="IQP148" s="537"/>
      <c r="IQQ148" s="537"/>
      <c r="IQR148" s="537"/>
      <c r="IQS148" s="537"/>
      <c r="IQT148" s="537"/>
      <c r="IQU148" s="537"/>
      <c r="IQV148" s="537"/>
      <c r="IQW148" s="537"/>
      <c r="IQX148" s="537"/>
      <c r="IQY148" s="537"/>
      <c r="IQZ148" s="537"/>
      <c r="IRA148" s="537"/>
      <c r="IRB148" s="537"/>
      <c r="IRC148" s="537"/>
      <c r="IRD148" s="537"/>
      <c r="IRE148" s="537"/>
      <c r="IRF148" s="537"/>
      <c r="IRG148" s="537"/>
      <c r="IRH148" s="537"/>
      <c r="IRI148" s="537"/>
      <c r="IRJ148" s="537"/>
      <c r="IRK148" s="537"/>
      <c r="IRL148" s="537"/>
      <c r="IRM148" s="537"/>
      <c r="IRN148" s="537"/>
      <c r="IRO148" s="537"/>
      <c r="IRP148" s="537"/>
      <c r="IRQ148" s="537"/>
      <c r="IRR148" s="537"/>
      <c r="IRS148" s="537"/>
      <c r="IRT148" s="537"/>
      <c r="IRU148" s="537"/>
      <c r="IRV148" s="537"/>
      <c r="IRW148" s="537"/>
      <c r="IRX148" s="537"/>
      <c r="IRY148" s="537"/>
      <c r="IRZ148" s="537"/>
      <c r="ISA148" s="537"/>
      <c r="ISB148" s="537"/>
      <c r="ISC148" s="537"/>
      <c r="ISD148" s="537"/>
      <c r="ISE148" s="537"/>
      <c r="ISF148" s="537"/>
      <c r="ISG148" s="537"/>
      <c r="ISH148" s="537"/>
      <c r="ISI148" s="537"/>
      <c r="ISJ148" s="537"/>
      <c r="ISK148" s="537"/>
      <c r="ISL148" s="537"/>
      <c r="ISM148" s="537"/>
      <c r="ISN148" s="537"/>
      <c r="ISO148" s="537"/>
      <c r="ISP148" s="537"/>
      <c r="ISQ148" s="537"/>
      <c r="ISR148" s="537"/>
      <c r="ISS148" s="537"/>
      <c r="IST148" s="537"/>
      <c r="ISU148" s="537"/>
      <c r="ISV148" s="537"/>
      <c r="ISW148" s="537"/>
      <c r="ISX148" s="537"/>
      <c r="ISY148" s="537"/>
      <c r="ISZ148" s="537"/>
      <c r="ITA148" s="537"/>
      <c r="ITB148" s="537"/>
      <c r="ITC148" s="537"/>
      <c r="ITD148" s="537"/>
      <c r="ITE148" s="537"/>
      <c r="ITF148" s="537"/>
      <c r="ITG148" s="537"/>
      <c r="ITH148" s="537"/>
      <c r="ITI148" s="537"/>
      <c r="ITJ148" s="537"/>
      <c r="ITK148" s="537"/>
      <c r="ITL148" s="537"/>
      <c r="ITM148" s="537"/>
      <c r="ITN148" s="537"/>
      <c r="ITO148" s="537"/>
      <c r="ITP148" s="537"/>
      <c r="ITQ148" s="537"/>
      <c r="ITR148" s="537"/>
      <c r="ITS148" s="537"/>
      <c r="ITT148" s="537"/>
      <c r="ITU148" s="537"/>
      <c r="ITV148" s="537"/>
      <c r="ITW148" s="537"/>
      <c r="ITX148" s="537"/>
      <c r="ITY148" s="537"/>
      <c r="ITZ148" s="537"/>
      <c r="IUA148" s="537"/>
      <c r="IUB148" s="537"/>
      <c r="IUC148" s="537"/>
      <c r="IUD148" s="537"/>
      <c r="IUE148" s="537"/>
      <c r="IUF148" s="537"/>
      <c r="IUG148" s="537"/>
      <c r="IUH148" s="537"/>
      <c r="IUI148" s="537"/>
      <c r="IUJ148" s="537"/>
      <c r="IUK148" s="537"/>
      <c r="IUL148" s="537"/>
      <c r="IUM148" s="537"/>
      <c r="IUN148" s="537"/>
      <c r="IUO148" s="537"/>
      <c r="IUP148" s="537"/>
      <c r="IUQ148" s="537"/>
      <c r="IUR148" s="537"/>
      <c r="IUS148" s="537"/>
      <c r="IUT148" s="537"/>
      <c r="IUU148" s="537"/>
      <c r="IUV148" s="537"/>
      <c r="IUW148" s="537"/>
      <c r="IUX148" s="537"/>
      <c r="IUY148" s="537"/>
      <c r="IUZ148" s="537"/>
      <c r="IVA148" s="537"/>
      <c r="IVB148" s="537"/>
      <c r="IVC148" s="537"/>
      <c r="IVD148" s="537"/>
      <c r="IVE148" s="537"/>
      <c r="IVF148" s="537"/>
      <c r="IVG148" s="537"/>
      <c r="IVH148" s="537"/>
      <c r="IVI148" s="537"/>
      <c r="IVJ148" s="537"/>
      <c r="IVK148" s="537"/>
      <c r="IVL148" s="537"/>
      <c r="IVM148" s="537"/>
      <c r="IVN148" s="537"/>
      <c r="IVO148" s="537"/>
      <c r="IVP148" s="537"/>
      <c r="IVQ148" s="537"/>
      <c r="IVR148" s="537"/>
      <c r="IVS148" s="537"/>
      <c r="IVT148" s="537"/>
      <c r="IVU148" s="537"/>
      <c r="IVV148" s="537"/>
      <c r="IVW148" s="537"/>
      <c r="IVX148" s="537"/>
      <c r="IVY148" s="537"/>
      <c r="IVZ148" s="537"/>
      <c r="IWA148" s="537"/>
      <c r="IWB148" s="537"/>
      <c r="IWC148" s="537"/>
      <c r="IWD148" s="537"/>
      <c r="IWE148" s="537"/>
      <c r="IWF148" s="537"/>
      <c r="IWG148" s="537"/>
      <c r="IWH148" s="537"/>
      <c r="IWI148" s="537"/>
      <c r="IWJ148" s="537"/>
      <c r="IWK148" s="537"/>
      <c r="IWL148" s="537"/>
      <c r="IWM148" s="537"/>
      <c r="IWN148" s="537"/>
      <c r="IWO148" s="537"/>
      <c r="IWP148" s="537"/>
      <c r="IWQ148" s="537"/>
      <c r="IWR148" s="537"/>
      <c r="IWS148" s="537"/>
      <c r="IWT148" s="537"/>
      <c r="IWU148" s="537"/>
      <c r="IWV148" s="537"/>
      <c r="IWW148" s="537"/>
      <c r="IWX148" s="537"/>
      <c r="IWY148" s="537"/>
      <c r="IWZ148" s="537"/>
      <c r="IXA148" s="537"/>
      <c r="IXB148" s="537"/>
      <c r="IXC148" s="537"/>
      <c r="IXD148" s="537"/>
      <c r="IXE148" s="537"/>
      <c r="IXF148" s="537"/>
      <c r="IXG148" s="537"/>
      <c r="IXH148" s="537"/>
      <c r="IXI148" s="537"/>
      <c r="IXJ148" s="537"/>
      <c r="IXK148" s="537"/>
      <c r="IXL148" s="537"/>
      <c r="IXM148" s="537"/>
      <c r="IXN148" s="537"/>
      <c r="IXO148" s="537"/>
      <c r="IXP148" s="537"/>
      <c r="IXQ148" s="537"/>
      <c r="IXR148" s="537"/>
      <c r="IXS148" s="537"/>
      <c r="IXT148" s="537"/>
      <c r="IXU148" s="537"/>
      <c r="IXV148" s="537"/>
      <c r="IXW148" s="537"/>
      <c r="IXX148" s="537"/>
      <c r="IXY148" s="537"/>
      <c r="IXZ148" s="537"/>
      <c r="IYA148" s="537"/>
      <c r="IYB148" s="537"/>
      <c r="IYC148" s="537"/>
      <c r="IYD148" s="537"/>
      <c r="IYE148" s="537"/>
      <c r="IYF148" s="537"/>
      <c r="IYG148" s="537"/>
      <c r="IYH148" s="537"/>
      <c r="IYI148" s="537"/>
      <c r="IYJ148" s="537"/>
      <c r="IYK148" s="537"/>
      <c r="IYL148" s="537"/>
      <c r="IYM148" s="537"/>
      <c r="IYN148" s="537"/>
      <c r="IYO148" s="537"/>
      <c r="IYP148" s="537"/>
      <c r="IYQ148" s="537"/>
      <c r="IYR148" s="537"/>
      <c r="IYS148" s="537"/>
      <c r="IYT148" s="537"/>
      <c r="IYU148" s="537"/>
      <c r="IYV148" s="537"/>
      <c r="IYW148" s="537"/>
      <c r="IYX148" s="537"/>
      <c r="IYY148" s="537"/>
      <c r="IYZ148" s="537"/>
      <c r="IZA148" s="537"/>
      <c r="IZB148" s="537"/>
      <c r="IZC148" s="537"/>
      <c r="IZD148" s="537"/>
      <c r="IZE148" s="537"/>
      <c r="IZF148" s="537"/>
      <c r="IZG148" s="537"/>
      <c r="IZH148" s="537"/>
      <c r="IZI148" s="537"/>
      <c r="IZJ148" s="537"/>
      <c r="IZK148" s="537"/>
      <c r="IZL148" s="537"/>
      <c r="IZM148" s="537"/>
      <c r="IZN148" s="537"/>
      <c r="IZO148" s="537"/>
      <c r="IZP148" s="537"/>
      <c r="IZQ148" s="537"/>
      <c r="IZR148" s="537"/>
      <c r="IZS148" s="537"/>
      <c r="IZT148" s="537"/>
      <c r="IZU148" s="537"/>
      <c r="IZV148" s="537"/>
      <c r="IZW148" s="537"/>
      <c r="IZX148" s="537"/>
      <c r="IZY148" s="537"/>
      <c r="IZZ148" s="537"/>
      <c r="JAA148" s="537"/>
      <c r="JAB148" s="537"/>
      <c r="JAC148" s="537"/>
      <c r="JAD148" s="537"/>
      <c r="JAE148" s="537"/>
      <c r="JAF148" s="537"/>
      <c r="JAG148" s="537"/>
      <c r="JAH148" s="537"/>
      <c r="JAI148" s="537"/>
      <c r="JAJ148" s="537"/>
      <c r="JAK148" s="537"/>
      <c r="JAL148" s="537"/>
      <c r="JAM148" s="537"/>
      <c r="JAN148" s="537"/>
      <c r="JAO148" s="537"/>
      <c r="JAP148" s="537"/>
      <c r="JAQ148" s="537"/>
      <c r="JAR148" s="537"/>
      <c r="JAS148" s="537"/>
      <c r="JAT148" s="537"/>
      <c r="JAU148" s="537"/>
      <c r="JAV148" s="537"/>
      <c r="JAW148" s="537"/>
      <c r="JAX148" s="537"/>
      <c r="JAY148" s="537"/>
      <c r="JAZ148" s="537"/>
      <c r="JBA148" s="537"/>
      <c r="JBB148" s="537"/>
      <c r="JBC148" s="537"/>
      <c r="JBD148" s="537"/>
      <c r="JBE148" s="537"/>
      <c r="JBF148" s="537"/>
      <c r="JBG148" s="537"/>
      <c r="JBH148" s="537"/>
      <c r="JBI148" s="537"/>
      <c r="JBJ148" s="537"/>
      <c r="JBK148" s="537"/>
      <c r="JBL148" s="537"/>
      <c r="JBM148" s="537"/>
      <c r="JBN148" s="537"/>
      <c r="JBO148" s="537"/>
      <c r="JBP148" s="537"/>
      <c r="JBQ148" s="537"/>
      <c r="JBR148" s="537"/>
      <c r="JBS148" s="537"/>
      <c r="JBT148" s="537"/>
      <c r="JBU148" s="537"/>
      <c r="JBV148" s="537"/>
      <c r="JBW148" s="537"/>
      <c r="JBX148" s="537"/>
      <c r="JBY148" s="537"/>
      <c r="JBZ148" s="537"/>
      <c r="JCA148" s="537"/>
      <c r="JCB148" s="537"/>
      <c r="JCC148" s="537"/>
      <c r="JCD148" s="537"/>
      <c r="JCE148" s="537"/>
      <c r="JCF148" s="537"/>
      <c r="JCG148" s="537"/>
      <c r="JCH148" s="537"/>
      <c r="JCI148" s="537"/>
      <c r="JCJ148" s="537"/>
      <c r="JCK148" s="537"/>
      <c r="JCL148" s="537"/>
      <c r="JCM148" s="537"/>
      <c r="JCN148" s="537"/>
      <c r="JCO148" s="537"/>
      <c r="JCP148" s="537"/>
      <c r="JCQ148" s="537"/>
      <c r="JCR148" s="537"/>
      <c r="JCS148" s="537"/>
      <c r="JCT148" s="537"/>
      <c r="JCU148" s="537"/>
      <c r="JCV148" s="537"/>
      <c r="JCW148" s="537"/>
      <c r="JCX148" s="537"/>
      <c r="JCY148" s="537"/>
      <c r="JCZ148" s="537"/>
      <c r="JDA148" s="537"/>
      <c r="JDB148" s="537"/>
      <c r="JDC148" s="537"/>
      <c r="JDD148" s="537"/>
      <c r="JDE148" s="537"/>
      <c r="JDF148" s="537"/>
      <c r="JDG148" s="537"/>
      <c r="JDH148" s="537"/>
      <c r="JDI148" s="537"/>
      <c r="JDJ148" s="537"/>
      <c r="JDK148" s="537"/>
      <c r="JDL148" s="537"/>
      <c r="JDM148" s="537"/>
      <c r="JDN148" s="537"/>
      <c r="JDO148" s="537"/>
      <c r="JDP148" s="537"/>
      <c r="JDQ148" s="537"/>
      <c r="JDR148" s="537"/>
      <c r="JDS148" s="537"/>
      <c r="JDT148" s="537"/>
      <c r="JDU148" s="537"/>
      <c r="JDV148" s="537"/>
      <c r="JDW148" s="537"/>
      <c r="JDX148" s="537"/>
      <c r="JDY148" s="537"/>
      <c r="JDZ148" s="537"/>
      <c r="JEA148" s="537"/>
      <c r="JEB148" s="537"/>
      <c r="JEC148" s="537"/>
      <c r="JED148" s="537"/>
      <c r="JEE148" s="537"/>
      <c r="JEF148" s="537"/>
      <c r="JEG148" s="537"/>
      <c r="JEH148" s="537"/>
      <c r="JEI148" s="537"/>
      <c r="JEJ148" s="537"/>
      <c r="JEK148" s="537"/>
      <c r="JEL148" s="537"/>
      <c r="JEM148" s="537"/>
      <c r="JEN148" s="537"/>
      <c r="JEO148" s="537"/>
      <c r="JEP148" s="537"/>
      <c r="JEQ148" s="537"/>
      <c r="JER148" s="537"/>
      <c r="JES148" s="537"/>
      <c r="JET148" s="537"/>
      <c r="JEU148" s="537"/>
      <c r="JEV148" s="537"/>
      <c r="JEW148" s="537"/>
      <c r="JEX148" s="537"/>
      <c r="JEY148" s="537"/>
      <c r="JEZ148" s="537"/>
      <c r="JFA148" s="537"/>
      <c r="JFB148" s="537"/>
      <c r="JFC148" s="537"/>
      <c r="JFD148" s="537"/>
      <c r="JFE148" s="537"/>
      <c r="JFF148" s="537"/>
      <c r="JFG148" s="537"/>
      <c r="JFH148" s="537"/>
      <c r="JFI148" s="537"/>
      <c r="JFJ148" s="537"/>
      <c r="JFK148" s="537"/>
      <c r="JFL148" s="537"/>
      <c r="JFM148" s="537"/>
      <c r="JFN148" s="537"/>
      <c r="JFO148" s="537"/>
      <c r="JFP148" s="537"/>
      <c r="JFQ148" s="537"/>
      <c r="JFR148" s="537"/>
      <c r="JFS148" s="537"/>
      <c r="JFT148" s="537"/>
      <c r="JFU148" s="537"/>
      <c r="JFV148" s="537"/>
      <c r="JFW148" s="537"/>
      <c r="JFX148" s="537"/>
      <c r="JFY148" s="537"/>
      <c r="JFZ148" s="537"/>
      <c r="JGA148" s="537"/>
      <c r="JGB148" s="537"/>
      <c r="JGC148" s="537"/>
      <c r="JGD148" s="537"/>
      <c r="JGE148" s="537"/>
      <c r="JGF148" s="537"/>
      <c r="JGG148" s="537"/>
      <c r="JGH148" s="537"/>
      <c r="JGI148" s="537"/>
      <c r="JGJ148" s="537"/>
      <c r="JGK148" s="537"/>
      <c r="JGL148" s="537"/>
      <c r="JGM148" s="537"/>
      <c r="JGN148" s="537"/>
      <c r="JGO148" s="537"/>
      <c r="JGP148" s="537"/>
      <c r="JGQ148" s="537"/>
      <c r="JGR148" s="537"/>
      <c r="JGS148" s="537"/>
      <c r="JGT148" s="537"/>
      <c r="JGU148" s="537"/>
      <c r="JGV148" s="537"/>
      <c r="JGW148" s="537"/>
      <c r="JGX148" s="537"/>
      <c r="JGY148" s="537"/>
      <c r="JGZ148" s="537"/>
      <c r="JHA148" s="537"/>
      <c r="JHB148" s="537"/>
      <c r="JHC148" s="537"/>
      <c r="JHD148" s="537"/>
      <c r="JHE148" s="537"/>
      <c r="JHF148" s="537"/>
      <c r="JHG148" s="537"/>
      <c r="JHH148" s="537"/>
      <c r="JHI148" s="537"/>
      <c r="JHJ148" s="537"/>
      <c r="JHK148" s="537"/>
      <c r="JHL148" s="537"/>
      <c r="JHM148" s="537"/>
      <c r="JHN148" s="537"/>
      <c r="JHO148" s="537"/>
      <c r="JHP148" s="537"/>
      <c r="JHQ148" s="537"/>
      <c r="JHR148" s="537"/>
      <c r="JHS148" s="537"/>
      <c r="JHT148" s="537"/>
      <c r="JHU148" s="537"/>
      <c r="JHV148" s="537"/>
      <c r="JHW148" s="537"/>
      <c r="JHX148" s="537"/>
      <c r="JHY148" s="537"/>
      <c r="JHZ148" s="537"/>
      <c r="JIA148" s="537"/>
      <c r="JIB148" s="537"/>
      <c r="JIC148" s="537"/>
      <c r="JID148" s="537"/>
      <c r="JIE148" s="537"/>
      <c r="JIF148" s="537"/>
      <c r="JIG148" s="537"/>
      <c r="JIH148" s="537"/>
      <c r="JII148" s="537"/>
      <c r="JIJ148" s="537"/>
      <c r="JIK148" s="537"/>
      <c r="JIL148" s="537"/>
      <c r="JIM148" s="537"/>
      <c r="JIN148" s="537"/>
      <c r="JIO148" s="537"/>
      <c r="JIP148" s="537"/>
      <c r="JIQ148" s="537"/>
      <c r="JIR148" s="537"/>
      <c r="JIS148" s="537"/>
      <c r="JIT148" s="537"/>
      <c r="JIU148" s="537"/>
      <c r="JIV148" s="537"/>
      <c r="JIW148" s="537"/>
      <c r="JIX148" s="537"/>
      <c r="JIY148" s="537"/>
      <c r="JIZ148" s="537"/>
      <c r="JJA148" s="537"/>
      <c r="JJB148" s="537"/>
      <c r="JJC148" s="537"/>
      <c r="JJD148" s="537"/>
      <c r="JJE148" s="537"/>
      <c r="JJF148" s="537"/>
      <c r="JJG148" s="537"/>
      <c r="JJH148" s="537"/>
      <c r="JJI148" s="537"/>
      <c r="JJJ148" s="537"/>
      <c r="JJK148" s="537"/>
      <c r="JJL148" s="537"/>
      <c r="JJM148" s="537"/>
      <c r="JJN148" s="537"/>
      <c r="JJO148" s="537"/>
      <c r="JJP148" s="537"/>
      <c r="JJQ148" s="537"/>
      <c r="JJR148" s="537"/>
      <c r="JJS148" s="537"/>
      <c r="JJT148" s="537"/>
      <c r="JJU148" s="537"/>
      <c r="JJV148" s="537"/>
      <c r="JJW148" s="537"/>
      <c r="JJX148" s="537"/>
      <c r="JJY148" s="537"/>
      <c r="JJZ148" s="537"/>
      <c r="JKA148" s="537"/>
      <c r="JKB148" s="537"/>
      <c r="JKC148" s="537"/>
      <c r="JKD148" s="537"/>
      <c r="JKE148" s="537"/>
      <c r="JKF148" s="537"/>
      <c r="JKG148" s="537"/>
      <c r="JKH148" s="537"/>
      <c r="JKI148" s="537"/>
      <c r="JKJ148" s="537"/>
      <c r="JKK148" s="537"/>
      <c r="JKL148" s="537"/>
      <c r="JKM148" s="537"/>
      <c r="JKN148" s="537"/>
      <c r="JKO148" s="537"/>
      <c r="JKP148" s="537"/>
      <c r="JKQ148" s="537"/>
      <c r="JKR148" s="537"/>
      <c r="JKS148" s="537"/>
      <c r="JKT148" s="537"/>
      <c r="JKU148" s="537"/>
      <c r="JKV148" s="537"/>
      <c r="JKW148" s="537"/>
      <c r="JKX148" s="537"/>
      <c r="JKY148" s="537"/>
      <c r="JKZ148" s="537"/>
      <c r="JLA148" s="537"/>
      <c r="JLB148" s="537"/>
      <c r="JLC148" s="537"/>
      <c r="JLD148" s="537"/>
      <c r="JLE148" s="537"/>
      <c r="JLF148" s="537"/>
      <c r="JLG148" s="537"/>
      <c r="JLH148" s="537"/>
      <c r="JLI148" s="537"/>
      <c r="JLJ148" s="537"/>
      <c r="JLK148" s="537"/>
      <c r="JLL148" s="537"/>
      <c r="JLM148" s="537"/>
      <c r="JLN148" s="537"/>
      <c r="JLO148" s="537"/>
      <c r="JLP148" s="537"/>
      <c r="JLQ148" s="537"/>
      <c r="JLR148" s="537"/>
      <c r="JLS148" s="537"/>
      <c r="JLT148" s="537"/>
      <c r="JLU148" s="537"/>
      <c r="JLV148" s="537"/>
      <c r="JLW148" s="537"/>
      <c r="JLX148" s="537"/>
      <c r="JLY148" s="537"/>
      <c r="JLZ148" s="537"/>
      <c r="JMA148" s="537"/>
      <c r="JMB148" s="537"/>
      <c r="JMC148" s="537"/>
      <c r="JMD148" s="537"/>
      <c r="JME148" s="537"/>
      <c r="JMF148" s="537"/>
      <c r="JMG148" s="537"/>
      <c r="JMH148" s="537"/>
      <c r="JMI148" s="537"/>
      <c r="JMJ148" s="537"/>
      <c r="JMK148" s="537"/>
      <c r="JML148" s="537"/>
      <c r="JMM148" s="537"/>
      <c r="JMN148" s="537"/>
      <c r="JMO148" s="537"/>
      <c r="JMP148" s="537"/>
      <c r="JMQ148" s="537"/>
      <c r="JMR148" s="537"/>
      <c r="JMS148" s="537"/>
      <c r="JMT148" s="537"/>
      <c r="JMU148" s="537"/>
      <c r="JMV148" s="537"/>
      <c r="JMW148" s="537"/>
      <c r="JMX148" s="537"/>
      <c r="JMY148" s="537"/>
      <c r="JMZ148" s="537"/>
      <c r="JNA148" s="537"/>
      <c r="JNB148" s="537"/>
      <c r="JNC148" s="537"/>
      <c r="JND148" s="537"/>
      <c r="JNE148" s="537"/>
      <c r="JNF148" s="537"/>
      <c r="JNG148" s="537"/>
      <c r="JNH148" s="537"/>
      <c r="JNI148" s="537"/>
      <c r="JNJ148" s="537"/>
      <c r="JNK148" s="537"/>
      <c r="JNL148" s="537"/>
      <c r="JNM148" s="537"/>
      <c r="JNN148" s="537"/>
      <c r="JNO148" s="537"/>
      <c r="JNP148" s="537"/>
      <c r="JNQ148" s="537"/>
      <c r="JNR148" s="537"/>
      <c r="JNS148" s="537"/>
      <c r="JNT148" s="537"/>
      <c r="JNU148" s="537"/>
      <c r="JNV148" s="537"/>
      <c r="JNW148" s="537"/>
      <c r="JNX148" s="537"/>
      <c r="JNY148" s="537"/>
      <c r="JNZ148" s="537"/>
      <c r="JOA148" s="537"/>
      <c r="JOB148" s="537"/>
      <c r="JOC148" s="537"/>
      <c r="JOD148" s="537"/>
      <c r="JOE148" s="537"/>
      <c r="JOF148" s="537"/>
      <c r="JOG148" s="537"/>
      <c r="JOH148" s="537"/>
      <c r="JOI148" s="537"/>
      <c r="JOJ148" s="537"/>
      <c r="JOK148" s="537"/>
      <c r="JOL148" s="537"/>
      <c r="JOM148" s="537"/>
      <c r="JON148" s="537"/>
      <c r="JOO148" s="537"/>
      <c r="JOP148" s="537"/>
      <c r="JOQ148" s="537"/>
      <c r="JOR148" s="537"/>
      <c r="JOS148" s="537"/>
      <c r="JOT148" s="537"/>
      <c r="JOU148" s="537"/>
      <c r="JOV148" s="537"/>
      <c r="JOW148" s="537"/>
      <c r="JOX148" s="537"/>
      <c r="JOY148" s="537"/>
      <c r="JOZ148" s="537"/>
      <c r="JPA148" s="537"/>
      <c r="JPB148" s="537"/>
      <c r="JPC148" s="537"/>
      <c r="JPD148" s="537"/>
      <c r="JPE148" s="537"/>
      <c r="JPF148" s="537"/>
      <c r="JPG148" s="537"/>
      <c r="JPH148" s="537"/>
      <c r="JPI148" s="537"/>
      <c r="JPJ148" s="537"/>
      <c r="JPK148" s="537"/>
      <c r="JPL148" s="537"/>
      <c r="JPM148" s="537"/>
      <c r="JPN148" s="537"/>
      <c r="JPO148" s="537"/>
      <c r="JPP148" s="537"/>
      <c r="JPQ148" s="537"/>
      <c r="JPR148" s="537"/>
      <c r="JPS148" s="537"/>
      <c r="JPT148" s="537"/>
      <c r="JPU148" s="537"/>
      <c r="JPV148" s="537"/>
      <c r="JPW148" s="537"/>
      <c r="JPX148" s="537"/>
      <c r="JPY148" s="537"/>
      <c r="JPZ148" s="537"/>
      <c r="JQA148" s="537"/>
      <c r="JQB148" s="537"/>
      <c r="JQC148" s="537"/>
      <c r="JQD148" s="537"/>
      <c r="JQE148" s="537"/>
      <c r="JQF148" s="537"/>
      <c r="JQG148" s="537"/>
      <c r="JQH148" s="537"/>
      <c r="JQI148" s="537"/>
      <c r="JQJ148" s="537"/>
      <c r="JQK148" s="537"/>
      <c r="JQL148" s="537"/>
      <c r="JQM148" s="537"/>
      <c r="JQN148" s="537"/>
      <c r="JQO148" s="537"/>
      <c r="JQP148" s="537"/>
      <c r="JQQ148" s="537"/>
      <c r="JQR148" s="537"/>
      <c r="JQS148" s="537"/>
      <c r="JQT148" s="537"/>
      <c r="JQU148" s="537"/>
      <c r="JQV148" s="537"/>
      <c r="JQW148" s="537"/>
      <c r="JQX148" s="537"/>
      <c r="JQY148" s="537"/>
      <c r="JQZ148" s="537"/>
      <c r="JRA148" s="537"/>
      <c r="JRB148" s="537"/>
      <c r="JRC148" s="537"/>
      <c r="JRD148" s="537"/>
      <c r="JRE148" s="537"/>
      <c r="JRF148" s="537"/>
      <c r="JRG148" s="537"/>
      <c r="JRH148" s="537"/>
      <c r="JRI148" s="537"/>
      <c r="JRJ148" s="537"/>
      <c r="JRK148" s="537"/>
      <c r="JRL148" s="537"/>
      <c r="JRM148" s="537"/>
      <c r="JRN148" s="537"/>
      <c r="JRO148" s="537"/>
      <c r="JRP148" s="537"/>
      <c r="JRQ148" s="537"/>
      <c r="JRR148" s="537"/>
      <c r="JRS148" s="537"/>
      <c r="JRT148" s="537"/>
      <c r="JRU148" s="537"/>
      <c r="JRV148" s="537"/>
      <c r="JRW148" s="537"/>
      <c r="JRX148" s="537"/>
      <c r="JRY148" s="537"/>
      <c r="JRZ148" s="537"/>
      <c r="JSA148" s="537"/>
      <c r="JSB148" s="537"/>
      <c r="JSC148" s="537"/>
      <c r="JSD148" s="537"/>
      <c r="JSE148" s="537"/>
      <c r="JSF148" s="537"/>
      <c r="JSG148" s="537"/>
      <c r="JSH148" s="537"/>
      <c r="JSI148" s="537"/>
      <c r="JSJ148" s="537"/>
      <c r="JSK148" s="537"/>
      <c r="JSL148" s="537"/>
      <c r="JSM148" s="537"/>
      <c r="JSN148" s="537"/>
      <c r="JSO148" s="537"/>
      <c r="JSP148" s="537"/>
      <c r="JSQ148" s="537"/>
      <c r="JSR148" s="537"/>
      <c r="JSS148" s="537"/>
      <c r="JST148" s="537"/>
      <c r="JSU148" s="537"/>
      <c r="JSV148" s="537"/>
      <c r="JSW148" s="537"/>
      <c r="JSX148" s="537"/>
      <c r="JSY148" s="537"/>
      <c r="JSZ148" s="537"/>
      <c r="JTA148" s="537"/>
      <c r="JTB148" s="537"/>
      <c r="JTC148" s="537"/>
      <c r="JTD148" s="537"/>
      <c r="JTE148" s="537"/>
      <c r="JTF148" s="537"/>
      <c r="JTG148" s="537"/>
      <c r="JTH148" s="537"/>
      <c r="JTI148" s="537"/>
      <c r="JTJ148" s="537"/>
      <c r="JTK148" s="537"/>
      <c r="JTL148" s="537"/>
      <c r="JTM148" s="537"/>
      <c r="JTN148" s="537"/>
      <c r="JTO148" s="537"/>
      <c r="JTP148" s="537"/>
      <c r="JTQ148" s="537"/>
      <c r="JTR148" s="537"/>
      <c r="JTS148" s="537"/>
      <c r="JTT148" s="537"/>
      <c r="JTU148" s="537"/>
      <c r="JTV148" s="537"/>
      <c r="JTW148" s="537"/>
      <c r="JTX148" s="537"/>
      <c r="JTY148" s="537"/>
      <c r="JTZ148" s="537"/>
      <c r="JUA148" s="537"/>
      <c r="JUB148" s="537"/>
      <c r="JUC148" s="537"/>
      <c r="JUD148" s="537"/>
      <c r="JUE148" s="537"/>
      <c r="JUF148" s="537"/>
      <c r="JUG148" s="537"/>
      <c r="JUH148" s="537"/>
      <c r="JUI148" s="537"/>
      <c r="JUJ148" s="537"/>
      <c r="JUK148" s="537"/>
      <c r="JUL148" s="537"/>
      <c r="JUM148" s="537"/>
      <c r="JUN148" s="537"/>
      <c r="JUO148" s="537"/>
      <c r="JUP148" s="537"/>
      <c r="JUQ148" s="537"/>
      <c r="JUR148" s="537"/>
      <c r="JUS148" s="537"/>
      <c r="JUT148" s="537"/>
      <c r="JUU148" s="537"/>
      <c r="JUV148" s="537"/>
      <c r="JUW148" s="537"/>
      <c r="JUX148" s="537"/>
      <c r="JUY148" s="537"/>
      <c r="JUZ148" s="537"/>
      <c r="JVA148" s="537"/>
      <c r="JVB148" s="537"/>
      <c r="JVC148" s="537"/>
      <c r="JVD148" s="537"/>
      <c r="JVE148" s="537"/>
      <c r="JVF148" s="537"/>
      <c r="JVG148" s="537"/>
      <c r="JVH148" s="537"/>
      <c r="JVI148" s="537"/>
      <c r="JVJ148" s="537"/>
      <c r="JVK148" s="537"/>
      <c r="JVL148" s="537"/>
      <c r="JVM148" s="537"/>
      <c r="JVN148" s="537"/>
      <c r="JVO148" s="537"/>
      <c r="JVP148" s="537"/>
      <c r="JVQ148" s="537"/>
      <c r="JVR148" s="537"/>
      <c r="JVS148" s="537"/>
      <c r="JVT148" s="537"/>
      <c r="JVU148" s="537"/>
      <c r="JVV148" s="537"/>
      <c r="JVW148" s="537"/>
      <c r="JVX148" s="537"/>
      <c r="JVY148" s="537"/>
      <c r="JVZ148" s="537"/>
      <c r="JWA148" s="537"/>
      <c r="JWB148" s="537"/>
      <c r="JWC148" s="537"/>
      <c r="JWD148" s="537"/>
      <c r="JWE148" s="537"/>
      <c r="JWF148" s="537"/>
      <c r="JWG148" s="537"/>
      <c r="JWH148" s="537"/>
      <c r="JWI148" s="537"/>
      <c r="JWJ148" s="537"/>
      <c r="JWK148" s="537"/>
      <c r="JWL148" s="537"/>
      <c r="JWM148" s="537"/>
      <c r="JWN148" s="537"/>
      <c r="JWO148" s="537"/>
      <c r="JWP148" s="537"/>
      <c r="JWQ148" s="537"/>
      <c r="JWR148" s="537"/>
      <c r="JWS148" s="537"/>
      <c r="JWT148" s="537"/>
      <c r="JWU148" s="537"/>
      <c r="JWV148" s="537"/>
      <c r="JWW148" s="537"/>
      <c r="JWX148" s="537"/>
      <c r="JWY148" s="537"/>
      <c r="JWZ148" s="537"/>
      <c r="JXA148" s="537"/>
      <c r="JXB148" s="537"/>
      <c r="JXC148" s="537"/>
      <c r="JXD148" s="537"/>
      <c r="JXE148" s="537"/>
      <c r="JXF148" s="537"/>
      <c r="JXG148" s="537"/>
      <c r="JXH148" s="537"/>
      <c r="JXI148" s="537"/>
      <c r="JXJ148" s="537"/>
      <c r="JXK148" s="537"/>
      <c r="JXL148" s="537"/>
      <c r="JXM148" s="537"/>
      <c r="JXN148" s="537"/>
      <c r="JXO148" s="537"/>
      <c r="JXP148" s="537"/>
      <c r="JXQ148" s="537"/>
      <c r="JXR148" s="537"/>
      <c r="JXS148" s="537"/>
      <c r="JXT148" s="537"/>
      <c r="JXU148" s="537"/>
      <c r="JXV148" s="537"/>
      <c r="JXW148" s="537"/>
      <c r="JXX148" s="537"/>
      <c r="JXY148" s="537"/>
      <c r="JXZ148" s="537"/>
      <c r="JYA148" s="537"/>
      <c r="JYB148" s="537"/>
      <c r="JYC148" s="537"/>
      <c r="JYD148" s="537"/>
      <c r="JYE148" s="537"/>
      <c r="JYF148" s="537"/>
      <c r="JYG148" s="537"/>
      <c r="JYH148" s="537"/>
      <c r="JYI148" s="537"/>
      <c r="JYJ148" s="537"/>
      <c r="JYK148" s="537"/>
      <c r="JYL148" s="537"/>
      <c r="JYM148" s="537"/>
      <c r="JYN148" s="537"/>
      <c r="JYO148" s="537"/>
      <c r="JYP148" s="537"/>
      <c r="JYQ148" s="537"/>
      <c r="JYR148" s="537"/>
      <c r="JYS148" s="537"/>
      <c r="JYT148" s="537"/>
      <c r="JYU148" s="537"/>
      <c r="JYV148" s="537"/>
      <c r="JYW148" s="537"/>
      <c r="JYX148" s="537"/>
      <c r="JYY148" s="537"/>
      <c r="JYZ148" s="537"/>
      <c r="JZA148" s="537"/>
      <c r="JZB148" s="537"/>
      <c r="JZC148" s="537"/>
      <c r="JZD148" s="537"/>
      <c r="JZE148" s="537"/>
      <c r="JZF148" s="537"/>
      <c r="JZG148" s="537"/>
      <c r="JZH148" s="537"/>
      <c r="JZI148" s="537"/>
      <c r="JZJ148" s="537"/>
      <c r="JZK148" s="537"/>
      <c r="JZL148" s="537"/>
      <c r="JZM148" s="537"/>
      <c r="JZN148" s="537"/>
      <c r="JZO148" s="537"/>
      <c r="JZP148" s="537"/>
      <c r="JZQ148" s="537"/>
      <c r="JZR148" s="537"/>
      <c r="JZS148" s="537"/>
      <c r="JZT148" s="537"/>
      <c r="JZU148" s="537"/>
      <c r="JZV148" s="537"/>
      <c r="JZW148" s="537"/>
      <c r="JZX148" s="537"/>
      <c r="JZY148" s="537"/>
      <c r="JZZ148" s="537"/>
      <c r="KAA148" s="537"/>
      <c r="KAB148" s="537"/>
      <c r="KAC148" s="537"/>
      <c r="KAD148" s="537"/>
      <c r="KAE148" s="537"/>
      <c r="KAF148" s="537"/>
      <c r="KAG148" s="537"/>
      <c r="KAH148" s="537"/>
      <c r="KAI148" s="537"/>
      <c r="KAJ148" s="537"/>
      <c r="KAK148" s="537"/>
      <c r="KAL148" s="537"/>
      <c r="KAM148" s="537"/>
      <c r="KAN148" s="537"/>
      <c r="KAO148" s="537"/>
      <c r="KAP148" s="537"/>
      <c r="KAQ148" s="537"/>
      <c r="KAR148" s="537"/>
      <c r="KAS148" s="537"/>
      <c r="KAT148" s="537"/>
      <c r="KAU148" s="537"/>
      <c r="KAV148" s="537"/>
      <c r="KAW148" s="537"/>
      <c r="KAX148" s="537"/>
      <c r="KAY148" s="537"/>
      <c r="KAZ148" s="537"/>
      <c r="KBA148" s="537"/>
      <c r="KBB148" s="537"/>
      <c r="KBC148" s="537"/>
      <c r="KBD148" s="537"/>
      <c r="KBE148" s="537"/>
      <c r="KBF148" s="537"/>
      <c r="KBG148" s="537"/>
      <c r="KBH148" s="537"/>
      <c r="KBI148" s="537"/>
      <c r="KBJ148" s="537"/>
      <c r="KBK148" s="537"/>
      <c r="KBL148" s="537"/>
      <c r="KBM148" s="537"/>
      <c r="KBN148" s="537"/>
      <c r="KBO148" s="537"/>
      <c r="KBP148" s="537"/>
      <c r="KBQ148" s="537"/>
      <c r="KBR148" s="537"/>
      <c r="KBS148" s="537"/>
      <c r="KBT148" s="537"/>
      <c r="KBU148" s="537"/>
      <c r="KBV148" s="537"/>
      <c r="KBW148" s="537"/>
      <c r="KBX148" s="537"/>
      <c r="KBY148" s="537"/>
      <c r="KBZ148" s="537"/>
      <c r="KCA148" s="537"/>
      <c r="KCB148" s="537"/>
      <c r="KCC148" s="537"/>
      <c r="KCD148" s="537"/>
      <c r="KCE148" s="537"/>
      <c r="KCF148" s="537"/>
      <c r="KCG148" s="537"/>
      <c r="KCH148" s="537"/>
      <c r="KCI148" s="537"/>
      <c r="KCJ148" s="537"/>
      <c r="KCK148" s="537"/>
      <c r="KCL148" s="537"/>
      <c r="KCM148" s="537"/>
      <c r="KCN148" s="537"/>
      <c r="KCO148" s="537"/>
      <c r="KCP148" s="537"/>
      <c r="KCQ148" s="537"/>
      <c r="KCR148" s="537"/>
      <c r="KCS148" s="537"/>
      <c r="KCT148" s="537"/>
      <c r="KCU148" s="537"/>
      <c r="KCV148" s="537"/>
      <c r="KCW148" s="537"/>
      <c r="KCX148" s="537"/>
      <c r="KCY148" s="537"/>
      <c r="KCZ148" s="537"/>
      <c r="KDA148" s="537"/>
      <c r="KDB148" s="537"/>
      <c r="KDC148" s="537"/>
      <c r="KDD148" s="537"/>
      <c r="KDE148" s="537"/>
      <c r="KDF148" s="537"/>
      <c r="KDG148" s="537"/>
      <c r="KDH148" s="537"/>
      <c r="KDI148" s="537"/>
      <c r="KDJ148" s="537"/>
      <c r="KDK148" s="537"/>
      <c r="KDL148" s="537"/>
      <c r="KDM148" s="537"/>
      <c r="KDN148" s="537"/>
      <c r="KDO148" s="537"/>
      <c r="KDP148" s="537"/>
      <c r="KDQ148" s="537"/>
      <c r="KDR148" s="537"/>
      <c r="KDS148" s="537"/>
      <c r="KDT148" s="537"/>
      <c r="KDU148" s="537"/>
      <c r="KDV148" s="537"/>
      <c r="KDW148" s="537"/>
      <c r="KDX148" s="537"/>
      <c r="KDY148" s="537"/>
      <c r="KDZ148" s="537"/>
      <c r="KEA148" s="537"/>
      <c r="KEB148" s="537"/>
      <c r="KEC148" s="537"/>
      <c r="KED148" s="537"/>
      <c r="KEE148" s="537"/>
      <c r="KEF148" s="537"/>
      <c r="KEG148" s="537"/>
      <c r="KEH148" s="537"/>
      <c r="KEI148" s="537"/>
      <c r="KEJ148" s="537"/>
      <c r="KEK148" s="537"/>
      <c r="KEL148" s="537"/>
      <c r="KEM148" s="537"/>
      <c r="KEN148" s="537"/>
      <c r="KEO148" s="537"/>
      <c r="KEP148" s="537"/>
      <c r="KEQ148" s="537"/>
      <c r="KER148" s="537"/>
      <c r="KES148" s="537"/>
      <c r="KET148" s="537"/>
      <c r="KEU148" s="537"/>
      <c r="KEV148" s="537"/>
      <c r="KEW148" s="537"/>
      <c r="KEX148" s="537"/>
      <c r="KEY148" s="537"/>
      <c r="KEZ148" s="537"/>
      <c r="KFA148" s="537"/>
      <c r="KFB148" s="537"/>
      <c r="KFC148" s="537"/>
      <c r="KFD148" s="537"/>
      <c r="KFE148" s="537"/>
      <c r="KFF148" s="537"/>
      <c r="KFG148" s="537"/>
      <c r="KFH148" s="537"/>
      <c r="KFI148" s="537"/>
      <c r="KFJ148" s="537"/>
      <c r="KFK148" s="537"/>
      <c r="KFL148" s="537"/>
      <c r="KFM148" s="537"/>
      <c r="KFN148" s="537"/>
      <c r="KFO148" s="537"/>
      <c r="KFP148" s="537"/>
      <c r="KFQ148" s="537"/>
      <c r="KFR148" s="537"/>
      <c r="KFS148" s="537"/>
      <c r="KFT148" s="537"/>
      <c r="KFU148" s="537"/>
      <c r="KFV148" s="537"/>
      <c r="KFW148" s="537"/>
      <c r="KFX148" s="537"/>
      <c r="KFY148" s="537"/>
      <c r="KFZ148" s="537"/>
      <c r="KGA148" s="537"/>
      <c r="KGB148" s="537"/>
      <c r="KGC148" s="537"/>
      <c r="KGD148" s="537"/>
      <c r="KGE148" s="537"/>
      <c r="KGF148" s="537"/>
      <c r="KGG148" s="537"/>
      <c r="KGH148" s="537"/>
      <c r="KGI148" s="537"/>
      <c r="KGJ148" s="537"/>
      <c r="KGK148" s="537"/>
      <c r="KGL148" s="537"/>
      <c r="KGM148" s="537"/>
      <c r="KGN148" s="537"/>
      <c r="KGO148" s="537"/>
      <c r="KGP148" s="537"/>
      <c r="KGQ148" s="537"/>
      <c r="KGR148" s="537"/>
      <c r="KGS148" s="537"/>
      <c r="KGT148" s="537"/>
      <c r="KGU148" s="537"/>
      <c r="KGV148" s="537"/>
      <c r="KGW148" s="537"/>
      <c r="KGX148" s="537"/>
      <c r="KGY148" s="537"/>
      <c r="KGZ148" s="537"/>
      <c r="KHA148" s="537"/>
      <c r="KHB148" s="537"/>
      <c r="KHC148" s="537"/>
      <c r="KHD148" s="537"/>
      <c r="KHE148" s="537"/>
      <c r="KHF148" s="537"/>
      <c r="KHG148" s="537"/>
      <c r="KHH148" s="537"/>
      <c r="KHI148" s="537"/>
      <c r="KHJ148" s="537"/>
      <c r="KHK148" s="537"/>
      <c r="KHL148" s="537"/>
      <c r="KHM148" s="537"/>
      <c r="KHN148" s="537"/>
      <c r="KHO148" s="537"/>
      <c r="KHP148" s="537"/>
      <c r="KHQ148" s="537"/>
      <c r="KHR148" s="537"/>
      <c r="KHS148" s="537"/>
      <c r="KHT148" s="537"/>
      <c r="KHU148" s="537"/>
      <c r="KHV148" s="537"/>
      <c r="KHW148" s="537"/>
      <c r="KHX148" s="537"/>
      <c r="KHY148" s="537"/>
      <c r="KHZ148" s="537"/>
      <c r="KIA148" s="537"/>
      <c r="KIB148" s="537"/>
      <c r="KIC148" s="537"/>
      <c r="KID148" s="537"/>
      <c r="KIE148" s="537"/>
      <c r="KIF148" s="537"/>
      <c r="KIG148" s="537"/>
      <c r="KIH148" s="537"/>
      <c r="KII148" s="537"/>
      <c r="KIJ148" s="537"/>
      <c r="KIK148" s="537"/>
      <c r="KIL148" s="537"/>
      <c r="KIM148" s="537"/>
      <c r="KIN148" s="537"/>
      <c r="KIO148" s="537"/>
      <c r="KIP148" s="537"/>
      <c r="KIQ148" s="537"/>
      <c r="KIR148" s="537"/>
      <c r="KIS148" s="537"/>
      <c r="KIT148" s="537"/>
      <c r="KIU148" s="537"/>
      <c r="KIV148" s="537"/>
      <c r="KIW148" s="537"/>
      <c r="KIX148" s="537"/>
      <c r="KIY148" s="537"/>
      <c r="KIZ148" s="537"/>
      <c r="KJA148" s="537"/>
      <c r="KJB148" s="537"/>
      <c r="KJC148" s="537"/>
      <c r="KJD148" s="537"/>
      <c r="KJE148" s="537"/>
      <c r="KJF148" s="537"/>
      <c r="KJG148" s="537"/>
      <c r="KJH148" s="537"/>
      <c r="KJI148" s="537"/>
      <c r="KJJ148" s="537"/>
      <c r="KJK148" s="537"/>
      <c r="KJL148" s="537"/>
      <c r="KJM148" s="537"/>
      <c r="KJN148" s="537"/>
      <c r="KJO148" s="537"/>
      <c r="KJP148" s="537"/>
      <c r="KJQ148" s="537"/>
      <c r="KJR148" s="537"/>
      <c r="KJS148" s="537"/>
      <c r="KJT148" s="537"/>
      <c r="KJU148" s="537"/>
      <c r="KJV148" s="537"/>
      <c r="KJW148" s="537"/>
      <c r="KJX148" s="537"/>
      <c r="KJY148" s="537"/>
      <c r="KJZ148" s="537"/>
      <c r="KKA148" s="537"/>
      <c r="KKB148" s="537"/>
      <c r="KKC148" s="537"/>
      <c r="KKD148" s="537"/>
      <c r="KKE148" s="537"/>
      <c r="KKF148" s="537"/>
      <c r="KKG148" s="537"/>
      <c r="KKH148" s="537"/>
      <c r="KKI148" s="537"/>
      <c r="KKJ148" s="537"/>
      <c r="KKK148" s="537"/>
      <c r="KKL148" s="537"/>
      <c r="KKM148" s="537"/>
      <c r="KKN148" s="537"/>
      <c r="KKO148" s="537"/>
      <c r="KKP148" s="537"/>
      <c r="KKQ148" s="537"/>
      <c r="KKR148" s="537"/>
      <c r="KKS148" s="537"/>
      <c r="KKT148" s="537"/>
      <c r="KKU148" s="537"/>
      <c r="KKV148" s="537"/>
      <c r="KKW148" s="537"/>
      <c r="KKX148" s="537"/>
      <c r="KKY148" s="537"/>
      <c r="KKZ148" s="537"/>
      <c r="KLA148" s="537"/>
      <c r="KLB148" s="537"/>
      <c r="KLC148" s="537"/>
      <c r="KLD148" s="537"/>
      <c r="KLE148" s="537"/>
      <c r="KLF148" s="537"/>
      <c r="KLG148" s="537"/>
      <c r="KLH148" s="537"/>
      <c r="KLI148" s="537"/>
      <c r="KLJ148" s="537"/>
      <c r="KLK148" s="537"/>
      <c r="KLL148" s="537"/>
      <c r="KLM148" s="537"/>
      <c r="KLN148" s="537"/>
      <c r="KLO148" s="537"/>
      <c r="KLP148" s="537"/>
      <c r="KLQ148" s="537"/>
      <c r="KLR148" s="537"/>
      <c r="KLS148" s="537"/>
      <c r="KLT148" s="537"/>
      <c r="KLU148" s="537"/>
      <c r="KLV148" s="537"/>
      <c r="KLW148" s="537"/>
      <c r="KLX148" s="537"/>
      <c r="KLY148" s="537"/>
      <c r="KLZ148" s="537"/>
      <c r="KMA148" s="537"/>
      <c r="KMB148" s="537"/>
      <c r="KMC148" s="537"/>
      <c r="KMD148" s="537"/>
      <c r="KME148" s="537"/>
      <c r="KMF148" s="537"/>
      <c r="KMG148" s="537"/>
      <c r="KMH148" s="537"/>
      <c r="KMI148" s="537"/>
      <c r="KMJ148" s="537"/>
      <c r="KMK148" s="537"/>
      <c r="KML148" s="537"/>
      <c r="KMM148" s="537"/>
      <c r="KMN148" s="537"/>
      <c r="KMO148" s="537"/>
      <c r="KMP148" s="537"/>
      <c r="KMQ148" s="537"/>
      <c r="KMR148" s="537"/>
      <c r="KMS148" s="537"/>
      <c r="KMT148" s="537"/>
      <c r="KMU148" s="537"/>
      <c r="KMV148" s="537"/>
      <c r="KMW148" s="537"/>
      <c r="KMX148" s="537"/>
      <c r="KMY148" s="537"/>
      <c r="KMZ148" s="537"/>
      <c r="KNA148" s="537"/>
      <c r="KNB148" s="537"/>
      <c r="KNC148" s="537"/>
      <c r="KND148" s="537"/>
      <c r="KNE148" s="537"/>
      <c r="KNF148" s="537"/>
      <c r="KNG148" s="537"/>
      <c r="KNH148" s="537"/>
      <c r="KNI148" s="537"/>
      <c r="KNJ148" s="537"/>
      <c r="KNK148" s="537"/>
      <c r="KNL148" s="537"/>
      <c r="KNM148" s="537"/>
      <c r="KNN148" s="537"/>
      <c r="KNO148" s="537"/>
      <c r="KNP148" s="537"/>
      <c r="KNQ148" s="537"/>
      <c r="KNR148" s="537"/>
      <c r="KNS148" s="537"/>
      <c r="KNT148" s="537"/>
      <c r="KNU148" s="537"/>
      <c r="KNV148" s="537"/>
      <c r="KNW148" s="537"/>
      <c r="KNX148" s="537"/>
      <c r="KNY148" s="537"/>
      <c r="KNZ148" s="537"/>
      <c r="KOA148" s="537"/>
      <c r="KOB148" s="537"/>
      <c r="KOC148" s="537"/>
      <c r="KOD148" s="537"/>
      <c r="KOE148" s="537"/>
      <c r="KOF148" s="537"/>
      <c r="KOG148" s="537"/>
      <c r="KOH148" s="537"/>
      <c r="KOI148" s="537"/>
      <c r="KOJ148" s="537"/>
      <c r="KOK148" s="537"/>
      <c r="KOL148" s="537"/>
      <c r="KOM148" s="537"/>
      <c r="KON148" s="537"/>
      <c r="KOO148" s="537"/>
      <c r="KOP148" s="537"/>
      <c r="KOQ148" s="537"/>
      <c r="KOR148" s="537"/>
      <c r="KOS148" s="537"/>
      <c r="KOT148" s="537"/>
      <c r="KOU148" s="537"/>
      <c r="KOV148" s="537"/>
      <c r="KOW148" s="537"/>
      <c r="KOX148" s="537"/>
      <c r="KOY148" s="537"/>
      <c r="KOZ148" s="537"/>
      <c r="KPA148" s="537"/>
      <c r="KPB148" s="537"/>
      <c r="KPC148" s="537"/>
      <c r="KPD148" s="537"/>
      <c r="KPE148" s="537"/>
      <c r="KPF148" s="537"/>
      <c r="KPG148" s="537"/>
      <c r="KPH148" s="537"/>
      <c r="KPI148" s="537"/>
      <c r="KPJ148" s="537"/>
      <c r="KPK148" s="537"/>
      <c r="KPL148" s="537"/>
      <c r="KPM148" s="537"/>
      <c r="KPN148" s="537"/>
      <c r="KPO148" s="537"/>
      <c r="KPP148" s="537"/>
      <c r="KPQ148" s="537"/>
      <c r="KPR148" s="537"/>
      <c r="KPS148" s="537"/>
      <c r="KPT148" s="537"/>
      <c r="KPU148" s="537"/>
      <c r="KPV148" s="537"/>
      <c r="KPW148" s="537"/>
      <c r="KPX148" s="537"/>
      <c r="KPY148" s="537"/>
      <c r="KPZ148" s="537"/>
      <c r="KQA148" s="537"/>
      <c r="KQB148" s="537"/>
      <c r="KQC148" s="537"/>
      <c r="KQD148" s="537"/>
      <c r="KQE148" s="537"/>
      <c r="KQF148" s="537"/>
      <c r="KQG148" s="537"/>
      <c r="KQH148" s="537"/>
      <c r="KQI148" s="537"/>
      <c r="KQJ148" s="537"/>
      <c r="KQK148" s="537"/>
      <c r="KQL148" s="537"/>
      <c r="KQM148" s="537"/>
      <c r="KQN148" s="537"/>
      <c r="KQO148" s="537"/>
      <c r="KQP148" s="537"/>
      <c r="KQQ148" s="537"/>
      <c r="KQR148" s="537"/>
      <c r="KQS148" s="537"/>
      <c r="KQT148" s="537"/>
      <c r="KQU148" s="537"/>
      <c r="KQV148" s="537"/>
      <c r="KQW148" s="537"/>
      <c r="KQX148" s="537"/>
      <c r="KQY148" s="537"/>
      <c r="KQZ148" s="537"/>
      <c r="KRA148" s="537"/>
      <c r="KRB148" s="537"/>
      <c r="KRC148" s="537"/>
      <c r="KRD148" s="537"/>
      <c r="KRE148" s="537"/>
      <c r="KRF148" s="537"/>
      <c r="KRG148" s="537"/>
      <c r="KRH148" s="537"/>
      <c r="KRI148" s="537"/>
      <c r="KRJ148" s="537"/>
      <c r="KRK148" s="537"/>
      <c r="KRL148" s="537"/>
      <c r="KRM148" s="537"/>
      <c r="KRN148" s="537"/>
      <c r="KRO148" s="537"/>
      <c r="KRP148" s="537"/>
      <c r="KRQ148" s="537"/>
      <c r="KRR148" s="537"/>
      <c r="KRS148" s="537"/>
      <c r="KRT148" s="537"/>
      <c r="KRU148" s="537"/>
      <c r="KRV148" s="537"/>
      <c r="KRW148" s="537"/>
      <c r="KRX148" s="537"/>
      <c r="KRY148" s="537"/>
      <c r="KRZ148" s="537"/>
      <c r="KSA148" s="537"/>
      <c r="KSB148" s="537"/>
      <c r="KSC148" s="537"/>
      <c r="KSD148" s="537"/>
      <c r="KSE148" s="537"/>
      <c r="KSF148" s="537"/>
      <c r="KSG148" s="537"/>
      <c r="KSH148" s="537"/>
      <c r="KSI148" s="537"/>
      <c r="KSJ148" s="537"/>
      <c r="KSK148" s="537"/>
      <c r="KSL148" s="537"/>
      <c r="KSM148" s="537"/>
      <c r="KSN148" s="537"/>
      <c r="KSO148" s="537"/>
      <c r="KSP148" s="537"/>
      <c r="KSQ148" s="537"/>
      <c r="KSR148" s="537"/>
      <c r="KSS148" s="537"/>
      <c r="KST148" s="537"/>
      <c r="KSU148" s="537"/>
      <c r="KSV148" s="537"/>
      <c r="KSW148" s="537"/>
      <c r="KSX148" s="537"/>
      <c r="KSY148" s="537"/>
      <c r="KSZ148" s="537"/>
      <c r="KTA148" s="537"/>
      <c r="KTB148" s="537"/>
      <c r="KTC148" s="537"/>
      <c r="KTD148" s="537"/>
      <c r="KTE148" s="537"/>
      <c r="KTF148" s="537"/>
      <c r="KTG148" s="537"/>
      <c r="KTH148" s="537"/>
      <c r="KTI148" s="537"/>
      <c r="KTJ148" s="537"/>
      <c r="KTK148" s="537"/>
      <c r="KTL148" s="537"/>
      <c r="KTM148" s="537"/>
      <c r="KTN148" s="537"/>
      <c r="KTO148" s="537"/>
      <c r="KTP148" s="537"/>
      <c r="KTQ148" s="537"/>
      <c r="KTR148" s="537"/>
      <c r="KTS148" s="537"/>
      <c r="KTT148" s="537"/>
      <c r="KTU148" s="537"/>
      <c r="KTV148" s="537"/>
      <c r="KTW148" s="537"/>
      <c r="KTX148" s="537"/>
      <c r="KTY148" s="537"/>
      <c r="KTZ148" s="537"/>
      <c r="KUA148" s="537"/>
      <c r="KUB148" s="537"/>
      <c r="KUC148" s="537"/>
      <c r="KUD148" s="537"/>
      <c r="KUE148" s="537"/>
      <c r="KUF148" s="537"/>
      <c r="KUG148" s="537"/>
      <c r="KUH148" s="537"/>
      <c r="KUI148" s="537"/>
      <c r="KUJ148" s="537"/>
      <c r="KUK148" s="537"/>
      <c r="KUL148" s="537"/>
      <c r="KUM148" s="537"/>
      <c r="KUN148" s="537"/>
      <c r="KUO148" s="537"/>
      <c r="KUP148" s="537"/>
      <c r="KUQ148" s="537"/>
      <c r="KUR148" s="537"/>
      <c r="KUS148" s="537"/>
      <c r="KUT148" s="537"/>
      <c r="KUU148" s="537"/>
      <c r="KUV148" s="537"/>
      <c r="KUW148" s="537"/>
      <c r="KUX148" s="537"/>
      <c r="KUY148" s="537"/>
      <c r="KUZ148" s="537"/>
      <c r="KVA148" s="537"/>
      <c r="KVB148" s="537"/>
      <c r="KVC148" s="537"/>
      <c r="KVD148" s="537"/>
      <c r="KVE148" s="537"/>
      <c r="KVF148" s="537"/>
      <c r="KVG148" s="537"/>
      <c r="KVH148" s="537"/>
      <c r="KVI148" s="537"/>
      <c r="KVJ148" s="537"/>
      <c r="KVK148" s="537"/>
      <c r="KVL148" s="537"/>
      <c r="KVM148" s="537"/>
      <c r="KVN148" s="537"/>
      <c r="KVO148" s="537"/>
      <c r="KVP148" s="537"/>
      <c r="KVQ148" s="537"/>
      <c r="KVR148" s="537"/>
      <c r="KVS148" s="537"/>
      <c r="KVT148" s="537"/>
      <c r="KVU148" s="537"/>
      <c r="KVV148" s="537"/>
      <c r="KVW148" s="537"/>
      <c r="KVX148" s="537"/>
      <c r="KVY148" s="537"/>
      <c r="KVZ148" s="537"/>
      <c r="KWA148" s="537"/>
      <c r="KWB148" s="537"/>
      <c r="KWC148" s="537"/>
      <c r="KWD148" s="537"/>
      <c r="KWE148" s="537"/>
      <c r="KWF148" s="537"/>
      <c r="KWG148" s="537"/>
      <c r="KWH148" s="537"/>
      <c r="KWI148" s="537"/>
      <c r="KWJ148" s="537"/>
      <c r="KWK148" s="537"/>
      <c r="KWL148" s="537"/>
      <c r="KWM148" s="537"/>
      <c r="KWN148" s="537"/>
      <c r="KWO148" s="537"/>
      <c r="KWP148" s="537"/>
      <c r="KWQ148" s="537"/>
      <c r="KWR148" s="537"/>
      <c r="KWS148" s="537"/>
      <c r="KWT148" s="537"/>
      <c r="KWU148" s="537"/>
      <c r="KWV148" s="537"/>
      <c r="KWW148" s="537"/>
      <c r="KWX148" s="537"/>
      <c r="KWY148" s="537"/>
      <c r="KWZ148" s="537"/>
      <c r="KXA148" s="537"/>
      <c r="KXB148" s="537"/>
      <c r="KXC148" s="537"/>
      <c r="KXD148" s="537"/>
      <c r="KXE148" s="537"/>
      <c r="KXF148" s="537"/>
      <c r="KXG148" s="537"/>
      <c r="KXH148" s="537"/>
      <c r="KXI148" s="537"/>
      <c r="KXJ148" s="537"/>
      <c r="KXK148" s="537"/>
      <c r="KXL148" s="537"/>
      <c r="KXM148" s="537"/>
      <c r="KXN148" s="537"/>
      <c r="KXO148" s="537"/>
      <c r="KXP148" s="537"/>
      <c r="KXQ148" s="537"/>
      <c r="KXR148" s="537"/>
      <c r="KXS148" s="537"/>
      <c r="KXT148" s="537"/>
      <c r="KXU148" s="537"/>
      <c r="KXV148" s="537"/>
      <c r="KXW148" s="537"/>
      <c r="KXX148" s="537"/>
      <c r="KXY148" s="537"/>
      <c r="KXZ148" s="537"/>
      <c r="KYA148" s="537"/>
      <c r="KYB148" s="537"/>
      <c r="KYC148" s="537"/>
      <c r="KYD148" s="537"/>
      <c r="KYE148" s="537"/>
      <c r="KYF148" s="537"/>
      <c r="KYG148" s="537"/>
      <c r="KYH148" s="537"/>
      <c r="KYI148" s="537"/>
      <c r="KYJ148" s="537"/>
      <c r="KYK148" s="537"/>
      <c r="KYL148" s="537"/>
      <c r="KYM148" s="537"/>
      <c r="KYN148" s="537"/>
      <c r="KYO148" s="537"/>
      <c r="KYP148" s="537"/>
      <c r="KYQ148" s="537"/>
      <c r="KYR148" s="537"/>
      <c r="KYS148" s="537"/>
      <c r="KYT148" s="537"/>
      <c r="KYU148" s="537"/>
      <c r="KYV148" s="537"/>
      <c r="KYW148" s="537"/>
      <c r="KYX148" s="537"/>
      <c r="KYY148" s="537"/>
      <c r="KYZ148" s="537"/>
      <c r="KZA148" s="537"/>
      <c r="KZB148" s="537"/>
      <c r="KZC148" s="537"/>
      <c r="KZD148" s="537"/>
      <c r="KZE148" s="537"/>
      <c r="KZF148" s="537"/>
      <c r="KZG148" s="537"/>
      <c r="KZH148" s="537"/>
      <c r="KZI148" s="537"/>
      <c r="KZJ148" s="537"/>
      <c r="KZK148" s="537"/>
      <c r="KZL148" s="537"/>
      <c r="KZM148" s="537"/>
      <c r="KZN148" s="537"/>
      <c r="KZO148" s="537"/>
      <c r="KZP148" s="537"/>
      <c r="KZQ148" s="537"/>
      <c r="KZR148" s="537"/>
      <c r="KZS148" s="537"/>
      <c r="KZT148" s="537"/>
      <c r="KZU148" s="537"/>
      <c r="KZV148" s="537"/>
      <c r="KZW148" s="537"/>
      <c r="KZX148" s="537"/>
      <c r="KZY148" s="537"/>
      <c r="KZZ148" s="537"/>
      <c r="LAA148" s="537"/>
      <c r="LAB148" s="537"/>
      <c r="LAC148" s="537"/>
      <c r="LAD148" s="537"/>
      <c r="LAE148" s="537"/>
      <c r="LAF148" s="537"/>
      <c r="LAG148" s="537"/>
      <c r="LAH148" s="537"/>
      <c r="LAI148" s="537"/>
      <c r="LAJ148" s="537"/>
      <c r="LAK148" s="537"/>
      <c r="LAL148" s="537"/>
      <c r="LAM148" s="537"/>
      <c r="LAN148" s="537"/>
      <c r="LAO148" s="537"/>
      <c r="LAP148" s="537"/>
      <c r="LAQ148" s="537"/>
      <c r="LAR148" s="537"/>
      <c r="LAS148" s="537"/>
      <c r="LAT148" s="537"/>
      <c r="LAU148" s="537"/>
      <c r="LAV148" s="537"/>
      <c r="LAW148" s="537"/>
      <c r="LAX148" s="537"/>
      <c r="LAY148" s="537"/>
      <c r="LAZ148" s="537"/>
      <c r="LBA148" s="537"/>
      <c r="LBB148" s="537"/>
      <c r="LBC148" s="537"/>
      <c r="LBD148" s="537"/>
      <c r="LBE148" s="537"/>
      <c r="LBF148" s="537"/>
      <c r="LBG148" s="537"/>
      <c r="LBH148" s="537"/>
      <c r="LBI148" s="537"/>
      <c r="LBJ148" s="537"/>
      <c r="LBK148" s="537"/>
      <c r="LBL148" s="537"/>
      <c r="LBM148" s="537"/>
      <c r="LBN148" s="537"/>
      <c r="LBO148" s="537"/>
      <c r="LBP148" s="537"/>
      <c r="LBQ148" s="537"/>
      <c r="LBR148" s="537"/>
      <c r="LBS148" s="537"/>
      <c r="LBT148" s="537"/>
      <c r="LBU148" s="537"/>
      <c r="LBV148" s="537"/>
      <c r="LBW148" s="537"/>
      <c r="LBX148" s="537"/>
      <c r="LBY148" s="537"/>
      <c r="LBZ148" s="537"/>
      <c r="LCA148" s="537"/>
      <c r="LCB148" s="537"/>
      <c r="LCC148" s="537"/>
      <c r="LCD148" s="537"/>
      <c r="LCE148" s="537"/>
      <c r="LCF148" s="537"/>
      <c r="LCG148" s="537"/>
      <c r="LCH148" s="537"/>
      <c r="LCI148" s="537"/>
      <c r="LCJ148" s="537"/>
      <c r="LCK148" s="537"/>
      <c r="LCL148" s="537"/>
      <c r="LCM148" s="537"/>
      <c r="LCN148" s="537"/>
      <c r="LCO148" s="537"/>
      <c r="LCP148" s="537"/>
      <c r="LCQ148" s="537"/>
      <c r="LCR148" s="537"/>
      <c r="LCS148" s="537"/>
      <c r="LCT148" s="537"/>
      <c r="LCU148" s="537"/>
      <c r="LCV148" s="537"/>
      <c r="LCW148" s="537"/>
      <c r="LCX148" s="537"/>
      <c r="LCY148" s="537"/>
      <c r="LCZ148" s="537"/>
      <c r="LDA148" s="537"/>
      <c r="LDB148" s="537"/>
      <c r="LDC148" s="537"/>
      <c r="LDD148" s="537"/>
      <c r="LDE148" s="537"/>
      <c r="LDF148" s="537"/>
      <c r="LDG148" s="537"/>
      <c r="LDH148" s="537"/>
      <c r="LDI148" s="537"/>
      <c r="LDJ148" s="537"/>
      <c r="LDK148" s="537"/>
      <c r="LDL148" s="537"/>
      <c r="LDM148" s="537"/>
      <c r="LDN148" s="537"/>
      <c r="LDO148" s="537"/>
      <c r="LDP148" s="537"/>
      <c r="LDQ148" s="537"/>
      <c r="LDR148" s="537"/>
      <c r="LDS148" s="537"/>
      <c r="LDT148" s="537"/>
      <c r="LDU148" s="537"/>
      <c r="LDV148" s="537"/>
      <c r="LDW148" s="537"/>
      <c r="LDX148" s="537"/>
      <c r="LDY148" s="537"/>
      <c r="LDZ148" s="537"/>
      <c r="LEA148" s="537"/>
      <c r="LEB148" s="537"/>
      <c r="LEC148" s="537"/>
      <c r="LED148" s="537"/>
      <c r="LEE148" s="537"/>
      <c r="LEF148" s="537"/>
      <c r="LEG148" s="537"/>
      <c r="LEH148" s="537"/>
      <c r="LEI148" s="537"/>
      <c r="LEJ148" s="537"/>
      <c r="LEK148" s="537"/>
      <c r="LEL148" s="537"/>
      <c r="LEM148" s="537"/>
      <c r="LEN148" s="537"/>
      <c r="LEO148" s="537"/>
      <c r="LEP148" s="537"/>
      <c r="LEQ148" s="537"/>
      <c r="LER148" s="537"/>
      <c r="LES148" s="537"/>
      <c r="LET148" s="537"/>
      <c r="LEU148" s="537"/>
      <c r="LEV148" s="537"/>
      <c r="LEW148" s="537"/>
      <c r="LEX148" s="537"/>
      <c r="LEY148" s="537"/>
      <c r="LEZ148" s="537"/>
      <c r="LFA148" s="537"/>
      <c r="LFB148" s="537"/>
      <c r="LFC148" s="537"/>
      <c r="LFD148" s="537"/>
      <c r="LFE148" s="537"/>
      <c r="LFF148" s="537"/>
      <c r="LFG148" s="537"/>
      <c r="LFH148" s="537"/>
      <c r="LFI148" s="537"/>
      <c r="LFJ148" s="537"/>
      <c r="LFK148" s="537"/>
      <c r="LFL148" s="537"/>
      <c r="LFM148" s="537"/>
      <c r="LFN148" s="537"/>
      <c r="LFO148" s="537"/>
      <c r="LFP148" s="537"/>
      <c r="LFQ148" s="537"/>
      <c r="LFR148" s="537"/>
      <c r="LFS148" s="537"/>
      <c r="LFT148" s="537"/>
      <c r="LFU148" s="537"/>
      <c r="LFV148" s="537"/>
      <c r="LFW148" s="537"/>
      <c r="LFX148" s="537"/>
      <c r="LFY148" s="537"/>
      <c r="LFZ148" s="537"/>
      <c r="LGA148" s="537"/>
      <c r="LGB148" s="537"/>
      <c r="LGC148" s="537"/>
      <c r="LGD148" s="537"/>
      <c r="LGE148" s="537"/>
      <c r="LGF148" s="537"/>
      <c r="LGG148" s="537"/>
      <c r="LGH148" s="537"/>
      <c r="LGI148" s="537"/>
      <c r="LGJ148" s="537"/>
      <c r="LGK148" s="537"/>
      <c r="LGL148" s="537"/>
      <c r="LGM148" s="537"/>
      <c r="LGN148" s="537"/>
      <c r="LGO148" s="537"/>
      <c r="LGP148" s="537"/>
      <c r="LGQ148" s="537"/>
      <c r="LGR148" s="537"/>
      <c r="LGS148" s="537"/>
      <c r="LGT148" s="537"/>
      <c r="LGU148" s="537"/>
      <c r="LGV148" s="537"/>
      <c r="LGW148" s="537"/>
      <c r="LGX148" s="537"/>
      <c r="LGY148" s="537"/>
      <c r="LGZ148" s="537"/>
      <c r="LHA148" s="537"/>
      <c r="LHB148" s="537"/>
      <c r="LHC148" s="537"/>
      <c r="LHD148" s="537"/>
      <c r="LHE148" s="537"/>
      <c r="LHF148" s="537"/>
      <c r="LHG148" s="537"/>
      <c r="LHH148" s="537"/>
      <c r="LHI148" s="537"/>
      <c r="LHJ148" s="537"/>
      <c r="LHK148" s="537"/>
      <c r="LHL148" s="537"/>
      <c r="LHM148" s="537"/>
      <c r="LHN148" s="537"/>
      <c r="LHO148" s="537"/>
      <c r="LHP148" s="537"/>
      <c r="LHQ148" s="537"/>
      <c r="LHR148" s="537"/>
      <c r="LHS148" s="537"/>
      <c r="LHT148" s="537"/>
      <c r="LHU148" s="537"/>
      <c r="LHV148" s="537"/>
      <c r="LHW148" s="537"/>
      <c r="LHX148" s="537"/>
      <c r="LHY148" s="537"/>
      <c r="LHZ148" s="537"/>
      <c r="LIA148" s="537"/>
      <c r="LIB148" s="537"/>
      <c r="LIC148" s="537"/>
      <c r="LID148" s="537"/>
      <c r="LIE148" s="537"/>
      <c r="LIF148" s="537"/>
      <c r="LIG148" s="537"/>
      <c r="LIH148" s="537"/>
      <c r="LII148" s="537"/>
      <c r="LIJ148" s="537"/>
      <c r="LIK148" s="537"/>
      <c r="LIL148" s="537"/>
      <c r="LIM148" s="537"/>
      <c r="LIN148" s="537"/>
      <c r="LIO148" s="537"/>
      <c r="LIP148" s="537"/>
      <c r="LIQ148" s="537"/>
      <c r="LIR148" s="537"/>
      <c r="LIS148" s="537"/>
      <c r="LIT148" s="537"/>
      <c r="LIU148" s="537"/>
      <c r="LIV148" s="537"/>
      <c r="LIW148" s="537"/>
      <c r="LIX148" s="537"/>
      <c r="LIY148" s="537"/>
      <c r="LIZ148" s="537"/>
      <c r="LJA148" s="537"/>
      <c r="LJB148" s="537"/>
      <c r="LJC148" s="537"/>
      <c r="LJD148" s="537"/>
      <c r="LJE148" s="537"/>
      <c r="LJF148" s="537"/>
      <c r="LJG148" s="537"/>
      <c r="LJH148" s="537"/>
      <c r="LJI148" s="537"/>
      <c r="LJJ148" s="537"/>
      <c r="LJK148" s="537"/>
      <c r="LJL148" s="537"/>
      <c r="LJM148" s="537"/>
      <c r="LJN148" s="537"/>
      <c r="LJO148" s="537"/>
      <c r="LJP148" s="537"/>
      <c r="LJQ148" s="537"/>
      <c r="LJR148" s="537"/>
      <c r="LJS148" s="537"/>
      <c r="LJT148" s="537"/>
      <c r="LJU148" s="537"/>
      <c r="LJV148" s="537"/>
      <c r="LJW148" s="537"/>
      <c r="LJX148" s="537"/>
      <c r="LJY148" s="537"/>
      <c r="LJZ148" s="537"/>
      <c r="LKA148" s="537"/>
      <c r="LKB148" s="537"/>
      <c r="LKC148" s="537"/>
      <c r="LKD148" s="537"/>
      <c r="LKE148" s="537"/>
      <c r="LKF148" s="537"/>
      <c r="LKG148" s="537"/>
      <c r="LKH148" s="537"/>
      <c r="LKI148" s="537"/>
      <c r="LKJ148" s="537"/>
      <c r="LKK148" s="537"/>
      <c r="LKL148" s="537"/>
      <c r="LKM148" s="537"/>
      <c r="LKN148" s="537"/>
      <c r="LKO148" s="537"/>
      <c r="LKP148" s="537"/>
      <c r="LKQ148" s="537"/>
      <c r="LKR148" s="537"/>
      <c r="LKS148" s="537"/>
      <c r="LKT148" s="537"/>
      <c r="LKU148" s="537"/>
      <c r="LKV148" s="537"/>
      <c r="LKW148" s="537"/>
      <c r="LKX148" s="537"/>
      <c r="LKY148" s="537"/>
      <c r="LKZ148" s="537"/>
      <c r="LLA148" s="537"/>
      <c r="LLB148" s="537"/>
      <c r="LLC148" s="537"/>
      <c r="LLD148" s="537"/>
      <c r="LLE148" s="537"/>
      <c r="LLF148" s="537"/>
      <c r="LLG148" s="537"/>
      <c r="LLH148" s="537"/>
      <c r="LLI148" s="537"/>
      <c r="LLJ148" s="537"/>
      <c r="LLK148" s="537"/>
      <c r="LLL148" s="537"/>
      <c r="LLM148" s="537"/>
      <c r="LLN148" s="537"/>
      <c r="LLO148" s="537"/>
      <c r="LLP148" s="537"/>
      <c r="LLQ148" s="537"/>
      <c r="LLR148" s="537"/>
      <c r="LLS148" s="537"/>
      <c r="LLT148" s="537"/>
      <c r="LLU148" s="537"/>
      <c r="LLV148" s="537"/>
      <c r="LLW148" s="537"/>
      <c r="LLX148" s="537"/>
      <c r="LLY148" s="537"/>
      <c r="LLZ148" s="537"/>
      <c r="LMA148" s="537"/>
      <c r="LMB148" s="537"/>
      <c r="LMC148" s="537"/>
      <c r="LMD148" s="537"/>
      <c r="LME148" s="537"/>
      <c r="LMF148" s="537"/>
      <c r="LMG148" s="537"/>
      <c r="LMH148" s="537"/>
      <c r="LMI148" s="537"/>
      <c r="LMJ148" s="537"/>
      <c r="LMK148" s="537"/>
      <c r="LML148" s="537"/>
      <c r="LMM148" s="537"/>
      <c r="LMN148" s="537"/>
      <c r="LMO148" s="537"/>
      <c r="LMP148" s="537"/>
      <c r="LMQ148" s="537"/>
      <c r="LMR148" s="537"/>
      <c r="LMS148" s="537"/>
      <c r="LMT148" s="537"/>
      <c r="LMU148" s="537"/>
      <c r="LMV148" s="537"/>
      <c r="LMW148" s="537"/>
      <c r="LMX148" s="537"/>
      <c r="LMY148" s="537"/>
      <c r="LMZ148" s="537"/>
      <c r="LNA148" s="537"/>
      <c r="LNB148" s="537"/>
      <c r="LNC148" s="537"/>
      <c r="LND148" s="537"/>
      <c r="LNE148" s="537"/>
      <c r="LNF148" s="537"/>
      <c r="LNG148" s="537"/>
      <c r="LNH148" s="537"/>
      <c r="LNI148" s="537"/>
      <c r="LNJ148" s="537"/>
      <c r="LNK148" s="537"/>
      <c r="LNL148" s="537"/>
      <c r="LNM148" s="537"/>
      <c r="LNN148" s="537"/>
      <c r="LNO148" s="537"/>
      <c r="LNP148" s="537"/>
      <c r="LNQ148" s="537"/>
      <c r="LNR148" s="537"/>
      <c r="LNS148" s="537"/>
      <c r="LNT148" s="537"/>
      <c r="LNU148" s="537"/>
      <c r="LNV148" s="537"/>
      <c r="LNW148" s="537"/>
      <c r="LNX148" s="537"/>
      <c r="LNY148" s="537"/>
      <c r="LNZ148" s="537"/>
      <c r="LOA148" s="537"/>
      <c r="LOB148" s="537"/>
      <c r="LOC148" s="537"/>
      <c r="LOD148" s="537"/>
      <c r="LOE148" s="537"/>
      <c r="LOF148" s="537"/>
      <c r="LOG148" s="537"/>
      <c r="LOH148" s="537"/>
      <c r="LOI148" s="537"/>
      <c r="LOJ148" s="537"/>
      <c r="LOK148" s="537"/>
      <c r="LOL148" s="537"/>
      <c r="LOM148" s="537"/>
      <c r="LON148" s="537"/>
      <c r="LOO148" s="537"/>
      <c r="LOP148" s="537"/>
      <c r="LOQ148" s="537"/>
      <c r="LOR148" s="537"/>
      <c r="LOS148" s="537"/>
      <c r="LOT148" s="537"/>
      <c r="LOU148" s="537"/>
      <c r="LOV148" s="537"/>
      <c r="LOW148" s="537"/>
      <c r="LOX148" s="537"/>
      <c r="LOY148" s="537"/>
      <c r="LOZ148" s="537"/>
      <c r="LPA148" s="537"/>
      <c r="LPB148" s="537"/>
      <c r="LPC148" s="537"/>
      <c r="LPD148" s="537"/>
      <c r="LPE148" s="537"/>
      <c r="LPF148" s="537"/>
      <c r="LPG148" s="537"/>
      <c r="LPH148" s="537"/>
      <c r="LPI148" s="537"/>
      <c r="LPJ148" s="537"/>
      <c r="LPK148" s="537"/>
      <c r="LPL148" s="537"/>
      <c r="LPM148" s="537"/>
      <c r="LPN148" s="537"/>
      <c r="LPO148" s="537"/>
      <c r="LPP148" s="537"/>
      <c r="LPQ148" s="537"/>
      <c r="LPR148" s="537"/>
      <c r="LPS148" s="537"/>
      <c r="LPT148" s="537"/>
      <c r="LPU148" s="537"/>
      <c r="LPV148" s="537"/>
      <c r="LPW148" s="537"/>
      <c r="LPX148" s="537"/>
      <c r="LPY148" s="537"/>
      <c r="LPZ148" s="537"/>
      <c r="LQA148" s="537"/>
      <c r="LQB148" s="537"/>
      <c r="LQC148" s="537"/>
      <c r="LQD148" s="537"/>
      <c r="LQE148" s="537"/>
      <c r="LQF148" s="537"/>
      <c r="LQG148" s="537"/>
      <c r="LQH148" s="537"/>
      <c r="LQI148" s="537"/>
      <c r="LQJ148" s="537"/>
      <c r="LQK148" s="537"/>
      <c r="LQL148" s="537"/>
      <c r="LQM148" s="537"/>
      <c r="LQN148" s="537"/>
      <c r="LQO148" s="537"/>
      <c r="LQP148" s="537"/>
      <c r="LQQ148" s="537"/>
      <c r="LQR148" s="537"/>
      <c r="LQS148" s="537"/>
      <c r="LQT148" s="537"/>
      <c r="LQU148" s="537"/>
      <c r="LQV148" s="537"/>
      <c r="LQW148" s="537"/>
      <c r="LQX148" s="537"/>
      <c r="LQY148" s="537"/>
      <c r="LQZ148" s="537"/>
      <c r="LRA148" s="537"/>
      <c r="LRB148" s="537"/>
      <c r="LRC148" s="537"/>
      <c r="LRD148" s="537"/>
      <c r="LRE148" s="537"/>
      <c r="LRF148" s="537"/>
      <c r="LRG148" s="537"/>
      <c r="LRH148" s="537"/>
      <c r="LRI148" s="537"/>
      <c r="LRJ148" s="537"/>
      <c r="LRK148" s="537"/>
      <c r="LRL148" s="537"/>
      <c r="LRM148" s="537"/>
      <c r="LRN148" s="537"/>
      <c r="LRO148" s="537"/>
      <c r="LRP148" s="537"/>
      <c r="LRQ148" s="537"/>
      <c r="LRR148" s="537"/>
      <c r="LRS148" s="537"/>
      <c r="LRT148" s="537"/>
      <c r="LRU148" s="537"/>
      <c r="LRV148" s="537"/>
      <c r="LRW148" s="537"/>
      <c r="LRX148" s="537"/>
      <c r="LRY148" s="537"/>
      <c r="LRZ148" s="537"/>
      <c r="LSA148" s="537"/>
      <c r="LSB148" s="537"/>
      <c r="LSC148" s="537"/>
      <c r="LSD148" s="537"/>
      <c r="LSE148" s="537"/>
      <c r="LSF148" s="537"/>
      <c r="LSG148" s="537"/>
      <c r="LSH148" s="537"/>
      <c r="LSI148" s="537"/>
      <c r="LSJ148" s="537"/>
      <c r="LSK148" s="537"/>
      <c r="LSL148" s="537"/>
      <c r="LSM148" s="537"/>
      <c r="LSN148" s="537"/>
      <c r="LSO148" s="537"/>
      <c r="LSP148" s="537"/>
      <c r="LSQ148" s="537"/>
      <c r="LSR148" s="537"/>
      <c r="LSS148" s="537"/>
      <c r="LST148" s="537"/>
      <c r="LSU148" s="537"/>
      <c r="LSV148" s="537"/>
      <c r="LSW148" s="537"/>
      <c r="LSX148" s="537"/>
      <c r="LSY148" s="537"/>
      <c r="LSZ148" s="537"/>
      <c r="LTA148" s="537"/>
      <c r="LTB148" s="537"/>
      <c r="LTC148" s="537"/>
      <c r="LTD148" s="537"/>
      <c r="LTE148" s="537"/>
      <c r="LTF148" s="537"/>
      <c r="LTG148" s="537"/>
      <c r="LTH148" s="537"/>
      <c r="LTI148" s="537"/>
      <c r="LTJ148" s="537"/>
      <c r="LTK148" s="537"/>
      <c r="LTL148" s="537"/>
      <c r="LTM148" s="537"/>
      <c r="LTN148" s="537"/>
      <c r="LTO148" s="537"/>
      <c r="LTP148" s="537"/>
      <c r="LTQ148" s="537"/>
      <c r="LTR148" s="537"/>
      <c r="LTS148" s="537"/>
      <c r="LTT148" s="537"/>
      <c r="LTU148" s="537"/>
      <c r="LTV148" s="537"/>
      <c r="LTW148" s="537"/>
      <c r="LTX148" s="537"/>
      <c r="LTY148" s="537"/>
      <c r="LTZ148" s="537"/>
      <c r="LUA148" s="537"/>
      <c r="LUB148" s="537"/>
      <c r="LUC148" s="537"/>
      <c r="LUD148" s="537"/>
      <c r="LUE148" s="537"/>
      <c r="LUF148" s="537"/>
      <c r="LUG148" s="537"/>
      <c r="LUH148" s="537"/>
      <c r="LUI148" s="537"/>
      <c r="LUJ148" s="537"/>
      <c r="LUK148" s="537"/>
      <c r="LUL148" s="537"/>
      <c r="LUM148" s="537"/>
      <c r="LUN148" s="537"/>
      <c r="LUO148" s="537"/>
      <c r="LUP148" s="537"/>
      <c r="LUQ148" s="537"/>
      <c r="LUR148" s="537"/>
      <c r="LUS148" s="537"/>
      <c r="LUT148" s="537"/>
      <c r="LUU148" s="537"/>
      <c r="LUV148" s="537"/>
      <c r="LUW148" s="537"/>
      <c r="LUX148" s="537"/>
      <c r="LUY148" s="537"/>
      <c r="LUZ148" s="537"/>
      <c r="LVA148" s="537"/>
      <c r="LVB148" s="537"/>
      <c r="LVC148" s="537"/>
      <c r="LVD148" s="537"/>
      <c r="LVE148" s="537"/>
      <c r="LVF148" s="537"/>
      <c r="LVG148" s="537"/>
      <c r="LVH148" s="537"/>
      <c r="LVI148" s="537"/>
      <c r="LVJ148" s="537"/>
      <c r="LVK148" s="537"/>
      <c r="LVL148" s="537"/>
      <c r="LVM148" s="537"/>
      <c r="LVN148" s="537"/>
      <c r="LVO148" s="537"/>
      <c r="LVP148" s="537"/>
      <c r="LVQ148" s="537"/>
      <c r="LVR148" s="537"/>
      <c r="LVS148" s="537"/>
      <c r="LVT148" s="537"/>
      <c r="LVU148" s="537"/>
      <c r="LVV148" s="537"/>
      <c r="LVW148" s="537"/>
      <c r="LVX148" s="537"/>
      <c r="LVY148" s="537"/>
      <c r="LVZ148" s="537"/>
      <c r="LWA148" s="537"/>
      <c r="LWB148" s="537"/>
      <c r="LWC148" s="537"/>
      <c r="LWD148" s="537"/>
      <c r="LWE148" s="537"/>
      <c r="LWF148" s="537"/>
      <c r="LWG148" s="537"/>
      <c r="LWH148" s="537"/>
      <c r="LWI148" s="537"/>
      <c r="LWJ148" s="537"/>
      <c r="LWK148" s="537"/>
      <c r="LWL148" s="537"/>
      <c r="LWM148" s="537"/>
      <c r="LWN148" s="537"/>
      <c r="LWO148" s="537"/>
      <c r="LWP148" s="537"/>
      <c r="LWQ148" s="537"/>
      <c r="LWR148" s="537"/>
      <c r="LWS148" s="537"/>
      <c r="LWT148" s="537"/>
      <c r="LWU148" s="537"/>
      <c r="LWV148" s="537"/>
      <c r="LWW148" s="537"/>
      <c r="LWX148" s="537"/>
      <c r="LWY148" s="537"/>
      <c r="LWZ148" s="537"/>
      <c r="LXA148" s="537"/>
      <c r="LXB148" s="537"/>
      <c r="LXC148" s="537"/>
      <c r="LXD148" s="537"/>
      <c r="LXE148" s="537"/>
      <c r="LXF148" s="537"/>
      <c r="LXG148" s="537"/>
      <c r="LXH148" s="537"/>
      <c r="LXI148" s="537"/>
      <c r="LXJ148" s="537"/>
      <c r="LXK148" s="537"/>
      <c r="LXL148" s="537"/>
      <c r="LXM148" s="537"/>
      <c r="LXN148" s="537"/>
      <c r="LXO148" s="537"/>
      <c r="LXP148" s="537"/>
      <c r="LXQ148" s="537"/>
      <c r="LXR148" s="537"/>
      <c r="LXS148" s="537"/>
      <c r="LXT148" s="537"/>
      <c r="LXU148" s="537"/>
      <c r="LXV148" s="537"/>
      <c r="LXW148" s="537"/>
      <c r="LXX148" s="537"/>
      <c r="LXY148" s="537"/>
      <c r="LXZ148" s="537"/>
      <c r="LYA148" s="537"/>
      <c r="LYB148" s="537"/>
      <c r="LYC148" s="537"/>
      <c r="LYD148" s="537"/>
      <c r="LYE148" s="537"/>
      <c r="LYF148" s="537"/>
      <c r="LYG148" s="537"/>
      <c r="LYH148" s="537"/>
      <c r="LYI148" s="537"/>
      <c r="LYJ148" s="537"/>
      <c r="LYK148" s="537"/>
      <c r="LYL148" s="537"/>
      <c r="LYM148" s="537"/>
      <c r="LYN148" s="537"/>
      <c r="LYO148" s="537"/>
      <c r="LYP148" s="537"/>
      <c r="LYQ148" s="537"/>
      <c r="LYR148" s="537"/>
      <c r="LYS148" s="537"/>
      <c r="LYT148" s="537"/>
      <c r="LYU148" s="537"/>
      <c r="LYV148" s="537"/>
      <c r="LYW148" s="537"/>
      <c r="LYX148" s="537"/>
      <c r="LYY148" s="537"/>
      <c r="LYZ148" s="537"/>
      <c r="LZA148" s="537"/>
      <c r="LZB148" s="537"/>
      <c r="LZC148" s="537"/>
      <c r="LZD148" s="537"/>
      <c r="LZE148" s="537"/>
      <c r="LZF148" s="537"/>
      <c r="LZG148" s="537"/>
      <c r="LZH148" s="537"/>
      <c r="LZI148" s="537"/>
      <c r="LZJ148" s="537"/>
      <c r="LZK148" s="537"/>
      <c r="LZL148" s="537"/>
      <c r="LZM148" s="537"/>
      <c r="LZN148" s="537"/>
      <c r="LZO148" s="537"/>
      <c r="LZP148" s="537"/>
      <c r="LZQ148" s="537"/>
      <c r="LZR148" s="537"/>
      <c r="LZS148" s="537"/>
      <c r="LZT148" s="537"/>
      <c r="LZU148" s="537"/>
      <c r="LZV148" s="537"/>
      <c r="LZW148" s="537"/>
      <c r="LZX148" s="537"/>
      <c r="LZY148" s="537"/>
      <c r="LZZ148" s="537"/>
      <c r="MAA148" s="537"/>
      <c r="MAB148" s="537"/>
      <c r="MAC148" s="537"/>
      <c r="MAD148" s="537"/>
      <c r="MAE148" s="537"/>
      <c r="MAF148" s="537"/>
      <c r="MAG148" s="537"/>
      <c r="MAH148" s="537"/>
      <c r="MAI148" s="537"/>
      <c r="MAJ148" s="537"/>
      <c r="MAK148" s="537"/>
      <c r="MAL148" s="537"/>
      <c r="MAM148" s="537"/>
      <c r="MAN148" s="537"/>
      <c r="MAO148" s="537"/>
      <c r="MAP148" s="537"/>
      <c r="MAQ148" s="537"/>
      <c r="MAR148" s="537"/>
      <c r="MAS148" s="537"/>
      <c r="MAT148" s="537"/>
      <c r="MAU148" s="537"/>
      <c r="MAV148" s="537"/>
      <c r="MAW148" s="537"/>
      <c r="MAX148" s="537"/>
      <c r="MAY148" s="537"/>
      <c r="MAZ148" s="537"/>
      <c r="MBA148" s="537"/>
      <c r="MBB148" s="537"/>
      <c r="MBC148" s="537"/>
      <c r="MBD148" s="537"/>
      <c r="MBE148" s="537"/>
      <c r="MBF148" s="537"/>
      <c r="MBG148" s="537"/>
      <c r="MBH148" s="537"/>
      <c r="MBI148" s="537"/>
      <c r="MBJ148" s="537"/>
      <c r="MBK148" s="537"/>
      <c r="MBL148" s="537"/>
      <c r="MBM148" s="537"/>
      <c r="MBN148" s="537"/>
      <c r="MBO148" s="537"/>
      <c r="MBP148" s="537"/>
      <c r="MBQ148" s="537"/>
      <c r="MBR148" s="537"/>
      <c r="MBS148" s="537"/>
      <c r="MBT148" s="537"/>
      <c r="MBU148" s="537"/>
      <c r="MBV148" s="537"/>
      <c r="MBW148" s="537"/>
      <c r="MBX148" s="537"/>
      <c r="MBY148" s="537"/>
      <c r="MBZ148" s="537"/>
      <c r="MCA148" s="537"/>
      <c r="MCB148" s="537"/>
      <c r="MCC148" s="537"/>
      <c r="MCD148" s="537"/>
      <c r="MCE148" s="537"/>
      <c r="MCF148" s="537"/>
      <c r="MCG148" s="537"/>
      <c r="MCH148" s="537"/>
      <c r="MCI148" s="537"/>
      <c r="MCJ148" s="537"/>
      <c r="MCK148" s="537"/>
      <c r="MCL148" s="537"/>
      <c r="MCM148" s="537"/>
      <c r="MCN148" s="537"/>
      <c r="MCO148" s="537"/>
      <c r="MCP148" s="537"/>
      <c r="MCQ148" s="537"/>
      <c r="MCR148" s="537"/>
      <c r="MCS148" s="537"/>
      <c r="MCT148" s="537"/>
      <c r="MCU148" s="537"/>
      <c r="MCV148" s="537"/>
      <c r="MCW148" s="537"/>
      <c r="MCX148" s="537"/>
      <c r="MCY148" s="537"/>
      <c r="MCZ148" s="537"/>
      <c r="MDA148" s="537"/>
      <c r="MDB148" s="537"/>
      <c r="MDC148" s="537"/>
      <c r="MDD148" s="537"/>
      <c r="MDE148" s="537"/>
      <c r="MDF148" s="537"/>
      <c r="MDG148" s="537"/>
      <c r="MDH148" s="537"/>
      <c r="MDI148" s="537"/>
      <c r="MDJ148" s="537"/>
      <c r="MDK148" s="537"/>
      <c r="MDL148" s="537"/>
      <c r="MDM148" s="537"/>
      <c r="MDN148" s="537"/>
      <c r="MDO148" s="537"/>
      <c r="MDP148" s="537"/>
      <c r="MDQ148" s="537"/>
      <c r="MDR148" s="537"/>
      <c r="MDS148" s="537"/>
      <c r="MDT148" s="537"/>
      <c r="MDU148" s="537"/>
      <c r="MDV148" s="537"/>
      <c r="MDW148" s="537"/>
      <c r="MDX148" s="537"/>
      <c r="MDY148" s="537"/>
      <c r="MDZ148" s="537"/>
      <c r="MEA148" s="537"/>
      <c r="MEB148" s="537"/>
      <c r="MEC148" s="537"/>
      <c r="MED148" s="537"/>
      <c r="MEE148" s="537"/>
      <c r="MEF148" s="537"/>
      <c r="MEG148" s="537"/>
      <c r="MEH148" s="537"/>
      <c r="MEI148" s="537"/>
      <c r="MEJ148" s="537"/>
      <c r="MEK148" s="537"/>
      <c r="MEL148" s="537"/>
      <c r="MEM148" s="537"/>
      <c r="MEN148" s="537"/>
      <c r="MEO148" s="537"/>
      <c r="MEP148" s="537"/>
      <c r="MEQ148" s="537"/>
      <c r="MER148" s="537"/>
      <c r="MES148" s="537"/>
      <c r="MET148" s="537"/>
      <c r="MEU148" s="537"/>
      <c r="MEV148" s="537"/>
      <c r="MEW148" s="537"/>
      <c r="MEX148" s="537"/>
      <c r="MEY148" s="537"/>
      <c r="MEZ148" s="537"/>
      <c r="MFA148" s="537"/>
      <c r="MFB148" s="537"/>
      <c r="MFC148" s="537"/>
      <c r="MFD148" s="537"/>
      <c r="MFE148" s="537"/>
      <c r="MFF148" s="537"/>
      <c r="MFG148" s="537"/>
      <c r="MFH148" s="537"/>
      <c r="MFI148" s="537"/>
      <c r="MFJ148" s="537"/>
      <c r="MFK148" s="537"/>
      <c r="MFL148" s="537"/>
      <c r="MFM148" s="537"/>
      <c r="MFN148" s="537"/>
      <c r="MFO148" s="537"/>
      <c r="MFP148" s="537"/>
      <c r="MFQ148" s="537"/>
      <c r="MFR148" s="537"/>
      <c r="MFS148" s="537"/>
      <c r="MFT148" s="537"/>
      <c r="MFU148" s="537"/>
      <c r="MFV148" s="537"/>
      <c r="MFW148" s="537"/>
      <c r="MFX148" s="537"/>
      <c r="MFY148" s="537"/>
      <c r="MFZ148" s="537"/>
      <c r="MGA148" s="537"/>
      <c r="MGB148" s="537"/>
      <c r="MGC148" s="537"/>
      <c r="MGD148" s="537"/>
      <c r="MGE148" s="537"/>
      <c r="MGF148" s="537"/>
      <c r="MGG148" s="537"/>
      <c r="MGH148" s="537"/>
      <c r="MGI148" s="537"/>
      <c r="MGJ148" s="537"/>
      <c r="MGK148" s="537"/>
      <c r="MGL148" s="537"/>
      <c r="MGM148" s="537"/>
      <c r="MGN148" s="537"/>
      <c r="MGO148" s="537"/>
      <c r="MGP148" s="537"/>
      <c r="MGQ148" s="537"/>
      <c r="MGR148" s="537"/>
      <c r="MGS148" s="537"/>
      <c r="MGT148" s="537"/>
      <c r="MGU148" s="537"/>
      <c r="MGV148" s="537"/>
      <c r="MGW148" s="537"/>
      <c r="MGX148" s="537"/>
      <c r="MGY148" s="537"/>
      <c r="MGZ148" s="537"/>
      <c r="MHA148" s="537"/>
      <c r="MHB148" s="537"/>
      <c r="MHC148" s="537"/>
      <c r="MHD148" s="537"/>
      <c r="MHE148" s="537"/>
      <c r="MHF148" s="537"/>
      <c r="MHG148" s="537"/>
      <c r="MHH148" s="537"/>
      <c r="MHI148" s="537"/>
      <c r="MHJ148" s="537"/>
      <c r="MHK148" s="537"/>
      <c r="MHL148" s="537"/>
      <c r="MHM148" s="537"/>
      <c r="MHN148" s="537"/>
      <c r="MHO148" s="537"/>
      <c r="MHP148" s="537"/>
      <c r="MHQ148" s="537"/>
      <c r="MHR148" s="537"/>
      <c r="MHS148" s="537"/>
      <c r="MHT148" s="537"/>
      <c r="MHU148" s="537"/>
      <c r="MHV148" s="537"/>
      <c r="MHW148" s="537"/>
      <c r="MHX148" s="537"/>
      <c r="MHY148" s="537"/>
      <c r="MHZ148" s="537"/>
      <c r="MIA148" s="537"/>
      <c r="MIB148" s="537"/>
      <c r="MIC148" s="537"/>
      <c r="MID148" s="537"/>
      <c r="MIE148" s="537"/>
      <c r="MIF148" s="537"/>
      <c r="MIG148" s="537"/>
      <c r="MIH148" s="537"/>
      <c r="MII148" s="537"/>
      <c r="MIJ148" s="537"/>
      <c r="MIK148" s="537"/>
      <c r="MIL148" s="537"/>
      <c r="MIM148" s="537"/>
      <c r="MIN148" s="537"/>
      <c r="MIO148" s="537"/>
      <c r="MIP148" s="537"/>
      <c r="MIQ148" s="537"/>
      <c r="MIR148" s="537"/>
      <c r="MIS148" s="537"/>
      <c r="MIT148" s="537"/>
      <c r="MIU148" s="537"/>
      <c r="MIV148" s="537"/>
      <c r="MIW148" s="537"/>
      <c r="MIX148" s="537"/>
      <c r="MIY148" s="537"/>
      <c r="MIZ148" s="537"/>
      <c r="MJA148" s="537"/>
      <c r="MJB148" s="537"/>
      <c r="MJC148" s="537"/>
      <c r="MJD148" s="537"/>
      <c r="MJE148" s="537"/>
      <c r="MJF148" s="537"/>
      <c r="MJG148" s="537"/>
      <c r="MJH148" s="537"/>
      <c r="MJI148" s="537"/>
      <c r="MJJ148" s="537"/>
      <c r="MJK148" s="537"/>
      <c r="MJL148" s="537"/>
      <c r="MJM148" s="537"/>
      <c r="MJN148" s="537"/>
      <c r="MJO148" s="537"/>
      <c r="MJP148" s="537"/>
      <c r="MJQ148" s="537"/>
      <c r="MJR148" s="537"/>
      <c r="MJS148" s="537"/>
      <c r="MJT148" s="537"/>
      <c r="MJU148" s="537"/>
      <c r="MJV148" s="537"/>
      <c r="MJW148" s="537"/>
      <c r="MJX148" s="537"/>
      <c r="MJY148" s="537"/>
      <c r="MJZ148" s="537"/>
      <c r="MKA148" s="537"/>
      <c r="MKB148" s="537"/>
      <c r="MKC148" s="537"/>
      <c r="MKD148" s="537"/>
      <c r="MKE148" s="537"/>
      <c r="MKF148" s="537"/>
      <c r="MKG148" s="537"/>
      <c r="MKH148" s="537"/>
      <c r="MKI148" s="537"/>
      <c r="MKJ148" s="537"/>
      <c r="MKK148" s="537"/>
      <c r="MKL148" s="537"/>
      <c r="MKM148" s="537"/>
      <c r="MKN148" s="537"/>
      <c r="MKO148" s="537"/>
      <c r="MKP148" s="537"/>
      <c r="MKQ148" s="537"/>
      <c r="MKR148" s="537"/>
      <c r="MKS148" s="537"/>
      <c r="MKT148" s="537"/>
      <c r="MKU148" s="537"/>
      <c r="MKV148" s="537"/>
      <c r="MKW148" s="537"/>
      <c r="MKX148" s="537"/>
      <c r="MKY148" s="537"/>
      <c r="MKZ148" s="537"/>
      <c r="MLA148" s="537"/>
      <c r="MLB148" s="537"/>
      <c r="MLC148" s="537"/>
      <c r="MLD148" s="537"/>
      <c r="MLE148" s="537"/>
      <c r="MLF148" s="537"/>
      <c r="MLG148" s="537"/>
      <c r="MLH148" s="537"/>
      <c r="MLI148" s="537"/>
      <c r="MLJ148" s="537"/>
      <c r="MLK148" s="537"/>
      <c r="MLL148" s="537"/>
      <c r="MLM148" s="537"/>
      <c r="MLN148" s="537"/>
      <c r="MLO148" s="537"/>
      <c r="MLP148" s="537"/>
      <c r="MLQ148" s="537"/>
      <c r="MLR148" s="537"/>
      <c r="MLS148" s="537"/>
      <c r="MLT148" s="537"/>
      <c r="MLU148" s="537"/>
      <c r="MLV148" s="537"/>
      <c r="MLW148" s="537"/>
      <c r="MLX148" s="537"/>
      <c r="MLY148" s="537"/>
      <c r="MLZ148" s="537"/>
      <c r="MMA148" s="537"/>
      <c r="MMB148" s="537"/>
      <c r="MMC148" s="537"/>
      <c r="MMD148" s="537"/>
      <c r="MME148" s="537"/>
      <c r="MMF148" s="537"/>
      <c r="MMG148" s="537"/>
      <c r="MMH148" s="537"/>
      <c r="MMI148" s="537"/>
      <c r="MMJ148" s="537"/>
      <c r="MMK148" s="537"/>
      <c r="MML148" s="537"/>
      <c r="MMM148" s="537"/>
      <c r="MMN148" s="537"/>
      <c r="MMO148" s="537"/>
      <c r="MMP148" s="537"/>
      <c r="MMQ148" s="537"/>
      <c r="MMR148" s="537"/>
      <c r="MMS148" s="537"/>
      <c r="MMT148" s="537"/>
      <c r="MMU148" s="537"/>
      <c r="MMV148" s="537"/>
      <c r="MMW148" s="537"/>
      <c r="MMX148" s="537"/>
      <c r="MMY148" s="537"/>
      <c r="MMZ148" s="537"/>
      <c r="MNA148" s="537"/>
      <c r="MNB148" s="537"/>
      <c r="MNC148" s="537"/>
      <c r="MND148" s="537"/>
      <c r="MNE148" s="537"/>
      <c r="MNF148" s="537"/>
      <c r="MNG148" s="537"/>
      <c r="MNH148" s="537"/>
      <c r="MNI148" s="537"/>
      <c r="MNJ148" s="537"/>
      <c r="MNK148" s="537"/>
      <c r="MNL148" s="537"/>
      <c r="MNM148" s="537"/>
      <c r="MNN148" s="537"/>
      <c r="MNO148" s="537"/>
      <c r="MNP148" s="537"/>
      <c r="MNQ148" s="537"/>
      <c r="MNR148" s="537"/>
      <c r="MNS148" s="537"/>
      <c r="MNT148" s="537"/>
      <c r="MNU148" s="537"/>
      <c r="MNV148" s="537"/>
      <c r="MNW148" s="537"/>
      <c r="MNX148" s="537"/>
      <c r="MNY148" s="537"/>
      <c r="MNZ148" s="537"/>
      <c r="MOA148" s="537"/>
      <c r="MOB148" s="537"/>
      <c r="MOC148" s="537"/>
      <c r="MOD148" s="537"/>
      <c r="MOE148" s="537"/>
      <c r="MOF148" s="537"/>
      <c r="MOG148" s="537"/>
      <c r="MOH148" s="537"/>
      <c r="MOI148" s="537"/>
      <c r="MOJ148" s="537"/>
      <c r="MOK148" s="537"/>
      <c r="MOL148" s="537"/>
      <c r="MOM148" s="537"/>
      <c r="MON148" s="537"/>
      <c r="MOO148" s="537"/>
      <c r="MOP148" s="537"/>
      <c r="MOQ148" s="537"/>
      <c r="MOR148" s="537"/>
      <c r="MOS148" s="537"/>
      <c r="MOT148" s="537"/>
      <c r="MOU148" s="537"/>
      <c r="MOV148" s="537"/>
      <c r="MOW148" s="537"/>
      <c r="MOX148" s="537"/>
      <c r="MOY148" s="537"/>
      <c r="MOZ148" s="537"/>
      <c r="MPA148" s="537"/>
      <c r="MPB148" s="537"/>
      <c r="MPC148" s="537"/>
      <c r="MPD148" s="537"/>
      <c r="MPE148" s="537"/>
      <c r="MPF148" s="537"/>
      <c r="MPG148" s="537"/>
      <c r="MPH148" s="537"/>
      <c r="MPI148" s="537"/>
      <c r="MPJ148" s="537"/>
      <c r="MPK148" s="537"/>
      <c r="MPL148" s="537"/>
      <c r="MPM148" s="537"/>
      <c r="MPN148" s="537"/>
      <c r="MPO148" s="537"/>
      <c r="MPP148" s="537"/>
      <c r="MPQ148" s="537"/>
      <c r="MPR148" s="537"/>
      <c r="MPS148" s="537"/>
      <c r="MPT148" s="537"/>
      <c r="MPU148" s="537"/>
      <c r="MPV148" s="537"/>
      <c r="MPW148" s="537"/>
      <c r="MPX148" s="537"/>
      <c r="MPY148" s="537"/>
      <c r="MPZ148" s="537"/>
      <c r="MQA148" s="537"/>
      <c r="MQB148" s="537"/>
      <c r="MQC148" s="537"/>
      <c r="MQD148" s="537"/>
      <c r="MQE148" s="537"/>
      <c r="MQF148" s="537"/>
      <c r="MQG148" s="537"/>
      <c r="MQH148" s="537"/>
      <c r="MQI148" s="537"/>
      <c r="MQJ148" s="537"/>
      <c r="MQK148" s="537"/>
      <c r="MQL148" s="537"/>
      <c r="MQM148" s="537"/>
      <c r="MQN148" s="537"/>
      <c r="MQO148" s="537"/>
      <c r="MQP148" s="537"/>
      <c r="MQQ148" s="537"/>
      <c r="MQR148" s="537"/>
      <c r="MQS148" s="537"/>
      <c r="MQT148" s="537"/>
      <c r="MQU148" s="537"/>
      <c r="MQV148" s="537"/>
      <c r="MQW148" s="537"/>
      <c r="MQX148" s="537"/>
      <c r="MQY148" s="537"/>
      <c r="MQZ148" s="537"/>
      <c r="MRA148" s="537"/>
      <c r="MRB148" s="537"/>
      <c r="MRC148" s="537"/>
      <c r="MRD148" s="537"/>
      <c r="MRE148" s="537"/>
      <c r="MRF148" s="537"/>
      <c r="MRG148" s="537"/>
      <c r="MRH148" s="537"/>
      <c r="MRI148" s="537"/>
      <c r="MRJ148" s="537"/>
      <c r="MRK148" s="537"/>
      <c r="MRL148" s="537"/>
      <c r="MRM148" s="537"/>
      <c r="MRN148" s="537"/>
      <c r="MRO148" s="537"/>
      <c r="MRP148" s="537"/>
      <c r="MRQ148" s="537"/>
      <c r="MRR148" s="537"/>
      <c r="MRS148" s="537"/>
      <c r="MRT148" s="537"/>
      <c r="MRU148" s="537"/>
      <c r="MRV148" s="537"/>
      <c r="MRW148" s="537"/>
      <c r="MRX148" s="537"/>
      <c r="MRY148" s="537"/>
      <c r="MRZ148" s="537"/>
      <c r="MSA148" s="537"/>
      <c r="MSB148" s="537"/>
      <c r="MSC148" s="537"/>
      <c r="MSD148" s="537"/>
      <c r="MSE148" s="537"/>
      <c r="MSF148" s="537"/>
      <c r="MSG148" s="537"/>
      <c r="MSH148" s="537"/>
      <c r="MSI148" s="537"/>
      <c r="MSJ148" s="537"/>
      <c r="MSK148" s="537"/>
      <c r="MSL148" s="537"/>
      <c r="MSM148" s="537"/>
      <c r="MSN148" s="537"/>
      <c r="MSO148" s="537"/>
      <c r="MSP148" s="537"/>
      <c r="MSQ148" s="537"/>
      <c r="MSR148" s="537"/>
      <c r="MSS148" s="537"/>
      <c r="MST148" s="537"/>
      <c r="MSU148" s="537"/>
      <c r="MSV148" s="537"/>
      <c r="MSW148" s="537"/>
      <c r="MSX148" s="537"/>
      <c r="MSY148" s="537"/>
      <c r="MSZ148" s="537"/>
      <c r="MTA148" s="537"/>
      <c r="MTB148" s="537"/>
      <c r="MTC148" s="537"/>
      <c r="MTD148" s="537"/>
      <c r="MTE148" s="537"/>
      <c r="MTF148" s="537"/>
      <c r="MTG148" s="537"/>
      <c r="MTH148" s="537"/>
      <c r="MTI148" s="537"/>
      <c r="MTJ148" s="537"/>
      <c r="MTK148" s="537"/>
      <c r="MTL148" s="537"/>
      <c r="MTM148" s="537"/>
      <c r="MTN148" s="537"/>
      <c r="MTO148" s="537"/>
      <c r="MTP148" s="537"/>
      <c r="MTQ148" s="537"/>
      <c r="MTR148" s="537"/>
      <c r="MTS148" s="537"/>
      <c r="MTT148" s="537"/>
      <c r="MTU148" s="537"/>
      <c r="MTV148" s="537"/>
      <c r="MTW148" s="537"/>
      <c r="MTX148" s="537"/>
      <c r="MTY148" s="537"/>
      <c r="MTZ148" s="537"/>
      <c r="MUA148" s="537"/>
      <c r="MUB148" s="537"/>
      <c r="MUC148" s="537"/>
      <c r="MUD148" s="537"/>
      <c r="MUE148" s="537"/>
      <c r="MUF148" s="537"/>
      <c r="MUG148" s="537"/>
      <c r="MUH148" s="537"/>
      <c r="MUI148" s="537"/>
      <c r="MUJ148" s="537"/>
      <c r="MUK148" s="537"/>
      <c r="MUL148" s="537"/>
      <c r="MUM148" s="537"/>
      <c r="MUN148" s="537"/>
      <c r="MUO148" s="537"/>
      <c r="MUP148" s="537"/>
      <c r="MUQ148" s="537"/>
      <c r="MUR148" s="537"/>
      <c r="MUS148" s="537"/>
      <c r="MUT148" s="537"/>
      <c r="MUU148" s="537"/>
      <c r="MUV148" s="537"/>
      <c r="MUW148" s="537"/>
      <c r="MUX148" s="537"/>
      <c r="MUY148" s="537"/>
      <c r="MUZ148" s="537"/>
      <c r="MVA148" s="537"/>
      <c r="MVB148" s="537"/>
      <c r="MVC148" s="537"/>
      <c r="MVD148" s="537"/>
      <c r="MVE148" s="537"/>
      <c r="MVF148" s="537"/>
      <c r="MVG148" s="537"/>
      <c r="MVH148" s="537"/>
      <c r="MVI148" s="537"/>
      <c r="MVJ148" s="537"/>
      <c r="MVK148" s="537"/>
      <c r="MVL148" s="537"/>
      <c r="MVM148" s="537"/>
      <c r="MVN148" s="537"/>
      <c r="MVO148" s="537"/>
      <c r="MVP148" s="537"/>
      <c r="MVQ148" s="537"/>
      <c r="MVR148" s="537"/>
      <c r="MVS148" s="537"/>
      <c r="MVT148" s="537"/>
      <c r="MVU148" s="537"/>
      <c r="MVV148" s="537"/>
      <c r="MVW148" s="537"/>
      <c r="MVX148" s="537"/>
      <c r="MVY148" s="537"/>
      <c r="MVZ148" s="537"/>
      <c r="MWA148" s="537"/>
      <c r="MWB148" s="537"/>
      <c r="MWC148" s="537"/>
      <c r="MWD148" s="537"/>
      <c r="MWE148" s="537"/>
      <c r="MWF148" s="537"/>
      <c r="MWG148" s="537"/>
      <c r="MWH148" s="537"/>
      <c r="MWI148" s="537"/>
      <c r="MWJ148" s="537"/>
      <c r="MWK148" s="537"/>
      <c r="MWL148" s="537"/>
      <c r="MWM148" s="537"/>
      <c r="MWN148" s="537"/>
      <c r="MWO148" s="537"/>
      <c r="MWP148" s="537"/>
      <c r="MWQ148" s="537"/>
      <c r="MWR148" s="537"/>
      <c r="MWS148" s="537"/>
      <c r="MWT148" s="537"/>
      <c r="MWU148" s="537"/>
      <c r="MWV148" s="537"/>
      <c r="MWW148" s="537"/>
      <c r="MWX148" s="537"/>
      <c r="MWY148" s="537"/>
      <c r="MWZ148" s="537"/>
      <c r="MXA148" s="537"/>
      <c r="MXB148" s="537"/>
      <c r="MXC148" s="537"/>
      <c r="MXD148" s="537"/>
      <c r="MXE148" s="537"/>
      <c r="MXF148" s="537"/>
      <c r="MXG148" s="537"/>
      <c r="MXH148" s="537"/>
      <c r="MXI148" s="537"/>
      <c r="MXJ148" s="537"/>
      <c r="MXK148" s="537"/>
      <c r="MXL148" s="537"/>
      <c r="MXM148" s="537"/>
      <c r="MXN148" s="537"/>
      <c r="MXO148" s="537"/>
      <c r="MXP148" s="537"/>
      <c r="MXQ148" s="537"/>
      <c r="MXR148" s="537"/>
      <c r="MXS148" s="537"/>
      <c r="MXT148" s="537"/>
      <c r="MXU148" s="537"/>
      <c r="MXV148" s="537"/>
      <c r="MXW148" s="537"/>
      <c r="MXX148" s="537"/>
      <c r="MXY148" s="537"/>
      <c r="MXZ148" s="537"/>
      <c r="MYA148" s="537"/>
      <c r="MYB148" s="537"/>
      <c r="MYC148" s="537"/>
      <c r="MYD148" s="537"/>
      <c r="MYE148" s="537"/>
      <c r="MYF148" s="537"/>
      <c r="MYG148" s="537"/>
      <c r="MYH148" s="537"/>
      <c r="MYI148" s="537"/>
      <c r="MYJ148" s="537"/>
      <c r="MYK148" s="537"/>
      <c r="MYL148" s="537"/>
      <c r="MYM148" s="537"/>
      <c r="MYN148" s="537"/>
      <c r="MYO148" s="537"/>
      <c r="MYP148" s="537"/>
      <c r="MYQ148" s="537"/>
      <c r="MYR148" s="537"/>
      <c r="MYS148" s="537"/>
      <c r="MYT148" s="537"/>
      <c r="MYU148" s="537"/>
      <c r="MYV148" s="537"/>
      <c r="MYW148" s="537"/>
      <c r="MYX148" s="537"/>
      <c r="MYY148" s="537"/>
      <c r="MYZ148" s="537"/>
      <c r="MZA148" s="537"/>
      <c r="MZB148" s="537"/>
      <c r="MZC148" s="537"/>
      <c r="MZD148" s="537"/>
      <c r="MZE148" s="537"/>
      <c r="MZF148" s="537"/>
      <c r="MZG148" s="537"/>
      <c r="MZH148" s="537"/>
      <c r="MZI148" s="537"/>
      <c r="MZJ148" s="537"/>
      <c r="MZK148" s="537"/>
      <c r="MZL148" s="537"/>
      <c r="MZM148" s="537"/>
      <c r="MZN148" s="537"/>
      <c r="MZO148" s="537"/>
      <c r="MZP148" s="537"/>
      <c r="MZQ148" s="537"/>
      <c r="MZR148" s="537"/>
      <c r="MZS148" s="537"/>
      <c r="MZT148" s="537"/>
      <c r="MZU148" s="537"/>
      <c r="MZV148" s="537"/>
      <c r="MZW148" s="537"/>
      <c r="MZX148" s="537"/>
      <c r="MZY148" s="537"/>
      <c r="MZZ148" s="537"/>
      <c r="NAA148" s="537"/>
      <c r="NAB148" s="537"/>
      <c r="NAC148" s="537"/>
      <c r="NAD148" s="537"/>
      <c r="NAE148" s="537"/>
      <c r="NAF148" s="537"/>
      <c r="NAG148" s="537"/>
      <c r="NAH148" s="537"/>
      <c r="NAI148" s="537"/>
      <c r="NAJ148" s="537"/>
      <c r="NAK148" s="537"/>
      <c r="NAL148" s="537"/>
      <c r="NAM148" s="537"/>
      <c r="NAN148" s="537"/>
      <c r="NAO148" s="537"/>
      <c r="NAP148" s="537"/>
      <c r="NAQ148" s="537"/>
      <c r="NAR148" s="537"/>
      <c r="NAS148" s="537"/>
      <c r="NAT148" s="537"/>
      <c r="NAU148" s="537"/>
      <c r="NAV148" s="537"/>
      <c r="NAW148" s="537"/>
      <c r="NAX148" s="537"/>
      <c r="NAY148" s="537"/>
      <c r="NAZ148" s="537"/>
      <c r="NBA148" s="537"/>
      <c r="NBB148" s="537"/>
      <c r="NBC148" s="537"/>
      <c r="NBD148" s="537"/>
      <c r="NBE148" s="537"/>
      <c r="NBF148" s="537"/>
      <c r="NBG148" s="537"/>
      <c r="NBH148" s="537"/>
      <c r="NBI148" s="537"/>
      <c r="NBJ148" s="537"/>
      <c r="NBK148" s="537"/>
      <c r="NBL148" s="537"/>
      <c r="NBM148" s="537"/>
      <c r="NBN148" s="537"/>
      <c r="NBO148" s="537"/>
      <c r="NBP148" s="537"/>
      <c r="NBQ148" s="537"/>
      <c r="NBR148" s="537"/>
      <c r="NBS148" s="537"/>
      <c r="NBT148" s="537"/>
      <c r="NBU148" s="537"/>
      <c r="NBV148" s="537"/>
      <c r="NBW148" s="537"/>
      <c r="NBX148" s="537"/>
      <c r="NBY148" s="537"/>
      <c r="NBZ148" s="537"/>
      <c r="NCA148" s="537"/>
      <c r="NCB148" s="537"/>
      <c r="NCC148" s="537"/>
      <c r="NCD148" s="537"/>
      <c r="NCE148" s="537"/>
      <c r="NCF148" s="537"/>
      <c r="NCG148" s="537"/>
      <c r="NCH148" s="537"/>
      <c r="NCI148" s="537"/>
      <c r="NCJ148" s="537"/>
      <c r="NCK148" s="537"/>
      <c r="NCL148" s="537"/>
      <c r="NCM148" s="537"/>
      <c r="NCN148" s="537"/>
      <c r="NCO148" s="537"/>
      <c r="NCP148" s="537"/>
      <c r="NCQ148" s="537"/>
      <c r="NCR148" s="537"/>
      <c r="NCS148" s="537"/>
      <c r="NCT148" s="537"/>
      <c r="NCU148" s="537"/>
      <c r="NCV148" s="537"/>
      <c r="NCW148" s="537"/>
      <c r="NCX148" s="537"/>
      <c r="NCY148" s="537"/>
      <c r="NCZ148" s="537"/>
      <c r="NDA148" s="537"/>
      <c r="NDB148" s="537"/>
      <c r="NDC148" s="537"/>
      <c r="NDD148" s="537"/>
      <c r="NDE148" s="537"/>
      <c r="NDF148" s="537"/>
      <c r="NDG148" s="537"/>
      <c r="NDH148" s="537"/>
      <c r="NDI148" s="537"/>
      <c r="NDJ148" s="537"/>
      <c r="NDK148" s="537"/>
      <c r="NDL148" s="537"/>
      <c r="NDM148" s="537"/>
      <c r="NDN148" s="537"/>
      <c r="NDO148" s="537"/>
      <c r="NDP148" s="537"/>
      <c r="NDQ148" s="537"/>
      <c r="NDR148" s="537"/>
      <c r="NDS148" s="537"/>
      <c r="NDT148" s="537"/>
      <c r="NDU148" s="537"/>
      <c r="NDV148" s="537"/>
      <c r="NDW148" s="537"/>
      <c r="NDX148" s="537"/>
      <c r="NDY148" s="537"/>
      <c r="NDZ148" s="537"/>
      <c r="NEA148" s="537"/>
      <c r="NEB148" s="537"/>
      <c r="NEC148" s="537"/>
      <c r="NED148" s="537"/>
      <c r="NEE148" s="537"/>
      <c r="NEF148" s="537"/>
      <c r="NEG148" s="537"/>
      <c r="NEH148" s="537"/>
      <c r="NEI148" s="537"/>
      <c r="NEJ148" s="537"/>
      <c r="NEK148" s="537"/>
      <c r="NEL148" s="537"/>
      <c r="NEM148" s="537"/>
      <c r="NEN148" s="537"/>
      <c r="NEO148" s="537"/>
      <c r="NEP148" s="537"/>
      <c r="NEQ148" s="537"/>
      <c r="NER148" s="537"/>
      <c r="NES148" s="537"/>
      <c r="NET148" s="537"/>
      <c r="NEU148" s="537"/>
      <c r="NEV148" s="537"/>
      <c r="NEW148" s="537"/>
      <c r="NEX148" s="537"/>
      <c r="NEY148" s="537"/>
      <c r="NEZ148" s="537"/>
      <c r="NFA148" s="537"/>
      <c r="NFB148" s="537"/>
      <c r="NFC148" s="537"/>
      <c r="NFD148" s="537"/>
      <c r="NFE148" s="537"/>
      <c r="NFF148" s="537"/>
      <c r="NFG148" s="537"/>
      <c r="NFH148" s="537"/>
      <c r="NFI148" s="537"/>
      <c r="NFJ148" s="537"/>
      <c r="NFK148" s="537"/>
      <c r="NFL148" s="537"/>
      <c r="NFM148" s="537"/>
      <c r="NFN148" s="537"/>
      <c r="NFO148" s="537"/>
      <c r="NFP148" s="537"/>
      <c r="NFQ148" s="537"/>
      <c r="NFR148" s="537"/>
      <c r="NFS148" s="537"/>
      <c r="NFT148" s="537"/>
      <c r="NFU148" s="537"/>
      <c r="NFV148" s="537"/>
      <c r="NFW148" s="537"/>
      <c r="NFX148" s="537"/>
      <c r="NFY148" s="537"/>
      <c r="NFZ148" s="537"/>
      <c r="NGA148" s="537"/>
      <c r="NGB148" s="537"/>
      <c r="NGC148" s="537"/>
      <c r="NGD148" s="537"/>
      <c r="NGE148" s="537"/>
      <c r="NGF148" s="537"/>
      <c r="NGG148" s="537"/>
      <c r="NGH148" s="537"/>
      <c r="NGI148" s="537"/>
      <c r="NGJ148" s="537"/>
      <c r="NGK148" s="537"/>
      <c r="NGL148" s="537"/>
      <c r="NGM148" s="537"/>
      <c r="NGN148" s="537"/>
      <c r="NGO148" s="537"/>
      <c r="NGP148" s="537"/>
      <c r="NGQ148" s="537"/>
      <c r="NGR148" s="537"/>
      <c r="NGS148" s="537"/>
      <c r="NGT148" s="537"/>
      <c r="NGU148" s="537"/>
      <c r="NGV148" s="537"/>
      <c r="NGW148" s="537"/>
      <c r="NGX148" s="537"/>
      <c r="NGY148" s="537"/>
      <c r="NGZ148" s="537"/>
      <c r="NHA148" s="537"/>
      <c r="NHB148" s="537"/>
      <c r="NHC148" s="537"/>
      <c r="NHD148" s="537"/>
      <c r="NHE148" s="537"/>
      <c r="NHF148" s="537"/>
      <c r="NHG148" s="537"/>
      <c r="NHH148" s="537"/>
      <c r="NHI148" s="537"/>
      <c r="NHJ148" s="537"/>
      <c r="NHK148" s="537"/>
      <c r="NHL148" s="537"/>
      <c r="NHM148" s="537"/>
      <c r="NHN148" s="537"/>
      <c r="NHO148" s="537"/>
      <c r="NHP148" s="537"/>
      <c r="NHQ148" s="537"/>
      <c r="NHR148" s="537"/>
      <c r="NHS148" s="537"/>
      <c r="NHT148" s="537"/>
      <c r="NHU148" s="537"/>
      <c r="NHV148" s="537"/>
      <c r="NHW148" s="537"/>
      <c r="NHX148" s="537"/>
      <c r="NHY148" s="537"/>
      <c r="NHZ148" s="537"/>
      <c r="NIA148" s="537"/>
      <c r="NIB148" s="537"/>
      <c r="NIC148" s="537"/>
      <c r="NID148" s="537"/>
      <c r="NIE148" s="537"/>
      <c r="NIF148" s="537"/>
      <c r="NIG148" s="537"/>
      <c r="NIH148" s="537"/>
      <c r="NII148" s="537"/>
      <c r="NIJ148" s="537"/>
      <c r="NIK148" s="537"/>
      <c r="NIL148" s="537"/>
      <c r="NIM148" s="537"/>
      <c r="NIN148" s="537"/>
      <c r="NIO148" s="537"/>
      <c r="NIP148" s="537"/>
      <c r="NIQ148" s="537"/>
      <c r="NIR148" s="537"/>
      <c r="NIS148" s="537"/>
      <c r="NIT148" s="537"/>
      <c r="NIU148" s="537"/>
      <c r="NIV148" s="537"/>
      <c r="NIW148" s="537"/>
      <c r="NIX148" s="537"/>
      <c r="NIY148" s="537"/>
      <c r="NIZ148" s="537"/>
      <c r="NJA148" s="537"/>
      <c r="NJB148" s="537"/>
      <c r="NJC148" s="537"/>
      <c r="NJD148" s="537"/>
      <c r="NJE148" s="537"/>
      <c r="NJF148" s="537"/>
      <c r="NJG148" s="537"/>
      <c r="NJH148" s="537"/>
      <c r="NJI148" s="537"/>
      <c r="NJJ148" s="537"/>
      <c r="NJK148" s="537"/>
      <c r="NJL148" s="537"/>
      <c r="NJM148" s="537"/>
      <c r="NJN148" s="537"/>
      <c r="NJO148" s="537"/>
      <c r="NJP148" s="537"/>
      <c r="NJQ148" s="537"/>
      <c r="NJR148" s="537"/>
      <c r="NJS148" s="537"/>
      <c r="NJT148" s="537"/>
      <c r="NJU148" s="537"/>
      <c r="NJV148" s="537"/>
      <c r="NJW148" s="537"/>
      <c r="NJX148" s="537"/>
      <c r="NJY148" s="537"/>
      <c r="NJZ148" s="537"/>
      <c r="NKA148" s="537"/>
      <c r="NKB148" s="537"/>
      <c r="NKC148" s="537"/>
      <c r="NKD148" s="537"/>
      <c r="NKE148" s="537"/>
      <c r="NKF148" s="537"/>
      <c r="NKG148" s="537"/>
      <c r="NKH148" s="537"/>
      <c r="NKI148" s="537"/>
      <c r="NKJ148" s="537"/>
      <c r="NKK148" s="537"/>
      <c r="NKL148" s="537"/>
      <c r="NKM148" s="537"/>
      <c r="NKN148" s="537"/>
      <c r="NKO148" s="537"/>
      <c r="NKP148" s="537"/>
      <c r="NKQ148" s="537"/>
      <c r="NKR148" s="537"/>
      <c r="NKS148" s="537"/>
      <c r="NKT148" s="537"/>
      <c r="NKU148" s="537"/>
      <c r="NKV148" s="537"/>
      <c r="NKW148" s="537"/>
      <c r="NKX148" s="537"/>
      <c r="NKY148" s="537"/>
      <c r="NKZ148" s="537"/>
      <c r="NLA148" s="537"/>
      <c r="NLB148" s="537"/>
      <c r="NLC148" s="537"/>
      <c r="NLD148" s="537"/>
      <c r="NLE148" s="537"/>
      <c r="NLF148" s="537"/>
      <c r="NLG148" s="537"/>
      <c r="NLH148" s="537"/>
      <c r="NLI148" s="537"/>
      <c r="NLJ148" s="537"/>
      <c r="NLK148" s="537"/>
      <c r="NLL148" s="537"/>
      <c r="NLM148" s="537"/>
      <c r="NLN148" s="537"/>
      <c r="NLO148" s="537"/>
      <c r="NLP148" s="537"/>
      <c r="NLQ148" s="537"/>
      <c r="NLR148" s="537"/>
      <c r="NLS148" s="537"/>
      <c r="NLT148" s="537"/>
      <c r="NLU148" s="537"/>
      <c r="NLV148" s="537"/>
      <c r="NLW148" s="537"/>
      <c r="NLX148" s="537"/>
      <c r="NLY148" s="537"/>
      <c r="NLZ148" s="537"/>
      <c r="NMA148" s="537"/>
      <c r="NMB148" s="537"/>
      <c r="NMC148" s="537"/>
      <c r="NMD148" s="537"/>
      <c r="NME148" s="537"/>
      <c r="NMF148" s="537"/>
      <c r="NMG148" s="537"/>
      <c r="NMH148" s="537"/>
      <c r="NMI148" s="537"/>
      <c r="NMJ148" s="537"/>
      <c r="NMK148" s="537"/>
      <c r="NML148" s="537"/>
      <c r="NMM148" s="537"/>
      <c r="NMN148" s="537"/>
      <c r="NMO148" s="537"/>
      <c r="NMP148" s="537"/>
      <c r="NMQ148" s="537"/>
      <c r="NMR148" s="537"/>
      <c r="NMS148" s="537"/>
      <c r="NMT148" s="537"/>
      <c r="NMU148" s="537"/>
      <c r="NMV148" s="537"/>
      <c r="NMW148" s="537"/>
      <c r="NMX148" s="537"/>
      <c r="NMY148" s="537"/>
      <c r="NMZ148" s="537"/>
      <c r="NNA148" s="537"/>
      <c r="NNB148" s="537"/>
      <c r="NNC148" s="537"/>
      <c r="NND148" s="537"/>
      <c r="NNE148" s="537"/>
      <c r="NNF148" s="537"/>
      <c r="NNG148" s="537"/>
      <c r="NNH148" s="537"/>
      <c r="NNI148" s="537"/>
      <c r="NNJ148" s="537"/>
      <c r="NNK148" s="537"/>
      <c r="NNL148" s="537"/>
      <c r="NNM148" s="537"/>
      <c r="NNN148" s="537"/>
      <c r="NNO148" s="537"/>
      <c r="NNP148" s="537"/>
      <c r="NNQ148" s="537"/>
      <c r="NNR148" s="537"/>
      <c r="NNS148" s="537"/>
      <c r="NNT148" s="537"/>
      <c r="NNU148" s="537"/>
      <c r="NNV148" s="537"/>
      <c r="NNW148" s="537"/>
      <c r="NNX148" s="537"/>
      <c r="NNY148" s="537"/>
      <c r="NNZ148" s="537"/>
      <c r="NOA148" s="537"/>
      <c r="NOB148" s="537"/>
      <c r="NOC148" s="537"/>
      <c r="NOD148" s="537"/>
      <c r="NOE148" s="537"/>
      <c r="NOF148" s="537"/>
      <c r="NOG148" s="537"/>
      <c r="NOH148" s="537"/>
      <c r="NOI148" s="537"/>
      <c r="NOJ148" s="537"/>
      <c r="NOK148" s="537"/>
      <c r="NOL148" s="537"/>
      <c r="NOM148" s="537"/>
      <c r="NON148" s="537"/>
      <c r="NOO148" s="537"/>
      <c r="NOP148" s="537"/>
      <c r="NOQ148" s="537"/>
      <c r="NOR148" s="537"/>
      <c r="NOS148" s="537"/>
      <c r="NOT148" s="537"/>
      <c r="NOU148" s="537"/>
      <c r="NOV148" s="537"/>
      <c r="NOW148" s="537"/>
      <c r="NOX148" s="537"/>
      <c r="NOY148" s="537"/>
      <c r="NOZ148" s="537"/>
      <c r="NPA148" s="537"/>
      <c r="NPB148" s="537"/>
      <c r="NPC148" s="537"/>
      <c r="NPD148" s="537"/>
      <c r="NPE148" s="537"/>
      <c r="NPF148" s="537"/>
      <c r="NPG148" s="537"/>
      <c r="NPH148" s="537"/>
      <c r="NPI148" s="537"/>
      <c r="NPJ148" s="537"/>
      <c r="NPK148" s="537"/>
      <c r="NPL148" s="537"/>
      <c r="NPM148" s="537"/>
      <c r="NPN148" s="537"/>
      <c r="NPO148" s="537"/>
      <c r="NPP148" s="537"/>
      <c r="NPQ148" s="537"/>
      <c r="NPR148" s="537"/>
      <c r="NPS148" s="537"/>
      <c r="NPT148" s="537"/>
      <c r="NPU148" s="537"/>
      <c r="NPV148" s="537"/>
      <c r="NPW148" s="537"/>
      <c r="NPX148" s="537"/>
      <c r="NPY148" s="537"/>
      <c r="NPZ148" s="537"/>
      <c r="NQA148" s="537"/>
      <c r="NQB148" s="537"/>
      <c r="NQC148" s="537"/>
      <c r="NQD148" s="537"/>
      <c r="NQE148" s="537"/>
      <c r="NQF148" s="537"/>
      <c r="NQG148" s="537"/>
      <c r="NQH148" s="537"/>
      <c r="NQI148" s="537"/>
      <c r="NQJ148" s="537"/>
      <c r="NQK148" s="537"/>
      <c r="NQL148" s="537"/>
      <c r="NQM148" s="537"/>
      <c r="NQN148" s="537"/>
      <c r="NQO148" s="537"/>
      <c r="NQP148" s="537"/>
      <c r="NQQ148" s="537"/>
      <c r="NQR148" s="537"/>
      <c r="NQS148" s="537"/>
      <c r="NQT148" s="537"/>
      <c r="NQU148" s="537"/>
      <c r="NQV148" s="537"/>
      <c r="NQW148" s="537"/>
      <c r="NQX148" s="537"/>
      <c r="NQY148" s="537"/>
      <c r="NQZ148" s="537"/>
      <c r="NRA148" s="537"/>
      <c r="NRB148" s="537"/>
      <c r="NRC148" s="537"/>
      <c r="NRD148" s="537"/>
      <c r="NRE148" s="537"/>
      <c r="NRF148" s="537"/>
      <c r="NRG148" s="537"/>
      <c r="NRH148" s="537"/>
      <c r="NRI148" s="537"/>
      <c r="NRJ148" s="537"/>
      <c r="NRK148" s="537"/>
      <c r="NRL148" s="537"/>
      <c r="NRM148" s="537"/>
      <c r="NRN148" s="537"/>
      <c r="NRO148" s="537"/>
      <c r="NRP148" s="537"/>
      <c r="NRQ148" s="537"/>
      <c r="NRR148" s="537"/>
      <c r="NRS148" s="537"/>
      <c r="NRT148" s="537"/>
      <c r="NRU148" s="537"/>
      <c r="NRV148" s="537"/>
      <c r="NRW148" s="537"/>
      <c r="NRX148" s="537"/>
      <c r="NRY148" s="537"/>
      <c r="NRZ148" s="537"/>
      <c r="NSA148" s="537"/>
      <c r="NSB148" s="537"/>
      <c r="NSC148" s="537"/>
      <c r="NSD148" s="537"/>
      <c r="NSE148" s="537"/>
      <c r="NSF148" s="537"/>
      <c r="NSG148" s="537"/>
      <c r="NSH148" s="537"/>
      <c r="NSI148" s="537"/>
      <c r="NSJ148" s="537"/>
      <c r="NSK148" s="537"/>
      <c r="NSL148" s="537"/>
      <c r="NSM148" s="537"/>
      <c r="NSN148" s="537"/>
      <c r="NSO148" s="537"/>
      <c r="NSP148" s="537"/>
      <c r="NSQ148" s="537"/>
      <c r="NSR148" s="537"/>
      <c r="NSS148" s="537"/>
      <c r="NST148" s="537"/>
      <c r="NSU148" s="537"/>
      <c r="NSV148" s="537"/>
      <c r="NSW148" s="537"/>
      <c r="NSX148" s="537"/>
      <c r="NSY148" s="537"/>
      <c r="NSZ148" s="537"/>
      <c r="NTA148" s="537"/>
      <c r="NTB148" s="537"/>
      <c r="NTC148" s="537"/>
      <c r="NTD148" s="537"/>
      <c r="NTE148" s="537"/>
      <c r="NTF148" s="537"/>
      <c r="NTG148" s="537"/>
      <c r="NTH148" s="537"/>
      <c r="NTI148" s="537"/>
      <c r="NTJ148" s="537"/>
      <c r="NTK148" s="537"/>
      <c r="NTL148" s="537"/>
      <c r="NTM148" s="537"/>
      <c r="NTN148" s="537"/>
      <c r="NTO148" s="537"/>
      <c r="NTP148" s="537"/>
      <c r="NTQ148" s="537"/>
      <c r="NTR148" s="537"/>
      <c r="NTS148" s="537"/>
      <c r="NTT148" s="537"/>
      <c r="NTU148" s="537"/>
      <c r="NTV148" s="537"/>
      <c r="NTW148" s="537"/>
      <c r="NTX148" s="537"/>
      <c r="NTY148" s="537"/>
      <c r="NTZ148" s="537"/>
      <c r="NUA148" s="537"/>
      <c r="NUB148" s="537"/>
      <c r="NUC148" s="537"/>
      <c r="NUD148" s="537"/>
      <c r="NUE148" s="537"/>
      <c r="NUF148" s="537"/>
      <c r="NUG148" s="537"/>
      <c r="NUH148" s="537"/>
      <c r="NUI148" s="537"/>
      <c r="NUJ148" s="537"/>
      <c r="NUK148" s="537"/>
      <c r="NUL148" s="537"/>
      <c r="NUM148" s="537"/>
      <c r="NUN148" s="537"/>
      <c r="NUO148" s="537"/>
      <c r="NUP148" s="537"/>
      <c r="NUQ148" s="537"/>
      <c r="NUR148" s="537"/>
      <c r="NUS148" s="537"/>
      <c r="NUT148" s="537"/>
      <c r="NUU148" s="537"/>
      <c r="NUV148" s="537"/>
      <c r="NUW148" s="537"/>
      <c r="NUX148" s="537"/>
      <c r="NUY148" s="537"/>
      <c r="NUZ148" s="537"/>
      <c r="NVA148" s="537"/>
      <c r="NVB148" s="537"/>
      <c r="NVC148" s="537"/>
      <c r="NVD148" s="537"/>
      <c r="NVE148" s="537"/>
      <c r="NVF148" s="537"/>
      <c r="NVG148" s="537"/>
      <c r="NVH148" s="537"/>
      <c r="NVI148" s="537"/>
      <c r="NVJ148" s="537"/>
      <c r="NVK148" s="537"/>
      <c r="NVL148" s="537"/>
      <c r="NVM148" s="537"/>
      <c r="NVN148" s="537"/>
      <c r="NVO148" s="537"/>
      <c r="NVP148" s="537"/>
      <c r="NVQ148" s="537"/>
      <c r="NVR148" s="537"/>
      <c r="NVS148" s="537"/>
      <c r="NVT148" s="537"/>
      <c r="NVU148" s="537"/>
      <c r="NVV148" s="537"/>
      <c r="NVW148" s="537"/>
      <c r="NVX148" s="537"/>
      <c r="NVY148" s="537"/>
      <c r="NVZ148" s="537"/>
      <c r="NWA148" s="537"/>
      <c r="NWB148" s="537"/>
      <c r="NWC148" s="537"/>
      <c r="NWD148" s="537"/>
      <c r="NWE148" s="537"/>
      <c r="NWF148" s="537"/>
      <c r="NWG148" s="537"/>
      <c r="NWH148" s="537"/>
      <c r="NWI148" s="537"/>
      <c r="NWJ148" s="537"/>
      <c r="NWK148" s="537"/>
      <c r="NWL148" s="537"/>
      <c r="NWM148" s="537"/>
      <c r="NWN148" s="537"/>
      <c r="NWO148" s="537"/>
      <c r="NWP148" s="537"/>
      <c r="NWQ148" s="537"/>
      <c r="NWR148" s="537"/>
      <c r="NWS148" s="537"/>
      <c r="NWT148" s="537"/>
      <c r="NWU148" s="537"/>
      <c r="NWV148" s="537"/>
      <c r="NWW148" s="537"/>
      <c r="NWX148" s="537"/>
      <c r="NWY148" s="537"/>
      <c r="NWZ148" s="537"/>
      <c r="NXA148" s="537"/>
      <c r="NXB148" s="537"/>
      <c r="NXC148" s="537"/>
      <c r="NXD148" s="537"/>
      <c r="NXE148" s="537"/>
      <c r="NXF148" s="537"/>
      <c r="NXG148" s="537"/>
      <c r="NXH148" s="537"/>
      <c r="NXI148" s="537"/>
      <c r="NXJ148" s="537"/>
      <c r="NXK148" s="537"/>
      <c r="NXL148" s="537"/>
      <c r="NXM148" s="537"/>
      <c r="NXN148" s="537"/>
      <c r="NXO148" s="537"/>
      <c r="NXP148" s="537"/>
      <c r="NXQ148" s="537"/>
      <c r="NXR148" s="537"/>
      <c r="NXS148" s="537"/>
      <c r="NXT148" s="537"/>
      <c r="NXU148" s="537"/>
      <c r="NXV148" s="537"/>
      <c r="NXW148" s="537"/>
      <c r="NXX148" s="537"/>
      <c r="NXY148" s="537"/>
      <c r="NXZ148" s="537"/>
      <c r="NYA148" s="537"/>
      <c r="NYB148" s="537"/>
      <c r="NYC148" s="537"/>
      <c r="NYD148" s="537"/>
      <c r="NYE148" s="537"/>
      <c r="NYF148" s="537"/>
      <c r="NYG148" s="537"/>
      <c r="NYH148" s="537"/>
      <c r="NYI148" s="537"/>
      <c r="NYJ148" s="537"/>
      <c r="NYK148" s="537"/>
      <c r="NYL148" s="537"/>
      <c r="NYM148" s="537"/>
      <c r="NYN148" s="537"/>
      <c r="NYO148" s="537"/>
      <c r="NYP148" s="537"/>
      <c r="NYQ148" s="537"/>
      <c r="NYR148" s="537"/>
      <c r="NYS148" s="537"/>
      <c r="NYT148" s="537"/>
      <c r="NYU148" s="537"/>
      <c r="NYV148" s="537"/>
      <c r="NYW148" s="537"/>
      <c r="NYX148" s="537"/>
      <c r="NYY148" s="537"/>
      <c r="NYZ148" s="537"/>
      <c r="NZA148" s="537"/>
      <c r="NZB148" s="537"/>
      <c r="NZC148" s="537"/>
      <c r="NZD148" s="537"/>
      <c r="NZE148" s="537"/>
      <c r="NZF148" s="537"/>
      <c r="NZG148" s="537"/>
      <c r="NZH148" s="537"/>
      <c r="NZI148" s="537"/>
      <c r="NZJ148" s="537"/>
      <c r="NZK148" s="537"/>
      <c r="NZL148" s="537"/>
      <c r="NZM148" s="537"/>
      <c r="NZN148" s="537"/>
      <c r="NZO148" s="537"/>
      <c r="NZP148" s="537"/>
      <c r="NZQ148" s="537"/>
      <c r="NZR148" s="537"/>
      <c r="NZS148" s="537"/>
      <c r="NZT148" s="537"/>
      <c r="NZU148" s="537"/>
      <c r="NZV148" s="537"/>
      <c r="NZW148" s="537"/>
      <c r="NZX148" s="537"/>
      <c r="NZY148" s="537"/>
      <c r="NZZ148" s="537"/>
      <c r="OAA148" s="537"/>
      <c r="OAB148" s="537"/>
      <c r="OAC148" s="537"/>
      <c r="OAD148" s="537"/>
      <c r="OAE148" s="537"/>
      <c r="OAF148" s="537"/>
      <c r="OAG148" s="537"/>
      <c r="OAH148" s="537"/>
      <c r="OAI148" s="537"/>
      <c r="OAJ148" s="537"/>
      <c r="OAK148" s="537"/>
      <c r="OAL148" s="537"/>
      <c r="OAM148" s="537"/>
      <c r="OAN148" s="537"/>
      <c r="OAO148" s="537"/>
      <c r="OAP148" s="537"/>
      <c r="OAQ148" s="537"/>
      <c r="OAR148" s="537"/>
      <c r="OAS148" s="537"/>
      <c r="OAT148" s="537"/>
      <c r="OAU148" s="537"/>
      <c r="OAV148" s="537"/>
      <c r="OAW148" s="537"/>
      <c r="OAX148" s="537"/>
      <c r="OAY148" s="537"/>
      <c r="OAZ148" s="537"/>
      <c r="OBA148" s="537"/>
      <c r="OBB148" s="537"/>
      <c r="OBC148" s="537"/>
      <c r="OBD148" s="537"/>
      <c r="OBE148" s="537"/>
      <c r="OBF148" s="537"/>
      <c r="OBG148" s="537"/>
      <c r="OBH148" s="537"/>
      <c r="OBI148" s="537"/>
      <c r="OBJ148" s="537"/>
      <c r="OBK148" s="537"/>
      <c r="OBL148" s="537"/>
      <c r="OBM148" s="537"/>
      <c r="OBN148" s="537"/>
      <c r="OBO148" s="537"/>
      <c r="OBP148" s="537"/>
      <c r="OBQ148" s="537"/>
      <c r="OBR148" s="537"/>
      <c r="OBS148" s="537"/>
      <c r="OBT148" s="537"/>
      <c r="OBU148" s="537"/>
      <c r="OBV148" s="537"/>
      <c r="OBW148" s="537"/>
      <c r="OBX148" s="537"/>
      <c r="OBY148" s="537"/>
      <c r="OBZ148" s="537"/>
      <c r="OCA148" s="537"/>
      <c r="OCB148" s="537"/>
      <c r="OCC148" s="537"/>
      <c r="OCD148" s="537"/>
      <c r="OCE148" s="537"/>
      <c r="OCF148" s="537"/>
      <c r="OCG148" s="537"/>
      <c r="OCH148" s="537"/>
      <c r="OCI148" s="537"/>
      <c r="OCJ148" s="537"/>
      <c r="OCK148" s="537"/>
      <c r="OCL148" s="537"/>
      <c r="OCM148" s="537"/>
      <c r="OCN148" s="537"/>
      <c r="OCO148" s="537"/>
      <c r="OCP148" s="537"/>
      <c r="OCQ148" s="537"/>
      <c r="OCR148" s="537"/>
      <c r="OCS148" s="537"/>
      <c r="OCT148" s="537"/>
      <c r="OCU148" s="537"/>
      <c r="OCV148" s="537"/>
      <c r="OCW148" s="537"/>
      <c r="OCX148" s="537"/>
      <c r="OCY148" s="537"/>
      <c r="OCZ148" s="537"/>
      <c r="ODA148" s="537"/>
      <c r="ODB148" s="537"/>
      <c r="ODC148" s="537"/>
      <c r="ODD148" s="537"/>
      <c r="ODE148" s="537"/>
      <c r="ODF148" s="537"/>
      <c r="ODG148" s="537"/>
      <c r="ODH148" s="537"/>
      <c r="ODI148" s="537"/>
      <c r="ODJ148" s="537"/>
      <c r="ODK148" s="537"/>
      <c r="ODL148" s="537"/>
      <c r="ODM148" s="537"/>
      <c r="ODN148" s="537"/>
      <c r="ODO148" s="537"/>
      <c r="ODP148" s="537"/>
      <c r="ODQ148" s="537"/>
      <c r="ODR148" s="537"/>
      <c r="ODS148" s="537"/>
      <c r="ODT148" s="537"/>
      <c r="ODU148" s="537"/>
      <c r="ODV148" s="537"/>
      <c r="ODW148" s="537"/>
      <c r="ODX148" s="537"/>
      <c r="ODY148" s="537"/>
      <c r="ODZ148" s="537"/>
      <c r="OEA148" s="537"/>
      <c r="OEB148" s="537"/>
      <c r="OEC148" s="537"/>
      <c r="OED148" s="537"/>
      <c r="OEE148" s="537"/>
      <c r="OEF148" s="537"/>
      <c r="OEG148" s="537"/>
      <c r="OEH148" s="537"/>
      <c r="OEI148" s="537"/>
      <c r="OEJ148" s="537"/>
      <c r="OEK148" s="537"/>
      <c r="OEL148" s="537"/>
      <c r="OEM148" s="537"/>
      <c r="OEN148" s="537"/>
      <c r="OEO148" s="537"/>
      <c r="OEP148" s="537"/>
      <c r="OEQ148" s="537"/>
      <c r="OER148" s="537"/>
      <c r="OES148" s="537"/>
      <c r="OET148" s="537"/>
      <c r="OEU148" s="537"/>
      <c r="OEV148" s="537"/>
      <c r="OEW148" s="537"/>
      <c r="OEX148" s="537"/>
      <c r="OEY148" s="537"/>
      <c r="OEZ148" s="537"/>
      <c r="OFA148" s="537"/>
      <c r="OFB148" s="537"/>
      <c r="OFC148" s="537"/>
      <c r="OFD148" s="537"/>
      <c r="OFE148" s="537"/>
      <c r="OFF148" s="537"/>
      <c r="OFG148" s="537"/>
      <c r="OFH148" s="537"/>
      <c r="OFI148" s="537"/>
      <c r="OFJ148" s="537"/>
      <c r="OFK148" s="537"/>
      <c r="OFL148" s="537"/>
      <c r="OFM148" s="537"/>
      <c r="OFN148" s="537"/>
      <c r="OFO148" s="537"/>
      <c r="OFP148" s="537"/>
      <c r="OFQ148" s="537"/>
      <c r="OFR148" s="537"/>
      <c r="OFS148" s="537"/>
      <c r="OFT148" s="537"/>
      <c r="OFU148" s="537"/>
      <c r="OFV148" s="537"/>
      <c r="OFW148" s="537"/>
      <c r="OFX148" s="537"/>
      <c r="OFY148" s="537"/>
      <c r="OFZ148" s="537"/>
      <c r="OGA148" s="537"/>
      <c r="OGB148" s="537"/>
      <c r="OGC148" s="537"/>
      <c r="OGD148" s="537"/>
      <c r="OGE148" s="537"/>
      <c r="OGF148" s="537"/>
      <c r="OGG148" s="537"/>
      <c r="OGH148" s="537"/>
      <c r="OGI148" s="537"/>
      <c r="OGJ148" s="537"/>
      <c r="OGK148" s="537"/>
      <c r="OGL148" s="537"/>
      <c r="OGM148" s="537"/>
      <c r="OGN148" s="537"/>
      <c r="OGO148" s="537"/>
      <c r="OGP148" s="537"/>
      <c r="OGQ148" s="537"/>
      <c r="OGR148" s="537"/>
      <c r="OGS148" s="537"/>
      <c r="OGT148" s="537"/>
      <c r="OGU148" s="537"/>
      <c r="OGV148" s="537"/>
      <c r="OGW148" s="537"/>
      <c r="OGX148" s="537"/>
      <c r="OGY148" s="537"/>
      <c r="OGZ148" s="537"/>
      <c r="OHA148" s="537"/>
      <c r="OHB148" s="537"/>
      <c r="OHC148" s="537"/>
      <c r="OHD148" s="537"/>
      <c r="OHE148" s="537"/>
      <c r="OHF148" s="537"/>
      <c r="OHG148" s="537"/>
      <c r="OHH148" s="537"/>
      <c r="OHI148" s="537"/>
      <c r="OHJ148" s="537"/>
      <c r="OHK148" s="537"/>
      <c r="OHL148" s="537"/>
      <c r="OHM148" s="537"/>
      <c r="OHN148" s="537"/>
      <c r="OHO148" s="537"/>
      <c r="OHP148" s="537"/>
      <c r="OHQ148" s="537"/>
      <c r="OHR148" s="537"/>
      <c r="OHS148" s="537"/>
      <c r="OHT148" s="537"/>
      <c r="OHU148" s="537"/>
      <c r="OHV148" s="537"/>
      <c r="OHW148" s="537"/>
      <c r="OHX148" s="537"/>
      <c r="OHY148" s="537"/>
      <c r="OHZ148" s="537"/>
      <c r="OIA148" s="537"/>
      <c r="OIB148" s="537"/>
      <c r="OIC148" s="537"/>
      <c r="OID148" s="537"/>
      <c r="OIE148" s="537"/>
      <c r="OIF148" s="537"/>
      <c r="OIG148" s="537"/>
      <c r="OIH148" s="537"/>
      <c r="OII148" s="537"/>
      <c r="OIJ148" s="537"/>
      <c r="OIK148" s="537"/>
      <c r="OIL148" s="537"/>
      <c r="OIM148" s="537"/>
      <c r="OIN148" s="537"/>
      <c r="OIO148" s="537"/>
      <c r="OIP148" s="537"/>
      <c r="OIQ148" s="537"/>
      <c r="OIR148" s="537"/>
      <c r="OIS148" s="537"/>
      <c r="OIT148" s="537"/>
      <c r="OIU148" s="537"/>
      <c r="OIV148" s="537"/>
      <c r="OIW148" s="537"/>
      <c r="OIX148" s="537"/>
      <c r="OIY148" s="537"/>
      <c r="OIZ148" s="537"/>
      <c r="OJA148" s="537"/>
      <c r="OJB148" s="537"/>
      <c r="OJC148" s="537"/>
      <c r="OJD148" s="537"/>
      <c r="OJE148" s="537"/>
      <c r="OJF148" s="537"/>
      <c r="OJG148" s="537"/>
      <c r="OJH148" s="537"/>
      <c r="OJI148" s="537"/>
      <c r="OJJ148" s="537"/>
      <c r="OJK148" s="537"/>
      <c r="OJL148" s="537"/>
      <c r="OJM148" s="537"/>
      <c r="OJN148" s="537"/>
      <c r="OJO148" s="537"/>
      <c r="OJP148" s="537"/>
      <c r="OJQ148" s="537"/>
      <c r="OJR148" s="537"/>
      <c r="OJS148" s="537"/>
      <c r="OJT148" s="537"/>
      <c r="OJU148" s="537"/>
      <c r="OJV148" s="537"/>
      <c r="OJW148" s="537"/>
      <c r="OJX148" s="537"/>
      <c r="OJY148" s="537"/>
      <c r="OJZ148" s="537"/>
      <c r="OKA148" s="537"/>
      <c r="OKB148" s="537"/>
      <c r="OKC148" s="537"/>
      <c r="OKD148" s="537"/>
      <c r="OKE148" s="537"/>
      <c r="OKF148" s="537"/>
      <c r="OKG148" s="537"/>
      <c r="OKH148" s="537"/>
      <c r="OKI148" s="537"/>
      <c r="OKJ148" s="537"/>
      <c r="OKK148" s="537"/>
      <c r="OKL148" s="537"/>
      <c r="OKM148" s="537"/>
      <c r="OKN148" s="537"/>
      <c r="OKO148" s="537"/>
      <c r="OKP148" s="537"/>
      <c r="OKQ148" s="537"/>
      <c r="OKR148" s="537"/>
      <c r="OKS148" s="537"/>
      <c r="OKT148" s="537"/>
      <c r="OKU148" s="537"/>
      <c r="OKV148" s="537"/>
      <c r="OKW148" s="537"/>
      <c r="OKX148" s="537"/>
      <c r="OKY148" s="537"/>
      <c r="OKZ148" s="537"/>
      <c r="OLA148" s="537"/>
      <c r="OLB148" s="537"/>
      <c r="OLC148" s="537"/>
      <c r="OLD148" s="537"/>
      <c r="OLE148" s="537"/>
      <c r="OLF148" s="537"/>
      <c r="OLG148" s="537"/>
      <c r="OLH148" s="537"/>
      <c r="OLI148" s="537"/>
      <c r="OLJ148" s="537"/>
      <c r="OLK148" s="537"/>
      <c r="OLL148" s="537"/>
      <c r="OLM148" s="537"/>
      <c r="OLN148" s="537"/>
      <c r="OLO148" s="537"/>
      <c r="OLP148" s="537"/>
      <c r="OLQ148" s="537"/>
      <c r="OLR148" s="537"/>
      <c r="OLS148" s="537"/>
      <c r="OLT148" s="537"/>
      <c r="OLU148" s="537"/>
      <c r="OLV148" s="537"/>
      <c r="OLW148" s="537"/>
      <c r="OLX148" s="537"/>
      <c r="OLY148" s="537"/>
      <c r="OLZ148" s="537"/>
      <c r="OMA148" s="537"/>
      <c r="OMB148" s="537"/>
      <c r="OMC148" s="537"/>
      <c r="OMD148" s="537"/>
      <c r="OME148" s="537"/>
      <c r="OMF148" s="537"/>
      <c r="OMG148" s="537"/>
      <c r="OMH148" s="537"/>
      <c r="OMI148" s="537"/>
      <c r="OMJ148" s="537"/>
      <c r="OMK148" s="537"/>
      <c r="OML148" s="537"/>
      <c r="OMM148" s="537"/>
      <c r="OMN148" s="537"/>
      <c r="OMO148" s="537"/>
      <c r="OMP148" s="537"/>
      <c r="OMQ148" s="537"/>
      <c r="OMR148" s="537"/>
      <c r="OMS148" s="537"/>
      <c r="OMT148" s="537"/>
      <c r="OMU148" s="537"/>
      <c r="OMV148" s="537"/>
      <c r="OMW148" s="537"/>
      <c r="OMX148" s="537"/>
      <c r="OMY148" s="537"/>
      <c r="OMZ148" s="537"/>
      <c r="ONA148" s="537"/>
      <c r="ONB148" s="537"/>
      <c r="ONC148" s="537"/>
      <c r="OND148" s="537"/>
      <c r="ONE148" s="537"/>
      <c r="ONF148" s="537"/>
      <c r="ONG148" s="537"/>
      <c r="ONH148" s="537"/>
      <c r="ONI148" s="537"/>
      <c r="ONJ148" s="537"/>
      <c r="ONK148" s="537"/>
      <c r="ONL148" s="537"/>
      <c r="ONM148" s="537"/>
      <c r="ONN148" s="537"/>
      <c r="ONO148" s="537"/>
      <c r="ONP148" s="537"/>
      <c r="ONQ148" s="537"/>
      <c r="ONR148" s="537"/>
      <c r="ONS148" s="537"/>
      <c r="ONT148" s="537"/>
      <c r="ONU148" s="537"/>
      <c r="ONV148" s="537"/>
      <c r="ONW148" s="537"/>
      <c r="ONX148" s="537"/>
      <c r="ONY148" s="537"/>
      <c r="ONZ148" s="537"/>
      <c r="OOA148" s="537"/>
      <c r="OOB148" s="537"/>
      <c r="OOC148" s="537"/>
      <c r="OOD148" s="537"/>
      <c r="OOE148" s="537"/>
      <c r="OOF148" s="537"/>
      <c r="OOG148" s="537"/>
      <c r="OOH148" s="537"/>
      <c r="OOI148" s="537"/>
      <c r="OOJ148" s="537"/>
      <c r="OOK148" s="537"/>
      <c r="OOL148" s="537"/>
      <c r="OOM148" s="537"/>
      <c r="OON148" s="537"/>
      <c r="OOO148" s="537"/>
      <c r="OOP148" s="537"/>
      <c r="OOQ148" s="537"/>
      <c r="OOR148" s="537"/>
      <c r="OOS148" s="537"/>
      <c r="OOT148" s="537"/>
      <c r="OOU148" s="537"/>
      <c r="OOV148" s="537"/>
      <c r="OOW148" s="537"/>
      <c r="OOX148" s="537"/>
      <c r="OOY148" s="537"/>
      <c r="OOZ148" s="537"/>
      <c r="OPA148" s="537"/>
      <c r="OPB148" s="537"/>
      <c r="OPC148" s="537"/>
      <c r="OPD148" s="537"/>
      <c r="OPE148" s="537"/>
      <c r="OPF148" s="537"/>
      <c r="OPG148" s="537"/>
      <c r="OPH148" s="537"/>
      <c r="OPI148" s="537"/>
      <c r="OPJ148" s="537"/>
      <c r="OPK148" s="537"/>
      <c r="OPL148" s="537"/>
      <c r="OPM148" s="537"/>
      <c r="OPN148" s="537"/>
      <c r="OPO148" s="537"/>
      <c r="OPP148" s="537"/>
      <c r="OPQ148" s="537"/>
      <c r="OPR148" s="537"/>
      <c r="OPS148" s="537"/>
      <c r="OPT148" s="537"/>
      <c r="OPU148" s="537"/>
      <c r="OPV148" s="537"/>
      <c r="OPW148" s="537"/>
      <c r="OPX148" s="537"/>
      <c r="OPY148" s="537"/>
      <c r="OPZ148" s="537"/>
      <c r="OQA148" s="537"/>
      <c r="OQB148" s="537"/>
      <c r="OQC148" s="537"/>
      <c r="OQD148" s="537"/>
      <c r="OQE148" s="537"/>
      <c r="OQF148" s="537"/>
      <c r="OQG148" s="537"/>
      <c r="OQH148" s="537"/>
      <c r="OQI148" s="537"/>
      <c r="OQJ148" s="537"/>
      <c r="OQK148" s="537"/>
      <c r="OQL148" s="537"/>
      <c r="OQM148" s="537"/>
      <c r="OQN148" s="537"/>
      <c r="OQO148" s="537"/>
      <c r="OQP148" s="537"/>
      <c r="OQQ148" s="537"/>
      <c r="OQR148" s="537"/>
      <c r="OQS148" s="537"/>
      <c r="OQT148" s="537"/>
      <c r="OQU148" s="537"/>
      <c r="OQV148" s="537"/>
      <c r="OQW148" s="537"/>
      <c r="OQX148" s="537"/>
      <c r="OQY148" s="537"/>
      <c r="OQZ148" s="537"/>
      <c r="ORA148" s="537"/>
      <c r="ORB148" s="537"/>
      <c r="ORC148" s="537"/>
      <c r="ORD148" s="537"/>
      <c r="ORE148" s="537"/>
      <c r="ORF148" s="537"/>
      <c r="ORG148" s="537"/>
      <c r="ORH148" s="537"/>
      <c r="ORI148" s="537"/>
      <c r="ORJ148" s="537"/>
      <c r="ORK148" s="537"/>
      <c r="ORL148" s="537"/>
      <c r="ORM148" s="537"/>
      <c r="ORN148" s="537"/>
      <c r="ORO148" s="537"/>
      <c r="ORP148" s="537"/>
      <c r="ORQ148" s="537"/>
      <c r="ORR148" s="537"/>
      <c r="ORS148" s="537"/>
      <c r="ORT148" s="537"/>
      <c r="ORU148" s="537"/>
      <c r="ORV148" s="537"/>
      <c r="ORW148" s="537"/>
      <c r="ORX148" s="537"/>
      <c r="ORY148" s="537"/>
      <c r="ORZ148" s="537"/>
      <c r="OSA148" s="537"/>
      <c r="OSB148" s="537"/>
      <c r="OSC148" s="537"/>
      <c r="OSD148" s="537"/>
      <c r="OSE148" s="537"/>
      <c r="OSF148" s="537"/>
      <c r="OSG148" s="537"/>
      <c r="OSH148" s="537"/>
      <c r="OSI148" s="537"/>
      <c r="OSJ148" s="537"/>
      <c r="OSK148" s="537"/>
      <c r="OSL148" s="537"/>
      <c r="OSM148" s="537"/>
      <c r="OSN148" s="537"/>
      <c r="OSO148" s="537"/>
      <c r="OSP148" s="537"/>
      <c r="OSQ148" s="537"/>
      <c r="OSR148" s="537"/>
      <c r="OSS148" s="537"/>
      <c r="OST148" s="537"/>
      <c r="OSU148" s="537"/>
      <c r="OSV148" s="537"/>
      <c r="OSW148" s="537"/>
      <c r="OSX148" s="537"/>
      <c r="OSY148" s="537"/>
      <c r="OSZ148" s="537"/>
      <c r="OTA148" s="537"/>
      <c r="OTB148" s="537"/>
      <c r="OTC148" s="537"/>
      <c r="OTD148" s="537"/>
      <c r="OTE148" s="537"/>
      <c r="OTF148" s="537"/>
      <c r="OTG148" s="537"/>
      <c r="OTH148" s="537"/>
      <c r="OTI148" s="537"/>
      <c r="OTJ148" s="537"/>
      <c r="OTK148" s="537"/>
      <c r="OTL148" s="537"/>
      <c r="OTM148" s="537"/>
      <c r="OTN148" s="537"/>
      <c r="OTO148" s="537"/>
      <c r="OTP148" s="537"/>
      <c r="OTQ148" s="537"/>
      <c r="OTR148" s="537"/>
      <c r="OTS148" s="537"/>
      <c r="OTT148" s="537"/>
      <c r="OTU148" s="537"/>
      <c r="OTV148" s="537"/>
      <c r="OTW148" s="537"/>
      <c r="OTX148" s="537"/>
      <c r="OTY148" s="537"/>
      <c r="OTZ148" s="537"/>
      <c r="OUA148" s="537"/>
      <c r="OUB148" s="537"/>
      <c r="OUC148" s="537"/>
      <c r="OUD148" s="537"/>
      <c r="OUE148" s="537"/>
      <c r="OUF148" s="537"/>
      <c r="OUG148" s="537"/>
      <c r="OUH148" s="537"/>
      <c r="OUI148" s="537"/>
      <c r="OUJ148" s="537"/>
      <c r="OUK148" s="537"/>
      <c r="OUL148" s="537"/>
      <c r="OUM148" s="537"/>
      <c r="OUN148" s="537"/>
      <c r="OUO148" s="537"/>
      <c r="OUP148" s="537"/>
      <c r="OUQ148" s="537"/>
      <c r="OUR148" s="537"/>
      <c r="OUS148" s="537"/>
      <c r="OUT148" s="537"/>
      <c r="OUU148" s="537"/>
      <c r="OUV148" s="537"/>
      <c r="OUW148" s="537"/>
      <c r="OUX148" s="537"/>
      <c r="OUY148" s="537"/>
      <c r="OUZ148" s="537"/>
      <c r="OVA148" s="537"/>
      <c r="OVB148" s="537"/>
      <c r="OVC148" s="537"/>
      <c r="OVD148" s="537"/>
      <c r="OVE148" s="537"/>
      <c r="OVF148" s="537"/>
      <c r="OVG148" s="537"/>
      <c r="OVH148" s="537"/>
      <c r="OVI148" s="537"/>
      <c r="OVJ148" s="537"/>
      <c r="OVK148" s="537"/>
      <c r="OVL148" s="537"/>
      <c r="OVM148" s="537"/>
      <c r="OVN148" s="537"/>
      <c r="OVO148" s="537"/>
      <c r="OVP148" s="537"/>
      <c r="OVQ148" s="537"/>
      <c r="OVR148" s="537"/>
      <c r="OVS148" s="537"/>
      <c r="OVT148" s="537"/>
      <c r="OVU148" s="537"/>
      <c r="OVV148" s="537"/>
      <c r="OVW148" s="537"/>
      <c r="OVX148" s="537"/>
      <c r="OVY148" s="537"/>
      <c r="OVZ148" s="537"/>
      <c r="OWA148" s="537"/>
      <c r="OWB148" s="537"/>
      <c r="OWC148" s="537"/>
      <c r="OWD148" s="537"/>
      <c r="OWE148" s="537"/>
      <c r="OWF148" s="537"/>
      <c r="OWG148" s="537"/>
      <c r="OWH148" s="537"/>
      <c r="OWI148" s="537"/>
      <c r="OWJ148" s="537"/>
      <c r="OWK148" s="537"/>
      <c r="OWL148" s="537"/>
      <c r="OWM148" s="537"/>
      <c r="OWN148" s="537"/>
      <c r="OWO148" s="537"/>
      <c r="OWP148" s="537"/>
      <c r="OWQ148" s="537"/>
      <c r="OWR148" s="537"/>
      <c r="OWS148" s="537"/>
      <c r="OWT148" s="537"/>
      <c r="OWU148" s="537"/>
      <c r="OWV148" s="537"/>
      <c r="OWW148" s="537"/>
      <c r="OWX148" s="537"/>
      <c r="OWY148" s="537"/>
      <c r="OWZ148" s="537"/>
      <c r="OXA148" s="537"/>
      <c r="OXB148" s="537"/>
      <c r="OXC148" s="537"/>
      <c r="OXD148" s="537"/>
      <c r="OXE148" s="537"/>
      <c r="OXF148" s="537"/>
      <c r="OXG148" s="537"/>
      <c r="OXH148" s="537"/>
      <c r="OXI148" s="537"/>
      <c r="OXJ148" s="537"/>
      <c r="OXK148" s="537"/>
      <c r="OXL148" s="537"/>
      <c r="OXM148" s="537"/>
      <c r="OXN148" s="537"/>
      <c r="OXO148" s="537"/>
      <c r="OXP148" s="537"/>
      <c r="OXQ148" s="537"/>
      <c r="OXR148" s="537"/>
      <c r="OXS148" s="537"/>
      <c r="OXT148" s="537"/>
      <c r="OXU148" s="537"/>
      <c r="OXV148" s="537"/>
      <c r="OXW148" s="537"/>
      <c r="OXX148" s="537"/>
      <c r="OXY148" s="537"/>
      <c r="OXZ148" s="537"/>
      <c r="OYA148" s="537"/>
      <c r="OYB148" s="537"/>
      <c r="OYC148" s="537"/>
      <c r="OYD148" s="537"/>
      <c r="OYE148" s="537"/>
      <c r="OYF148" s="537"/>
      <c r="OYG148" s="537"/>
      <c r="OYH148" s="537"/>
      <c r="OYI148" s="537"/>
      <c r="OYJ148" s="537"/>
      <c r="OYK148" s="537"/>
      <c r="OYL148" s="537"/>
      <c r="OYM148" s="537"/>
      <c r="OYN148" s="537"/>
      <c r="OYO148" s="537"/>
      <c r="OYP148" s="537"/>
      <c r="OYQ148" s="537"/>
      <c r="OYR148" s="537"/>
      <c r="OYS148" s="537"/>
      <c r="OYT148" s="537"/>
      <c r="OYU148" s="537"/>
      <c r="OYV148" s="537"/>
      <c r="OYW148" s="537"/>
      <c r="OYX148" s="537"/>
      <c r="OYY148" s="537"/>
      <c r="OYZ148" s="537"/>
      <c r="OZA148" s="537"/>
      <c r="OZB148" s="537"/>
      <c r="OZC148" s="537"/>
      <c r="OZD148" s="537"/>
      <c r="OZE148" s="537"/>
      <c r="OZF148" s="537"/>
      <c r="OZG148" s="537"/>
      <c r="OZH148" s="537"/>
      <c r="OZI148" s="537"/>
      <c r="OZJ148" s="537"/>
      <c r="OZK148" s="537"/>
      <c r="OZL148" s="537"/>
      <c r="OZM148" s="537"/>
      <c r="OZN148" s="537"/>
      <c r="OZO148" s="537"/>
      <c r="OZP148" s="537"/>
      <c r="OZQ148" s="537"/>
      <c r="OZR148" s="537"/>
      <c r="OZS148" s="537"/>
      <c r="OZT148" s="537"/>
      <c r="OZU148" s="537"/>
      <c r="OZV148" s="537"/>
      <c r="OZW148" s="537"/>
      <c r="OZX148" s="537"/>
      <c r="OZY148" s="537"/>
      <c r="OZZ148" s="537"/>
      <c r="PAA148" s="537"/>
      <c r="PAB148" s="537"/>
      <c r="PAC148" s="537"/>
      <c r="PAD148" s="537"/>
      <c r="PAE148" s="537"/>
      <c r="PAF148" s="537"/>
      <c r="PAG148" s="537"/>
      <c r="PAH148" s="537"/>
      <c r="PAI148" s="537"/>
      <c r="PAJ148" s="537"/>
      <c r="PAK148" s="537"/>
      <c r="PAL148" s="537"/>
      <c r="PAM148" s="537"/>
      <c r="PAN148" s="537"/>
      <c r="PAO148" s="537"/>
      <c r="PAP148" s="537"/>
      <c r="PAQ148" s="537"/>
      <c r="PAR148" s="537"/>
      <c r="PAS148" s="537"/>
      <c r="PAT148" s="537"/>
      <c r="PAU148" s="537"/>
      <c r="PAV148" s="537"/>
      <c r="PAW148" s="537"/>
      <c r="PAX148" s="537"/>
      <c r="PAY148" s="537"/>
      <c r="PAZ148" s="537"/>
      <c r="PBA148" s="537"/>
      <c r="PBB148" s="537"/>
      <c r="PBC148" s="537"/>
      <c r="PBD148" s="537"/>
      <c r="PBE148" s="537"/>
      <c r="PBF148" s="537"/>
      <c r="PBG148" s="537"/>
      <c r="PBH148" s="537"/>
      <c r="PBI148" s="537"/>
      <c r="PBJ148" s="537"/>
      <c r="PBK148" s="537"/>
      <c r="PBL148" s="537"/>
      <c r="PBM148" s="537"/>
      <c r="PBN148" s="537"/>
      <c r="PBO148" s="537"/>
      <c r="PBP148" s="537"/>
      <c r="PBQ148" s="537"/>
      <c r="PBR148" s="537"/>
      <c r="PBS148" s="537"/>
      <c r="PBT148" s="537"/>
      <c r="PBU148" s="537"/>
      <c r="PBV148" s="537"/>
      <c r="PBW148" s="537"/>
      <c r="PBX148" s="537"/>
      <c r="PBY148" s="537"/>
      <c r="PBZ148" s="537"/>
      <c r="PCA148" s="537"/>
      <c r="PCB148" s="537"/>
      <c r="PCC148" s="537"/>
      <c r="PCD148" s="537"/>
      <c r="PCE148" s="537"/>
      <c r="PCF148" s="537"/>
      <c r="PCG148" s="537"/>
      <c r="PCH148" s="537"/>
      <c r="PCI148" s="537"/>
      <c r="PCJ148" s="537"/>
      <c r="PCK148" s="537"/>
      <c r="PCL148" s="537"/>
      <c r="PCM148" s="537"/>
      <c r="PCN148" s="537"/>
      <c r="PCO148" s="537"/>
      <c r="PCP148" s="537"/>
      <c r="PCQ148" s="537"/>
      <c r="PCR148" s="537"/>
      <c r="PCS148" s="537"/>
      <c r="PCT148" s="537"/>
      <c r="PCU148" s="537"/>
      <c r="PCV148" s="537"/>
      <c r="PCW148" s="537"/>
      <c r="PCX148" s="537"/>
      <c r="PCY148" s="537"/>
      <c r="PCZ148" s="537"/>
      <c r="PDA148" s="537"/>
      <c r="PDB148" s="537"/>
      <c r="PDC148" s="537"/>
      <c r="PDD148" s="537"/>
      <c r="PDE148" s="537"/>
      <c r="PDF148" s="537"/>
      <c r="PDG148" s="537"/>
      <c r="PDH148" s="537"/>
      <c r="PDI148" s="537"/>
      <c r="PDJ148" s="537"/>
      <c r="PDK148" s="537"/>
      <c r="PDL148" s="537"/>
      <c r="PDM148" s="537"/>
      <c r="PDN148" s="537"/>
      <c r="PDO148" s="537"/>
      <c r="PDP148" s="537"/>
      <c r="PDQ148" s="537"/>
      <c r="PDR148" s="537"/>
      <c r="PDS148" s="537"/>
      <c r="PDT148" s="537"/>
      <c r="PDU148" s="537"/>
      <c r="PDV148" s="537"/>
      <c r="PDW148" s="537"/>
      <c r="PDX148" s="537"/>
      <c r="PDY148" s="537"/>
      <c r="PDZ148" s="537"/>
      <c r="PEA148" s="537"/>
      <c r="PEB148" s="537"/>
      <c r="PEC148" s="537"/>
      <c r="PED148" s="537"/>
      <c r="PEE148" s="537"/>
      <c r="PEF148" s="537"/>
      <c r="PEG148" s="537"/>
      <c r="PEH148" s="537"/>
      <c r="PEI148" s="537"/>
      <c r="PEJ148" s="537"/>
      <c r="PEK148" s="537"/>
      <c r="PEL148" s="537"/>
      <c r="PEM148" s="537"/>
      <c r="PEN148" s="537"/>
      <c r="PEO148" s="537"/>
      <c r="PEP148" s="537"/>
      <c r="PEQ148" s="537"/>
      <c r="PER148" s="537"/>
      <c r="PES148" s="537"/>
      <c r="PET148" s="537"/>
      <c r="PEU148" s="537"/>
      <c r="PEV148" s="537"/>
      <c r="PEW148" s="537"/>
      <c r="PEX148" s="537"/>
      <c r="PEY148" s="537"/>
      <c r="PEZ148" s="537"/>
      <c r="PFA148" s="537"/>
      <c r="PFB148" s="537"/>
      <c r="PFC148" s="537"/>
      <c r="PFD148" s="537"/>
      <c r="PFE148" s="537"/>
      <c r="PFF148" s="537"/>
      <c r="PFG148" s="537"/>
      <c r="PFH148" s="537"/>
      <c r="PFI148" s="537"/>
      <c r="PFJ148" s="537"/>
      <c r="PFK148" s="537"/>
      <c r="PFL148" s="537"/>
      <c r="PFM148" s="537"/>
      <c r="PFN148" s="537"/>
      <c r="PFO148" s="537"/>
      <c r="PFP148" s="537"/>
      <c r="PFQ148" s="537"/>
      <c r="PFR148" s="537"/>
      <c r="PFS148" s="537"/>
      <c r="PFT148" s="537"/>
      <c r="PFU148" s="537"/>
      <c r="PFV148" s="537"/>
      <c r="PFW148" s="537"/>
      <c r="PFX148" s="537"/>
      <c r="PFY148" s="537"/>
      <c r="PFZ148" s="537"/>
      <c r="PGA148" s="537"/>
      <c r="PGB148" s="537"/>
      <c r="PGC148" s="537"/>
      <c r="PGD148" s="537"/>
      <c r="PGE148" s="537"/>
      <c r="PGF148" s="537"/>
      <c r="PGG148" s="537"/>
      <c r="PGH148" s="537"/>
      <c r="PGI148" s="537"/>
      <c r="PGJ148" s="537"/>
      <c r="PGK148" s="537"/>
      <c r="PGL148" s="537"/>
      <c r="PGM148" s="537"/>
      <c r="PGN148" s="537"/>
      <c r="PGO148" s="537"/>
      <c r="PGP148" s="537"/>
      <c r="PGQ148" s="537"/>
      <c r="PGR148" s="537"/>
      <c r="PGS148" s="537"/>
      <c r="PGT148" s="537"/>
      <c r="PGU148" s="537"/>
      <c r="PGV148" s="537"/>
      <c r="PGW148" s="537"/>
      <c r="PGX148" s="537"/>
      <c r="PGY148" s="537"/>
      <c r="PGZ148" s="537"/>
      <c r="PHA148" s="537"/>
      <c r="PHB148" s="537"/>
      <c r="PHC148" s="537"/>
      <c r="PHD148" s="537"/>
      <c r="PHE148" s="537"/>
      <c r="PHF148" s="537"/>
      <c r="PHG148" s="537"/>
      <c r="PHH148" s="537"/>
      <c r="PHI148" s="537"/>
      <c r="PHJ148" s="537"/>
      <c r="PHK148" s="537"/>
      <c r="PHL148" s="537"/>
      <c r="PHM148" s="537"/>
      <c r="PHN148" s="537"/>
      <c r="PHO148" s="537"/>
      <c r="PHP148" s="537"/>
      <c r="PHQ148" s="537"/>
      <c r="PHR148" s="537"/>
      <c r="PHS148" s="537"/>
      <c r="PHT148" s="537"/>
      <c r="PHU148" s="537"/>
      <c r="PHV148" s="537"/>
      <c r="PHW148" s="537"/>
      <c r="PHX148" s="537"/>
      <c r="PHY148" s="537"/>
      <c r="PHZ148" s="537"/>
      <c r="PIA148" s="537"/>
      <c r="PIB148" s="537"/>
      <c r="PIC148" s="537"/>
      <c r="PID148" s="537"/>
      <c r="PIE148" s="537"/>
      <c r="PIF148" s="537"/>
      <c r="PIG148" s="537"/>
      <c r="PIH148" s="537"/>
      <c r="PII148" s="537"/>
      <c r="PIJ148" s="537"/>
      <c r="PIK148" s="537"/>
      <c r="PIL148" s="537"/>
      <c r="PIM148" s="537"/>
      <c r="PIN148" s="537"/>
      <c r="PIO148" s="537"/>
      <c r="PIP148" s="537"/>
      <c r="PIQ148" s="537"/>
      <c r="PIR148" s="537"/>
      <c r="PIS148" s="537"/>
      <c r="PIT148" s="537"/>
      <c r="PIU148" s="537"/>
      <c r="PIV148" s="537"/>
      <c r="PIW148" s="537"/>
      <c r="PIX148" s="537"/>
      <c r="PIY148" s="537"/>
      <c r="PIZ148" s="537"/>
      <c r="PJA148" s="537"/>
      <c r="PJB148" s="537"/>
      <c r="PJC148" s="537"/>
      <c r="PJD148" s="537"/>
      <c r="PJE148" s="537"/>
      <c r="PJF148" s="537"/>
      <c r="PJG148" s="537"/>
      <c r="PJH148" s="537"/>
      <c r="PJI148" s="537"/>
      <c r="PJJ148" s="537"/>
      <c r="PJK148" s="537"/>
      <c r="PJL148" s="537"/>
      <c r="PJM148" s="537"/>
      <c r="PJN148" s="537"/>
      <c r="PJO148" s="537"/>
      <c r="PJP148" s="537"/>
      <c r="PJQ148" s="537"/>
      <c r="PJR148" s="537"/>
      <c r="PJS148" s="537"/>
      <c r="PJT148" s="537"/>
      <c r="PJU148" s="537"/>
      <c r="PJV148" s="537"/>
      <c r="PJW148" s="537"/>
      <c r="PJX148" s="537"/>
      <c r="PJY148" s="537"/>
      <c r="PJZ148" s="537"/>
      <c r="PKA148" s="537"/>
      <c r="PKB148" s="537"/>
      <c r="PKC148" s="537"/>
      <c r="PKD148" s="537"/>
      <c r="PKE148" s="537"/>
      <c r="PKF148" s="537"/>
      <c r="PKG148" s="537"/>
      <c r="PKH148" s="537"/>
      <c r="PKI148" s="537"/>
      <c r="PKJ148" s="537"/>
      <c r="PKK148" s="537"/>
      <c r="PKL148" s="537"/>
      <c r="PKM148" s="537"/>
      <c r="PKN148" s="537"/>
      <c r="PKO148" s="537"/>
      <c r="PKP148" s="537"/>
      <c r="PKQ148" s="537"/>
      <c r="PKR148" s="537"/>
      <c r="PKS148" s="537"/>
      <c r="PKT148" s="537"/>
      <c r="PKU148" s="537"/>
      <c r="PKV148" s="537"/>
      <c r="PKW148" s="537"/>
      <c r="PKX148" s="537"/>
      <c r="PKY148" s="537"/>
      <c r="PKZ148" s="537"/>
      <c r="PLA148" s="537"/>
      <c r="PLB148" s="537"/>
      <c r="PLC148" s="537"/>
      <c r="PLD148" s="537"/>
      <c r="PLE148" s="537"/>
      <c r="PLF148" s="537"/>
      <c r="PLG148" s="537"/>
      <c r="PLH148" s="537"/>
      <c r="PLI148" s="537"/>
      <c r="PLJ148" s="537"/>
      <c r="PLK148" s="537"/>
      <c r="PLL148" s="537"/>
      <c r="PLM148" s="537"/>
      <c r="PLN148" s="537"/>
      <c r="PLO148" s="537"/>
      <c r="PLP148" s="537"/>
      <c r="PLQ148" s="537"/>
      <c r="PLR148" s="537"/>
      <c r="PLS148" s="537"/>
      <c r="PLT148" s="537"/>
      <c r="PLU148" s="537"/>
      <c r="PLV148" s="537"/>
      <c r="PLW148" s="537"/>
      <c r="PLX148" s="537"/>
      <c r="PLY148" s="537"/>
      <c r="PLZ148" s="537"/>
      <c r="PMA148" s="537"/>
      <c r="PMB148" s="537"/>
      <c r="PMC148" s="537"/>
      <c r="PMD148" s="537"/>
      <c r="PME148" s="537"/>
      <c r="PMF148" s="537"/>
      <c r="PMG148" s="537"/>
      <c r="PMH148" s="537"/>
      <c r="PMI148" s="537"/>
      <c r="PMJ148" s="537"/>
      <c r="PMK148" s="537"/>
      <c r="PML148" s="537"/>
      <c r="PMM148" s="537"/>
      <c r="PMN148" s="537"/>
      <c r="PMO148" s="537"/>
      <c r="PMP148" s="537"/>
      <c r="PMQ148" s="537"/>
      <c r="PMR148" s="537"/>
      <c r="PMS148" s="537"/>
      <c r="PMT148" s="537"/>
      <c r="PMU148" s="537"/>
      <c r="PMV148" s="537"/>
      <c r="PMW148" s="537"/>
      <c r="PMX148" s="537"/>
      <c r="PMY148" s="537"/>
      <c r="PMZ148" s="537"/>
      <c r="PNA148" s="537"/>
      <c r="PNB148" s="537"/>
      <c r="PNC148" s="537"/>
      <c r="PND148" s="537"/>
      <c r="PNE148" s="537"/>
      <c r="PNF148" s="537"/>
      <c r="PNG148" s="537"/>
      <c r="PNH148" s="537"/>
      <c r="PNI148" s="537"/>
      <c r="PNJ148" s="537"/>
      <c r="PNK148" s="537"/>
      <c r="PNL148" s="537"/>
      <c r="PNM148" s="537"/>
      <c r="PNN148" s="537"/>
      <c r="PNO148" s="537"/>
      <c r="PNP148" s="537"/>
      <c r="PNQ148" s="537"/>
      <c r="PNR148" s="537"/>
      <c r="PNS148" s="537"/>
      <c r="PNT148" s="537"/>
      <c r="PNU148" s="537"/>
      <c r="PNV148" s="537"/>
      <c r="PNW148" s="537"/>
      <c r="PNX148" s="537"/>
      <c r="PNY148" s="537"/>
      <c r="PNZ148" s="537"/>
      <c r="POA148" s="537"/>
      <c r="POB148" s="537"/>
      <c r="POC148" s="537"/>
      <c r="POD148" s="537"/>
      <c r="POE148" s="537"/>
      <c r="POF148" s="537"/>
      <c r="POG148" s="537"/>
      <c r="POH148" s="537"/>
      <c r="POI148" s="537"/>
      <c r="POJ148" s="537"/>
      <c r="POK148" s="537"/>
      <c r="POL148" s="537"/>
      <c r="POM148" s="537"/>
      <c r="PON148" s="537"/>
      <c r="POO148" s="537"/>
      <c r="POP148" s="537"/>
      <c r="POQ148" s="537"/>
      <c r="POR148" s="537"/>
      <c r="POS148" s="537"/>
      <c r="POT148" s="537"/>
      <c r="POU148" s="537"/>
      <c r="POV148" s="537"/>
      <c r="POW148" s="537"/>
      <c r="POX148" s="537"/>
      <c r="POY148" s="537"/>
      <c r="POZ148" s="537"/>
      <c r="PPA148" s="537"/>
      <c r="PPB148" s="537"/>
      <c r="PPC148" s="537"/>
      <c r="PPD148" s="537"/>
      <c r="PPE148" s="537"/>
      <c r="PPF148" s="537"/>
      <c r="PPG148" s="537"/>
      <c r="PPH148" s="537"/>
      <c r="PPI148" s="537"/>
      <c r="PPJ148" s="537"/>
      <c r="PPK148" s="537"/>
      <c r="PPL148" s="537"/>
      <c r="PPM148" s="537"/>
      <c r="PPN148" s="537"/>
      <c r="PPO148" s="537"/>
      <c r="PPP148" s="537"/>
      <c r="PPQ148" s="537"/>
      <c r="PPR148" s="537"/>
      <c r="PPS148" s="537"/>
      <c r="PPT148" s="537"/>
      <c r="PPU148" s="537"/>
      <c r="PPV148" s="537"/>
      <c r="PPW148" s="537"/>
      <c r="PPX148" s="537"/>
      <c r="PPY148" s="537"/>
      <c r="PPZ148" s="537"/>
      <c r="PQA148" s="537"/>
      <c r="PQB148" s="537"/>
      <c r="PQC148" s="537"/>
      <c r="PQD148" s="537"/>
      <c r="PQE148" s="537"/>
      <c r="PQF148" s="537"/>
      <c r="PQG148" s="537"/>
      <c r="PQH148" s="537"/>
      <c r="PQI148" s="537"/>
      <c r="PQJ148" s="537"/>
      <c r="PQK148" s="537"/>
      <c r="PQL148" s="537"/>
      <c r="PQM148" s="537"/>
      <c r="PQN148" s="537"/>
      <c r="PQO148" s="537"/>
      <c r="PQP148" s="537"/>
      <c r="PQQ148" s="537"/>
      <c r="PQR148" s="537"/>
      <c r="PQS148" s="537"/>
      <c r="PQT148" s="537"/>
      <c r="PQU148" s="537"/>
      <c r="PQV148" s="537"/>
      <c r="PQW148" s="537"/>
      <c r="PQX148" s="537"/>
      <c r="PQY148" s="537"/>
      <c r="PQZ148" s="537"/>
      <c r="PRA148" s="537"/>
      <c r="PRB148" s="537"/>
      <c r="PRC148" s="537"/>
      <c r="PRD148" s="537"/>
      <c r="PRE148" s="537"/>
      <c r="PRF148" s="537"/>
      <c r="PRG148" s="537"/>
      <c r="PRH148" s="537"/>
      <c r="PRI148" s="537"/>
      <c r="PRJ148" s="537"/>
      <c r="PRK148" s="537"/>
      <c r="PRL148" s="537"/>
      <c r="PRM148" s="537"/>
      <c r="PRN148" s="537"/>
      <c r="PRO148" s="537"/>
      <c r="PRP148" s="537"/>
      <c r="PRQ148" s="537"/>
      <c r="PRR148" s="537"/>
      <c r="PRS148" s="537"/>
      <c r="PRT148" s="537"/>
      <c r="PRU148" s="537"/>
      <c r="PRV148" s="537"/>
      <c r="PRW148" s="537"/>
      <c r="PRX148" s="537"/>
      <c r="PRY148" s="537"/>
      <c r="PRZ148" s="537"/>
      <c r="PSA148" s="537"/>
      <c r="PSB148" s="537"/>
      <c r="PSC148" s="537"/>
      <c r="PSD148" s="537"/>
      <c r="PSE148" s="537"/>
      <c r="PSF148" s="537"/>
      <c r="PSG148" s="537"/>
      <c r="PSH148" s="537"/>
      <c r="PSI148" s="537"/>
      <c r="PSJ148" s="537"/>
      <c r="PSK148" s="537"/>
      <c r="PSL148" s="537"/>
      <c r="PSM148" s="537"/>
      <c r="PSN148" s="537"/>
      <c r="PSO148" s="537"/>
      <c r="PSP148" s="537"/>
      <c r="PSQ148" s="537"/>
      <c r="PSR148" s="537"/>
      <c r="PSS148" s="537"/>
      <c r="PST148" s="537"/>
      <c r="PSU148" s="537"/>
      <c r="PSV148" s="537"/>
      <c r="PSW148" s="537"/>
      <c r="PSX148" s="537"/>
      <c r="PSY148" s="537"/>
      <c r="PSZ148" s="537"/>
      <c r="PTA148" s="537"/>
      <c r="PTB148" s="537"/>
      <c r="PTC148" s="537"/>
      <c r="PTD148" s="537"/>
      <c r="PTE148" s="537"/>
      <c r="PTF148" s="537"/>
      <c r="PTG148" s="537"/>
      <c r="PTH148" s="537"/>
      <c r="PTI148" s="537"/>
      <c r="PTJ148" s="537"/>
      <c r="PTK148" s="537"/>
      <c r="PTL148" s="537"/>
      <c r="PTM148" s="537"/>
      <c r="PTN148" s="537"/>
      <c r="PTO148" s="537"/>
      <c r="PTP148" s="537"/>
      <c r="PTQ148" s="537"/>
      <c r="PTR148" s="537"/>
      <c r="PTS148" s="537"/>
      <c r="PTT148" s="537"/>
      <c r="PTU148" s="537"/>
      <c r="PTV148" s="537"/>
      <c r="PTW148" s="537"/>
      <c r="PTX148" s="537"/>
      <c r="PTY148" s="537"/>
      <c r="PTZ148" s="537"/>
      <c r="PUA148" s="537"/>
      <c r="PUB148" s="537"/>
      <c r="PUC148" s="537"/>
      <c r="PUD148" s="537"/>
      <c r="PUE148" s="537"/>
      <c r="PUF148" s="537"/>
      <c r="PUG148" s="537"/>
      <c r="PUH148" s="537"/>
      <c r="PUI148" s="537"/>
      <c r="PUJ148" s="537"/>
      <c r="PUK148" s="537"/>
      <c r="PUL148" s="537"/>
      <c r="PUM148" s="537"/>
      <c r="PUN148" s="537"/>
      <c r="PUO148" s="537"/>
      <c r="PUP148" s="537"/>
      <c r="PUQ148" s="537"/>
      <c r="PUR148" s="537"/>
      <c r="PUS148" s="537"/>
      <c r="PUT148" s="537"/>
      <c r="PUU148" s="537"/>
      <c r="PUV148" s="537"/>
      <c r="PUW148" s="537"/>
      <c r="PUX148" s="537"/>
      <c r="PUY148" s="537"/>
      <c r="PUZ148" s="537"/>
      <c r="PVA148" s="537"/>
      <c r="PVB148" s="537"/>
      <c r="PVC148" s="537"/>
      <c r="PVD148" s="537"/>
      <c r="PVE148" s="537"/>
      <c r="PVF148" s="537"/>
      <c r="PVG148" s="537"/>
      <c r="PVH148" s="537"/>
      <c r="PVI148" s="537"/>
      <c r="PVJ148" s="537"/>
      <c r="PVK148" s="537"/>
      <c r="PVL148" s="537"/>
      <c r="PVM148" s="537"/>
      <c r="PVN148" s="537"/>
      <c r="PVO148" s="537"/>
      <c r="PVP148" s="537"/>
      <c r="PVQ148" s="537"/>
      <c r="PVR148" s="537"/>
      <c r="PVS148" s="537"/>
      <c r="PVT148" s="537"/>
      <c r="PVU148" s="537"/>
      <c r="PVV148" s="537"/>
      <c r="PVW148" s="537"/>
      <c r="PVX148" s="537"/>
      <c r="PVY148" s="537"/>
      <c r="PVZ148" s="537"/>
      <c r="PWA148" s="537"/>
      <c r="PWB148" s="537"/>
      <c r="PWC148" s="537"/>
      <c r="PWD148" s="537"/>
      <c r="PWE148" s="537"/>
      <c r="PWF148" s="537"/>
      <c r="PWG148" s="537"/>
      <c r="PWH148" s="537"/>
      <c r="PWI148" s="537"/>
      <c r="PWJ148" s="537"/>
      <c r="PWK148" s="537"/>
      <c r="PWL148" s="537"/>
      <c r="PWM148" s="537"/>
      <c r="PWN148" s="537"/>
      <c r="PWO148" s="537"/>
      <c r="PWP148" s="537"/>
      <c r="PWQ148" s="537"/>
      <c r="PWR148" s="537"/>
      <c r="PWS148" s="537"/>
      <c r="PWT148" s="537"/>
      <c r="PWU148" s="537"/>
      <c r="PWV148" s="537"/>
      <c r="PWW148" s="537"/>
      <c r="PWX148" s="537"/>
      <c r="PWY148" s="537"/>
      <c r="PWZ148" s="537"/>
      <c r="PXA148" s="537"/>
      <c r="PXB148" s="537"/>
      <c r="PXC148" s="537"/>
      <c r="PXD148" s="537"/>
      <c r="PXE148" s="537"/>
      <c r="PXF148" s="537"/>
      <c r="PXG148" s="537"/>
      <c r="PXH148" s="537"/>
      <c r="PXI148" s="537"/>
      <c r="PXJ148" s="537"/>
      <c r="PXK148" s="537"/>
      <c r="PXL148" s="537"/>
      <c r="PXM148" s="537"/>
      <c r="PXN148" s="537"/>
      <c r="PXO148" s="537"/>
      <c r="PXP148" s="537"/>
      <c r="PXQ148" s="537"/>
      <c r="PXR148" s="537"/>
      <c r="PXS148" s="537"/>
      <c r="PXT148" s="537"/>
      <c r="PXU148" s="537"/>
      <c r="PXV148" s="537"/>
      <c r="PXW148" s="537"/>
      <c r="PXX148" s="537"/>
      <c r="PXY148" s="537"/>
      <c r="PXZ148" s="537"/>
      <c r="PYA148" s="537"/>
      <c r="PYB148" s="537"/>
      <c r="PYC148" s="537"/>
      <c r="PYD148" s="537"/>
      <c r="PYE148" s="537"/>
      <c r="PYF148" s="537"/>
      <c r="PYG148" s="537"/>
      <c r="PYH148" s="537"/>
      <c r="PYI148" s="537"/>
      <c r="PYJ148" s="537"/>
      <c r="PYK148" s="537"/>
      <c r="PYL148" s="537"/>
      <c r="PYM148" s="537"/>
      <c r="PYN148" s="537"/>
      <c r="PYO148" s="537"/>
      <c r="PYP148" s="537"/>
      <c r="PYQ148" s="537"/>
      <c r="PYR148" s="537"/>
      <c r="PYS148" s="537"/>
      <c r="PYT148" s="537"/>
      <c r="PYU148" s="537"/>
      <c r="PYV148" s="537"/>
      <c r="PYW148" s="537"/>
      <c r="PYX148" s="537"/>
      <c r="PYY148" s="537"/>
      <c r="PYZ148" s="537"/>
      <c r="PZA148" s="537"/>
      <c r="PZB148" s="537"/>
      <c r="PZC148" s="537"/>
      <c r="PZD148" s="537"/>
      <c r="PZE148" s="537"/>
      <c r="PZF148" s="537"/>
      <c r="PZG148" s="537"/>
      <c r="PZH148" s="537"/>
      <c r="PZI148" s="537"/>
      <c r="PZJ148" s="537"/>
      <c r="PZK148" s="537"/>
      <c r="PZL148" s="537"/>
      <c r="PZM148" s="537"/>
      <c r="PZN148" s="537"/>
      <c r="PZO148" s="537"/>
      <c r="PZP148" s="537"/>
      <c r="PZQ148" s="537"/>
      <c r="PZR148" s="537"/>
      <c r="PZS148" s="537"/>
      <c r="PZT148" s="537"/>
      <c r="PZU148" s="537"/>
      <c r="PZV148" s="537"/>
      <c r="PZW148" s="537"/>
      <c r="PZX148" s="537"/>
      <c r="PZY148" s="537"/>
      <c r="PZZ148" s="537"/>
      <c r="QAA148" s="537"/>
      <c r="QAB148" s="537"/>
      <c r="QAC148" s="537"/>
      <c r="QAD148" s="537"/>
      <c r="QAE148" s="537"/>
      <c r="QAF148" s="537"/>
      <c r="QAG148" s="537"/>
      <c r="QAH148" s="537"/>
      <c r="QAI148" s="537"/>
      <c r="QAJ148" s="537"/>
      <c r="QAK148" s="537"/>
      <c r="QAL148" s="537"/>
      <c r="QAM148" s="537"/>
      <c r="QAN148" s="537"/>
      <c r="QAO148" s="537"/>
      <c r="QAP148" s="537"/>
      <c r="QAQ148" s="537"/>
      <c r="QAR148" s="537"/>
      <c r="QAS148" s="537"/>
      <c r="QAT148" s="537"/>
      <c r="QAU148" s="537"/>
      <c r="QAV148" s="537"/>
      <c r="QAW148" s="537"/>
      <c r="QAX148" s="537"/>
      <c r="QAY148" s="537"/>
      <c r="QAZ148" s="537"/>
      <c r="QBA148" s="537"/>
      <c r="QBB148" s="537"/>
      <c r="QBC148" s="537"/>
      <c r="QBD148" s="537"/>
      <c r="QBE148" s="537"/>
      <c r="QBF148" s="537"/>
      <c r="QBG148" s="537"/>
      <c r="QBH148" s="537"/>
      <c r="QBI148" s="537"/>
      <c r="QBJ148" s="537"/>
      <c r="QBK148" s="537"/>
      <c r="QBL148" s="537"/>
      <c r="QBM148" s="537"/>
      <c r="QBN148" s="537"/>
      <c r="QBO148" s="537"/>
      <c r="QBP148" s="537"/>
      <c r="QBQ148" s="537"/>
      <c r="QBR148" s="537"/>
      <c r="QBS148" s="537"/>
      <c r="QBT148" s="537"/>
      <c r="QBU148" s="537"/>
      <c r="QBV148" s="537"/>
      <c r="QBW148" s="537"/>
      <c r="QBX148" s="537"/>
      <c r="QBY148" s="537"/>
      <c r="QBZ148" s="537"/>
      <c r="QCA148" s="537"/>
      <c r="QCB148" s="537"/>
      <c r="QCC148" s="537"/>
      <c r="QCD148" s="537"/>
      <c r="QCE148" s="537"/>
      <c r="QCF148" s="537"/>
      <c r="QCG148" s="537"/>
      <c r="QCH148" s="537"/>
      <c r="QCI148" s="537"/>
      <c r="QCJ148" s="537"/>
      <c r="QCK148" s="537"/>
      <c r="QCL148" s="537"/>
      <c r="QCM148" s="537"/>
      <c r="QCN148" s="537"/>
      <c r="QCO148" s="537"/>
      <c r="QCP148" s="537"/>
      <c r="QCQ148" s="537"/>
      <c r="QCR148" s="537"/>
      <c r="QCS148" s="537"/>
      <c r="QCT148" s="537"/>
      <c r="QCU148" s="537"/>
      <c r="QCV148" s="537"/>
      <c r="QCW148" s="537"/>
      <c r="QCX148" s="537"/>
      <c r="QCY148" s="537"/>
      <c r="QCZ148" s="537"/>
      <c r="QDA148" s="537"/>
      <c r="QDB148" s="537"/>
      <c r="QDC148" s="537"/>
      <c r="QDD148" s="537"/>
      <c r="QDE148" s="537"/>
      <c r="QDF148" s="537"/>
      <c r="QDG148" s="537"/>
      <c r="QDH148" s="537"/>
      <c r="QDI148" s="537"/>
      <c r="QDJ148" s="537"/>
      <c r="QDK148" s="537"/>
      <c r="QDL148" s="537"/>
      <c r="QDM148" s="537"/>
      <c r="QDN148" s="537"/>
      <c r="QDO148" s="537"/>
      <c r="QDP148" s="537"/>
      <c r="QDQ148" s="537"/>
      <c r="QDR148" s="537"/>
      <c r="QDS148" s="537"/>
      <c r="QDT148" s="537"/>
      <c r="QDU148" s="537"/>
      <c r="QDV148" s="537"/>
      <c r="QDW148" s="537"/>
      <c r="QDX148" s="537"/>
      <c r="QDY148" s="537"/>
      <c r="QDZ148" s="537"/>
      <c r="QEA148" s="537"/>
      <c r="QEB148" s="537"/>
      <c r="QEC148" s="537"/>
      <c r="QED148" s="537"/>
      <c r="QEE148" s="537"/>
      <c r="QEF148" s="537"/>
      <c r="QEG148" s="537"/>
      <c r="QEH148" s="537"/>
      <c r="QEI148" s="537"/>
      <c r="QEJ148" s="537"/>
      <c r="QEK148" s="537"/>
      <c r="QEL148" s="537"/>
      <c r="QEM148" s="537"/>
      <c r="QEN148" s="537"/>
      <c r="QEO148" s="537"/>
      <c r="QEP148" s="537"/>
      <c r="QEQ148" s="537"/>
      <c r="QER148" s="537"/>
      <c r="QES148" s="537"/>
      <c r="QET148" s="537"/>
      <c r="QEU148" s="537"/>
      <c r="QEV148" s="537"/>
      <c r="QEW148" s="537"/>
      <c r="QEX148" s="537"/>
      <c r="QEY148" s="537"/>
      <c r="QEZ148" s="537"/>
      <c r="QFA148" s="537"/>
      <c r="QFB148" s="537"/>
      <c r="QFC148" s="537"/>
      <c r="QFD148" s="537"/>
      <c r="QFE148" s="537"/>
      <c r="QFF148" s="537"/>
      <c r="QFG148" s="537"/>
      <c r="QFH148" s="537"/>
      <c r="QFI148" s="537"/>
      <c r="QFJ148" s="537"/>
      <c r="QFK148" s="537"/>
      <c r="QFL148" s="537"/>
      <c r="QFM148" s="537"/>
      <c r="QFN148" s="537"/>
      <c r="QFO148" s="537"/>
      <c r="QFP148" s="537"/>
      <c r="QFQ148" s="537"/>
      <c r="QFR148" s="537"/>
      <c r="QFS148" s="537"/>
      <c r="QFT148" s="537"/>
      <c r="QFU148" s="537"/>
      <c r="QFV148" s="537"/>
      <c r="QFW148" s="537"/>
      <c r="QFX148" s="537"/>
      <c r="QFY148" s="537"/>
      <c r="QFZ148" s="537"/>
      <c r="QGA148" s="537"/>
      <c r="QGB148" s="537"/>
      <c r="QGC148" s="537"/>
      <c r="QGD148" s="537"/>
      <c r="QGE148" s="537"/>
      <c r="QGF148" s="537"/>
      <c r="QGG148" s="537"/>
      <c r="QGH148" s="537"/>
      <c r="QGI148" s="537"/>
      <c r="QGJ148" s="537"/>
      <c r="QGK148" s="537"/>
      <c r="QGL148" s="537"/>
      <c r="QGM148" s="537"/>
      <c r="QGN148" s="537"/>
      <c r="QGO148" s="537"/>
      <c r="QGP148" s="537"/>
      <c r="QGQ148" s="537"/>
      <c r="QGR148" s="537"/>
      <c r="QGS148" s="537"/>
      <c r="QGT148" s="537"/>
      <c r="QGU148" s="537"/>
      <c r="QGV148" s="537"/>
      <c r="QGW148" s="537"/>
      <c r="QGX148" s="537"/>
      <c r="QGY148" s="537"/>
      <c r="QGZ148" s="537"/>
      <c r="QHA148" s="537"/>
      <c r="QHB148" s="537"/>
      <c r="QHC148" s="537"/>
      <c r="QHD148" s="537"/>
      <c r="QHE148" s="537"/>
      <c r="QHF148" s="537"/>
      <c r="QHG148" s="537"/>
      <c r="QHH148" s="537"/>
      <c r="QHI148" s="537"/>
      <c r="QHJ148" s="537"/>
      <c r="QHK148" s="537"/>
      <c r="QHL148" s="537"/>
      <c r="QHM148" s="537"/>
      <c r="QHN148" s="537"/>
      <c r="QHO148" s="537"/>
      <c r="QHP148" s="537"/>
      <c r="QHQ148" s="537"/>
      <c r="QHR148" s="537"/>
      <c r="QHS148" s="537"/>
      <c r="QHT148" s="537"/>
      <c r="QHU148" s="537"/>
      <c r="QHV148" s="537"/>
      <c r="QHW148" s="537"/>
      <c r="QHX148" s="537"/>
      <c r="QHY148" s="537"/>
      <c r="QHZ148" s="537"/>
      <c r="QIA148" s="537"/>
      <c r="QIB148" s="537"/>
      <c r="QIC148" s="537"/>
      <c r="QID148" s="537"/>
      <c r="QIE148" s="537"/>
      <c r="QIF148" s="537"/>
      <c r="QIG148" s="537"/>
      <c r="QIH148" s="537"/>
      <c r="QII148" s="537"/>
      <c r="QIJ148" s="537"/>
      <c r="QIK148" s="537"/>
      <c r="QIL148" s="537"/>
      <c r="QIM148" s="537"/>
      <c r="QIN148" s="537"/>
      <c r="QIO148" s="537"/>
      <c r="QIP148" s="537"/>
      <c r="QIQ148" s="537"/>
      <c r="QIR148" s="537"/>
      <c r="QIS148" s="537"/>
      <c r="QIT148" s="537"/>
      <c r="QIU148" s="537"/>
      <c r="QIV148" s="537"/>
      <c r="QIW148" s="537"/>
      <c r="QIX148" s="537"/>
      <c r="QIY148" s="537"/>
      <c r="QIZ148" s="537"/>
      <c r="QJA148" s="537"/>
      <c r="QJB148" s="537"/>
      <c r="QJC148" s="537"/>
      <c r="QJD148" s="537"/>
      <c r="QJE148" s="537"/>
      <c r="QJF148" s="537"/>
      <c r="QJG148" s="537"/>
      <c r="QJH148" s="537"/>
      <c r="QJI148" s="537"/>
      <c r="QJJ148" s="537"/>
      <c r="QJK148" s="537"/>
      <c r="QJL148" s="537"/>
      <c r="QJM148" s="537"/>
      <c r="QJN148" s="537"/>
      <c r="QJO148" s="537"/>
      <c r="QJP148" s="537"/>
      <c r="QJQ148" s="537"/>
      <c r="QJR148" s="537"/>
      <c r="QJS148" s="537"/>
      <c r="QJT148" s="537"/>
      <c r="QJU148" s="537"/>
      <c r="QJV148" s="537"/>
      <c r="QJW148" s="537"/>
      <c r="QJX148" s="537"/>
      <c r="QJY148" s="537"/>
      <c r="QJZ148" s="537"/>
      <c r="QKA148" s="537"/>
      <c r="QKB148" s="537"/>
      <c r="QKC148" s="537"/>
      <c r="QKD148" s="537"/>
      <c r="QKE148" s="537"/>
      <c r="QKF148" s="537"/>
      <c r="QKG148" s="537"/>
      <c r="QKH148" s="537"/>
      <c r="QKI148" s="537"/>
      <c r="QKJ148" s="537"/>
      <c r="QKK148" s="537"/>
      <c r="QKL148" s="537"/>
      <c r="QKM148" s="537"/>
      <c r="QKN148" s="537"/>
      <c r="QKO148" s="537"/>
      <c r="QKP148" s="537"/>
      <c r="QKQ148" s="537"/>
      <c r="QKR148" s="537"/>
      <c r="QKS148" s="537"/>
      <c r="QKT148" s="537"/>
      <c r="QKU148" s="537"/>
      <c r="QKV148" s="537"/>
      <c r="QKW148" s="537"/>
      <c r="QKX148" s="537"/>
      <c r="QKY148" s="537"/>
      <c r="QKZ148" s="537"/>
      <c r="QLA148" s="537"/>
      <c r="QLB148" s="537"/>
      <c r="QLC148" s="537"/>
      <c r="QLD148" s="537"/>
      <c r="QLE148" s="537"/>
      <c r="QLF148" s="537"/>
      <c r="QLG148" s="537"/>
      <c r="QLH148" s="537"/>
      <c r="QLI148" s="537"/>
      <c r="QLJ148" s="537"/>
      <c r="QLK148" s="537"/>
      <c r="QLL148" s="537"/>
      <c r="QLM148" s="537"/>
      <c r="QLN148" s="537"/>
      <c r="QLO148" s="537"/>
      <c r="QLP148" s="537"/>
      <c r="QLQ148" s="537"/>
      <c r="QLR148" s="537"/>
      <c r="QLS148" s="537"/>
      <c r="QLT148" s="537"/>
      <c r="QLU148" s="537"/>
      <c r="QLV148" s="537"/>
      <c r="QLW148" s="537"/>
      <c r="QLX148" s="537"/>
      <c r="QLY148" s="537"/>
      <c r="QLZ148" s="537"/>
      <c r="QMA148" s="537"/>
      <c r="QMB148" s="537"/>
      <c r="QMC148" s="537"/>
      <c r="QMD148" s="537"/>
      <c r="QME148" s="537"/>
      <c r="QMF148" s="537"/>
      <c r="QMG148" s="537"/>
      <c r="QMH148" s="537"/>
      <c r="QMI148" s="537"/>
      <c r="QMJ148" s="537"/>
      <c r="QMK148" s="537"/>
      <c r="QML148" s="537"/>
      <c r="QMM148" s="537"/>
      <c r="QMN148" s="537"/>
      <c r="QMO148" s="537"/>
      <c r="QMP148" s="537"/>
      <c r="QMQ148" s="537"/>
      <c r="QMR148" s="537"/>
      <c r="QMS148" s="537"/>
      <c r="QMT148" s="537"/>
      <c r="QMU148" s="537"/>
      <c r="QMV148" s="537"/>
      <c r="QMW148" s="537"/>
      <c r="QMX148" s="537"/>
      <c r="QMY148" s="537"/>
      <c r="QMZ148" s="537"/>
      <c r="QNA148" s="537"/>
      <c r="QNB148" s="537"/>
      <c r="QNC148" s="537"/>
      <c r="QND148" s="537"/>
      <c r="QNE148" s="537"/>
      <c r="QNF148" s="537"/>
      <c r="QNG148" s="537"/>
      <c r="QNH148" s="537"/>
      <c r="QNI148" s="537"/>
      <c r="QNJ148" s="537"/>
      <c r="QNK148" s="537"/>
      <c r="QNL148" s="537"/>
      <c r="QNM148" s="537"/>
      <c r="QNN148" s="537"/>
      <c r="QNO148" s="537"/>
      <c r="QNP148" s="537"/>
      <c r="QNQ148" s="537"/>
      <c r="QNR148" s="537"/>
      <c r="QNS148" s="537"/>
      <c r="QNT148" s="537"/>
      <c r="QNU148" s="537"/>
      <c r="QNV148" s="537"/>
      <c r="QNW148" s="537"/>
      <c r="QNX148" s="537"/>
      <c r="QNY148" s="537"/>
      <c r="QNZ148" s="537"/>
      <c r="QOA148" s="537"/>
      <c r="QOB148" s="537"/>
      <c r="QOC148" s="537"/>
      <c r="QOD148" s="537"/>
      <c r="QOE148" s="537"/>
      <c r="QOF148" s="537"/>
      <c r="QOG148" s="537"/>
      <c r="QOH148" s="537"/>
      <c r="QOI148" s="537"/>
      <c r="QOJ148" s="537"/>
      <c r="QOK148" s="537"/>
      <c r="QOL148" s="537"/>
      <c r="QOM148" s="537"/>
      <c r="QON148" s="537"/>
      <c r="QOO148" s="537"/>
      <c r="QOP148" s="537"/>
      <c r="QOQ148" s="537"/>
      <c r="QOR148" s="537"/>
      <c r="QOS148" s="537"/>
      <c r="QOT148" s="537"/>
      <c r="QOU148" s="537"/>
      <c r="QOV148" s="537"/>
      <c r="QOW148" s="537"/>
      <c r="QOX148" s="537"/>
      <c r="QOY148" s="537"/>
      <c r="QOZ148" s="537"/>
      <c r="QPA148" s="537"/>
      <c r="QPB148" s="537"/>
      <c r="QPC148" s="537"/>
      <c r="QPD148" s="537"/>
      <c r="QPE148" s="537"/>
      <c r="QPF148" s="537"/>
      <c r="QPG148" s="537"/>
      <c r="QPH148" s="537"/>
      <c r="QPI148" s="537"/>
      <c r="QPJ148" s="537"/>
      <c r="QPK148" s="537"/>
      <c r="QPL148" s="537"/>
      <c r="QPM148" s="537"/>
      <c r="QPN148" s="537"/>
      <c r="QPO148" s="537"/>
      <c r="QPP148" s="537"/>
      <c r="QPQ148" s="537"/>
      <c r="QPR148" s="537"/>
      <c r="QPS148" s="537"/>
      <c r="QPT148" s="537"/>
      <c r="QPU148" s="537"/>
      <c r="QPV148" s="537"/>
      <c r="QPW148" s="537"/>
      <c r="QPX148" s="537"/>
      <c r="QPY148" s="537"/>
      <c r="QPZ148" s="537"/>
      <c r="QQA148" s="537"/>
      <c r="QQB148" s="537"/>
      <c r="QQC148" s="537"/>
      <c r="QQD148" s="537"/>
      <c r="QQE148" s="537"/>
      <c r="QQF148" s="537"/>
      <c r="QQG148" s="537"/>
      <c r="QQH148" s="537"/>
      <c r="QQI148" s="537"/>
      <c r="QQJ148" s="537"/>
      <c r="QQK148" s="537"/>
      <c r="QQL148" s="537"/>
      <c r="QQM148" s="537"/>
      <c r="QQN148" s="537"/>
      <c r="QQO148" s="537"/>
      <c r="QQP148" s="537"/>
      <c r="QQQ148" s="537"/>
      <c r="QQR148" s="537"/>
      <c r="QQS148" s="537"/>
      <c r="QQT148" s="537"/>
      <c r="QQU148" s="537"/>
      <c r="QQV148" s="537"/>
      <c r="QQW148" s="537"/>
      <c r="QQX148" s="537"/>
      <c r="QQY148" s="537"/>
      <c r="QQZ148" s="537"/>
      <c r="QRA148" s="537"/>
      <c r="QRB148" s="537"/>
      <c r="QRC148" s="537"/>
      <c r="QRD148" s="537"/>
      <c r="QRE148" s="537"/>
      <c r="QRF148" s="537"/>
      <c r="QRG148" s="537"/>
      <c r="QRH148" s="537"/>
      <c r="QRI148" s="537"/>
      <c r="QRJ148" s="537"/>
      <c r="QRK148" s="537"/>
      <c r="QRL148" s="537"/>
      <c r="QRM148" s="537"/>
      <c r="QRN148" s="537"/>
      <c r="QRO148" s="537"/>
      <c r="QRP148" s="537"/>
      <c r="QRQ148" s="537"/>
      <c r="QRR148" s="537"/>
      <c r="QRS148" s="537"/>
      <c r="QRT148" s="537"/>
      <c r="QRU148" s="537"/>
      <c r="QRV148" s="537"/>
      <c r="QRW148" s="537"/>
      <c r="QRX148" s="537"/>
      <c r="QRY148" s="537"/>
      <c r="QRZ148" s="537"/>
      <c r="QSA148" s="537"/>
      <c r="QSB148" s="537"/>
      <c r="QSC148" s="537"/>
      <c r="QSD148" s="537"/>
      <c r="QSE148" s="537"/>
      <c r="QSF148" s="537"/>
      <c r="QSG148" s="537"/>
      <c r="QSH148" s="537"/>
      <c r="QSI148" s="537"/>
      <c r="QSJ148" s="537"/>
      <c r="QSK148" s="537"/>
      <c r="QSL148" s="537"/>
      <c r="QSM148" s="537"/>
      <c r="QSN148" s="537"/>
      <c r="QSO148" s="537"/>
      <c r="QSP148" s="537"/>
      <c r="QSQ148" s="537"/>
      <c r="QSR148" s="537"/>
      <c r="QSS148" s="537"/>
      <c r="QST148" s="537"/>
      <c r="QSU148" s="537"/>
      <c r="QSV148" s="537"/>
      <c r="QSW148" s="537"/>
      <c r="QSX148" s="537"/>
      <c r="QSY148" s="537"/>
      <c r="QSZ148" s="537"/>
      <c r="QTA148" s="537"/>
      <c r="QTB148" s="537"/>
      <c r="QTC148" s="537"/>
      <c r="QTD148" s="537"/>
      <c r="QTE148" s="537"/>
      <c r="QTF148" s="537"/>
      <c r="QTG148" s="537"/>
      <c r="QTH148" s="537"/>
      <c r="QTI148" s="537"/>
      <c r="QTJ148" s="537"/>
      <c r="QTK148" s="537"/>
      <c r="QTL148" s="537"/>
      <c r="QTM148" s="537"/>
      <c r="QTN148" s="537"/>
      <c r="QTO148" s="537"/>
      <c r="QTP148" s="537"/>
      <c r="QTQ148" s="537"/>
      <c r="QTR148" s="537"/>
      <c r="QTS148" s="537"/>
      <c r="QTT148" s="537"/>
      <c r="QTU148" s="537"/>
      <c r="QTV148" s="537"/>
      <c r="QTW148" s="537"/>
      <c r="QTX148" s="537"/>
      <c r="QTY148" s="537"/>
      <c r="QTZ148" s="537"/>
      <c r="QUA148" s="537"/>
      <c r="QUB148" s="537"/>
      <c r="QUC148" s="537"/>
      <c r="QUD148" s="537"/>
      <c r="QUE148" s="537"/>
      <c r="QUF148" s="537"/>
      <c r="QUG148" s="537"/>
      <c r="QUH148" s="537"/>
      <c r="QUI148" s="537"/>
      <c r="QUJ148" s="537"/>
      <c r="QUK148" s="537"/>
      <c r="QUL148" s="537"/>
      <c r="QUM148" s="537"/>
      <c r="QUN148" s="537"/>
      <c r="QUO148" s="537"/>
      <c r="QUP148" s="537"/>
      <c r="QUQ148" s="537"/>
      <c r="QUR148" s="537"/>
      <c r="QUS148" s="537"/>
      <c r="QUT148" s="537"/>
      <c r="QUU148" s="537"/>
      <c r="QUV148" s="537"/>
      <c r="QUW148" s="537"/>
      <c r="QUX148" s="537"/>
      <c r="QUY148" s="537"/>
      <c r="QUZ148" s="537"/>
      <c r="QVA148" s="537"/>
      <c r="QVB148" s="537"/>
      <c r="QVC148" s="537"/>
      <c r="QVD148" s="537"/>
      <c r="QVE148" s="537"/>
      <c r="QVF148" s="537"/>
      <c r="QVG148" s="537"/>
      <c r="QVH148" s="537"/>
      <c r="QVI148" s="537"/>
      <c r="QVJ148" s="537"/>
      <c r="QVK148" s="537"/>
      <c r="QVL148" s="537"/>
      <c r="QVM148" s="537"/>
      <c r="QVN148" s="537"/>
      <c r="QVO148" s="537"/>
      <c r="QVP148" s="537"/>
      <c r="QVQ148" s="537"/>
      <c r="QVR148" s="537"/>
      <c r="QVS148" s="537"/>
      <c r="QVT148" s="537"/>
      <c r="QVU148" s="537"/>
      <c r="QVV148" s="537"/>
      <c r="QVW148" s="537"/>
      <c r="QVX148" s="537"/>
      <c r="QVY148" s="537"/>
      <c r="QVZ148" s="537"/>
      <c r="QWA148" s="537"/>
      <c r="QWB148" s="537"/>
      <c r="QWC148" s="537"/>
      <c r="QWD148" s="537"/>
      <c r="QWE148" s="537"/>
      <c r="QWF148" s="537"/>
      <c r="QWG148" s="537"/>
      <c r="QWH148" s="537"/>
      <c r="QWI148" s="537"/>
      <c r="QWJ148" s="537"/>
      <c r="QWK148" s="537"/>
      <c r="QWL148" s="537"/>
      <c r="QWM148" s="537"/>
      <c r="QWN148" s="537"/>
      <c r="QWO148" s="537"/>
      <c r="QWP148" s="537"/>
      <c r="QWQ148" s="537"/>
      <c r="QWR148" s="537"/>
      <c r="QWS148" s="537"/>
      <c r="QWT148" s="537"/>
      <c r="QWU148" s="537"/>
      <c r="QWV148" s="537"/>
      <c r="QWW148" s="537"/>
      <c r="QWX148" s="537"/>
      <c r="QWY148" s="537"/>
      <c r="QWZ148" s="537"/>
      <c r="QXA148" s="537"/>
      <c r="QXB148" s="537"/>
      <c r="QXC148" s="537"/>
      <c r="QXD148" s="537"/>
      <c r="QXE148" s="537"/>
      <c r="QXF148" s="537"/>
      <c r="QXG148" s="537"/>
      <c r="QXH148" s="537"/>
      <c r="QXI148" s="537"/>
      <c r="QXJ148" s="537"/>
      <c r="QXK148" s="537"/>
      <c r="QXL148" s="537"/>
      <c r="QXM148" s="537"/>
      <c r="QXN148" s="537"/>
      <c r="QXO148" s="537"/>
      <c r="QXP148" s="537"/>
      <c r="QXQ148" s="537"/>
      <c r="QXR148" s="537"/>
      <c r="QXS148" s="537"/>
      <c r="QXT148" s="537"/>
      <c r="QXU148" s="537"/>
      <c r="QXV148" s="537"/>
      <c r="QXW148" s="537"/>
      <c r="QXX148" s="537"/>
      <c r="QXY148" s="537"/>
      <c r="QXZ148" s="537"/>
      <c r="QYA148" s="537"/>
      <c r="QYB148" s="537"/>
      <c r="QYC148" s="537"/>
      <c r="QYD148" s="537"/>
      <c r="QYE148" s="537"/>
      <c r="QYF148" s="537"/>
      <c r="QYG148" s="537"/>
      <c r="QYH148" s="537"/>
      <c r="QYI148" s="537"/>
      <c r="QYJ148" s="537"/>
      <c r="QYK148" s="537"/>
      <c r="QYL148" s="537"/>
      <c r="QYM148" s="537"/>
      <c r="QYN148" s="537"/>
      <c r="QYO148" s="537"/>
      <c r="QYP148" s="537"/>
      <c r="QYQ148" s="537"/>
      <c r="QYR148" s="537"/>
      <c r="QYS148" s="537"/>
      <c r="QYT148" s="537"/>
      <c r="QYU148" s="537"/>
      <c r="QYV148" s="537"/>
      <c r="QYW148" s="537"/>
      <c r="QYX148" s="537"/>
      <c r="QYY148" s="537"/>
      <c r="QYZ148" s="537"/>
      <c r="QZA148" s="537"/>
      <c r="QZB148" s="537"/>
      <c r="QZC148" s="537"/>
      <c r="QZD148" s="537"/>
      <c r="QZE148" s="537"/>
      <c r="QZF148" s="537"/>
      <c r="QZG148" s="537"/>
      <c r="QZH148" s="537"/>
      <c r="QZI148" s="537"/>
      <c r="QZJ148" s="537"/>
      <c r="QZK148" s="537"/>
      <c r="QZL148" s="537"/>
      <c r="QZM148" s="537"/>
      <c r="QZN148" s="537"/>
      <c r="QZO148" s="537"/>
      <c r="QZP148" s="537"/>
      <c r="QZQ148" s="537"/>
      <c r="QZR148" s="537"/>
      <c r="QZS148" s="537"/>
      <c r="QZT148" s="537"/>
      <c r="QZU148" s="537"/>
      <c r="QZV148" s="537"/>
      <c r="QZW148" s="537"/>
      <c r="QZX148" s="537"/>
      <c r="QZY148" s="537"/>
      <c r="QZZ148" s="537"/>
      <c r="RAA148" s="537"/>
      <c r="RAB148" s="537"/>
      <c r="RAC148" s="537"/>
      <c r="RAD148" s="537"/>
      <c r="RAE148" s="537"/>
      <c r="RAF148" s="537"/>
      <c r="RAG148" s="537"/>
      <c r="RAH148" s="537"/>
      <c r="RAI148" s="537"/>
      <c r="RAJ148" s="537"/>
      <c r="RAK148" s="537"/>
      <c r="RAL148" s="537"/>
      <c r="RAM148" s="537"/>
      <c r="RAN148" s="537"/>
      <c r="RAO148" s="537"/>
      <c r="RAP148" s="537"/>
      <c r="RAQ148" s="537"/>
      <c r="RAR148" s="537"/>
      <c r="RAS148" s="537"/>
      <c r="RAT148" s="537"/>
      <c r="RAU148" s="537"/>
      <c r="RAV148" s="537"/>
      <c r="RAW148" s="537"/>
      <c r="RAX148" s="537"/>
      <c r="RAY148" s="537"/>
      <c r="RAZ148" s="537"/>
      <c r="RBA148" s="537"/>
      <c r="RBB148" s="537"/>
      <c r="RBC148" s="537"/>
      <c r="RBD148" s="537"/>
      <c r="RBE148" s="537"/>
      <c r="RBF148" s="537"/>
      <c r="RBG148" s="537"/>
      <c r="RBH148" s="537"/>
      <c r="RBI148" s="537"/>
      <c r="RBJ148" s="537"/>
      <c r="RBK148" s="537"/>
      <c r="RBL148" s="537"/>
      <c r="RBM148" s="537"/>
      <c r="RBN148" s="537"/>
      <c r="RBO148" s="537"/>
      <c r="RBP148" s="537"/>
      <c r="RBQ148" s="537"/>
      <c r="RBR148" s="537"/>
      <c r="RBS148" s="537"/>
      <c r="RBT148" s="537"/>
      <c r="RBU148" s="537"/>
      <c r="RBV148" s="537"/>
      <c r="RBW148" s="537"/>
      <c r="RBX148" s="537"/>
      <c r="RBY148" s="537"/>
      <c r="RBZ148" s="537"/>
      <c r="RCA148" s="537"/>
      <c r="RCB148" s="537"/>
      <c r="RCC148" s="537"/>
      <c r="RCD148" s="537"/>
      <c r="RCE148" s="537"/>
      <c r="RCF148" s="537"/>
      <c r="RCG148" s="537"/>
      <c r="RCH148" s="537"/>
      <c r="RCI148" s="537"/>
      <c r="RCJ148" s="537"/>
      <c r="RCK148" s="537"/>
      <c r="RCL148" s="537"/>
      <c r="RCM148" s="537"/>
      <c r="RCN148" s="537"/>
      <c r="RCO148" s="537"/>
      <c r="RCP148" s="537"/>
      <c r="RCQ148" s="537"/>
      <c r="RCR148" s="537"/>
      <c r="RCS148" s="537"/>
      <c r="RCT148" s="537"/>
      <c r="RCU148" s="537"/>
      <c r="RCV148" s="537"/>
      <c r="RCW148" s="537"/>
      <c r="RCX148" s="537"/>
      <c r="RCY148" s="537"/>
      <c r="RCZ148" s="537"/>
      <c r="RDA148" s="537"/>
      <c r="RDB148" s="537"/>
      <c r="RDC148" s="537"/>
      <c r="RDD148" s="537"/>
      <c r="RDE148" s="537"/>
      <c r="RDF148" s="537"/>
      <c r="RDG148" s="537"/>
      <c r="RDH148" s="537"/>
      <c r="RDI148" s="537"/>
      <c r="RDJ148" s="537"/>
      <c r="RDK148" s="537"/>
      <c r="RDL148" s="537"/>
      <c r="RDM148" s="537"/>
      <c r="RDN148" s="537"/>
      <c r="RDO148" s="537"/>
      <c r="RDP148" s="537"/>
      <c r="RDQ148" s="537"/>
      <c r="RDR148" s="537"/>
      <c r="RDS148" s="537"/>
      <c r="RDT148" s="537"/>
      <c r="RDU148" s="537"/>
      <c r="RDV148" s="537"/>
      <c r="RDW148" s="537"/>
      <c r="RDX148" s="537"/>
      <c r="RDY148" s="537"/>
      <c r="RDZ148" s="537"/>
      <c r="REA148" s="537"/>
      <c r="REB148" s="537"/>
      <c r="REC148" s="537"/>
      <c r="RED148" s="537"/>
      <c r="REE148" s="537"/>
      <c r="REF148" s="537"/>
      <c r="REG148" s="537"/>
      <c r="REH148" s="537"/>
      <c r="REI148" s="537"/>
      <c r="REJ148" s="537"/>
      <c r="REK148" s="537"/>
      <c r="REL148" s="537"/>
      <c r="REM148" s="537"/>
      <c r="REN148" s="537"/>
      <c r="REO148" s="537"/>
      <c r="REP148" s="537"/>
      <c r="REQ148" s="537"/>
      <c r="RER148" s="537"/>
      <c r="RES148" s="537"/>
      <c r="RET148" s="537"/>
      <c r="REU148" s="537"/>
      <c r="REV148" s="537"/>
      <c r="REW148" s="537"/>
      <c r="REX148" s="537"/>
      <c r="REY148" s="537"/>
      <c r="REZ148" s="537"/>
      <c r="RFA148" s="537"/>
      <c r="RFB148" s="537"/>
      <c r="RFC148" s="537"/>
      <c r="RFD148" s="537"/>
      <c r="RFE148" s="537"/>
      <c r="RFF148" s="537"/>
      <c r="RFG148" s="537"/>
      <c r="RFH148" s="537"/>
      <c r="RFI148" s="537"/>
      <c r="RFJ148" s="537"/>
      <c r="RFK148" s="537"/>
      <c r="RFL148" s="537"/>
      <c r="RFM148" s="537"/>
      <c r="RFN148" s="537"/>
      <c r="RFO148" s="537"/>
      <c r="RFP148" s="537"/>
      <c r="RFQ148" s="537"/>
      <c r="RFR148" s="537"/>
      <c r="RFS148" s="537"/>
      <c r="RFT148" s="537"/>
      <c r="RFU148" s="537"/>
      <c r="RFV148" s="537"/>
      <c r="RFW148" s="537"/>
      <c r="RFX148" s="537"/>
      <c r="RFY148" s="537"/>
      <c r="RFZ148" s="537"/>
      <c r="RGA148" s="537"/>
      <c r="RGB148" s="537"/>
      <c r="RGC148" s="537"/>
      <c r="RGD148" s="537"/>
      <c r="RGE148" s="537"/>
      <c r="RGF148" s="537"/>
      <c r="RGG148" s="537"/>
      <c r="RGH148" s="537"/>
      <c r="RGI148" s="537"/>
      <c r="RGJ148" s="537"/>
      <c r="RGK148" s="537"/>
      <c r="RGL148" s="537"/>
      <c r="RGM148" s="537"/>
      <c r="RGN148" s="537"/>
      <c r="RGO148" s="537"/>
      <c r="RGP148" s="537"/>
      <c r="RGQ148" s="537"/>
      <c r="RGR148" s="537"/>
      <c r="RGS148" s="537"/>
      <c r="RGT148" s="537"/>
      <c r="RGU148" s="537"/>
      <c r="RGV148" s="537"/>
      <c r="RGW148" s="537"/>
      <c r="RGX148" s="537"/>
      <c r="RGY148" s="537"/>
      <c r="RGZ148" s="537"/>
      <c r="RHA148" s="537"/>
      <c r="RHB148" s="537"/>
      <c r="RHC148" s="537"/>
      <c r="RHD148" s="537"/>
      <c r="RHE148" s="537"/>
      <c r="RHF148" s="537"/>
      <c r="RHG148" s="537"/>
      <c r="RHH148" s="537"/>
      <c r="RHI148" s="537"/>
      <c r="RHJ148" s="537"/>
      <c r="RHK148" s="537"/>
      <c r="RHL148" s="537"/>
      <c r="RHM148" s="537"/>
      <c r="RHN148" s="537"/>
      <c r="RHO148" s="537"/>
      <c r="RHP148" s="537"/>
      <c r="RHQ148" s="537"/>
      <c r="RHR148" s="537"/>
      <c r="RHS148" s="537"/>
      <c r="RHT148" s="537"/>
      <c r="RHU148" s="537"/>
      <c r="RHV148" s="537"/>
      <c r="RHW148" s="537"/>
      <c r="RHX148" s="537"/>
      <c r="RHY148" s="537"/>
      <c r="RHZ148" s="537"/>
      <c r="RIA148" s="537"/>
      <c r="RIB148" s="537"/>
      <c r="RIC148" s="537"/>
      <c r="RID148" s="537"/>
      <c r="RIE148" s="537"/>
      <c r="RIF148" s="537"/>
      <c r="RIG148" s="537"/>
      <c r="RIH148" s="537"/>
      <c r="RII148" s="537"/>
      <c r="RIJ148" s="537"/>
      <c r="RIK148" s="537"/>
      <c r="RIL148" s="537"/>
      <c r="RIM148" s="537"/>
      <c r="RIN148" s="537"/>
      <c r="RIO148" s="537"/>
      <c r="RIP148" s="537"/>
      <c r="RIQ148" s="537"/>
      <c r="RIR148" s="537"/>
      <c r="RIS148" s="537"/>
      <c r="RIT148" s="537"/>
      <c r="RIU148" s="537"/>
      <c r="RIV148" s="537"/>
      <c r="RIW148" s="537"/>
      <c r="RIX148" s="537"/>
      <c r="RIY148" s="537"/>
      <c r="RIZ148" s="537"/>
      <c r="RJA148" s="537"/>
      <c r="RJB148" s="537"/>
      <c r="RJC148" s="537"/>
      <c r="RJD148" s="537"/>
      <c r="RJE148" s="537"/>
      <c r="RJF148" s="537"/>
      <c r="RJG148" s="537"/>
      <c r="RJH148" s="537"/>
      <c r="RJI148" s="537"/>
      <c r="RJJ148" s="537"/>
      <c r="RJK148" s="537"/>
      <c r="RJL148" s="537"/>
      <c r="RJM148" s="537"/>
      <c r="RJN148" s="537"/>
      <c r="RJO148" s="537"/>
      <c r="RJP148" s="537"/>
      <c r="RJQ148" s="537"/>
      <c r="RJR148" s="537"/>
      <c r="RJS148" s="537"/>
      <c r="RJT148" s="537"/>
      <c r="RJU148" s="537"/>
      <c r="RJV148" s="537"/>
      <c r="RJW148" s="537"/>
      <c r="RJX148" s="537"/>
      <c r="RJY148" s="537"/>
      <c r="RJZ148" s="537"/>
      <c r="RKA148" s="537"/>
      <c r="RKB148" s="537"/>
      <c r="RKC148" s="537"/>
      <c r="RKD148" s="537"/>
      <c r="RKE148" s="537"/>
      <c r="RKF148" s="537"/>
      <c r="RKG148" s="537"/>
      <c r="RKH148" s="537"/>
      <c r="RKI148" s="537"/>
      <c r="RKJ148" s="537"/>
      <c r="RKK148" s="537"/>
      <c r="RKL148" s="537"/>
      <c r="RKM148" s="537"/>
      <c r="RKN148" s="537"/>
      <c r="RKO148" s="537"/>
      <c r="RKP148" s="537"/>
      <c r="RKQ148" s="537"/>
      <c r="RKR148" s="537"/>
      <c r="RKS148" s="537"/>
      <c r="RKT148" s="537"/>
      <c r="RKU148" s="537"/>
      <c r="RKV148" s="537"/>
      <c r="RKW148" s="537"/>
      <c r="RKX148" s="537"/>
      <c r="RKY148" s="537"/>
      <c r="RKZ148" s="537"/>
      <c r="RLA148" s="537"/>
      <c r="RLB148" s="537"/>
      <c r="RLC148" s="537"/>
      <c r="RLD148" s="537"/>
      <c r="RLE148" s="537"/>
      <c r="RLF148" s="537"/>
      <c r="RLG148" s="537"/>
      <c r="RLH148" s="537"/>
      <c r="RLI148" s="537"/>
      <c r="RLJ148" s="537"/>
      <c r="RLK148" s="537"/>
      <c r="RLL148" s="537"/>
      <c r="RLM148" s="537"/>
      <c r="RLN148" s="537"/>
      <c r="RLO148" s="537"/>
      <c r="RLP148" s="537"/>
      <c r="RLQ148" s="537"/>
      <c r="RLR148" s="537"/>
      <c r="RLS148" s="537"/>
      <c r="RLT148" s="537"/>
      <c r="RLU148" s="537"/>
      <c r="RLV148" s="537"/>
      <c r="RLW148" s="537"/>
      <c r="RLX148" s="537"/>
      <c r="RLY148" s="537"/>
      <c r="RLZ148" s="537"/>
      <c r="RMA148" s="537"/>
      <c r="RMB148" s="537"/>
      <c r="RMC148" s="537"/>
      <c r="RMD148" s="537"/>
      <c r="RME148" s="537"/>
      <c r="RMF148" s="537"/>
      <c r="RMG148" s="537"/>
      <c r="RMH148" s="537"/>
      <c r="RMI148" s="537"/>
      <c r="RMJ148" s="537"/>
      <c r="RMK148" s="537"/>
      <c r="RML148" s="537"/>
      <c r="RMM148" s="537"/>
      <c r="RMN148" s="537"/>
      <c r="RMO148" s="537"/>
      <c r="RMP148" s="537"/>
      <c r="RMQ148" s="537"/>
      <c r="RMR148" s="537"/>
      <c r="RMS148" s="537"/>
      <c r="RMT148" s="537"/>
      <c r="RMU148" s="537"/>
      <c r="RMV148" s="537"/>
      <c r="RMW148" s="537"/>
      <c r="RMX148" s="537"/>
      <c r="RMY148" s="537"/>
      <c r="RMZ148" s="537"/>
      <c r="RNA148" s="537"/>
      <c r="RNB148" s="537"/>
      <c r="RNC148" s="537"/>
      <c r="RND148" s="537"/>
      <c r="RNE148" s="537"/>
      <c r="RNF148" s="537"/>
      <c r="RNG148" s="537"/>
      <c r="RNH148" s="537"/>
      <c r="RNI148" s="537"/>
      <c r="RNJ148" s="537"/>
      <c r="RNK148" s="537"/>
      <c r="RNL148" s="537"/>
      <c r="RNM148" s="537"/>
      <c r="RNN148" s="537"/>
      <c r="RNO148" s="537"/>
      <c r="RNP148" s="537"/>
      <c r="RNQ148" s="537"/>
      <c r="RNR148" s="537"/>
      <c r="RNS148" s="537"/>
      <c r="RNT148" s="537"/>
      <c r="RNU148" s="537"/>
      <c r="RNV148" s="537"/>
      <c r="RNW148" s="537"/>
      <c r="RNX148" s="537"/>
      <c r="RNY148" s="537"/>
      <c r="RNZ148" s="537"/>
      <c r="ROA148" s="537"/>
      <c r="ROB148" s="537"/>
      <c r="ROC148" s="537"/>
      <c r="ROD148" s="537"/>
      <c r="ROE148" s="537"/>
      <c r="ROF148" s="537"/>
      <c r="ROG148" s="537"/>
      <c r="ROH148" s="537"/>
      <c r="ROI148" s="537"/>
      <c r="ROJ148" s="537"/>
      <c r="ROK148" s="537"/>
      <c r="ROL148" s="537"/>
      <c r="ROM148" s="537"/>
      <c r="RON148" s="537"/>
      <c r="ROO148" s="537"/>
      <c r="ROP148" s="537"/>
      <c r="ROQ148" s="537"/>
      <c r="ROR148" s="537"/>
      <c r="ROS148" s="537"/>
      <c r="ROT148" s="537"/>
      <c r="ROU148" s="537"/>
      <c r="ROV148" s="537"/>
      <c r="ROW148" s="537"/>
      <c r="ROX148" s="537"/>
      <c r="ROY148" s="537"/>
      <c r="ROZ148" s="537"/>
      <c r="RPA148" s="537"/>
      <c r="RPB148" s="537"/>
      <c r="RPC148" s="537"/>
      <c r="RPD148" s="537"/>
      <c r="RPE148" s="537"/>
      <c r="RPF148" s="537"/>
      <c r="RPG148" s="537"/>
      <c r="RPH148" s="537"/>
      <c r="RPI148" s="537"/>
      <c r="RPJ148" s="537"/>
      <c r="RPK148" s="537"/>
      <c r="RPL148" s="537"/>
      <c r="RPM148" s="537"/>
      <c r="RPN148" s="537"/>
      <c r="RPO148" s="537"/>
      <c r="RPP148" s="537"/>
      <c r="RPQ148" s="537"/>
      <c r="RPR148" s="537"/>
      <c r="RPS148" s="537"/>
      <c r="RPT148" s="537"/>
      <c r="RPU148" s="537"/>
      <c r="RPV148" s="537"/>
      <c r="RPW148" s="537"/>
      <c r="RPX148" s="537"/>
      <c r="RPY148" s="537"/>
      <c r="RPZ148" s="537"/>
      <c r="RQA148" s="537"/>
      <c r="RQB148" s="537"/>
      <c r="RQC148" s="537"/>
      <c r="RQD148" s="537"/>
      <c r="RQE148" s="537"/>
      <c r="RQF148" s="537"/>
      <c r="RQG148" s="537"/>
      <c r="RQH148" s="537"/>
      <c r="RQI148" s="537"/>
      <c r="RQJ148" s="537"/>
      <c r="RQK148" s="537"/>
      <c r="RQL148" s="537"/>
      <c r="RQM148" s="537"/>
      <c r="RQN148" s="537"/>
      <c r="RQO148" s="537"/>
      <c r="RQP148" s="537"/>
      <c r="RQQ148" s="537"/>
      <c r="RQR148" s="537"/>
      <c r="RQS148" s="537"/>
      <c r="RQT148" s="537"/>
      <c r="RQU148" s="537"/>
      <c r="RQV148" s="537"/>
      <c r="RQW148" s="537"/>
      <c r="RQX148" s="537"/>
      <c r="RQY148" s="537"/>
      <c r="RQZ148" s="537"/>
      <c r="RRA148" s="537"/>
      <c r="RRB148" s="537"/>
      <c r="RRC148" s="537"/>
      <c r="RRD148" s="537"/>
      <c r="RRE148" s="537"/>
      <c r="RRF148" s="537"/>
      <c r="RRG148" s="537"/>
      <c r="RRH148" s="537"/>
      <c r="RRI148" s="537"/>
      <c r="RRJ148" s="537"/>
      <c r="RRK148" s="537"/>
      <c r="RRL148" s="537"/>
      <c r="RRM148" s="537"/>
      <c r="RRN148" s="537"/>
      <c r="RRO148" s="537"/>
      <c r="RRP148" s="537"/>
      <c r="RRQ148" s="537"/>
      <c r="RRR148" s="537"/>
      <c r="RRS148" s="537"/>
      <c r="RRT148" s="537"/>
      <c r="RRU148" s="537"/>
      <c r="RRV148" s="537"/>
      <c r="RRW148" s="537"/>
      <c r="RRX148" s="537"/>
      <c r="RRY148" s="537"/>
      <c r="RRZ148" s="537"/>
      <c r="RSA148" s="537"/>
      <c r="RSB148" s="537"/>
      <c r="RSC148" s="537"/>
      <c r="RSD148" s="537"/>
      <c r="RSE148" s="537"/>
      <c r="RSF148" s="537"/>
      <c r="RSG148" s="537"/>
      <c r="RSH148" s="537"/>
      <c r="RSI148" s="537"/>
      <c r="RSJ148" s="537"/>
      <c r="RSK148" s="537"/>
      <c r="RSL148" s="537"/>
      <c r="RSM148" s="537"/>
      <c r="RSN148" s="537"/>
      <c r="RSO148" s="537"/>
      <c r="RSP148" s="537"/>
      <c r="RSQ148" s="537"/>
      <c r="RSR148" s="537"/>
      <c r="RSS148" s="537"/>
      <c r="RST148" s="537"/>
      <c r="RSU148" s="537"/>
      <c r="RSV148" s="537"/>
      <c r="RSW148" s="537"/>
      <c r="RSX148" s="537"/>
      <c r="RSY148" s="537"/>
      <c r="RSZ148" s="537"/>
      <c r="RTA148" s="537"/>
      <c r="RTB148" s="537"/>
      <c r="RTC148" s="537"/>
      <c r="RTD148" s="537"/>
      <c r="RTE148" s="537"/>
      <c r="RTF148" s="537"/>
      <c r="RTG148" s="537"/>
      <c r="RTH148" s="537"/>
      <c r="RTI148" s="537"/>
      <c r="RTJ148" s="537"/>
      <c r="RTK148" s="537"/>
      <c r="RTL148" s="537"/>
      <c r="RTM148" s="537"/>
      <c r="RTN148" s="537"/>
      <c r="RTO148" s="537"/>
      <c r="RTP148" s="537"/>
      <c r="RTQ148" s="537"/>
      <c r="RTR148" s="537"/>
      <c r="RTS148" s="537"/>
      <c r="RTT148" s="537"/>
      <c r="RTU148" s="537"/>
      <c r="RTV148" s="537"/>
      <c r="RTW148" s="537"/>
      <c r="RTX148" s="537"/>
      <c r="RTY148" s="537"/>
      <c r="RTZ148" s="537"/>
      <c r="RUA148" s="537"/>
      <c r="RUB148" s="537"/>
      <c r="RUC148" s="537"/>
      <c r="RUD148" s="537"/>
      <c r="RUE148" s="537"/>
      <c r="RUF148" s="537"/>
      <c r="RUG148" s="537"/>
      <c r="RUH148" s="537"/>
      <c r="RUI148" s="537"/>
      <c r="RUJ148" s="537"/>
      <c r="RUK148" s="537"/>
      <c r="RUL148" s="537"/>
      <c r="RUM148" s="537"/>
      <c r="RUN148" s="537"/>
      <c r="RUO148" s="537"/>
      <c r="RUP148" s="537"/>
      <c r="RUQ148" s="537"/>
      <c r="RUR148" s="537"/>
      <c r="RUS148" s="537"/>
      <c r="RUT148" s="537"/>
      <c r="RUU148" s="537"/>
      <c r="RUV148" s="537"/>
      <c r="RUW148" s="537"/>
      <c r="RUX148" s="537"/>
      <c r="RUY148" s="537"/>
      <c r="RUZ148" s="537"/>
      <c r="RVA148" s="537"/>
      <c r="RVB148" s="537"/>
      <c r="RVC148" s="537"/>
      <c r="RVD148" s="537"/>
      <c r="RVE148" s="537"/>
      <c r="RVF148" s="537"/>
      <c r="RVG148" s="537"/>
      <c r="RVH148" s="537"/>
      <c r="RVI148" s="537"/>
      <c r="RVJ148" s="537"/>
      <c r="RVK148" s="537"/>
      <c r="RVL148" s="537"/>
      <c r="RVM148" s="537"/>
      <c r="RVN148" s="537"/>
      <c r="RVO148" s="537"/>
      <c r="RVP148" s="537"/>
      <c r="RVQ148" s="537"/>
      <c r="RVR148" s="537"/>
      <c r="RVS148" s="537"/>
      <c r="RVT148" s="537"/>
      <c r="RVU148" s="537"/>
      <c r="RVV148" s="537"/>
      <c r="RVW148" s="537"/>
      <c r="RVX148" s="537"/>
      <c r="RVY148" s="537"/>
      <c r="RVZ148" s="537"/>
      <c r="RWA148" s="537"/>
      <c r="RWB148" s="537"/>
      <c r="RWC148" s="537"/>
      <c r="RWD148" s="537"/>
      <c r="RWE148" s="537"/>
      <c r="RWF148" s="537"/>
      <c r="RWG148" s="537"/>
      <c r="RWH148" s="537"/>
      <c r="RWI148" s="537"/>
      <c r="RWJ148" s="537"/>
      <c r="RWK148" s="537"/>
      <c r="RWL148" s="537"/>
      <c r="RWM148" s="537"/>
      <c r="RWN148" s="537"/>
      <c r="RWO148" s="537"/>
      <c r="RWP148" s="537"/>
      <c r="RWQ148" s="537"/>
      <c r="RWR148" s="537"/>
      <c r="RWS148" s="537"/>
      <c r="RWT148" s="537"/>
      <c r="RWU148" s="537"/>
      <c r="RWV148" s="537"/>
      <c r="RWW148" s="537"/>
      <c r="RWX148" s="537"/>
      <c r="RWY148" s="537"/>
      <c r="RWZ148" s="537"/>
      <c r="RXA148" s="537"/>
      <c r="RXB148" s="537"/>
      <c r="RXC148" s="537"/>
      <c r="RXD148" s="537"/>
      <c r="RXE148" s="537"/>
      <c r="RXF148" s="537"/>
      <c r="RXG148" s="537"/>
      <c r="RXH148" s="537"/>
      <c r="RXI148" s="537"/>
      <c r="RXJ148" s="537"/>
      <c r="RXK148" s="537"/>
      <c r="RXL148" s="537"/>
      <c r="RXM148" s="537"/>
      <c r="RXN148" s="537"/>
      <c r="RXO148" s="537"/>
      <c r="RXP148" s="537"/>
      <c r="RXQ148" s="537"/>
      <c r="RXR148" s="537"/>
      <c r="RXS148" s="537"/>
      <c r="RXT148" s="537"/>
      <c r="RXU148" s="537"/>
      <c r="RXV148" s="537"/>
      <c r="RXW148" s="537"/>
      <c r="RXX148" s="537"/>
      <c r="RXY148" s="537"/>
      <c r="RXZ148" s="537"/>
      <c r="RYA148" s="537"/>
      <c r="RYB148" s="537"/>
      <c r="RYC148" s="537"/>
      <c r="RYD148" s="537"/>
      <c r="RYE148" s="537"/>
      <c r="RYF148" s="537"/>
      <c r="RYG148" s="537"/>
      <c r="RYH148" s="537"/>
      <c r="RYI148" s="537"/>
      <c r="RYJ148" s="537"/>
      <c r="RYK148" s="537"/>
      <c r="RYL148" s="537"/>
      <c r="RYM148" s="537"/>
      <c r="RYN148" s="537"/>
      <c r="RYO148" s="537"/>
      <c r="RYP148" s="537"/>
      <c r="RYQ148" s="537"/>
      <c r="RYR148" s="537"/>
      <c r="RYS148" s="537"/>
      <c r="RYT148" s="537"/>
      <c r="RYU148" s="537"/>
      <c r="RYV148" s="537"/>
      <c r="RYW148" s="537"/>
      <c r="RYX148" s="537"/>
      <c r="RYY148" s="537"/>
      <c r="RYZ148" s="537"/>
      <c r="RZA148" s="537"/>
      <c r="RZB148" s="537"/>
      <c r="RZC148" s="537"/>
      <c r="RZD148" s="537"/>
      <c r="RZE148" s="537"/>
      <c r="RZF148" s="537"/>
      <c r="RZG148" s="537"/>
      <c r="RZH148" s="537"/>
      <c r="RZI148" s="537"/>
      <c r="RZJ148" s="537"/>
      <c r="RZK148" s="537"/>
      <c r="RZL148" s="537"/>
      <c r="RZM148" s="537"/>
      <c r="RZN148" s="537"/>
      <c r="RZO148" s="537"/>
      <c r="RZP148" s="537"/>
      <c r="RZQ148" s="537"/>
      <c r="RZR148" s="537"/>
      <c r="RZS148" s="537"/>
      <c r="RZT148" s="537"/>
      <c r="RZU148" s="537"/>
      <c r="RZV148" s="537"/>
      <c r="RZW148" s="537"/>
      <c r="RZX148" s="537"/>
      <c r="RZY148" s="537"/>
      <c r="RZZ148" s="537"/>
      <c r="SAA148" s="537"/>
      <c r="SAB148" s="537"/>
      <c r="SAC148" s="537"/>
      <c r="SAD148" s="537"/>
      <c r="SAE148" s="537"/>
      <c r="SAF148" s="537"/>
      <c r="SAG148" s="537"/>
      <c r="SAH148" s="537"/>
      <c r="SAI148" s="537"/>
      <c r="SAJ148" s="537"/>
      <c r="SAK148" s="537"/>
      <c r="SAL148" s="537"/>
      <c r="SAM148" s="537"/>
      <c r="SAN148" s="537"/>
      <c r="SAO148" s="537"/>
      <c r="SAP148" s="537"/>
      <c r="SAQ148" s="537"/>
      <c r="SAR148" s="537"/>
      <c r="SAS148" s="537"/>
      <c r="SAT148" s="537"/>
      <c r="SAU148" s="537"/>
      <c r="SAV148" s="537"/>
      <c r="SAW148" s="537"/>
      <c r="SAX148" s="537"/>
      <c r="SAY148" s="537"/>
      <c r="SAZ148" s="537"/>
      <c r="SBA148" s="537"/>
      <c r="SBB148" s="537"/>
      <c r="SBC148" s="537"/>
      <c r="SBD148" s="537"/>
      <c r="SBE148" s="537"/>
      <c r="SBF148" s="537"/>
      <c r="SBG148" s="537"/>
      <c r="SBH148" s="537"/>
      <c r="SBI148" s="537"/>
      <c r="SBJ148" s="537"/>
      <c r="SBK148" s="537"/>
      <c r="SBL148" s="537"/>
      <c r="SBM148" s="537"/>
      <c r="SBN148" s="537"/>
      <c r="SBO148" s="537"/>
      <c r="SBP148" s="537"/>
      <c r="SBQ148" s="537"/>
      <c r="SBR148" s="537"/>
      <c r="SBS148" s="537"/>
      <c r="SBT148" s="537"/>
      <c r="SBU148" s="537"/>
      <c r="SBV148" s="537"/>
      <c r="SBW148" s="537"/>
      <c r="SBX148" s="537"/>
      <c r="SBY148" s="537"/>
      <c r="SBZ148" s="537"/>
      <c r="SCA148" s="537"/>
      <c r="SCB148" s="537"/>
      <c r="SCC148" s="537"/>
      <c r="SCD148" s="537"/>
      <c r="SCE148" s="537"/>
      <c r="SCF148" s="537"/>
      <c r="SCG148" s="537"/>
      <c r="SCH148" s="537"/>
      <c r="SCI148" s="537"/>
      <c r="SCJ148" s="537"/>
      <c r="SCK148" s="537"/>
      <c r="SCL148" s="537"/>
      <c r="SCM148" s="537"/>
      <c r="SCN148" s="537"/>
      <c r="SCO148" s="537"/>
      <c r="SCP148" s="537"/>
      <c r="SCQ148" s="537"/>
      <c r="SCR148" s="537"/>
      <c r="SCS148" s="537"/>
      <c r="SCT148" s="537"/>
      <c r="SCU148" s="537"/>
      <c r="SCV148" s="537"/>
      <c r="SCW148" s="537"/>
      <c r="SCX148" s="537"/>
      <c r="SCY148" s="537"/>
      <c r="SCZ148" s="537"/>
      <c r="SDA148" s="537"/>
      <c r="SDB148" s="537"/>
      <c r="SDC148" s="537"/>
      <c r="SDD148" s="537"/>
      <c r="SDE148" s="537"/>
      <c r="SDF148" s="537"/>
      <c r="SDG148" s="537"/>
      <c r="SDH148" s="537"/>
      <c r="SDI148" s="537"/>
      <c r="SDJ148" s="537"/>
      <c r="SDK148" s="537"/>
      <c r="SDL148" s="537"/>
      <c r="SDM148" s="537"/>
      <c r="SDN148" s="537"/>
      <c r="SDO148" s="537"/>
      <c r="SDP148" s="537"/>
      <c r="SDQ148" s="537"/>
      <c r="SDR148" s="537"/>
      <c r="SDS148" s="537"/>
      <c r="SDT148" s="537"/>
      <c r="SDU148" s="537"/>
      <c r="SDV148" s="537"/>
      <c r="SDW148" s="537"/>
      <c r="SDX148" s="537"/>
      <c r="SDY148" s="537"/>
      <c r="SDZ148" s="537"/>
      <c r="SEA148" s="537"/>
      <c r="SEB148" s="537"/>
      <c r="SEC148" s="537"/>
      <c r="SED148" s="537"/>
      <c r="SEE148" s="537"/>
      <c r="SEF148" s="537"/>
      <c r="SEG148" s="537"/>
      <c r="SEH148" s="537"/>
      <c r="SEI148" s="537"/>
      <c r="SEJ148" s="537"/>
      <c r="SEK148" s="537"/>
      <c r="SEL148" s="537"/>
      <c r="SEM148" s="537"/>
      <c r="SEN148" s="537"/>
      <c r="SEO148" s="537"/>
      <c r="SEP148" s="537"/>
      <c r="SEQ148" s="537"/>
      <c r="SER148" s="537"/>
      <c r="SES148" s="537"/>
      <c r="SET148" s="537"/>
      <c r="SEU148" s="537"/>
      <c r="SEV148" s="537"/>
      <c r="SEW148" s="537"/>
      <c r="SEX148" s="537"/>
      <c r="SEY148" s="537"/>
      <c r="SEZ148" s="537"/>
      <c r="SFA148" s="537"/>
      <c r="SFB148" s="537"/>
      <c r="SFC148" s="537"/>
      <c r="SFD148" s="537"/>
      <c r="SFE148" s="537"/>
      <c r="SFF148" s="537"/>
      <c r="SFG148" s="537"/>
      <c r="SFH148" s="537"/>
      <c r="SFI148" s="537"/>
      <c r="SFJ148" s="537"/>
      <c r="SFK148" s="537"/>
      <c r="SFL148" s="537"/>
      <c r="SFM148" s="537"/>
      <c r="SFN148" s="537"/>
      <c r="SFO148" s="537"/>
      <c r="SFP148" s="537"/>
      <c r="SFQ148" s="537"/>
      <c r="SFR148" s="537"/>
      <c r="SFS148" s="537"/>
      <c r="SFT148" s="537"/>
      <c r="SFU148" s="537"/>
      <c r="SFV148" s="537"/>
      <c r="SFW148" s="537"/>
      <c r="SFX148" s="537"/>
      <c r="SFY148" s="537"/>
      <c r="SFZ148" s="537"/>
      <c r="SGA148" s="537"/>
      <c r="SGB148" s="537"/>
      <c r="SGC148" s="537"/>
      <c r="SGD148" s="537"/>
      <c r="SGE148" s="537"/>
      <c r="SGF148" s="537"/>
      <c r="SGG148" s="537"/>
      <c r="SGH148" s="537"/>
      <c r="SGI148" s="537"/>
      <c r="SGJ148" s="537"/>
      <c r="SGK148" s="537"/>
      <c r="SGL148" s="537"/>
      <c r="SGM148" s="537"/>
      <c r="SGN148" s="537"/>
      <c r="SGO148" s="537"/>
      <c r="SGP148" s="537"/>
      <c r="SGQ148" s="537"/>
      <c r="SGR148" s="537"/>
      <c r="SGS148" s="537"/>
      <c r="SGT148" s="537"/>
      <c r="SGU148" s="537"/>
      <c r="SGV148" s="537"/>
      <c r="SGW148" s="537"/>
      <c r="SGX148" s="537"/>
      <c r="SGY148" s="537"/>
      <c r="SGZ148" s="537"/>
      <c r="SHA148" s="537"/>
      <c r="SHB148" s="537"/>
      <c r="SHC148" s="537"/>
      <c r="SHD148" s="537"/>
      <c r="SHE148" s="537"/>
      <c r="SHF148" s="537"/>
      <c r="SHG148" s="537"/>
      <c r="SHH148" s="537"/>
      <c r="SHI148" s="537"/>
      <c r="SHJ148" s="537"/>
      <c r="SHK148" s="537"/>
      <c r="SHL148" s="537"/>
      <c r="SHM148" s="537"/>
      <c r="SHN148" s="537"/>
      <c r="SHO148" s="537"/>
      <c r="SHP148" s="537"/>
      <c r="SHQ148" s="537"/>
      <c r="SHR148" s="537"/>
      <c r="SHS148" s="537"/>
      <c r="SHT148" s="537"/>
      <c r="SHU148" s="537"/>
      <c r="SHV148" s="537"/>
      <c r="SHW148" s="537"/>
      <c r="SHX148" s="537"/>
      <c r="SHY148" s="537"/>
      <c r="SHZ148" s="537"/>
      <c r="SIA148" s="537"/>
      <c r="SIB148" s="537"/>
      <c r="SIC148" s="537"/>
      <c r="SID148" s="537"/>
      <c r="SIE148" s="537"/>
      <c r="SIF148" s="537"/>
      <c r="SIG148" s="537"/>
      <c r="SIH148" s="537"/>
      <c r="SII148" s="537"/>
      <c r="SIJ148" s="537"/>
      <c r="SIK148" s="537"/>
      <c r="SIL148" s="537"/>
      <c r="SIM148" s="537"/>
      <c r="SIN148" s="537"/>
      <c r="SIO148" s="537"/>
      <c r="SIP148" s="537"/>
      <c r="SIQ148" s="537"/>
      <c r="SIR148" s="537"/>
      <c r="SIS148" s="537"/>
      <c r="SIT148" s="537"/>
      <c r="SIU148" s="537"/>
      <c r="SIV148" s="537"/>
      <c r="SIW148" s="537"/>
      <c r="SIX148" s="537"/>
      <c r="SIY148" s="537"/>
      <c r="SIZ148" s="537"/>
      <c r="SJA148" s="537"/>
      <c r="SJB148" s="537"/>
      <c r="SJC148" s="537"/>
      <c r="SJD148" s="537"/>
      <c r="SJE148" s="537"/>
      <c r="SJF148" s="537"/>
      <c r="SJG148" s="537"/>
      <c r="SJH148" s="537"/>
      <c r="SJI148" s="537"/>
      <c r="SJJ148" s="537"/>
      <c r="SJK148" s="537"/>
      <c r="SJL148" s="537"/>
      <c r="SJM148" s="537"/>
      <c r="SJN148" s="537"/>
      <c r="SJO148" s="537"/>
      <c r="SJP148" s="537"/>
      <c r="SJQ148" s="537"/>
      <c r="SJR148" s="537"/>
      <c r="SJS148" s="537"/>
      <c r="SJT148" s="537"/>
      <c r="SJU148" s="537"/>
      <c r="SJV148" s="537"/>
      <c r="SJW148" s="537"/>
      <c r="SJX148" s="537"/>
      <c r="SJY148" s="537"/>
      <c r="SJZ148" s="537"/>
      <c r="SKA148" s="537"/>
      <c r="SKB148" s="537"/>
      <c r="SKC148" s="537"/>
      <c r="SKD148" s="537"/>
      <c r="SKE148" s="537"/>
      <c r="SKF148" s="537"/>
      <c r="SKG148" s="537"/>
      <c r="SKH148" s="537"/>
      <c r="SKI148" s="537"/>
      <c r="SKJ148" s="537"/>
      <c r="SKK148" s="537"/>
      <c r="SKL148" s="537"/>
      <c r="SKM148" s="537"/>
      <c r="SKN148" s="537"/>
      <c r="SKO148" s="537"/>
      <c r="SKP148" s="537"/>
      <c r="SKQ148" s="537"/>
      <c r="SKR148" s="537"/>
      <c r="SKS148" s="537"/>
      <c r="SKT148" s="537"/>
      <c r="SKU148" s="537"/>
      <c r="SKV148" s="537"/>
      <c r="SKW148" s="537"/>
      <c r="SKX148" s="537"/>
      <c r="SKY148" s="537"/>
      <c r="SKZ148" s="537"/>
      <c r="SLA148" s="537"/>
      <c r="SLB148" s="537"/>
      <c r="SLC148" s="537"/>
      <c r="SLD148" s="537"/>
      <c r="SLE148" s="537"/>
      <c r="SLF148" s="537"/>
      <c r="SLG148" s="537"/>
      <c r="SLH148" s="537"/>
      <c r="SLI148" s="537"/>
      <c r="SLJ148" s="537"/>
      <c r="SLK148" s="537"/>
      <c r="SLL148" s="537"/>
      <c r="SLM148" s="537"/>
      <c r="SLN148" s="537"/>
      <c r="SLO148" s="537"/>
      <c r="SLP148" s="537"/>
      <c r="SLQ148" s="537"/>
      <c r="SLR148" s="537"/>
      <c r="SLS148" s="537"/>
      <c r="SLT148" s="537"/>
      <c r="SLU148" s="537"/>
      <c r="SLV148" s="537"/>
      <c r="SLW148" s="537"/>
      <c r="SLX148" s="537"/>
      <c r="SLY148" s="537"/>
      <c r="SLZ148" s="537"/>
      <c r="SMA148" s="537"/>
      <c r="SMB148" s="537"/>
      <c r="SMC148" s="537"/>
      <c r="SMD148" s="537"/>
      <c r="SME148" s="537"/>
      <c r="SMF148" s="537"/>
      <c r="SMG148" s="537"/>
      <c r="SMH148" s="537"/>
      <c r="SMI148" s="537"/>
      <c r="SMJ148" s="537"/>
      <c r="SMK148" s="537"/>
      <c r="SML148" s="537"/>
      <c r="SMM148" s="537"/>
      <c r="SMN148" s="537"/>
      <c r="SMO148" s="537"/>
      <c r="SMP148" s="537"/>
      <c r="SMQ148" s="537"/>
      <c r="SMR148" s="537"/>
      <c r="SMS148" s="537"/>
      <c r="SMT148" s="537"/>
      <c r="SMU148" s="537"/>
      <c r="SMV148" s="537"/>
      <c r="SMW148" s="537"/>
      <c r="SMX148" s="537"/>
      <c r="SMY148" s="537"/>
      <c r="SMZ148" s="537"/>
      <c r="SNA148" s="537"/>
      <c r="SNB148" s="537"/>
      <c r="SNC148" s="537"/>
      <c r="SND148" s="537"/>
      <c r="SNE148" s="537"/>
      <c r="SNF148" s="537"/>
      <c r="SNG148" s="537"/>
      <c r="SNH148" s="537"/>
      <c r="SNI148" s="537"/>
      <c r="SNJ148" s="537"/>
      <c r="SNK148" s="537"/>
      <c r="SNL148" s="537"/>
      <c r="SNM148" s="537"/>
      <c r="SNN148" s="537"/>
      <c r="SNO148" s="537"/>
      <c r="SNP148" s="537"/>
      <c r="SNQ148" s="537"/>
      <c r="SNR148" s="537"/>
      <c r="SNS148" s="537"/>
      <c r="SNT148" s="537"/>
      <c r="SNU148" s="537"/>
      <c r="SNV148" s="537"/>
      <c r="SNW148" s="537"/>
      <c r="SNX148" s="537"/>
      <c r="SNY148" s="537"/>
      <c r="SNZ148" s="537"/>
      <c r="SOA148" s="537"/>
      <c r="SOB148" s="537"/>
      <c r="SOC148" s="537"/>
      <c r="SOD148" s="537"/>
      <c r="SOE148" s="537"/>
      <c r="SOF148" s="537"/>
      <c r="SOG148" s="537"/>
      <c r="SOH148" s="537"/>
      <c r="SOI148" s="537"/>
      <c r="SOJ148" s="537"/>
      <c r="SOK148" s="537"/>
      <c r="SOL148" s="537"/>
      <c r="SOM148" s="537"/>
      <c r="SON148" s="537"/>
      <c r="SOO148" s="537"/>
      <c r="SOP148" s="537"/>
      <c r="SOQ148" s="537"/>
      <c r="SOR148" s="537"/>
      <c r="SOS148" s="537"/>
      <c r="SOT148" s="537"/>
      <c r="SOU148" s="537"/>
      <c r="SOV148" s="537"/>
      <c r="SOW148" s="537"/>
      <c r="SOX148" s="537"/>
      <c r="SOY148" s="537"/>
      <c r="SOZ148" s="537"/>
      <c r="SPA148" s="537"/>
      <c r="SPB148" s="537"/>
      <c r="SPC148" s="537"/>
      <c r="SPD148" s="537"/>
      <c r="SPE148" s="537"/>
      <c r="SPF148" s="537"/>
      <c r="SPG148" s="537"/>
      <c r="SPH148" s="537"/>
      <c r="SPI148" s="537"/>
      <c r="SPJ148" s="537"/>
      <c r="SPK148" s="537"/>
      <c r="SPL148" s="537"/>
      <c r="SPM148" s="537"/>
      <c r="SPN148" s="537"/>
      <c r="SPO148" s="537"/>
      <c r="SPP148" s="537"/>
      <c r="SPQ148" s="537"/>
      <c r="SPR148" s="537"/>
      <c r="SPS148" s="537"/>
      <c r="SPT148" s="537"/>
      <c r="SPU148" s="537"/>
      <c r="SPV148" s="537"/>
      <c r="SPW148" s="537"/>
      <c r="SPX148" s="537"/>
      <c r="SPY148" s="537"/>
      <c r="SPZ148" s="537"/>
      <c r="SQA148" s="537"/>
      <c r="SQB148" s="537"/>
      <c r="SQC148" s="537"/>
      <c r="SQD148" s="537"/>
      <c r="SQE148" s="537"/>
      <c r="SQF148" s="537"/>
      <c r="SQG148" s="537"/>
      <c r="SQH148" s="537"/>
      <c r="SQI148" s="537"/>
      <c r="SQJ148" s="537"/>
      <c r="SQK148" s="537"/>
      <c r="SQL148" s="537"/>
      <c r="SQM148" s="537"/>
      <c r="SQN148" s="537"/>
      <c r="SQO148" s="537"/>
      <c r="SQP148" s="537"/>
      <c r="SQQ148" s="537"/>
      <c r="SQR148" s="537"/>
      <c r="SQS148" s="537"/>
      <c r="SQT148" s="537"/>
      <c r="SQU148" s="537"/>
      <c r="SQV148" s="537"/>
      <c r="SQW148" s="537"/>
      <c r="SQX148" s="537"/>
      <c r="SQY148" s="537"/>
      <c r="SQZ148" s="537"/>
      <c r="SRA148" s="537"/>
      <c r="SRB148" s="537"/>
      <c r="SRC148" s="537"/>
      <c r="SRD148" s="537"/>
      <c r="SRE148" s="537"/>
      <c r="SRF148" s="537"/>
      <c r="SRG148" s="537"/>
      <c r="SRH148" s="537"/>
      <c r="SRI148" s="537"/>
      <c r="SRJ148" s="537"/>
      <c r="SRK148" s="537"/>
      <c r="SRL148" s="537"/>
      <c r="SRM148" s="537"/>
      <c r="SRN148" s="537"/>
      <c r="SRO148" s="537"/>
      <c r="SRP148" s="537"/>
      <c r="SRQ148" s="537"/>
      <c r="SRR148" s="537"/>
      <c r="SRS148" s="537"/>
      <c r="SRT148" s="537"/>
      <c r="SRU148" s="537"/>
      <c r="SRV148" s="537"/>
      <c r="SRW148" s="537"/>
      <c r="SRX148" s="537"/>
      <c r="SRY148" s="537"/>
      <c r="SRZ148" s="537"/>
      <c r="SSA148" s="537"/>
      <c r="SSB148" s="537"/>
      <c r="SSC148" s="537"/>
      <c r="SSD148" s="537"/>
      <c r="SSE148" s="537"/>
      <c r="SSF148" s="537"/>
      <c r="SSG148" s="537"/>
      <c r="SSH148" s="537"/>
      <c r="SSI148" s="537"/>
      <c r="SSJ148" s="537"/>
      <c r="SSK148" s="537"/>
      <c r="SSL148" s="537"/>
      <c r="SSM148" s="537"/>
      <c r="SSN148" s="537"/>
      <c r="SSO148" s="537"/>
      <c r="SSP148" s="537"/>
      <c r="SSQ148" s="537"/>
      <c r="SSR148" s="537"/>
      <c r="SSS148" s="537"/>
      <c r="SST148" s="537"/>
      <c r="SSU148" s="537"/>
      <c r="SSV148" s="537"/>
      <c r="SSW148" s="537"/>
      <c r="SSX148" s="537"/>
      <c r="SSY148" s="537"/>
      <c r="SSZ148" s="537"/>
      <c r="STA148" s="537"/>
      <c r="STB148" s="537"/>
      <c r="STC148" s="537"/>
      <c r="STD148" s="537"/>
      <c r="STE148" s="537"/>
      <c r="STF148" s="537"/>
      <c r="STG148" s="537"/>
      <c r="STH148" s="537"/>
      <c r="STI148" s="537"/>
      <c r="STJ148" s="537"/>
      <c r="STK148" s="537"/>
      <c r="STL148" s="537"/>
      <c r="STM148" s="537"/>
      <c r="STN148" s="537"/>
      <c r="STO148" s="537"/>
      <c r="STP148" s="537"/>
      <c r="STQ148" s="537"/>
      <c r="STR148" s="537"/>
      <c r="STS148" s="537"/>
      <c r="STT148" s="537"/>
      <c r="STU148" s="537"/>
      <c r="STV148" s="537"/>
      <c r="STW148" s="537"/>
      <c r="STX148" s="537"/>
      <c r="STY148" s="537"/>
      <c r="STZ148" s="537"/>
      <c r="SUA148" s="537"/>
      <c r="SUB148" s="537"/>
      <c r="SUC148" s="537"/>
      <c r="SUD148" s="537"/>
      <c r="SUE148" s="537"/>
      <c r="SUF148" s="537"/>
      <c r="SUG148" s="537"/>
      <c r="SUH148" s="537"/>
      <c r="SUI148" s="537"/>
      <c r="SUJ148" s="537"/>
      <c r="SUK148" s="537"/>
      <c r="SUL148" s="537"/>
      <c r="SUM148" s="537"/>
      <c r="SUN148" s="537"/>
      <c r="SUO148" s="537"/>
      <c r="SUP148" s="537"/>
      <c r="SUQ148" s="537"/>
      <c r="SUR148" s="537"/>
      <c r="SUS148" s="537"/>
      <c r="SUT148" s="537"/>
      <c r="SUU148" s="537"/>
      <c r="SUV148" s="537"/>
      <c r="SUW148" s="537"/>
      <c r="SUX148" s="537"/>
      <c r="SUY148" s="537"/>
      <c r="SUZ148" s="537"/>
      <c r="SVA148" s="537"/>
      <c r="SVB148" s="537"/>
      <c r="SVC148" s="537"/>
      <c r="SVD148" s="537"/>
      <c r="SVE148" s="537"/>
      <c r="SVF148" s="537"/>
      <c r="SVG148" s="537"/>
      <c r="SVH148" s="537"/>
      <c r="SVI148" s="537"/>
      <c r="SVJ148" s="537"/>
      <c r="SVK148" s="537"/>
      <c r="SVL148" s="537"/>
      <c r="SVM148" s="537"/>
      <c r="SVN148" s="537"/>
      <c r="SVO148" s="537"/>
      <c r="SVP148" s="537"/>
      <c r="SVQ148" s="537"/>
      <c r="SVR148" s="537"/>
      <c r="SVS148" s="537"/>
      <c r="SVT148" s="537"/>
      <c r="SVU148" s="537"/>
      <c r="SVV148" s="537"/>
      <c r="SVW148" s="537"/>
      <c r="SVX148" s="537"/>
      <c r="SVY148" s="537"/>
      <c r="SVZ148" s="537"/>
      <c r="SWA148" s="537"/>
      <c r="SWB148" s="537"/>
      <c r="SWC148" s="537"/>
      <c r="SWD148" s="537"/>
      <c r="SWE148" s="537"/>
      <c r="SWF148" s="537"/>
      <c r="SWG148" s="537"/>
      <c r="SWH148" s="537"/>
      <c r="SWI148" s="537"/>
      <c r="SWJ148" s="537"/>
      <c r="SWK148" s="537"/>
      <c r="SWL148" s="537"/>
      <c r="SWM148" s="537"/>
      <c r="SWN148" s="537"/>
      <c r="SWO148" s="537"/>
      <c r="SWP148" s="537"/>
      <c r="SWQ148" s="537"/>
      <c r="SWR148" s="537"/>
      <c r="SWS148" s="537"/>
      <c r="SWT148" s="537"/>
      <c r="SWU148" s="537"/>
      <c r="SWV148" s="537"/>
      <c r="SWW148" s="537"/>
      <c r="SWX148" s="537"/>
      <c r="SWY148" s="537"/>
      <c r="SWZ148" s="537"/>
      <c r="SXA148" s="537"/>
      <c r="SXB148" s="537"/>
      <c r="SXC148" s="537"/>
      <c r="SXD148" s="537"/>
      <c r="SXE148" s="537"/>
      <c r="SXF148" s="537"/>
      <c r="SXG148" s="537"/>
      <c r="SXH148" s="537"/>
      <c r="SXI148" s="537"/>
      <c r="SXJ148" s="537"/>
      <c r="SXK148" s="537"/>
      <c r="SXL148" s="537"/>
      <c r="SXM148" s="537"/>
      <c r="SXN148" s="537"/>
      <c r="SXO148" s="537"/>
      <c r="SXP148" s="537"/>
      <c r="SXQ148" s="537"/>
      <c r="SXR148" s="537"/>
      <c r="SXS148" s="537"/>
      <c r="SXT148" s="537"/>
      <c r="SXU148" s="537"/>
      <c r="SXV148" s="537"/>
      <c r="SXW148" s="537"/>
      <c r="SXX148" s="537"/>
      <c r="SXY148" s="537"/>
      <c r="SXZ148" s="537"/>
      <c r="SYA148" s="537"/>
      <c r="SYB148" s="537"/>
      <c r="SYC148" s="537"/>
      <c r="SYD148" s="537"/>
      <c r="SYE148" s="537"/>
      <c r="SYF148" s="537"/>
      <c r="SYG148" s="537"/>
      <c r="SYH148" s="537"/>
      <c r="SYI148" s="537"/>
      <c r="SYJ148" s="537"/>
      <c r="SYK148" s="537"/>
      <c r="SYL148" s="537"/>
      <c r="SYM148" s="537"/>
      <c r="SYN148" s="537"/>
      <c r="SYO148" s="537"/>
      <c r="SYP148" s="537"/>
      <c r="SYQ148" s="537"/>
      <c r="SYR148" s="537"/>
      <c r="SYS148" s="537"/>
      <c r="SYT148" s="537"/>
      <c r="SYU148" s="537"/>
      <c r="SYV148" s="537"/>
      <c r="SYW148" s="537"/>
      <c r="SYX148" s="537"/>
      <c r="SYY148" s="537"/>
      <c r="SYZ148" s="537"/>
      <c r="SZA148" s="537"/>
      <c r="SZB148" s="537"/>
      <c r="SZC148" s="537"/>
      <c r="SZD148" s="537"/>
      <c r="SZE148" s="537"/>
      <c r="SZF148" s="537"/>
      <c r="SZG148" s="537"/>
      <c r="SZH148" s="537"/>
      <c r="SZI148" s="537"/>
      <c r="SZJ148" s="537"/>
      <c r="SZK148" s="537"/>
      <c r="SZL148" s="537"/>
      <c r="SZM148" s="537"/>
      <c r="SZN148" s="537"/>
      <c r="SZO148" s="537"/>
      <c r="SZP148" s="537"/>
      <c r="SZQ148" s="537"/>
      <c r="SZR148" s="537"/>
      <c r="SZS148" s="537"/>
      <c r="SZT148" s="537"/>
      <c r="SZU148" s="537"/>
      <c r="SZV148" s="537"/>
      <c r="SZW148" s="537"/>
      <c r="SZX148" s="537"/>
      <c r="SZY148" s="537"/>
      <c r="SZZ148" s="537"/>
      <c r="TAA148" s="537"/>
      <c r="TAB148" s="537"/>
      <c r="TAC148" s="537"/>
      <c r="TAD148" s="537"/>
      <c r="TAE148" s="537"/>
      <c r="TAF148" s="537"/>
      <c r="TAG148" s="537"/>
      <c r="TAH148" s="537"/>
      <c r="TAI148" s="537"/>
      <c r="TAJ148" s="537"/>
      <c r="TAK148" s="537"/>
      <c r="TAL148" s="537"/>
      <c r="TAM148" s="537"/>
      <c r="TAN148" s="537"/>
      <c r="TAO148" s="537"/>
      <c r="TAP148" s="537"/>
      <c r="TAQ148" s="537"/>
      <c r="TAR148" s="537"/>
      <c r="TAS148" s="537"/>
      <c r="TAT148" s="537"/>
      <c r="TAU148" s="537"/>
      <c r="TAV148" s="537"/>
      <c r="TAW148" s="537"/>
      <c r="TAX148" s="537"/>
      <c r="TAY148" s="537"/>
      <c r="TAZ148" s="537"/>
      <c r="TBA148" s="537"/>
      <c r="TBB148" s="537"/>
      <c r="TBC148" s="537"/>
      <c r="TBD148" s="537"/>
      <c r="TBE148" s="537"/>
      <c r="TBF148" s="537"/>
      <c r="TBG148" s="537"/>
      <c r="TBH148" s="537"/>
      <c r="TBI148" s="537"/>
      <c r="TBJ148" s="537"/>
      <c r="TBK148" s="537"/>
      <c r="TBL148" s="537"/>
      <c r="TBM148" s="537"/>
      <c r="TBN148" s="537"/>
      <c r="TBO148" s="537"/>
      <c r="TBP148" s="537"/>
      <c r="TBQ148" s="537"/>
      <c r="TBR148" s="537"/>
      <c r="TBS148" s="537"/>
      <c r="TBT148" s="537"/>
      <c r="TBU148" s="537"/>
      <c r="TBV148" s="537"/>
      <c r="TBW148" s="537"/>
      <c r="TBX148" s="537"/>
      <c r="TBY148" s="537"/>
      <c r="TBZ148" s="537"/>
      <c r="TCA148" s="537"/>
      <c r="TCB148" s="537"/>
      <c r="TCC148" s="537"/>
      <c r="TCD148" s="537"/>
      <c r="TCE148" s="537"/>
      <c r="TCF148" s="537"/>
      <c r="TCG148" s="537"/>
      <c r="TCH148" s="537"/>
      <c r="TCI148" s="537"/>
      <c r="TCJ148" s="537"/>
      <c r="TCK148" s="537"/>
      <c r="TCL148" s="537"/>
      <c r="TCM148" s="537"/>
      <c r="TCN148" s="537"/>
      <c r="TCO148" s="537"/>
      <c r="TCP148" s="537"/>
      <c r="TCQ148" s="537"/>
      <c r="TCR148" s="537"/>
      <c r="TCS148" s="537"/>
      <c r="TCT148" s="537"/>
      <c r="TCU148" s="537"/>
      <c r="TCV148" s="537"/>
      <c r="TCW148" s="537"/>
      <c r="TCX148" s="537"/>
      <c r="TCY148" s="537"/>
      <c r="TCZ148" s="537"/>
      <c r="TDA148" s="537"/>
      <c r="TDB148" s="537"/>
      <c r="TDC148" s="537"/>
      <c r="TDD148" s="537"/>
      <c r="TDE148" s="537"/>
      <c r="TDF148" s="537"/>
      <c r="TDG148" s="537"/>
      <c r="TDH148" s="537"/>
      <c r="TDI148" s="537"/>
      <c r="TDJ148" s="537"/>
      <c r="TDK148" s="537"/>
      <c r="TDL148" s="537"/>
      <c r="TDM148" s="537"/>
      <c r="TDN148" s="537"/>
      <c r="TDO148" s="537"/>
      <c r="TDP148" s="537"/>
      <c r="TDQ148" s="537"/>
      <c r="TDR148" s="537"/>
      <c r="TDS148" s="537"/>
      <c r="TDT148" s="537"/>
      <c r="TDU148" s="537"/>
      <c r="TDV148" s="537"/>
      <c r="TDW148" s="537"/>
      <c r="TDX148" s="537"/>
      <c r="TDY148" s="537"/>
      <c r="TDZ148" s="537"/>
      <c r="TEA148" s="537"/>
      <c r="TEB148" s="537"/>
      <c r="TEC148" s="537"/>
      <c r="TED148" s="537"/>
      <c r="TEE148" s="537"/>
      <c r="TEF148" s="537"/>
      <c r="TEG148" s="537"/>
      <c r="TEH148" s="537"/>
      <c r="TEI148" s="537"/>
      <c r="TEJ148" s="537"/>
      <c r="TEK148" s="537"/>
      <c r="TEL148" s="537"/>
      <c r="TEM148" s="537"/>
      <c r="TEN148" s="537"/>
      <c r="TEO148" s="537"/>
      <c r="TEP148" s="537"/>
      <c r="TEQ148" s="537"/>
      <c r="TER148" s="537"/>
      <c r="TES148" s="537"/>
      <c r="TET148" s="537"/>
      <c r="TEU148" s="537"/>
      <c r="TEV148" s="537"/>
      <c r="TEW148" s="537"/>
      <c r="TEX148" s="537"/>
      <c r="TEY148" s="537"/>
      <c r="TEZ148" s="537"/>
      <c r="TFA148" s="537"/>
      <c r="TFB148" s="537"/>
      <c r="TFC148" s="537"/>
      <c r="TFD148" s="537"/>
      <c r="TFE148" s="537"/>
      <c r="TFF148" s="537"/>
      <c r="TFG148" s="537"/>
      <c r="TFH148" s="537"/>
      <c r="TFI148" s="537"/>
      <c r="TFJ148" s="537"/>
      <c r="TFK148" s="537"/>
      <c r="TFL148" s="537"/>
      <c r="TFM148" s="537"/>
      <c r="TFN148" s="537"/>
      <c r="TFO148" s="537"/>
      <c r="TFP148" s="537"/>
      <c r="TFQ148" s="537"/>
      <c r="TFR148" s="537"/>
      <c r="TFS148" s="537"/>
      <c r="TFT148" s="537"/>
      <c r="TFU148" s="537"/>
      <c r="TFV148" s="537"/>
      <c r="TFW148" s="537"/>
      <c r="TFX148" s="537"/>
      <c r="TFY148" s="537"/>
      <c r="TFZ148" s="537"/>
      <c r="TGA148" s="537"/>
      <c r="TGB148" s="537"/>
      <c r="TGC148" s="537"/>
      <c r="TGD148" s="537"/>
      <c r="TGE148" s="537"/>
      <c r="TGF148" s="537"/>
      <c r="TGG148" s="537"/>
      <c r="TGH148" s="537"/>
      <c r="TGI148" s="537"/>
      <c r="TGJ148" s="537"/>
      <c r="TGK148" s="537"/>
      <c r="TGL148" s="537"/>
      <c r="TGM148" s="537"/>
      <c r="TGN148" s="537"/>
      <c r="TGO148" s="537"/>
      <c r="TGP148" s="537"/>
      <c r="TGQ148" s="537"/>
      <c r="TGR148" s="537"/>
      <c r="TGS148" s="537"/>
      <c r="TGT148" s="537"/>
      <c r="TGU148" s="537"/>
      <c r="TGV148" s="537"/>
      <c r="TGW148" s="537"/>
      <c r="TGX148" s="537"/>
      <c r="TGY148" s="537"/>
      <c r="TGZ148" s="537"/>
      <c r="THA148" s="537"/>
      <c r="THB148" s="537"/>
      <c r="THC148" s="537"/>
      <c r="THD148" s="537"/>
      <c r="THE148" s="537"/>
      <c r="THF148" s="537"/>
      <c r="THG148" s="537"/>
      <c r="THH148" s="537"/>
      <c r="THI148" s="537"/>
      <c r="THJ148" s="537"/>
      <c r="THK148" s="537"/>
      <c r="THL148" s="537"/>
      <c r="THM148" s="537"/>
      <c r="THN148" s="537"/>
      <c r="THO148" s="537"/>
      <c r="THP148" s="537"/>
      <c r="THQ148" s="537"/>
      <c r="THR148" s="537"/>
      <c r="THS148" s="537"/>
      <c r="THT148" s="537"/>
      <c r="THU148" s="537"/>
      <c r="THV148" s="537"/>
      <c r="THW148" s="537"/>
      <c r="THX148" s="537"/>
      <c r="THY148" s="537"/>
      <c r="THZ148" s="537"/>
      <c r="TIA148" s="537"/>
      <c r="TIB148" s="537"/>
      <c r="TIC148" s="537"/>
      <c r="TID148" s="537"/>
      <c r="TIE148" s="537"/>
      <c r="TIF148" s="537"/>
      <c r="TIG148" s="537"/>
      <c r="TIH148" s="537"/>
      <c r="TII148" s="537"/>
      <c r="TIJ148" s="537"/>
      <c r="TIK148" s="537"/>
      <c r="TIL148" s="537"/>
      <c r="TIM148" s="537"/>
      <c r="TIN148" s="537"/>
      <c r="TIO148" s="537"/>
      <c r="TIP148" s="537"/>
      <c r="TIQ148" s="537"/>
      <c r="TIR148" s="537"/>
      <c r="TIS148" s="537"/>
      <c r="TIT148" s="537"/>
      <c r="TIU148" s="537"/>
      <c r="TIV148" s="537"/>
      <c r="TIW148" s="537"/>
      <c r="TIX148" s="537"/>
      <c r="TIY148" s="537"/>
      <c r="TIZ148" s="537"/>
      <c r="TJA148" s="537"/>
      <c r="TJB148" s="537"/>
      <c r="TJC148" s="537"/>
      <c r="TJD148" s="537"/>
      <c r="TJE148" s="537"/>
      <c r="TJF148" s="537"/>
      <c r="TJG148" s="537"/>
      <c r="TJH148" s="537"/>
      <c r="TJI148" s="537"/>
      <c r="TJJ148" s="537"/>
      <c r="TJK148" s="537"/>
      <c r="TJL148" s="537"/>
      <c r="TJM148" s="537"/>
      <c r="TJN148" s="537"/>
      <c r="TJO148" s="537"/>
      <c r="TJP148" s="537"/>
      <c r="TJQ148" s="537"/>
      <c r="TJR148" s="537"/>
      <c r="TJS148" s="537"/>
      <c r="TJT148" s="537"/>
      <c r="TJU148" s="537"/>
      <c r="TJV148" s="537"/>
      <c r="TJW148" s="537"/>
      <c r="TJX148" s="537"/>
      <c r="TJY148" s="537"/>
      <c r="TJZ148" s="537"/>
      <c r="TKA148" s="537"/>
      <c r="TKB148" s="537"/>
      <c r="TKC148" s="537"/>
      <c r="TKD148" s="537"/>
      <c r="TKE148" s="537"/>
      <c r="TKF148" s="537"/>
      <c r="TKG148" s="537"/>
      <c r="TKH148" s="537"/>
      <c r="TKI148" s="537"/>
      <c r="TKJ148" s="537"/>
      <c r="TKK148" s="537"/>
      <c r="TKL148" s="537"/>
      <c r="TKM148" s="537"/>
      <c r="TKN148" s="537"/>
      <c r="TKO148" s="537"/>
      <c r="TKP148" s="537"/>
      <c r="TKQ148" s="537"/>
      <c r="TKR148" s="537"/>
      <c r="TKS148" s="537"/>
      <c r="TKT148" s="537"/>
      <c r="TKU148" s="537"/>
      <c r="TKV148" s="537"/>
      <c r="TKW148" s="537"/>
      <c r="TKX148" s="537"/>
      <c r="TKY148" s="537"/>
      <c r="TKZ148" s="537"/>
      <c r="TLA148" s="537"/>
      <c r="TLB148" s="537"/>
      <c r="TLC148" s="537"/>
      <c r="TLD148" s="537"/>
      <c r="TLE148" s="537"/>
      <c r="TLF148" s="537"/>
      <c r="TLG148" s="537"/>
      <c r="TLH148" s="537"/>
      <c r="TLI148" s="537"/>
      <c r="TLJ148" s="537"/>
      <c r="TLK148" s="537"/>
      <c r="TLL148" s="537"/>
      <c r="TLM148" s="537"/>
      <c r="TLN148" s="537"/>
      <c r="TLO148" s="537"/>
      <c r="TLP148" s="537"/>
      <c r="TLQ148" s="537"/>
      <c r="TLR148" s="537"/>
      <c r="TLS148" s="537"/>
      <c r="TLT148" s="537"/>
      <c r="TLU148" s="537"/>
      <c r="TLV148" s="537"/>
      <c r="TLW148" s="537"/>
      <c r="TLX148" s="537"/>
      <c r="TLY148" s="537"/>
      <c r="TLZ148" s="537"/>
      <c r="TMA148" s="537"/>
      <c r="TMB148" s="537"/>
      <c r="TMC148" s="537"/>
      <c r="TMD148" s="537"/>
      <c r="TME148" s="537"/>
      <c r="TMF148" s="537"/>
      <c r="TMG148" s="537"/>
      <c r="TMH148" s="537"/>
      <c r="TMI148" s="537"/>
      <c r="TMJ148" s="537"/>
      <c r="TMK148" s="537"/>
      <c r="TML148" s="537"/>
      <c r="TMM148" s="537"/>
      <c r="TMN148" s="537"/>
      <c r="TMO148" s="537"/>
      <c r="TMP148" s="537"/>
      <c r="TMQ148" s="537"/>
      <c r="TMR148" s="537"/>
      <c r="TMS148" s="537"/>
      <c r="TMT148" s="537"/>
      <c r="TMU148" s="537"/>
      <c r="TMV148" s="537"/>
      <c r="TMW148" s="537"/>
      <c r="TMX148" s="537"/>
      <c r="TMY148" s="537"/>
      <c r="TMZ148" s="537"/>
      <c r="TNA148" s="537"/>
      <c r="TNB148" s="537"/>
      <c r="TNC148" s="537"/>
      <c r="TND148" s="537"/>
      <c r="TNE148" s="537"/>
      <c r="TNF148" s="537"/>
      <c r="TNG148" s="537"/>
      <c r="TNH148" s="537"/>
      <c r="TNI148" s="537"/>
      <c r="TNJ148" s="537"/>
      <c r="TNK148" s="537"/>
      <c r="TNL148" s="537"/>
      <c r="TNM148" s="537"/>
      <c r="TNN148" s="537"/>
      <c r="TNO148" s="537"/>
      <c r="TNP148" s="537"/>
      <c r="TNQ148" s="537"/>
      <c r="TNR148" s="537"/>
      <c r="TNS148" s="537"/>
      <c r="TNT148" s="537"/>
      <c r="TNU148" s="537"/>
      <c r="TNV148" s="537"/>
      <c r="TNW148" s="537"/>
      <c r="TNX148" s="537"/>
      <c r="TNY148" s="537"/>
      <c r="TNZ148" s="537"/>
      <c r="TOA148" s="537"/>
      <c r="TOB148" s="537"/>
      <c r="TOC148" s="537"/>
      <c r="TOD148" s="537"/>
      <c r="TOE148" s="537"/>
      <c r="TOF148" s="537"/>
      <c r="TOG148" s="537"/>
      <c r="TOH148" s="537"/>
      <c r="TOI148" s="537"/>
      <c r="TOJ148" s="537"/>
      <c r="TOK148" s="537"/>
      <c r="TOL148" s="537"/>
      <c r="TOM148" s="537"/>
      <c r="TON148" s="537"/>
      <c r="TOO148" s="537"/>
      <c r="TOP148" s="537"/>
      <c r="TOQ148" s="537"/>
      <c r="TOR148" s="537"/>
      <c r="TOS148" s="537"/>
      <c r="TOT148" s="537"/>
      <c r="TOU148" s="537"/>
      <c r="TOV148" s="537"/>
      <c r="TOW148" s="537"/>
      <c r="TOX148" s="537"/>
      <c r="TOY148" s="537"/>
      <c r="TOZ148" s="537"/>
      <c r="TPA148" s="537"/>
      <c r="TPB148" s="537"/>
      <c r="TPC148" s="537"/>
      <c r="TPD148" s="537"/>
      <c r="TPE148" s="537"/>
      <c r="TPF148" s="537"/>
      <c r="TPG148" s="537"/>
      <c r="TPH148" s="537"/>
      <c r="TPI148" s="537"/>
      <c r="TPJ148" s="537"/>
      <c r="TPK148" s="537"/>
      <c r="TPL148" s="537"/>
      <c r="TPM148" s="537"/>
      <c r="TPN148" s="537"/>
      <c r="TPO148" s="537"/>
      <c r="TPP148" s="537"/>
      <c r="TPQ148" s="537"/>
      <c r="TPR148" s="537"/>
      <c r="TPS148" s="537"/>
      <c r="TPT148" s="537"/>
      <c r="TPU148" s="537"/>
      <c r="TPV148" s="537"/>
      <c r="TPW148" s="537"/>
      <c r="TPX148" s="537"/>
      <c r="TPY148" s="537"/>
      <c r="TPZ148" s="537"/>
      <c r="TQA148" s="537"/>
      <c r="TQB148" s="537"/>
      <c r="TQC148" s="537"/>
      <c r="TQD148" s="537"/>
      <c r="TQE148" s="537"/>
      <c r="TQF148" s="537"/>
      <c r="TQG148" s="537"/>
      <c r="TQH148" s="537"/>
      <c r="TQI148" s="537"/>
      <c r="TQJ148" s="537"/>
      <c r="TQK148" s="537"/>
      <c r="TQL148" s="537"/>
      <c r="TQM148" s="537"/>
      <c r="TQN148" s="537"/>
      <c r="TQO148" s="537"/>
      <c r="TQP148" s="537"/>
      <c r="TQQ148" s="537"/>
      <c r="TQR148" s="537"/>
      <c r="TQS148" s="537"/>
      <c r="TQT148" s="537"/>
      <c r="TQU148" s="537"/>
      <c r="TQV148" s="537"/>
      <c r="TQW148" s="537"/>
      <c r="TQX148" s="537"/>
      <c r="TQY148" s="537"/>
      <c r="TQZ148" s="537"/>
      <c r="TRA148" s="537"/>
      <c r="TRB148" s="537"/>
      <c r="TRC148" s="537"/>
      <c r="TRD148" s="537"/>
      <c r="TRE148" s="537"/>
      <c r="TRF148" s="537"/>
      <c r="TRG148" s="537"/>
      <c r="TRH148" s="537"/>
      <c r="TRI148" s="537"/>
      <c r="TRJ148" s="537"/>
      <c r="TRK148" s="537"/>
      <c r="TRL148" s="537"/>
      <c r="TRM148" s="537"/>
      <c r="TRN148" s="537"/>
      <c r="TRO148" s="537"/>
      <c r="TRP148" s="537"/>
      <c r="TRQ148" s="537"/>
      <c r="TRR148" s="537"/>
      <c r="TRS148" s="537"/>
      <c r="TRT148" s="537"/>
      <c r="TRU148" s="537"/>
      <c r="TRV148" s="537"/>
      <c r="TRW148" s="537"/>
      <c r="TRX148" s="537"/>
      <c r="TRY148" s="537"/>
      <c r="TRZ148" s="537"/>
      <c r="TSA148" s="537"/>
      <c r="TSB148" s="537"/>
      <c r="TSC148" s="537"/>
      <c r="TSD148" s="537"/>
      <c r="TSE148" s="537"/>
      <c r="TSF148" s="537"/>
      <c r="TSG148" s="537"/>
      <c r="TSH148" s="537"/>
      <c r="TSI148" s="537"/>
      <c r="TSJ148" s="537"/>
      <c r="TSK148" s="537"/>
      <c r="TSL148" s="537"/>
      <c r="TSM148" s="537"/>
      <c r="TSN148" s="537"/>
      <c r="TSO148" s="537"/>
      <c r="TSP148" s="537"/>
      <c r="TSQ148" s="537"/>
      <c r="TSR148" s="537"/>
      <c r="TSS148" s="537"/>
      <c r="TST148" s="537"/>
      <c r="TSU148" s="537"/>
      <c r="TSV148" s="537"/>
      <c r="TSW148" s="537"/>
      <c r="TSX148" s="537"/>
      <c r="TSY148" s="537"/>
      <c r="TSZ148" s="537"/>
      <c r="TTA148" s="537"/>
      <c r="TTB148" s="537"/>
      <c r="TTC148" s="537"/>
      <c r="TTD148" s="537"/>
      <c r="TTE148" s="537"/>
      <c r="TTF148" s="537"/>
      <c r="TTG148" s="537"/>
      <c r="TTH148" s="537"/>
      <c r="TTI148" s="537"/>
      <c r="TTJ148" s="537"/>
      <c r="TTK148" s="537"/>
      <c r="TTL148" s="537"/>
      <c r="TTM148" s="537"/>
      <c r="TTN148" s="537"/>
      <c r="TTO148" s="537"/>
      <c r="TTP148" s="537"/>
      <c r="TTQ148" s="537"/>
      <c r="TTR148" s="537"/>
      <c r="TTS148" s="537"/>
      <c r="TTT148" s="537"/>
      <c r="TTU148" s="537"/>
      <c r="TTV148" s="537"/>
      <c r="TTW148" s="537"/>
      <c r="TTX148" s="537"/>
      <c r="TTY148" s="537"/>
      <c r="TTZ148" s="537"/>
      <c r="TUA148" s="537"/>
      <c r="TUB148" s="537"/>
      <c r="TUC148" s="537"/>
      <c r="TUD148" s="537"/>
      <c r="TUE148" s="537"/>
      <c r="TUF148" s="537"/>
      <c r="TUG148" s="537"/>
      <c r="TUH148" s="537"/>
      <c r="TUI148" s="537"/>
      <c r="TUJ148" s="537"/>
      <c r="TUK148" s="537"/>
      <c r="TUL148" s="537"/>
      <c r="TUM148" s="537"/>
      <c r="TUN148" s="537"/>
      <c r="TUO148" s="537"/>
      <c r="TUP148" s="537"/>
      <c r="TUQ148" s="537"/>
      <c r="TUR148" s="537"/>
      <c r="TUS148" s="537"/>
      <c r="TUT148" s="537"/>
      <c r="TUU148" s="537"/>
      <c r="TUV148" s="537"/>
      <c r="TUW148" s="537"/>
      <c r="TUX148" s="537"/>
      <c r="TUY148" s="537"/>
      <c r="TUZ148" s="537"/>
      <c r="TVA148" s="537"/>
      <c r="TVB148" s="537"/>
      <c r="TVC148" s="537"/>
      <c r="TVD148" s="537"/>
      <c r="TVE148" s="537"/>
      <c r="TVF148" s="537"/>
      <c r="TVG148" s="537"/>
      <c r="TVH148" s="537"/>
      <c r="TVI148" s="537"/>
      <c r="TVJ148" s="537"/>
      <c r="TVK148" s="537"/>
      <c r="TVL148" s="537"/>
      <c r="TVM148" s="537"/>
      <c r="TVN148" s="537"/>
      <c r="TVO148" s="537"/>
      <c r="TVP148" s="537"/>
      <c r="TVQ148" s="537"/>
      <c r="TVR148" s="537"/>
      <c r="TVS148" s="537"/>
      <c r="TVT148" s="537"/>
      <c r="TVU148" s="537"/>
      <c r="TVV148" s="537"/>
      <c r="TVW148" s="537"/>
      <c r="TVX148" s="537"/>
      <c r="TVY148" s="537"/>
      <c r="TVZ148" s="537"/>
      <c r="TWA148" s="537"/>
      <c r="TWB148" s="537"/>
      <c r="TWC148" s="537"/>
      <c r="TWD148" s="537"/>
      <c r="TWE148" s="537"/>
      <c r="TWF148" s="537"/>
      <c r="TWG148" s="537"/>
      <c r="TWH148" s="537"/>
      <c r="TWI148" s="537"/>
      <c r="TWJ148" s="537"/>
      <c r="TWK148" s="537"/>
      <c r="TWL148" s="537"/>
      <c r="TWM148" s="537"/>
      <c r="TWN148" s="537"/>
      <c r="TWO148" s="537"/>
      <c r="TWP148" s="537"/>
      <c r="TWQ148" s="537"/>
      <c r="TWR148" s="537"/>
      <c r="TWS148" s="537"/>
      <c r="TWT148" s="537"/>
      <c r="TWU148" s="537"/>
      <c r="TWV148" s="537"/>
      <c r="TWW148" s="537"/>
      <c r="TWX148" s="537"/>
      <c r="TWY148" s="537"/>
      <c r="TWZ148" s="537"/>
      <c r="TXA148" s="537"/>
      <c r="TXB148" s="537"/>
      <c r="TXC148" s="537"/>
      <c r="TXD148" s="537"/>
      <c r="TXE148" s="537"/>
      <c r="TXF148" s="537"/>
      <c r="TXG148" s="537"/>
      <c r="TXH148" s="537"/>
      <c r="TXI148" s="537"/>
      <c r="TXJ148" s="537"/>
      <c r="TXK148" s="537"/>
      <c r="TXL148" s="537"/>
      <c r="TXM148" s="537"/>
      <c r="TXN148" s="537"/>
      <c r="TXO148" s="537"/>
      <c r="TXP148" s="537"/>
      <c r="TXQ148" s="537"/>
      <c r="TXR148" s="537"/>
      <c r="TXS148" s="537"/>
      <c r="TXT148" s="537"/>
      <c r="TXU148" s="537"/>
      <c r="TXV148" s="537"/>
      <c r="TXW148" s="537"/>
      <c r="TXX148" s="537"/>
      <c r="TXY148" s="537"/>
      <c r="TXZ148" s="537"/>
      <c r="TYA148" s="537"/>
      <c r="TYB148" s="537"/>
      <c r="TYC148" s="537"/>
      <c r="TYD148" s="537"/>
      <c r="TYE148" s="537"/>
      <c r="TYF148" s="537"/>
      <c r="TYG148" s="537"/>
      <c r="TYH148" s="537"/>
      <c r="TYI148" s="537"/>
      <c r="TYJ148" s="537"/>
      <c r="TYK148" s="537"/>
      <c r="TYL148" s="537"/>
      <c r="TYM148" s="537"/>
      <c r="TYN148" s="537"/>
      <c r="TYO148" s="537"/>
      <c r="TYP148" s="537"/>
      <c r="TYQ148" s="537"/>
      <c r="TYR148" s="537"/>
      <c r="TYS148" s="537"/>
      <c r="TYT148" s="537"/>
      <c r="TYU148" s="537"/>
      <c r="TYV148" s="537"/>
      <c r="TYW148" s="537"/>
      <c r="TYX148" s="537"/>
      <c r="TYY148" s="537"/>
      <c r="TYZ148" s="537"/>
      <c r="TZA148" s="537"/>
      <c r="TZB148" s="537"/>
      <c r="TZC148" s="537"/>
      <c r="TZD148" s="537"/>
      <c r="TZE148" s="537"/>
      <c r="TZF148" s="537"/>
      <c r="TZG148" s="537"/>
      <c r="TZH148" s="537"/>
      <c r="TZI148" s="537"/>
      <c r="TZJ148" s="537"/>
      <c r="TZK148" s="537"/>
      <c r="TZL148" s="537"/>
      <c r="TZM148" s="537"/>
      <c r="TZN148" s="537"/>
      <c r="TZO148" s="537"/>
      <c r="TZP148" s="537"/>
      <c r="TZQ148" s="537"/>
      <c r="TZR148" s="537"/>
      <c r="TZS148" s="537"/>
      <c r="TZT148" s="537"/>
      <c r="TZU148" s="537"/>
      <c r="TZV148" s="537"/>
      <c r="TZW148" s="537"/>
      <c r="TZX148" s="537"/>
      <c r="TZY148" s="537"/>
      <c r="TZZ148" s="537"/>
      <c r="UAA148" s="537"/>
      <c r="UAB148" s="537"/>
      <c r="UAC148" s="537"/>
      <c r="UAD148" s="537"/>
      <c r="UAE148" s="537"/>
      <c r="UAF148" s="537"/>
      <c r="UAG148" s="537"/>
      <c r="UAH148" s="537"/>
      <c r="UAI148" s="537"/>
      <c r="UAJ148" s="537"/>
      <c r="UAK148" s="537"/>
      <c r="UAL148" s="537"/>
      <c r="UAM148" s="537"/>
      <c r="UAN148" s="537"/>
      <c r="UAO148" s="537"/>
      <c r="UAP148" s="537"/>
      <c r="UAQ148" s="537"/>
      <c r="UAR148" s="537"/>
      <c r="UAS148" s="537"/>
      <c r="UAT148" s="537"/>
      <c r="UAU148" s="537"/>
      <c r="UAV148" s="537"/>
      <c r="UAW148" s="537"/>
      <c r="UAX148" s="537"/>
      <c r="UAY148" s="537"/>
      <c r="UAZ148" s="537"/>
      <c r="UBA148" s="537"/>
      <c r="UBB148" s="537"/>
      <c r="UBC148" s="537"/>
      <c r="UBD148" s="537"/>
      <c r="UBE148" s="537"/>
      <c r="UBF148" s="537"/>
      <c r="UBG148" s="537"/>
      <c r="UBH148" s="537"/>
      <c r="UBI148" s="537"/>
      <c r="UBJ148" s="537"/>
      <c r="UBK148" s="537"/>
      <c r="UBL148" s="537"/>
      <c r="UBM148" s="537"/>
      <c r="UBN148" s="537"/>
      <c r="UBO148" s="537"/>
      <c r="UBP148" s="537"/>
      <c r="UBQ148" s="537"/>
      <c r="UBR148" s="537"/>
      <c r="UBS148" s="537"/>
      <c r="UBT148" s="537"/>
      <c r="UBU148" s="537"/>
      <c r="UBV148" s="537"/>
      <c r="UBW148" s="537"/>
      <c r="UBX148" s="537"/>
      <c r="UBY148" s="537"/>
      <c r="UBZ148" s="537"/>
      <c r="UCA148" s="537"/>
      <c r="UCB148" s="537"/>
      <c r="UCC148" s="537"/>
      <c r="UCD148" s="537"/>
      <c r="UCE148" s="537"/>
      <c r="UCF148" s="537"/>
      <c r="UCG148" s="537"/>
      <c r="UCH148" s="537"/>
      <c r="UCI148" s="537"/>
      <c r="UCJ148" s="537"/>
      <c r="UCK148" s="537"/>
      <c r="UCL148" s="537"/>
      <c r="UCM148" s="537"/>
      <c r="UCN148" s="537"/>
      <c r="UCO148" s="537"/>
      <c r="UCP148" s="537"/>
      <c r="UCQ148" s="537"/>
      <c r="UCR148" s="537"/>
      <c r="UCS148" s="537"/>
      <c r="UCT148" s="537"/>
      <c r="UCU148" s="537"/>
      <c r="UCV148" s="537"/>
      <c r="UCW148" s="537"/>
      <c r="UCX148" s="537"/>
      <c r="UCY148" s="537"/>
      <c r="UCZ148" s="537"/>
      <c r="UDA148" s="537"/>
      <c r="UDB148" s="537"/>
      <c r="UDC148" s="537"/>
      <c r="UDD148" s="537"/>
      <c r="UDE148" s="537"/>
      <c r="UDF148" s="537"/>
      <c r="UDG148" s="537"/>
      <c r="UDH148" s="537"/>
      <c r="UDI148" s="537"/>
      <c r="UDJ148" s="537"/>
      <c r="UDK148" s="537"/>
      <c r="UDL148" s="537"/>
      <c r="UDM148" s="537"/>
      <c r="UDN148" s="537"/>
      <c r="UDO148" s="537"/>
      <c r="UDP148" s="537"/>
      <c r="UDQ148" s="537"/>
      <c r="UDR148" s="537"/>
      <c r="UDS148" s="537"/>
      <c r="UDT148" s="537"/>
      <c r="UDU148" s="537"/>
      <c r="UDV148" s="537"/>
      <c r="UDW148" s="537"/>
      <c r="UDX148" s="537"/>
      <c r="UDY148" s="537"/>
      <c r="UDZ148" s="537"/>
      <c r="UEA148" s="537"/>
      <c r="UEB148" s="537"/>
      <c r="UEC148" s="537"/>
      <c r="UED148" s="537"/>
      <c r="UEE148" s="537"/>
      <c r="UEF148" s="537"/>
      <c r="UEG148" s="537"/>
      <c r="UEH148" s="537"/>
      <c r="UEI148" s="537"/>
      <c r="UEJ148" s="537"/>
      <c r="UEK148" s="537"/>
      <c r="UEL148" s="537"/>
      <c r="UEM148" s="537"/>
      <c r="UEN148" s="537"/>
      <c r="UEO148" s="537"/>
      <c r="UEP148" s="537"/>
      <c r="UEQ148" s="537"/>
      <c r="UER148" s="537"/>
      <c r="UES148" s="537"/>
      <c r="UET148" s="537"/>
      <c r="UEU148" s="537"/>
      <c r="UEV148" s="537"/>
      <c r="UEW148" s="537"/>
      <c r="UEX148" s="537"/>
      <c r="UEY148" s="537"/>
      <c r="UEZ148" s="537"/>
      <c r="UFA148" s="537"/>
      <c r="UFB148" s="537"/>
      <c r="UFC148" s="537"/>
      <c r="UFD148" s="537"/>
      <c r="UFE148" s="537"/>
      <c r="UFF148" s="537"/>
      <c r="UFG148" s="537"/>
      <c r="UFH148" s="537"/>
      <c r="UFI148" s="537"/>
      <c r="UFJ148" s="537"/>
      <c r="UFK148" s="537"/>
      <c r="UFL148" s="537"/>
      <c r="UFM148" s="537"/>
      <c r="UFN148" s="537"/>
      <c r="UFO148" s="537"/>
      <c r="UFP148" s="537"/>
      <c r="UFQ148" s="537"/>
      <c r="UFR148" s="537"/>
      <c r="UFS148" s="537"/>
      <c r="UFT148" s="537"/>
      <c r="UFU148" s="537"/>
      <c r="UFV148" s="537"/>
      <c r="UFW148" s="537"/>
      <c r="UFX148" s="537"/>
      <c r="UFY148" s="537"/>
      <c r="UFZ148" s="537"/>
      <c r="UGA148" s="537"/>
      <c r="UGB148" s="537"/>
      <c r="UGC148" s="537"/>
      <c r="UGD148" s="537"/>
      <c r="UGE148" s="537"/>
      <c r="UGF148" s="537"/>
      <c r="UGG148" s="537"/>
      <c r="UGH148" s="537"/>
      <c r="UGI148" s="537"/>
      <c r="UGJ148" s="537"/>
      <c r="UGK148" s="537"/>
      <c r="UGL148" s="537"/>
      <c r="UGM148" s="537"/>
      <c r="UGN148" s="537"/>
      <c r="UGO148" s="537"/>
      <c r="UGP148" s="537"/>
      <c r="UGQ148" s="537"/>
      <c r="UGR148" s="537"/>
      <c r="UGS148" s="537"/>
      <c r="UGT148" s="537"/>
      <c r="UGU148" s="537"/>
      <c r="UGV148" s="537"/>
      <c r="UGW148" s="537"/>
      <c r="UGX148" s="537"/>
      <c r="UGY148" s="537"/>
      <c r="UGZ148" s="537"/>
      <c r="UHA148" s="537"/>
      <c r="UHB148" s="537"/>
      <c r="UHC148" s="537"/>
      <c r="UHD148" s="537"/>
      <c r="UHE148" s="537"/>
      <c r="UHF148" s="537"/>
      <c r="UHG148" s="537"/>
      <c r="UHH148" s="537"/>
      <c r="UHI148" s="537"/>
      <c r="UHJ148" s="537"/>
      <c r="UHK148" s="537"/>
      <c r="UHL148" s="537"/>
      <c r="UHM148" s="537"/>
      <c r="UHN148" s="537"/>
      <c r="UHO148" s="537"/>
      <c r="UHP148" s="537"/>
      <c r="UHQ148" s="537"/>
      <c r="UHR148" s="537"/>
      <c r="UHS148" s="537"/>
      <c r="UHT148" s="537"/>
      <c r="UHU148" s="537"/>
      <c r="UHV148" s="537"/>
      <c r="UHW148" s="537"/>
      <c r="UHX148" s="537"/>
      <c r="UHY148" s="537"/>
      <c r="UHZ148" s="537"/>
      <c r="UIA148" s="537"/>
      <c r="UIB148" s="537"/>
      <c r="UIC148" s="537"/>
      <c r="UID148" s="537"/>
      <c r="UIE148" s="537"/>
      <c r="UIF148" s="537"/>
      <c r="UIG148" s="537"/>
      <c r="UIH148" s="537"/>
      <c r="UII148" s="537"/>
      <c r="UIJ148" s="537"/>
      <c r="UIK148" s="537"/>
      <c r="UIL148" s="537"/>
      <c r="UIM148" s="537"/>
      <c r="UIN148" s="537"/>
      <c r="UIO148" s="537"/>
      <c r="UIP148" s="537"/>
      <c r="UIQ148" s="537"/>
      <c r="UIR148" s="537"/>
      <c r="UIS148" s="537"/>
      <c r="UIT148" s="537"/>
      <c r="UIU148" s="537"/>
      <c r="UIV148" s="537"/>
      <c r="UIW148" s="537"/>
      <c r="UIX148" s="537"/>
      <c r="UIY148" s="537"/>
      <c r="UIZ148" s="537"/>
      <c r="UJA148" s="537"/>
      <c r="UJB148" s="537"/>
      <c r="UJC148" s="537"/>
      <c r="UJD148" s="537"/>
      <c r="UJE148" s="537"/>
      <c r="UJF148" s="537"/>
      <c r="UJG148" s="537"/>
      <c r="UJH148" s="537"/>
      <c r="UJI148" s="537"/>
      <c r="UJJ148" s="537"/>
      <c r="UJK148" s="537"/>
      <c r="UJL148" s="537"/>
      <c r="UJM148" s="537"/>
      <c r="UJN148" s="537"/>
      <c r="UJO148" s="537"/>
      <c r="UJP148" s="537"/>
      <c r="UJQ148" s="537"/>
      <c r="UJR148" s="537"/>
      <c r="UJS148" s="537"/>
      <c r="UJT148" s="537"/>
      <c r="UJU148" s="537"/>
      <c r="UJV148" s="537"/>
      <c r="UJW148" s="537"/>
      <c r="UJX148" s="537"/>
      <c r="UJY148" s="537"/>
      <c r="UJZ148" s="537"/>
      <c r="UKA148" s="537"/>
      <c r="UKB148" s="537"/>
      <c r="UKC148" s="537"/>
      <c r="UKD148" s="537"/>
      <c r="UKE148" s="537"/>
      <c r="UKF148" s="537"/>
      <c r="UKG148" s="537"/>
      <c r="UKH148" s="537"/>
      <c r="UKI148" s="537"/>
      <c r="UKJ148" s="537"/>
      <c r="UKK148" s="537"/>
      <c r="UKL148" s="537"/>
      <c r="UKM148" s="537"/>
      <c r="UKN148" s="537"/>
      <c r="UKO148" s="537"/>
      <c r="UKP148" s="537"/>
      <c r="UKQ148" s="537"/>
      <c r="UKR148" s="537"/>
      <c r="UKS148" s="537"/>
      <c r="UKT148" s="537"/>
      <c r="UKU148" s="537"/>
      <c r="UKV148" s="537"/>
      <c r="UKW148" s="537"/>
      <c r="UKX148" s="537"/>
      <c r="UKY148" s="537"/>
      <c r="UKZ148" s="537"/>
      <c r="ULA148" s="537"/>
      <c r="ULB148" s="537"/>
      <c r="ULC148" s="537"/>
      <c r="ULD148" s="537"/>
      <c r="ULE148" s="537"/>
      <c r="ULF148" s="537"/>
      <c r="ULG148" s="537"/>
      <c r="ULH148" s="537"/>
      <c r="ULI148" s="537"/>
      <c r="ULJ148" s="537"/>
      <c r="ULK148" s="537"/>
      <c r="ULL148" s="537"/>
      <c r="ULM148" s="537"/>
      <c r="ULN148" s="537"/>
      <c r="ULO148" s="537"/>
      <c r="ULP148" s="537"/>
      <c r="ULQ148" s="537"/>
      <c r="ULR148" s="537"/>
      <c r="ULS148" s="537"/>
      <c r="ULT148" s="537"/>
      <c r="ULU148" s="537"/>
      <c r="ULV148" s="537"/>
      <c r="ULW148" s="537"/>
      <c r="ULX148" s="537"/>
      <c r="ULY148" s="537"/>
      <c r="ULZ148" s="537"/>
      <c r="UMA148" s="537"/>
      <c r="UMB148" s="537"/>
      <c r="UMC148" s="537"/>
      <c r="UMD148" s="537"/>
      <c r="UME148" s="537"/>
      <c r="UMF148" s="537"/>
      <c r="UMG148" s="537"/>
      <c r="UMH148" s="537"/>
      <c r="UMI148" s="537"/>
      <c r="UMJ148" s="537"/>
      <c r="UMK148" s="537"/>
      <c r="UML148" s="537"/>
      <c r="UMM148" s="537"/>
      <c r="UMN148" s="537"/>
      <c r="UMO148" s="537"/>
      <c r="UMP148" s="537"/>
      <c r="UMQ148" s="537"/>
      <c r="UMR148" s="537"/>
      <c r="UMS148" s="537"/>
      <c r="UMT148" s="537"/>
      <c r="UMU148" s="537"/>
      <c r="UMV148" s="537"/>
      <c r="UMW148" s="537"/>
      <c r="UMX148" s="537"/>
      <c r="UMY148" s="537"/>
      <c r="UMZ148" s="537"/>
      <c r="UNA148" s="537"/>
      <c r="UNB148" s="537"/>
      <c r="UNC148" s="537"/>
      <c r="UND148" s="537"/>
      <c r="UNE148" s="537"/>
      <c r="UNF148" s="537"/>
      <c r="UNG148" s="537"/>
      <c r="UNH148" s="537"/>
      <c r="UNI148" s="537"/>
      <c r="UNJ148" s="537"/>
      <c r="UNK148" s="537"/>
      <c r="UNL148" s="537"/>
      <c r="UNM148" s="537"/>
      <c r="UNN148" s="537"/>
      <c r="UNO148" s="537"/>
      <c r="UNP148" s="537"/>
      <c r="UNQ148" s="537"/>
      <c r="UNR148" s="537"/>
      <c r="UNS148" s="537"/>
      <c r="UNT148" s="537"/>
      <c r="UNU148" s="537"/>
      <c r="UNV148" s="537"/>
      <c r="UNW148" s="537"/>
      <c r="UNX148" s="537"/>
      <c r="UNY148" s="537"/>
      <c r="UNZ148" s="537"/>
      <c r="UOA148" s="537"/>
      <c r="UOB148" s="537"/>
      <c r="UOC148" s="537"/>
      <c r="UOD148" s="537"/>
      <c r="UOE148" s="537"/>
      <c r="UOF148" s="537"/>
      <c r="UOG148" s="537"/>
      <c r="UOH148" s="537"/>
      <c r="UOI148" s="537"/>
      <c r="UOJ148" s="537"/>
      <c r="UOK148" s="537"/>
      <c r="UOL148" s="537"/>
      <c r="UOM148" s="537"/>
      <c r="UON148" s="537"/>
      <c r="UOO148" s="537"/>
      <c r="UOP148" s="537"/>
      <c r="UOQ148" s="537"/>
      <c r="UOR148" s="537"/>
      <c r="UOS148" s="537"/>
      <c r="UOT148" s="537"/>
      <c r="UOU148" s="537"/>
      <c r="UOV148" s="537"/>
      <c r="UOW148" s="537"/>
      <c r="UOX148" s="537"/>
      <c r="UOY148" s="537"/>
      <c r="UOZ148" s="537"/>
      <c r="UPA148" s="537"/>
      <c r="UPB148" s="537"/>
      <c r="UPC148" s="537"/>
      <c r="UPD148" s="537"/>
      <c r="UPE148" s="537"/>
      <c r="UPF148" s="537"/>
      <c r="UPG148" s="537"/>
      <c r="UPH148" s="537"/>
      <c r="UPI148" s="537"/>
      <c r="UPJ148" s="537"/>
      <c r="UPK148" s="537"/>
      <c r="UPL148" s="537"/>
      <c r="UPM148" s="537"/>
      <c r="UPN148" s="537"/>
      <c r="UPO148" s="537"/>
      <c r="UPP148" s="537"/>
      <c r="UPQ148" s="537"/>
      <c r="UPR148" s="537"/>
      <c r="UPS148" s="537"/>
      <c r="UPT148" s="537"/>
      <c r="UPU148" s="537"/>
      <c r="UPV148" s="537"/>
      <c r="UPW148" s="537"/>
      <c r="UPX148" s="537"/>
      <c r="UPY148" s="537"/>
      <c r="UPZ148" s="537"/>
      <c r="UQA148" s="537"/>
      <c r="UQB148" s="537"/>
      <c r="UQC148" s="537"/>
      <c r="UQD148" s="537"/>
      <c r="UQE148" s="537"/>
      <c r="UQF148" s="537"/>
      <c r="UQG148" s="537"/>
      <c r="UQH148" s="537"/>
      <c r="UQI148" s="537"/>
      <c r="UQJ148" s="537"/>
      <c r="UQK148" s="537"/>
      <c r="UQL148" s="537"/>
      <c r="UQM148" s="537"/>
      <c r="UQN148" s="537"/>
      <c r="UQO148" s="537"/>
      <c r="UQP148" s="537"/>
      <c r="UQQ148" s="537"/>
      <c r="UQR148" s="537"/>
      <c r="UQS148" s="537"/>
      <c r="UQT148" s="537"/>
      <c r="UQU148" s="537"/>
      <c r="UQV148" s="537"/>
      <c r="UQW148" s="537"/>
      <c r="UQX148" s="537"/>
      <c r="UQY148" s="537"/>
      <c r="UQZ148" s="537"/>
      <c r="URA148" s="537"/>
      <c r="URB148" s="537"/>
      <c r="URC148" s="537"/>
      <c r="URD148" s="537"/>
      <c r="URE148" s="537"/>
      <c r="URF148" s="537"/>
      <c r="URG148" s="537"/>
      <c r="URH148" s="537"/>
      <c r="URI148" s="537"/>
      <c r="URJ148" s="537"/>
      <c r="URK148" s="537"/>
      <c r="URL148" s="537"/>
      <c r="URM148" s="537"/>
      <c r="URN148" s="537"/>
      <c r="URO148" s="537"/>
      <c r="URP148" s="537"/>
      <c r="URQ148" s="537"/>
      <c r="URR148" s="537"/>
      <c r="URS148" s="537"/>
      <c r="URT148" s="537"/>
      <c r="URU148" s="537"/>
      <c r="URV148" s="537"/>
      <c r="URW148" s="537"/>
      <c r="URX148" s="537"/>
      <c r="URY148" s="537"/>
      <c r="URZ148" s="537"/>
      <c r="USA148" s="537"/>
      <c r="USB148" s="537"/>
      <c r="USC148" s="537"/>
      <c r="USD148" s="537"/>
      <c r="USE148" s="537"/>
      <c r="USF148" s="537"/>
      <c r="USG148" s="537"/>
      <c r="USH148" s="537"/>
      <c r="USI148" s="537"/>
      <c r="USJ148" s="537"/>
      <c r="USK148" s="537"/>
      <c r="USL148" s="537"/>
      <c r="USM148" s="537"/>
      <c r="USN148" s="537"/>
      <c r="USO148" s="537"/>
      <c r="USP148" s="537"/>
      <c r="USQ148" s="537"/>
      <c r="USR148" s="537"/>
      <c r="USS148" s="537"/>
      <c r="UST148" s="537"/>
      <c r="USU148" s="537"/>
      <c r="USV148" s="537"/>
      <c r="USW148" s="537"/>
      <c r="USX148" s="537"/>
      <c r="USY148" s="537"/>
      <c r="USZ148" s="537"/>
      <c r="UTA148" s="537"/>
      <c r="UTB148" s="537"/>
      <c r="UTC148" s="537"/>
      <c r="UTD148" s="537"/>
      <c r="UTE148" s="537"/>
      <c r="UTF148" s="537"/>
      <c r="UTG148" s="537"/>
      <c r="UTH148" s="537"/>
      <c r="UTI148" s="537"/>
      <c r="UTJ148" s="537"/>
      <c r="UTK148" s="537"/>
      <c r="UTL148" s="537"/>
      <c r="UTM148" s="537"/>
      <c r="UTN148" s="537"/>
      <c r="UTO148" s="537"/>
      <c r="UTP148" s="537"/>
      <c r="UTQ148" s="537"/>
      <c r="UTR148" s="537"/>
      <c r="UTS148" s="537"/>
      <c r="UTT148" s="537"/>
      <c r="UTU148" s="537"/>
      <c r="UTV148" s="537"/>
      <c r="UTW148" s="537"/>
      <c r="UTX148" s="537"/>
      <c r="UTY148" s="537"/>
      <c r="UTZ148" s="537"/>
      <c r="UUA148" s="537"/>
      <c r="UUB148" s="537"/>
      <c r="UUC148" s="537"/>
      <c r="UUD148" s="537"/>
      <c r="UUE148" s="537"/>
      <c r="UUF148" s="537"/>
      <c r="UUG148" s="537"/>
      <c r="UUH148" s="537"/>
      <c r="UUI148" s="537"/>
      <c r="UUJ148" s="537"/>
      <c r="UUK148" s="537"/>
      <c r="UUL148" s="537"/>
      <c r="UUM148" s="537"/>
      <c r="UUN148" s="537"/>
      <c r="UUO148" s="537"/>
      <c r="UUP148" s="537"/>
      <c r="UUQ148" s="537"/>
      <c r="UUR148" s="537"/>
      <c r="UUS148" s="537"/>
      <c r="UUT148" s="537"/>
      <c r="UUU148" s="537"/>
      <c r="UUV148" s="537"/>
      <c r="UUW148" s="537"/>
      <c r="UUX148" s="537"/>
      <c r="UUY148" s="537"/>
      <c r="UUZ148" s="537"/>
      <c r="UVA148" s="537"/>
      <c r="UVB148" s="537"/>
      <c r="UVC148" s="537"/>
      <c r="UVD148" s="537"/>
      <c r="UVE148" s="537"/>
      <c r="UVF148" s="537"/>
      <c r="UVG148" s="537"/>
      <c r="UVH148" s="537"/>
      <c r="UVI148" s="537"/>
      <c r="UVJ148" s="537"/>
      <c r="UVK148" s="537"/>
      <c r="UVL148" s="537"/>
      <c r="UVM148" s="537"/>
      <c r="UVN148" s="537"/>
      <c r="UVO148" s="537"/>
      <c r="UVP148" s="537"/>
      <c r="UVQ148" s="537"/>
      <c r="UVR148" s="537"/>
      <c r="UVS148" s="537"/>
      <c r="UVT148" s="537"/>
      <c r="UVU148" s="537"/>
      <c r="UVV148" s="537"/>
      <c r="UVW148" s="537"/>
      <c r="UVX148" s="537"/>
      <c r="UVY148" s="537"/>
      <c r="UVZ148" s="537"/>
      <c r="UWA148" s="537"/>
      <c r="UWB148" s="537"/>
      <c r="UWC148" s="537"/>
      <c r="UWD148" s="537"/>
      <c r="UWE148" s="537"/>
      <c r="UWF148" s="537"/>
      <c r="UWG148" s="537"/>
      <c r="UWH148" s="537"/>
      <c r="UWI148" s="537"/>
      <c r="UWJ148" s="537"/>
      <c r="UWK148" s="537"/>
      <c r="UWL148" s="537"/>
      <c r="UWM148" s="537"/>
      <c r="UWN148" s="537"/>
      <c r="UWO148" s="537"/>
      <c r="UWP148" s="537"/>
      <c r="UWQ148" s="537"/>
      <c r="UWR148" s="537"/>
      <c r="UWS148" s="537"/>
      <c r="UWT148" s="537"/>
      <c r="UWU148" s="537"/>
      <c r="UWV148" s="537"/>
      <c r="UWW148" s="537"/>
      <c r="UWX148" s="537"/>
      <c r="UWY148" s="537"/>
      <c r="UWZ148" s="537"/>
      <c r="UXA148" s="537"/>
      <c r="UXB148" s="537"/>
      <c r="UXC148" s="537"/>
      <c r="UXD148" s="537"/>
      <c r="UXE148" s="537"/>
      <c r="UXF148" s="537"/>
      <c r="UXG148" s="537"/>
      <c r="UXH148" s="537"/>
      <c r="UXI148" s="537"/>
      <c r="UXJ148" s="537"/>
      <c r="UXK148" s="537"/>
      <c r="UXL148" s="537"/>
      <c r="UXM148" s="537"/>
      <c r="UXN148" s="537"/>
      <c r="UXO148" s="537"/>
      <c r="UXP148" s="537"/>
      <c r="UXQ148" s="537"/>
      <c r="UXR148" s="537"/>
      <c r="UXS148" s="537"/>
      <c r="UXT148" s="537"/>
      <c r="UXU148" s="537"/>
      <c r="UXV148" s="537"/>
      <c r="UXW148" s="537"/>
      <c r="UXX148" s="537"/>
      <c r="UXY148" s="537"/>
      <c r="UXZ148" s="537"/>
      <c r="UYA148" s="537"/>
      <c r="UYB148" s="537"/>
      <c r="UYC148" s="537"/>
      <c r="UYD148" s="537"/>
      <c r="UYE148" s="537"/>
      <c r="UYF148" s="537"/>
      <c r="UYG148" s="537"/>
      <c r="UYH148" s="537"/>
      <c r="UYI148" s="537"/>
      <c r="UYJ148" s="537"/>
      <c r="UYK148" s="537"/>
      <c r="UYL148" s="537"/>
      <c r="UYM148" s="537"/>
      <c r="UYN148" s="537"/>
      <c r="UYO148" s="537"/>
      <c r="UYP148" s="537"/>
      <c r="UYQ148" s="537"/>
      <c r="UYR148" s="537"/>
      <c r="UYS148" s="537"/>
      <c r="UYT148" s="537"/>
      <c r="UYU148" s="537"/>
      <c r="UYV148" s="537"/>
      <c r="UYW148" s="537"/>
      <c r="UYX148" s="537"/>
      <c r="UYY148" s="537"/>
      <c r="UYZ148" s="537"/>
      <c r="UZA148" s="537"/>
      <c r="UZB148" s="537"/>
      <c r="UZC148" s="537"/>
      <c r="UZD148" s="537"/>
      <c r="UZE148" s="537"/>
      <c r="UZF148" s="537"/>
      <c r="UZG148" s="537"/>
      <c r="UZH148" s="537"/>
      <c r="UZI148" s="537"/>
      <c r="UZJ148" s="537"/>
      <c r="UZK148" s="537"/>
      <c r="UZL148" s="537"/>
      <c r="UZM148" s="537"/>
      <c r="UZN148" s="537"/>
      <c r="UZO148" s="537"/>
      <c r="UZP148" s="537"/>
      <c r="UZQ148" s="537"/>
      <c r="UZR148" s="537"/>
      <c r="UZS148" s="537"/>
      <c r="UZT148" s="537"/>
      <c r="UZU148" s="537"/>
      <c r="UZV148" s="537"/>
      <c r="UZW148" s="537"/>
      <c r="UZX148" s="537"/>
      <c r="UZY148" s="537"/>
      <c r="UZZ148" s="537"/>
      <c r="VAA148" s="537"/>
      <c r="VAB148" s="537"/>
      <c r="VAC148" s="537"/>
      <c r="VAD148" s="537"/>
      <c r="VAE148" s="537"/>
      <c r="VAF148" s="537"/>
      <c r="VAG148" s="537"/>
      <c r="VAH148" s="537"/>
      <c r="VAI148" s="537"/>
      <c r="VAJ148" s="537"/>
      <c r="VAK148" s="537"/>
      <c r="VAL148" s="537"/>
      <c r="VAM148" s="537"/>
      <c r="VAN148" s="537"/>
      <c r="VAO148" s="537"/>
      <c r="VAP148" s="537"/>
      <c r="VAQ148" s="537"/>
      <c r="VAR148" s="537"/>
      <c r="VAS148" s="537"/>
      <c r="VAT148" s="537"/>
      <c r="VAU148" s="537"/>
      <c r="VAV148" s="537"/>
      <c r="VAW148" s="537"/>
      <c r="VAX148" s="537"/>
      <c r="VAY148" s="537"/>
      <c r="VAZ148" s="537"/>
      <c r="VBA148" s="537"/>
      <c r="VBB148" s="537"/>
      <c r="VBC148" s="537"/>
      <c r="VBD148" s="537"/>
      <c r="VBE148" s="537"/>
      <c r="VBF148" s="537"/>
      <c r="VBG148" s="537"/>
      <c r="VBH148" s="537"/>
      <c r="VBI148" s="537"/>
      <c r="VBJ148" s="537"/>
      <c r="VBK148" s="537"/>
      <c r="VBL148" s="537"/>
      <c r="VBM148" s="537"/>
      <c r="VBN148" s="537"/>
      <c r="VBO148" s="537"/>
      <c r="VBP148" s="537"/>
      <c r="VBQ148" s="537"/>
      <c r="VBR148" s="537"/>
      <c r="VBS148" s="537"/>
      <c r="VBT148" s="537"/>
      <c r="VBU148" s="537"/>
      <c r="VBV148" s="537"/>
      <c r="VBW148" s="537"/>
      <c r="VBX148" s="537"/>
      <c r="VBY148" s="537"/>
      <c r="VBZ148" s="537"/>
      <c r="VCA148" s="537"/>
      <c r="VCB148" s="537"/>
      <c r="VCC148" s="537"/>
      <c r="VCD148" s="537"/>
      <c r="VCE148" s="537"/>
      <c r="VCF148" s="537"/>
      <c r="VCG148" s="537"/>
      <c r="VCH148" s="537"/>
      <c r="VCI148" s="537"/>
      <c r="VCJ148" s="537"/>
      <c r="VCK148" s="537"/>
      <c r="VCL148" s="537"/>
      <c r="VCM148" s="537"/>
      <c r="VCN148" s="537"/>
      <c r="VCO148" s="537"/>
      <c r="VCP148" s="537"/>
      <c r="VCQ148" s="537"/>
      <c r="VCR148" s="537"/>
      <c r="VCS148" s="537"/>
      <c r="VCT148" s="537"/>
      <c r="VCU148" s="537"/>
      <c r="VCV148" s="537"/>
      <c r="VCW148" s="537"/>
      <c r="VCX148" s="537"/>
      <c r="VCY148" s="537"/>
      <c r="VCZ148" s="537"/>
      <c r="VDA148" s="537"/>
      <c r="VDB148" s="537"/>
      <c r="VDC148" s="537"/>
      <c r="VDD148" s="537"/>
      <c r="VDE148" s="537"/>
      <c r="VDF148" s="537"/>
      <c r="VDG148" s="537"/>
      <c r="VDH148" s="537"/>
      <c r="VDI148" s="537"/>
      <c r="VDJ148" s="537"/>
      <c r="VDK148" s="537"/>
      <c r="VDL148" s="537"/>
      <c r="VDM148" s="537"/>
      <c r="VDN148" s="537"/>
      <c r="VDO148" s="537"/>
      <c r="VDP148" s="537"/>
      <c r="VDQ148" s="537"/>
      <c r="VDR148" s="537"/>
      <c r="VDS148" s="537"/>
      <c r="VDT148" s="537"/>
      <c r="VDU148" s="537"/>
      <c r="VDV148" s="537"/>
      <c r="VDW148" s="537"/>
      <c r="VDX148" s="537"/>
      <c r="VDY148" s="537"/>
      <c r="VDZ148" s="537"/>
      <c r="VEA148" s="537"/>
      <c r="VEB148" s="537"/>
      <c r="VEC148" s="537"/>
      <c r="VED148" s="537"/>
      <c r="VEE148" s="537"/>
      <c r="VEF148" s="537"/>
      <c r="VEG148" s="537"/>
      <c r="VEH148" s="537"/>
      <c r="VEI148" s="537"/>
      <c r="VEJ148" s="537"/>
      <c r="VEK148" s="537"/>
      <c r="VEL148" s="537"/>
      <c r="VEM148" s="537"/>
      <c r="VEN148" s="537"/>
      <c r="VEO148" s="537"/>
      <c r="VEP148" s="537"/>
      <c r="VEQ148" s="537"/>
      <c r="VER148" s="537"/>
      <c r="VES148" s="537"/>
      <c r="VET148" s="537"/>
      <c r="VEU148" s="537"/>
      <c r="VEV148" s="537"/>
      <c r="VEW148" s="537"/>
      <c r="VEX148" s="537"/>
      <c r="VEY148" s="537"/>
      <c r="VEZ148" s="537"/>
      <c r="VFA148" s="537"/>
      <c r="VFB148" s="537"/>
      <c r="VFC148" s="537"/>
      <c r="VFD148" s="537"/>
      <c r="VFE148" s="537"/>
      <c r="VFF148" s="537"/>
      <c r="VFG148" s="537"/>
      <c r="VFH148" s="537"/>
      <c r="VFI148" s="537"/>
      <c r="VFJ148" s="537"/>
      <c r="VFK148" s="537"/>
      <c r="VFL148" s="537"/>
      <c r="VFM148" s="537"/>
      <c r="VFN148" s="537"/>
      <c r="VFO148" s="537"/>
      <c r="VFP148" s="537"/>
      <c r="VFQ148" s="537"/>
      <c r="VFR148" s="537"/>
      <c r="VFS148" s="537"/>
      <c r="VFT148" s="537"/>
      <c r="VFU148" s="537"/>
      <c r="VFV148" s="537"/>
      <c r="VFW148" s="537"/>
      <c r="VFX148" s="537"/>
      <c r="VFY148" s="537"/>
      <c r="VFZ148" s="537"/>
      <c r="VGA148" s="537"/>
      <c r="VGB148" s="537"/>
      <c r="VGC148" s="537"/>
      <c r="VGD148" s="537"/>
      <c r="VGE148" s="537"/>
      <c r="VGF148" s="537"/>
      <c r="VGG148" s="537"/>
      <c r="VGH148" s="537"/>
      <c r="VGI148" s="537"/>
      <c r="VGJ148" s="537"/>
      <c r="VGK148" s="537"/>
      <c r="VGL148" s="537"/>
      <c r="VGM148" s="537"/>
      <c r="VGN148" s="537"/>
      <c r="VGO148" s="537"/>
      <c r="VGP148" s="537"/>
      <c r="VGQ148" s="537"/>
      <c r="VGR148" s="537"/>
      <c r="VGS148" s="537"/>
      <c r="VGT148" s="537"/>
      <c r="VGU148" s="537"/>
      <c r="VGV148" s="537"/>
      <c r="VGW148" s="537"/>
      <c r="VGX148" s="537"/>
      <c r="VGY148" s="537"/>
      <c r="VGZ148" s="537"/>
      <c r="VHA148" s="537"/>
      <c r="VHB148" s="537"/>
      <c r="VHC148" s="537"/>
      <c r="VHD148" s="537"/>
      <c r="VHE148" s="537"/>
      <c r="VHF148" s="537"/>
      <c r="VHG148" s="537"/>
      <c r="VHH148" s="537"/>
      <c r="VHI148" s="537"/>
      <c r="VHJ148" s="537"/>
      <c r="VHK148" s="537"/>
      <c r="VHL148" s="537"/>
      <c r="VHM148" s="537"/>
      <c r="VHN148" s="537"/>
      <c r="VHO148" s="537"/>
      <c r="VHP148" s="537"/>
      <c r="VHQ148" s="537"/>
      <c r="VHR148" s="537"/>
      <c r="VHS148" s="537"/>
      <c r="VHT148" s="537"/>
      <c r="VHU148" s="537"/>
      <c r="VHV148" s="537"/>
      <c r="VHW148" s="537"/>
      <c r="VHX148" s="537"/>
      <c r="VHY148" s="537"/>
      <c r="VHZ148" s="537"/>
      <c r="VIA148" s="537"/>
      <c r="VIB148" s="537"/>
      <c r="VIC148" s="537"/>
      <c r="VID148" s="537"/>
      <c r="VIE148" s="537"/>
      <c r="VIF148" s="537"/>
      <c r="VIG148" s="537"/>
      <c r="VIH148" s="537"/>
      <c r="VII148" s="537"/>
      <c r="VIJ148" s="537"/>
      <c r="VIK148" s="537"/>
      <c r="VIL148" s="537"/>
      <c r="VIM148" s="537"/>
      <c r="VIN148" s="537"/>
      <c r="VIO148" s="537"/>
      <c r="VIP148" s="537"/>
      <c r="VIQ148" s="537"/>
      <c r="VIR148" s="537"/>
      <c r="VIS148" s="537"/>
      <c r="VIT148" s="537"/>
      <c r="VIU148" s="537"/>
      <c r="VIV148" s="537"/>
      <c r="VIW148" s="537"/>
      <c r="VIX148" s="537"/>
      <c r="VIY148" s="537"/>
      <c r="VIZ148" s="537"/>
      <c r="VJA148" s="537"/>
      <c r="VJB148" s="537"/>
      <c r="VJC148" s="537"/>
      <c r="VJD148" s="537"/>
      <c r="VJE148" s="537"/>
      <c r="VJF148" s="537"/>
      <c r="VJG148" s="537"/>
      <c r="VJH148" s="537"/>
      <c r="VJI148" s="537"/>
      <c r="VJJ148" s="537"/>
      <c r="VJK148" s="537"/>
      <c r="VJL148" s="537"/>
      <c r="VJM148" s="537"/>
      <c r="VJN148" s="537"/>
      <c r="VJO148" s="537"/>
      <c r="VJP148" s="537"/>
      <c r="VJQ148" s="537"/>
      <c r="VJR148" s="537"/>
      <c r="VJS148" s="537"/>
      <c r="VJT148" s="537"/>
      <c r="VJU148" s="537"/>
      <c r="VJV148" s="537"/>
      <c r="VJW148" s="537"/>
      <c r="VJX148" s="537"/>
      <c r="VJY148" s="537"/>
      <c r="VJZ148" s="537"/>
      <c r="VKA148" s="537"/>
      <c r="VKB148" s="537"/>
      <c r="VKC148" s="537"/>
      <c r="VKD148" s="537"/>
      <c r="VKE148" s="537"/>
      <c r="VKF148" s="537"/>
      <c r="VKG148" s="537"/>
      <c r="VKH148" s="537"/>
      <c r="VKI148" s="537"/>
      <c r="VKJ148" s="537"/>
      <c r="VKK148" s="537"/>
      <c r="VKL148" s="537"/>
      <c r="VKM148" s="537"/>
      <c r="VKN148" s="537"/>
      <c r="VKO148" s="537"/>
      <c r="VKP148" s="537"/>
      <c r="VKQ148" s="537"/>
      <c r="VKR148" s="537"/>
      <c r="VKS148" s="537"/>
      <c r="VKT148" s="537"/>
      <c r="VKU148" s="537"/>
      <c r="VKV148" s="537"/>
      <c r="VKW148" s="537"/>
      <c r="VKX148" s="537"/>
      <c r="VKY148" s="537"/>
      <c r="VKZ148" s="537"/>
      <c r="VLA148" s="537"/>
      <c r="VLB148" s="537"/>
      <c r="VLC148" s="537"/>
      <c r="VLD148" s="537"/>
      <c r="VLE148" s="537"/>
      <c r="VLF148" s="537"/>
      <c r="VLG148" s="537"/>
      <c r="VLH148" s="537"/>
      <c r="VLI148" s="537"/>
      <c r="VLJ148" s="537"/>
      <c r="VLK148" s="537"/>
      <c r="VLL148" s="537"/>
      <c r="VLM148" s="537"/>
      <c r="VLN148" s="537"/>
      <c r="VLO148" s="537"/>
      <c r="VLP148" s="537"/>
      <c r="VLQ148" s="537"/>
      <c r="VLR148" s="537"/>
      <c r="VLS148" s="537"/>
      <c r="VLT148" s="537"/>
      <c r="VLU148" s="537"/>
      <c r="VLV148" s="537"/>
      <c r="VLW148" s="537"/>
      <c r="VLX148" s="537"/>
      <c r="VLY148" s="537"/>
      <c r="VLZ148" s="537"/>
      <c r="VMA148" s="537"/>
      <c r="VMB148" s="537"/>
      <c r="VMC148" s="537"/>
      <c r="VMD148" s="537"/>
      <c r="VME148" s="537"/>
      <c r="VMF148" s="537"/>
      <c r="VMG148" s="537"/>
      <c r="VMH148" s="537"/>
      <c r="VMI148" s="537"/>
      <c r="VMJ148" s="537"/>
      <c r="VMK148" s="537"/>
      <c r="VML148" s="537"/>
      <c r="VMM148" s="537"/>
      <c r="VMN148" s="537"/>
      <c r="VMO148" s="537"/>
      <c r="VMP148" s="537"/>
      <c r="VMQ148" s="537"/>
      <c r="VMR148" s="537"/>
      <c r="VMS148" s="537"/>
      <c r="VMT148" s="537"/>
      <c r="VMU148" s="537"/>
      <c r="VMV148" s="537"/>
      <c r="VMW148" s="537"/>
      <c r="VMX148" s="537"/>
      <c r="VMY148" s="537"/>
      <c r="VMZ148" s="537"/>
      <c r="VNA148" s="537"/>
      <c r="VNB148" s="537"/>
      <c r="VNC148" s="537"/>
      <c r="VND148" s="537"/>
      <c r="VNE148" s="537"/>
      <c r="VNF148" s="537"/>
      <c r="VNG148" s="537"/>
      <c r="VNH148" s="537"/>
      <c r="VNI148" s="537"/>
      <c r="VNJ148" s="537"/>
      <c r="VNK148" s="537"/>
      <c r="VNL148" s="537"/>
      <c r="VNM148" s="537"/>
      <c r="VNN148" s="537"/>
      <c r="VNO148" s="537"/>
      <c r="VNP148" s="537"/>
      <c r="VNQ148" s="537"/>
      <c r="VNR148" s="537"/>
      <c r="VNS148" s="537"/>
      <c r="VNT148" s="537"/>
      <c r="VNU148" s="537"/>
      <c r="VNV148" s="537"/>
      <c r="VNW148" s="537"/>
      <c r="VNX148" s="537"/>
      <c r="VNY148" s="537"/>
      <c r="VNZ148" s="537"/>
      <c r="VOA148" s="537"/>
      <c r="VOB148" s="537"/>
      <c r="VOC148" s="537"/>
      <c r="VOD148" s="537"/>
      <c r="VOE148" s="537"/>
      <c r="VOF148" s="537"/>
      <c r="VOG148" s="537"/>
      <c r="VOH148" s="537"/>
      <c r="VOI148" s="537"/>
      <c r="VOJ148" s="537"/>
      <c r="VOK148" s="537"/>
      <c r="VOL148" s="537"/>
      <c r="VOM148" s="537"/>
      <c r="VON148" s="537"/>
      <c r="VOO148" s="537"/>
      <c r="VOP148" s="537"/>
      <c r="VOQ148" s="537"/>
      <c r="VOR148" s="537"/>
      <c r="VOS148" s="537"/>
      <c r="VOT148" s="537"/>
      <c r="VOU148" s="537"/>
      <c r="VOV148" s="537"/>
      <c r="VOW148" s="537"/>
      <c r="VOX148" s="537"/>
      <c r="VOY148" s="537"/>
      <c r="VOZ148" s="537"/>
      <c r="VPA148" s="537"/>
      <c r="VPB148" s="537"/>
      <c r="VPC148" s="537"/>
      <c r="VPD148" s="537"/>
      <c r="VPE148" s="537"/>
      <c r="VPF148" s="537"/>
      <c r="VPG148" s="537"/>
      <c r="VPH148" s="537"/>
      <c r="VPI148" s="537"/>
      <c r="VPJ148" s="537"/>
      <c r="VPK148" s="537"/>
      <c r="VPL148" s="537"/>
      <c r="VPM148" s="537"/>
      <c r="VPN148" s="537"/>
      <c r="VPO148" s="537"/>
      <c r="VPP148" s="537"/>
      <c r="VPQ148" s="537"/>
      <c r="VPR148" s="537"/>
      <c r="VPS148" s="537"/>
      <c r="VPT148" s="537"/>
      <c r="VPU148" s="537"/>
      <c r="VPV148" s="537"/>
      <c r="VPW148" s="537"/>
      <c r="VPX148" s="537"/>
      <c r="VPY148" s="537"/>
      <c r="VPZ148" s="537"/>
      <c r="VQA148" s="537"/>
      <c r="VQB148" s="537"/>
      <c r="VQC148" s="537"/>
      <c r="VQD148" s="537"/>
      <c r="VQE148" s="537"/>
      <c r="VQF148" s="537"/>
      <c r="VQG148" s="537"/>
      <c r="VQH148" s="537"/>
      <c r="VQI148" s="537"/>
      <c r="VQJ148" s="537"/>
      <c r="VQK148" s="537"/>
      <c r="VQL148" s="537"/>
      <c r="VQM148" s="537"/>
      <c r="VQN148" s="537"/>
      <c r="VQO148" s="537"/>
      <c r="VQP148" s="537"/>
      <c r="VQQ148" s="537"/>
      <c r="VQR148" s="537"/>
      <c r="VQS148" s="537"/>
      <c r="VQT148" s="537"/>
      <c r="VQU148" s="537"/>
      <c r="VQV148" s="537"/>
      <c r="VQW148" s="537"/>
      <c r="VQX148" s="537"/>
      <c r="VQY148" s="537"/>
      <c r="VQZ148" s="537"/>
      <c r="VRA148" s="537"/>
      <c r="VRB148" s="537"/>
      <c r="VRC148" s="537"/>
      <c r="VRD148" s="537"/>
      <c r="VRE148" s="537"/>
      <c r="VRF148" s="537"/>
      <c r="VRG148" s="537"/>
      <c r="VRH148" s="537"/>
      <c r="VRI148" s="537"/>
      <c r="VRJ148" s="537"/>
      <c r="VRK148" s="537"/>
      <c r="VRL148" s="537"/>
      <c r="VRM148" s="537"/>
      <c r="VRN148" s="537"/>
      <c r="VRO148" s="537"/>
      <c r="VRP148" s="537"/>
      <c r="VRQ148" s="537"/>
      <c r="VRR148" s="537"/>
      <c r="VRS148" s="537"/>
      <c r="VRT148" s="537"/>
      <c r="VRU148" s="537"/>
      <c r="VRV148" s="537"/>
      <c r="VRW148" s="537"/>
      <c r="VRX148" s="537"/>
      <c r="VRY148" s="537"/>
      <c r="VRZ148" s="537"/>
      <c r="VSA148" s="537"/>
      <c r="VSB148" s="537"/>
      <c r="VSC148" s="537"/>
      <c r="VSD148" s="537"/>
      <c r="VSE148" s="537"/>
      <c r="VSF148" s="537"/>
      <c r="VSG148" s="537"/>
      <c r="VSH148" s="537"/>
      <c r="VSI148" s="537"/>
      <c r="VSJ148" s="537"/>
      <c r="VSK148" s="537"/>
      <c r="VSL148" s="537"/>
      <c r="VSM148" s="537"/>
      <c r="VSN148" s="537"/>
      <c r="VSO148" s="537"/>
      <c r="VSP148" s="537"/>
      <c r="VSQ148" s="537"/>
      <c r="VSR148" s="537"/>
      <c r="VSS148" s="537"/>
      <c r="VST148" s="537"/>
      <c r="VSU148" s="537"/>
      <c r="VSV148" s="537"/>
      <c r="VSW148" s="537"/>
      <c r="VSX148" s="537"/>
      <c r="VSY148" s="537"/>
      <c r="VSZ148" s="537"/>
      <c r="VTA148" s="537"/>
      <c r="VTB148" s="537"/>
      <c r="VTC148" s="537"/>
      <c r="VTD148" s="537"/>
      <c r="VTE148" s="537"/>
      <c r="VTF148" s="537"/>
      <c r="VTG148" s="537"/>
      <c r="VTH148" s="537"/>
      <c r="VTI148" s="537"/>
      <c r="VTJ148" s="537"/>
      <c r="VTK148" s="537"/>
      <c r="VTL148" s="537"/>
      <c r="VTM148" s="537"/>
      <c r="VTN148" s="537"/>
      <c r="VTO148" s="537"/>
      <c r="VTP148" s="537"/>
      <c r="VTQ148" s="537"/>
      <c r="VTR148" s="537"/>
      <c r="VTS148" s="537"/>
      <c r="VTT148" s="537"/>
      <c r="VTU148" s="537"/>
      <c r="VTV148" s="537"/>
      <c r="VTW148" s="537"/>
      <c r="VTX148" s="537"/>
      <c r="VTY148" s="537"/>
      <c r="VTZ148" s="537"/>
      <c r="VUA148" s="537"/>
      <c r="VUB148" s="537"/>
      <c r="VUC148" s="537"/>
      <c r="VUD148" s="537"/>
      <c r="VUE148" s="537"/>
      <c r="VUF148" s="537"/>
      <c r="VUG148" s="537"/>
      <c r="VUH148" s="537"/>
      <c r="VUI148" s="537"/>
      <c r="VUJ148" s="537"/>
      <c r="VUK148" s="537"/>
      <c r="VUL148" s="537"/>
      <c r="VUM148" s="537"/>
      <c r="VUN148" s="537"/>
      <c r="VUO148" s="537"/>
      <c r="VUP148" s="537"/>
      <c r="VUQ148" s="537"/>
      <c r="VUR148" s="537"/>
      <c r="VUS148" s="537"/>
      <c r="VUT148" s="537"/>
      <c r="VUU148" s="537"/>
      <c r="VUV148" s="537"/>
      <c r="VUW148" s="537"/>
      <c r="VUX148" s="537"/>
      <c r="VUY148" s="537"/>
      <c r="VUZ148" s="537"/>
      <c r="VVA148" s="537"/>
      <c r="VVB148" s="537"/>
      <c r="VVC148" s="537"/>
      <c r="VVD148" s="537"/>
      <c r="VVE148" s="537"/>
      <c r="VVF148" s="537"/>
      <c r="VVG148" s="537"/>
      <c r="VVH148" s="537"/>
      <c r="VVI148" s="537"/>
      <c r="VVJ148" s="537"/>
      <c r="VVK148" s="537"/>
      <c r="VVL148" s="537"/>
      <c r="VVM148" s="537"/>
      <c r="VVN148" s="537"/>
      <c r="VVO148" s="537"/>
      <c r="VVP148" s="537"/>
      <c r="VVQ148" s="537"/>
      <c r="VVR148" s="537"/>
      <c r="VVS148" s="537"/>
      <c r="VVT148" s="537"/>
      <c r="VVU148" s="537"/>
      <c r="VVV148" s="537"/>
      <c r="VVW148" s="537"/>
      <c r="VVX148" s="537"/>
      <c r="VVY148" s="537"/>
      <c r="VVZ148" s="537"/>
      <c r="VWA148" s="537"/>
      <c r="VWB148" s="537"/>
      <c r="VWC148" s="537"/>
      <c r="VWD148" s="537"/>
      <c r="VWE148" s="537"/>
      <c r="VWF148" s="537"/>
      <c r="VWG148" s="537"/>
      <c r="VWH148" s="537"/>
      <c r="VWI148" s="537"/>
      <c r="VWJ148" s="537"/>
      <c r="VWK148" s="537"/>
      <c r="VWL148" s="537"/>
      <c r="VWM148" s="537"/>
      <c r="VWN148" s="537"/>
      <c r="VWO148" s="537"/>
      <c r="VWP148" s="537"/>
      <c r="VWQ148" s="537"/>
      <c r="VWR148" s="537"/>
      <c r="VWS148" s="537"/>
      <c r="VWT148" s="537"/>
      <c r="VWU148" s="537"/>
      <c r="VWV148" s="537"/>
      <c r="VWW148" s="537"/>
      <c r="VWX148" s="537"/>
      <c r="VWY148" s="537"/>
      <c r="VWZ148" s="537"/>
      <c r="VXA148" s="537"/>
      <c r="VXB148" s="537"/>
      <c r="VXC148" s="537"/>
      <c r="VXD148" s="537"/>
      <c r="VXE148" s="537"/>
      <c r="VXF148" s="537"/>
      <c r="VXG148" s="537"/>
      <c r="VXH148" s="537"/>
      <c r="VXI148" s="537"/>
      <c r="VXJ148" s="537"/>
      <c r="VXK148" s="537"/>
      <c r="VXL148" s="537"/>
      <c r="VXM148" s="537"/>
      <c r="VXN148" s="537"/>
      <c r="VXO148" s="537"/>
      <c r="VXP148" s="537"/>
      <c r="VXQ148" s="537"/>
      <c r="VXR148" s="537"/>
      <c r="VXS148" s="537"/>
      <c r="VXT148" s="537"/>
      <c r="VXU148" s="537"/>
      <c r="VXV148" s="537"/>
      <c r="VXW148" s="537"/>
      <c r="VXX148" s="537"/>
      <c r="VXY148" s="537"/>
      <c r="VXZ148" s="537"/>
      <c r="VYA148" s="537"/>
      <c r="VYB148" s="537"/>
      <c r="VYC148" s="537"/>
      <c r="VYD148" s="537"/>
      <c r="VYE148" s="537"/>
      <c r="VYF148" s="537"/>
      <c r="VYG148" s="537"/>
      <c r="VYH148" s="537"/>
      <c r="VYI148" s="537"/>
      <c r="VYJ148" s="537"/>
      <c r="VYK148" s="537"/>
      <c r="VYL148" s="537"/>
      <c r="VYM148" s="537"/>
      <c r="VYN148" s="537"/>
      <c r="VYO148" s="537"/>
      <c r="VYP148" s="537"/>
      <c r="VYQ148" s="537"/>
      <c r="VYR148" s="537"/>
      <c r="VYS148" s="537"/>
      <c r="VYT148" s="537"/>
      <c r="VYU148" s="537"/>
      <c r="VYV148" s="537"/>
      <c r="VYW148" s="537"/>
      <c r="VYX148" s="537"/>
      <c r="VYY148" s="537"/>
      <c r="VYZ148" s="537"/>
      <c r="VZA148" s="537"/>
      <c r="VZB148" s="537"/>
      <c r="VZC148" s="537"/>
      <c r="VZD148" s="537"/>
      <c r="VZE148" s="537"/>
      <c r="VZF148" s="537"/>
      <c r="VZG148" s="537"/>
      <c r="VZH148" s="537"/>
      <c r="VZI148" s="537"/>
      <c r="VZJ148" s="537"/>
      <c r="VZK148" s="537"/>
      <c r="VZL148" s="537"/>
      <c r="VZM148" s="537"/>
      <c r="VZN148" s="537"/>
      <c r="VZO148" s="537"/>
      <c r="VZP148" s="537"/>
      <c r="VZQ148" s="537"/>
      <c r="VZR148" s="537"/>
      <c r="VZS148" s="537"/>
      <c r="VZT148" s="537"/>
      <c r="VZU148" s="537"/>
      <c r="VZV148" s="537"/>
      <c r="VZW148" s="537"/>
      <c r="VZX148" s="537"/>
      <c r="VZY148" s="537"/>
      <c r="VZZ148" s="537"/>
      <c r="WAA148" s="537"/>
      <c r="WAB148" s="537"/>
      <c r="WAC148" s="537"/>
      <c r="WAD148" s="537"/>
      <c r="WAE148" s="537"/>
      <c r="WAF148" s="537"/>
      <c r="WAG148" s="537"/>
      <c r="WAH148" s="537"/>
      <c r="WAI148" s="537"/>
      <c r="WAJ148" s="537"/>
      <c r="WAK148" s="537"/>
      <c r="WAL148" s="537"/>
      <c r="WAM148" s="537"/>
      <c r="WAN148" s="537"/>
      <c r="WAO148" s="537"/>
      <c r="WAP148" s="537"/>
      <c r="WAQ148" s="537"/>
      <c r="WAR148" s="537"/>
      <c r="WAS148" s="537"/>
      <c r="WAT148" s="537"/>
      <c r="WAU148" s="537"/>
      <c r="WAV148" s="537"/>
      <c r="WAW148" s="537"/>
      <c r="WAX148" s="537"/>
      <c r="WAY148" s="537"/>
      <c r="WAZ148" s="537"/>
      <c r="WBA148" s="537"/>
      <c r="WBB148" s="537"/>
      <c r="WBC148" s="537"/>
      <c r="WBD148" s="537"/>
      <c r="WBE148" s="537"/>
      <c r="WBF148" s="537"/>
      <c r="WBG148" s="537"/>
      <c r="WBH148" s="537"/>
      <c r="WBI148" s="537"/>
      <c r="WBJ148" s="537"/>
      <c r="WBK148" s="537"/>
      <c r="WBL148" s="537"/>
      <c r="WBM148" s="537"/>
      <c r="WBN148" s="537"/>
      <c r="WBO148" s="537"/>
      <c r="WBP148" s="537"/>
      <c r="WBQ148" s="537"/>
      <c r="WBR148" s="537"/>
      <c r="WBS148" s="537"/>
      <c r="WBT148" s="537"/>
      <c r="WBU148" s="537"/>
      <c r="WBV148" s="537"/>
      <c r="WBW148" s="537"/>
      <c r="WBX148" s="537"/>
      <c r="WBY148" s="537"/>
      <c r="WBZ148" s="537"/>
      <c r="WCA148" s="537"/>
      <c r="WCB148" s="537"/>
      <c r="WCC148" s="537"/>
      <c r="WCD148" s="537"/>
      <c r="WCE148" s="537"/>
      <c r="WCF148" s="537"/>
      <c r="WCG148" s="537"/>
      <c r="WCH148" s="537"/>
      <c r="WCI148" s="537"/>
      <c r="WCJ148" s="537"/>
      <c r="WCK148" s="537"/>
      <c r="WCL148" s="537"/>
      <c r="WCM148" s="537"/>
      <c r="WCN148" s="537"/>
      <c r="WCO148" s="537"/>
      <c r="WCP148" s="537"/>
      <c r="WCQ148" s="537"/>
      <c r="WCR148" s="537"/>
      <c r="WCS148" s="537"/>
      <c r="WCT148" s="537"/>
      <c r="WCU148" s="537"/>
      <c r="WCV148" s="537"/>
      <c r="WCW148" s="537"/>
      <c r="WCX148" s="537"/>
      <c r="WCY148" s="537"/>
      <c r="WCZ148" s="537"/>
      <c r="WDA148" s="537"/>
      <c r="WDB148" s="537"/>
      <c r="WDC148" s="537"/>
      <c r="WDD148" s="537"/>
      <c r="WDE148" s="537"/>
      <c r="WDF148" s="537"/>
      <c r="WDG148" s="537"/>
      <c r="WDH148" s="537"/>
      <c r="WDI148" s="537"/>
      <c r="WDJ148" s="537"/>
      <c r="WDK148" s="537"/>
      <c r="WDL148" s="537"/>
      <c r="WDM148" s="537"/>
      <c r="WDN148" s="537"/>
      <c r="WDO148" s="537"/>
      <c r="WDP148" s="537"/>
      <c r="WDQ148" s="537"/>
      <c r="WDR148" s="537"/>
      <c r="WDS148" s="537"/>
      <c r="WDT148" s="537"/>
      <c r="WDU148" s="537"/>
      <c r="WDV148" s="537"/>
      <c r="WDW148" s="537"/>
      <c r="WDX148" s="537"/>
      <c r="WDY148" s="537"/>
      <c r="WDZ148" s="537"/>
      <c r="WEA148" s="537"/>
      <c r="WEB148" s="537"/>
      <c r="WEC148" s="537"/>
      <c r="WED148" s="537"/>
      <c r="WEE148" s="537"/>
      <c r="WEF148" s="537"/>
      <c r="WEG148" s="537"/>
      <c r="WEH148" s="537"/>
      <c r="WEI148" s="537"/>
      <c r="WEJ148" s="537"/>
      <c r="WEK148" s="537"/>
      <c r="WEL148" s="537"/>
      <c r="WEM148" s="537"/>
      <c r="WEN148" s="537"/>
      <c r="WEO148" s="537"/>
      <c r="WEP148" s="537"/>
      <c r="WEQ148" s="537"/>
      <c r="WER148" s="537"/>
      <c r="WES148" s="537"/>
      <c r="WET148" s="537"/>
      <c r="WEU148" s="537"/>
      <c r="WEV148" s="537"/>
      <c r="WEW148" s="537"/>
      <c r="WEX148" s="537"/>
      <c r="WEY148" s="537"/>
      <c r="WEZ148" s="537"/>
      <c r="WFA148" s="537"/>
      <c r="WFB148" s="537"/>
      <c r="WFC148" s="537"/>
      <c r="WFD148" s="537"/>
      <c r="WFE148" s="537"/>
      <c r="WFF148" s="537"/>
      <c r="WFG148" s="537"/>
      <c r="WFH148" s="537"/>
      <c r="WFI148" s="537"/>
      <c r="WFJ148" s="537"/>
      <c r="WFK148" s="537"/>
      <c r="WFL148" s="537"/>
      <c r="WFM148" s="537"/>
      <c r="WFN148" s="537"/>
      <c r="WFO148" s="537"/>
      <c r="WFP148" s="537"/>
      <c r="WFQ148" s="537"/>
      <c r="WFR148" s="537"/>
      <c r="WFS148" s="537"/>
      <c r="WFT148" s="537"/>
      <c r="WFU148" s="537"/>
      <c r="WFV148" s="537"/>
      <c r="WFW148" s="537"/>
      <c r="WFX148" s="537"/>
      <c r="WFY148" s="537"/>
      <c r="WFZ148" s="537"/>
      <c r="WGA148" s="537"/>
      <c r="WGB148" s="537"/>
      <c r="WGC148" s="537"/>
      <c r="WGD148" s="537"/>
      <c r="WGE148" s="537"/>
      <c r="WGF148" s="537"/>
      <c r="WGG148" s="537"/>
      <c r="WGH148" s="537"/>
      <c r="WGI148" s="537"/>
      <c r="WGJ148" s="537"/>
      <c r="WGK148" s="537"/>
      <c r="WGL148" s="537"/>
      <c r="WGM148" s="537"/>
      <c r="WGN148" s="537"/>
      <c r="WGO148" s="537"/>
      <c r="WGP148" s="537"/>
      <c r="WGQ148" s="537"/>
      <c r="WGR148" s="537"/>
      <c r="WGS148" s="537"/>
      <c r="WGT148" s="537"/>
      <c r="WGU148" s="537"/>
      <c r="WGV148" s="537"/>
      <c r="WGW148" s="537"/>
      <c r="WGX148" s="537"/>
      <c r="WGY148" s="537"/>
      <c r="WGZ148" s="537"/>
      <c r="WHA148" s="537"/>
      <c r="WHB148" s="537"/>
      <c r="WHC148" s="537"/>
      <c r="WHD148" s="537"/>
      <c r="WHE148" s="537"/>
      <c r="WHF148" s="537"/>
      <c r="WHG148" s="537"/>
      <c r="WHH148" s="537"/>
      <c r="WHI148" s="537"/>
      <c r="WHJ148" s="537"/>
      <c r="WHK148" s="537"/>
      <c r="WHL148" s="537"/>
      <c r="WHM148" s="537"/>
      <c r="WHN148" s="537"/>
      <c r="WHO148" s="537"/>
      <c r="WHP148" s="537"/>
      <c r="WHQ148" s="537"/>
      <c r="WHR148" s="537"/>
      <c r="WHS148" s="537"/>
      <c r="WHT148" s="537"/>
      <c r="WHU148" s="537"/>
      <c r="WHV148" s="537"/>
      <c r="WHW148" s="537"/>
      <c r="WHX148" s="537"/>
      <c r="WHY148" s="537"/>
      <c r="WHZ148" s="537"/>
      <c r="WIA148" s="537"/>
      <c r="WIB148" s="537"/>
      <c r="WIC148" s="537"/>
      <c r="WID148" s="537"/>
      <c r="WIE148" s="537"/>
      <c r="WIF148" s="537"/>
      <c r="WIG148" s="537"/>
      <c r="WIH148" s="537"/>
      <c r="WII148" s="537"/>
      <c r="WIJ148" s="537"/>
      <c r="WIK148" s="537"/>
      <c r="WIL148" s="537"/>
      <c r="WIM148" s="537"/>
      <c r="WIN148" s="537"/>
      <c r="WIO148" s="537"/>
      <c r="WIP148" s="537"/>
      <c r="WIQ148" s="537"/>
      <c r="WIR148" s="537"/>
      <c r="WIS148" s="537"/>
      <c r="WIT148" s="537"/>
      <c r="WIU148" s="537"/>
      <c r="WIV148" s="537"/>
      <c r="WIW148" s="537"/>
      <c r="WIX148" s="537"/>
      <c r="WIY148" s="537"/>
      <c r="WIZ148" s="537"/>
      <c r="WJA148" s="537"/>
      <c r="WJB148" s="537"/>
      <c r="WJC148" s="537"/>
      <c r="WJD148" s="537"/>
      <c r="WJE148" s="537"/>
      <c r="WJF148" s="537"/>
      <c r="WJG148" s="537"/>
      <c r="WJH148" s="537"/>
      <c r="WJI148" s="537"/>
      <c r="WJJ148" s="537"/>
      <c r="WJK148" s="537"/>
      <c r="WJL148" s="537"/>
      <c r="WJM148" s="537"/>
      <c r="WJN148" s="537"/>
      <c r="WJO148" s="537"/>
      <c r="WJP148" s="537"/>
      <c r="WJQ148" s="537"/>
      <c r="WJR148" s="537"/>
      <c r="WJS148" s="537"/>
      <c r="WJT148" s="537"/>
      <c r="WJU148" s="537"/>
      <c r="WJV148" s="537"/>
      <c r="WJW148" s="537"/>
      <c r="WJX148" s="537"/>
      <c r="WJY148" s="537"/>
      <c r="WJZ148" s="537"/>
      <c r="WKA148" s="537"/>
      <c r="WKB148" s="537"/>
      <c r="WKC148" s="537"/>
      <c r="WKD148" s="537"/>
      <c r="WKE148" s="537"/>
      <c r="WKF148" s="537"/>
      <c r="WKG148" s="537"/>
      <c r="WKH148" s="537"/>
      <c r="WKI148" s="537"/>
      <c r="WKJ148" s="537"/>
      <c r="WKK148" s="537"/>
      <c r="WKL148" s="537"/>
      <c r="WKM148" s="537"/>
      <c r="WKN148" s="537"/>
      <c r="WKO148" s="537"/>
      <c r="WKP148" s="537"/>
      <c r="WKQ148" s="537"/>
      <c r="WKR148" s="537"/>
      <c r="WKS148" s="537"/>
      <c r="WKT148" s="537"/>
      <c r="WKU148" s="537"/>
      <c r="WKV148" s="537"/>
      <c r="WKW148" s="537"/>
      <c r="WKX148" s="537"/>
      <c r="WKY148" s="537"/>
      <c r="WKZ148" s="537"/>
      <c r="WLA148" s="537"/>
      <c r="WLB148" s="537"/>
      <c r="WLC148" s="537"/>
      <c r="WLD148" s="537"/>
      <c r="WLE148" s="537"/>
      <c r="WLF148" s="537"/>
      <c r="WLG148" s="537"/>
      <c r="WLH148" s="537"/>
      <c r="WLI148" s="537"/>
      <c r="WLJ148" s="537"/>
      <c r="WLK148" s="537"/>
      <c r="WLL148" s="537"/>
      <c r="WLM148" s="537"/>
      <c r="WLN148" s="537"/>
      <c r="WLO148" s="537"/>
      <c r="WLP148" s="537"/>
      <c r="WLQ148" s="537"/>
      <c r="WLR148" s="537"/>
      <c r="WLS148" s="537"/>
      <c r="WLT148" s="537"/>
      <c r="WLU148" s="537"/>
      <c r="WLV148" s="537"/>
      <c r="WLW148" s="537"/>
      <c r="WLX148" s="537"/>
      <c r="WLY148" s="537"/>
      <c r="WLZ148" s="537"/>
      <c r="WMA148" s="537"/>
      <c r="WMB148" s="537"/>
      <c r="WMC148" s="537"/>
      <c r="WMD148" s="537"/>
      <c r="WME148" s="537"/>
      <c r="WMF148" s="537"/>
      <c r="WMG148" s="537"/>
      <c r="WMH148" s="537"/>
      <c r="WMI148" s="537"/>
      <c r="WMJ148" s="537"/>
      <c r="WMK148" s="537"/>
      <c r="WML148" s="537"/>
      <c r="WMM148" s="537"/>
      <c r="WMN148" s="537"/>
      <c r="WMO148" s="537"/>
      <c r="WMP148" s="537"/>
      <c r="WMQ148" s="537"/>
      <c r="WMR148" s="537"/>
      <c r="WMS148" s="537"/>
      <c r="WMT148" s="537"/>
      <c r="WMU148" s="537"/>
      <c r="WMV148" s="537"/>
      <c r="WMW148" s="537"/>
      <c r="WMX148" s="537"/>
      <c r="WMY148" s="537"/>
      <c r="WMZ148" s="537"/>
      <c r="WNA148" s="537"/>
      <c r="WNB148" s="537"/>
      <c r="WNC148" s="537"/>
      <c r="WND148" s="537"/>
      <c r="WNE148" s="537"/>
      <c r="WNF148" s="537"/>
      <c r="WNG148" s="537"/>
      <c r="WNH148" s="537"/>
      <c r="WNI148" s="537"/>
      <c r="WNJ148" s="537"/>
      <c r="WNK148" s="537"/>
      <c r="WNL148" s="537"/>
      <c r="WNM148" s="537"/>
      <c r="WNN148" s="537"/>
      <c r="WNO148" s="537"/>
      <c r="WNP148" s="537"/>
      <c r="WNQ148" s="537"/>
      <c r="WNR148" s="537"/>
      <c r="WNS148" s="537"/>
      <c r="WNT148" s="537"/>
      <c r="WNU148" s="537"/>
      <c r="WNV148" s="537"/>
      <c r="WNW148" s="537"/>
      <c r="WNX148" s="537"/>
      <c r="WNY148" s="537"/>
      <c r="WNZ148" s="537"/>
      <c r="WOA148" s="537"/>
      <c r="WOB148" s="537"/>
      <c r="WOC148" s="537"/>
      <c r="WOD148" s="537"/>
      <c r="WOE148" s="537"/>
      <c r="WOF148" s="537"/>
      <c r="WOG148" s="537"/>
      <c r="WOH148" s="537"/>
      <c r="WOI148" s="537"/>
      <c r="WOJ148" s="537"/>
      <c r="WOK148" s="537"/>
      <c r="WOL148" s="537"/>
      <c r="WOM148" s="537"/>
      <c r="WON148" s="537"/>
      <c r="WOO148" s="537"/>
      <c r="WOP148" s="537"/>
      <c r="WOQ148" s="537"/>
      <c r="WOR148" s="537"/>
      <c r="WOS148" s="537"/>
      <c r="WOT148" s="537"/>
      <c r="WOU148" s="537"/>
      <c r="WOV148" s="537"/>
      <c r="WOW148" s="537"/>
      <c r="WOX148" s="537"/>
      <c r="WOY148" s="537"/>
      <c r="WOZ148" s="537"/>
      <c r="WPA148" s="537"/>
      <c r="WPB148" s="537"/>
      <c r="WPC148" s="537"/>
      <c r="WPD148" s="537"/>
      <c r="WPE148" s="537"/>
      <c r="WPF148" s="537"/>
      <c r="WPG148" s="537"/>
      <c r="WPH148" s="537"/>
      <c r="WPI148" s="537"/>
      <c r="WPJ148" s="537"/>
      <c r="WPK148" s="537"/>
      <c r="WPL148" s="537"/>
      <c r="WPM148" s="537"/>
      <c r="WPN148" s="537"/>
      <c r="WPO148" s="537"/>
      <c r="WPP148" s="537"/>
      <c r="WPQ148" s="537"/>
      <c r="WPR148" s="537"/>
      <c r="WPS148" s="537"/>
      <c r="WPT148" s="537"/>
      <c r="WPU148" s="537"/>
      <c r="WPV148" s="537"/>
      <c r="WPW148" s="537"/>
      <c r="WPX148" s="537"/>
      <c r="WPY148" s="537"/>
      <c r="WPZ148" s="537"/>
      <c r="WQA148" s="537"/>
      <c r="WQB148" s="537"/>
      <c r="WQC148" s="537"/>
      <c r="WQD148" s="537"/>
      <c r="WQE148" s="537"/>
      <c r="WQF148" s="537"/>
      <c r="WQG148" s="537"/>
      <c r="WQH148" s="537"/>
      <c r="WQI148" s="537"/>
      <c r="WQJ148" s="537"/>
      <c r="WQK148" s="537"/>
      <c r="WQL148" s="537"/>
      <c r="WQM148" s="537"/>
      <c r="WQN148" s="537"/>
      <c r="WQO148" s="537"/>
      <c r="WQP148" s="537"/>
      <c r="WQQ148" s="537"/>
      <c r="WQR148" s="537"/>
      <c r="WQS148" s="537"/>
      <c r="WQT148" s="537"/>
      <c r="WQU148" s="537"/>
      <c r="WQV148" s="537"/>
      <c r="WQW148" s="537"/>
      <c r="WQX148" s="537"/>
      <c r="WQY148" s="537"/>
      <c r="WQZ148" s="537"/>
      <c r="WRA148" s="537"/>
      <c r="WRB148" s="537"/>
      <c r="WRC148" s="537"/>
      <c r="WRD148" s="537"/>
      <c r="WRE148" s="537"/>
      <c r="WRF148" s="537"/>
      <c r="WRG148" s="537"/>
      <c r="WRH148" s="537"/>
      <c r="WRI148" s="537"/>
      <c r="WRJ148" s="537"/>
      <c r="WRK148" s="537"/>
      <c r="WRL148" s="537"/>
      <c r="WRM148" s="537"/>
      <c r="WRN148" s="537"/>
      <c r="WRO148" s="537"/>
      <c r="WRP148" s="537"/>
      <c r="WRQ148" s="537"/>
      <c r="WRR148" s="537"/>
      <c r="WRS148" s="537"/>
      <c r="WRT148" s="537"/>
      <c r="WRU148" s="537"/>
      <c r="WRV148" s="537"/>
      <c r="WRW148" s="537"/>
      <c r="WRX148" s="537"/>
      <c r="WRY148" s="537"/>
      <c r="WRZ148" s="537"/>
      <c r="WSA148" s="537"/>
      <c r="WSB148" s="537"/>
      <c r="WSC148" s="537"/>
      <c r="WSD148" s="537"/>
      <c r="WSE148" s="537"/>
      <c r="WSF148" s="537"/>
      <c r="WSG148" s="537"/>
      <c r="WSH148" s="537"/>
      <c r="WSI148" s="537"/>
      <c r="WSJ148" s="537"/>
      <c r="WSK148" s="537"/>
      <c r="WSL148" s="537"/>
      <c r="WSM148" s="537"/>
      <c r="WSN148" s="537"/>
      <c r="WSO148" s="537"/>
      <c r="WSP148" s="537"/>
      <c r="WSQ148" s="537"/>
      <c r="WSR148" s="537"/>
      <c r="WSS148" s="537"/>
      <c r="WST148" s="537"/>
      <c r="WSU148" s="537"/>
      <c r="WSV148" s="537"/>
      <c r="WSW148" s="537"/>
      <c r="WSX148" s="537"/>
      <c r="WSY148" s="537"/>
      <c r="WSZ148" s="537"/>
      <c r="WTA148" s="537"/>
      <c r="WTB148" s="537"/>
      <c r="WTC148" s="537"/>
      <c r="WTD148" s="537"/>
      <c r="WTE148" s="537"/>
      <c r="WTF148" s="537"/>
      <c r="WTG148" s="537"/>
      <c r="WTH148" s="537"/>
      <c r="WTI148" s="537"/>
      <c r="WTJ148" s="537"/>
      <c r="WTK148" s="537"/>
      <c r="WTL148" s="537"/>
      <c r="WTM148" s="537"/>
      <c r="WTN148" s="537"/>
      <c r="WTO148" s="537"/>
      <c r="WTP148" s="537"/>
      <c r="WTQ148" s="537"/>
      <c r="WTR148" s="537"/>
      <c r="WTS148" s="537"/>
      <c r="WTT148" s="537"/>
      <c r="WTU148" s="537"/>
      <c r="WTV148" s="537"/>
      <c r="WTW148" s="537"/>
      <c r="WTX148" s="537"/>
      <c r="WTY148" s="537"/>
      <c r="WTZ148" s="537"/>
      <c r="WUA148" s="537"/>
      <c r="WUB148" s="537"/>
      <c r="WUC148" s="537"/>
      <c r="WUD148" s="537"/>
      <c r="WUE148" s="537"/>
      <c r="WUF148" s="537"/>
      <c r="WUG148" s="537"/>
      <c r="WUH148" s="537"/>
      <c r="WUI148" s="537"/>
      <c r="WUJ148" s="537"/>
      <c r="WUK148" s="537"/>
      <c r="WUL148" s="537"/>
      <c r="WUM148" s="537"/>
      <c r="WUN148" s="537"/>
      <c r="WUO148" s="537"/>
      <c r="WUP148" s="537"/>
      <c r="WUQ148" s="537"/>
      <c r="WUR148" s="537"/>
      <c r="WUS148" s="537"/>
      <c r="WUT148" s="537"/>
      <c r="WUU148" s="537"/>
      <c r="WUV148" s="537"/>
      <c r="WUW148" s="537"/>
      <c r="WUX148" s="537"/>
      <c r="WUY148" s="537"/>
      <c r="WUZ148" s="537"/>
      <c r="WVA148" s="537"/>
      <c r="WVB148" s="537"/>
      <c r="WVC148" s="537"/>
      <c r="WVD148" s="537"/>
      <c r="WVE148" s="537"/>
      <c r="WVF148" s="537"/>
      <c r="WVG148" s="537"/>
      <c r="WVH148" s="537"/>
      <c r="WVI148" s="537"/>
      <c r="WVJ148" s="537"/>
      <c r="WVK148" s="537"/>
      <c r="WVL148" s="537"/>
      <c r="WVM148" s="537"/>
      <c r="WVN148" s="537"/>
      <c r="WVO148" s="537"/>
      <c r="WVP148" s="537"/>
      <c r="WVQ148" s="537"/>
      <c r="WVR148" s="537"/>
      <c r="WVS148" s="537"/>
      <c r="WVT148" s="537"/>
      <c r="WVU148" s="537"/>
      <c r="WVV148" s="537"/>
      <c r="WVW148" s="537"/>
      <c r="WVX148" s="537"/>
      <c r="WVY148" s="537"/>
      <c r="WVZ148" s="537"/>
      <c r="WWA148" s="537"/>
      <c r="WWB148" s="537"/>
      <c r="WWC148" s="537"/>
      <c r="WWD148" s="537"/>
      <c r="WWE148" s="537"/>
      <c r="WWF148" s="537"/>
      <c r="WWG148" s="537"/>
      <c r="WWH148" s="537"/>
      <c r="WWI148" s="537"/>
      <c r="WWJ148" s="537"/>
      <c r="WWK148" s="537"/>
      <c r="WWL148" s="537"/>
      <c r="WWM148" s="537"/>
      <c r="WWN148" s="537"/>
      <c r="WWO148" s="537"/>
      <c r="WWP148" s="537"/>
      <c r="WWQ148" s="537"/>
      <c r="WWR148" s="537"/>
      <c r="WWS148" s="537"/>
      <c r="WWT148" s="537"/>
      <c r="WWU148" s="537"/>
      <c r="WWV148" s="537"/>
      <c r="WWW148" s="537"/>
      <c r="WWX148" s="537"/>
      <c r="WWY148" s="537"/>
      <c r="WWZ148" s="537"/>
      <c r="WXA148" s="537"/>
      <c r="WXB148" s="537"/>
      <c r="WXC148" s="537"/>
      <c r="WXD148" s="537"/>
      <c r="WXE148" s="537"/>
      <c r="WXF148" s="537"/>
      <c r="WXG148" s="537"/>
      <c r="WXH148" s="537"/>
      <c r="WXI148" s="537"/>
      <c r="WXJ148" s="537"/>
      <c r="WXK148" s="537"/>
      <c r="WXL148" s="537"/>
      <c r="WXM148" s="537"/>
      <c r="WXN148" s="537"/>
      <c r="WXO148" s="537"/>
      <c r="WXP148" s="537"/>
      <c r="WXQ148" s="537"/>
      <c r="WXR148" s="537"/>
      <c r="WXS148" s="537"/>
      <c r="WXT148" s="537"/>
      <c r="WXU148" s="537"/>
      <c r="WXV148" s="537"/>
      <c r="WXW148" s="537"/>
      <c r="WXX148" s="537"/>
      <c r="WXY148" s="537"/>
      <c r="WXZ148" s="537"/>
      <c r="WYA148" s="537"/>
      <c r="WYB148" s="537"/>
      <c r="WYC148" s="537"/>
      <c r="WYD148" s="537"/>
      <c r="WYE148" s="537"/>
      <c r="WYF148" s="537"/>
      <c r="WYG148" s="537"/>
      <c r="WYH148" s="537"/>
      <c r="WYI148" s="537"/>
      <c r="WYJ148" s="537"/>
      <c r="WYK148" s="537"/>
      <c r="WYL148" s="537"/>
      <c r="WYM148" s="537"/>
      <c r="WYN148" s="537"/>
      <c r="WYO148" s="537"/>
      <c r="WYP148" s="537"/>
      <c r="WYQ148" s="537"/>
      <c r="WYR148" s="537"/>
      <c r="WYS148" s="537"/>
      <c r="WYT148" s="537"/>
      <c r="WYU148" s="537"/>
      <c r="WYV148" s="537"/>
      <c r="WYW148" s="537"/>
      <c r="WYX148" s="537"/>
      <c r="WYY148" s="537"/>
      <c r="WYZ148" s="537"/>
      <c r="WZA148" s="537"/>
      <c r="WZB148" s="537"/>
      <c r="WZC148" s="537"/>
      <c r="WZD148" s="537"/>
      <c r="WZE148" s="537"/>
      <c r="WZF148" s="537"/>
      <c r="WZG148" s="537"/>
      <c r="WZH148" s="537"/>
      <c r="WZI148" s="537"/>
      <c r="WZJ148" s="537"/>
      <c r="WZK148" s="537"/>
      <c r="WZL148" s="537"/>
      <c r="WZM148" s="537"/>
      <c r="WZN148" s="537"/>
      <c r="WZO148" s="537"/>
      <c r="WZP148" s="537"/>
      <c r="WZQ148" s="537"/>
      <c r="WZR148" s="537"/>
      <c r="WZS148" s="537"/>
      <c r="WZT148" s="537"/>
      <c r="WZU148" s="537"/>
      <c r="WZV148" s="537"/>
      <c r="WZW148" s="537"/>
      <c r="WZX148" s="537"/>
      <c r="WZY148" s="537"/>
      <c r="WZZ148" s="537"/>
      <c r="XAA148" s="537"/>
      <c r="XAB148" s="537"/>
      <c r="XAC148" s="537"/>
      <c r="XAD148" s="537"/>
      <c r="XAE148" s="537"/>
      <c r="XAF148" s="537"/>
      <c r="XAG148" s="537"/>
      <c r="XAH148" s="537"/>
      <c r="XAI148" s="537"/>
      <c r="XAJ148" s="537"/>
      <c r="XAK148" s="537"/>
      <c r="XAL148" s="537"/>
      <c r="XAM148" s="537"/>
      <c r="XAN148" s="537"/>
      <c r="XAO148" s="537"/>
      <c r="XAP148" s="537"/>
      <c r="XAQ148" s="537"/>
      <c r="XAR148" s="537"/>
      <c r="XAS148" s="537"/>
      <c r="XAT148" s="537"/>
      <c r="XAU148" s="537"/>
      <c r="XAV148" s="537"/>
      <c r="XAW148" s="537"/>
      <c r="XAX148" s="537"/>
      <c r="XAY148" s="537"/>
      <c r="XAZ148" s="537"/>
      <c r="XBA148" s="537"/>
      <c r="XBB148" s="537"/>
      <c r="XBC148" s="537"/>
      <c r="XBD148" s="537"/>
      <c r="XBE148" s="537"/>
      <c r="XBF148" s="537"/>
      <c r="XBG148" s="537"/>
      <c r="XBH148" s="537"/>
      <c r="XBI148" s="537"/>
      <c r="XBJ148" s="537"/>
      <c r="XBK148" s="537"/>
      <c r="XBL148" s="537"/>
      <c r="XBM148" s="537"/>
      <c r="XBN148" s="537"/>
      <c r="XBO148" s="537"/>
      <c r="XBP148" s="537"/>
      <c r="XBQ148" s="537"/>
      <c r="XBR148" s="537"/>
      <c r="XBS148" s="537"/>
      <c r="XBT148" s="537"/>
      <c r="XBU148" s="537"/>
      <c r="XBV148" s="537"/>
      <c r="XBW148" s="537"/>
      <c r="XBX148" s="537"/>
      <c r="XBY148" s="537"/>
      <c r="XBZ148" s="537"/>
      <c r="XCA148" s="537"/>
      <c r="XCB148" s="537"/>
      <c r="XCC148" s="537"/>
      <c r="XCD148" s="537"/>
      <c r="XCE148" s="537"/>
      <c r="XCF148" s="537"/>
      <c r="XCG148" s="537"/>
      <c r="XCH148" s="537"/>
      <c r="XCI148" s="537"/>
      <c r="XCJ148" s="537"/>
      <c r="XCK148" s="537"/>
      <c r="XCL148" s="537"/>
      <c r="XCM148" s="537"/>
      <c r="XCN148" s="537"/>
      <c r="XCO148" s="537"/>
      <c r="XCP148" s="537"/>
      <c r="XCQ148" s="537"/>
      <c r="XCR148" s="537"/>
      <c r="XCS148" s="537"/>
      <c r="XCT148" s="537"/>
      <c r="XCU148" s="537"/>
      <c r="XCV148" s="537"/>
      <c r="XCW148" s="537"/>
      <c r="XCX148" s="537"/>
      <c r="XCY148" s="537"/>
      <c r="XCZ148" s="537"/>
      <c r="XDA148" s="537"/>
      <c r="XDB148" s="537"/>
      <c r="XDC148" s="537"/>
      <c r="XDD148" s="537"/>
      <c r="XDE148" s="537"/>
      <c r="XDF148" s="537"/>
      <c r="XDG148" s="537"/>
      <c r="XDH148" s="537"/>
      <c r="XDI148" s="537"/>
      <c r="XDJ148" s="537"/>
      <c r="XDK148" s="537"/>
      <c r="XDL148" s="537"/>
      <c r="XDM148" s="537"/>
      <c r="XDN148" s="537"/>
      <c r="XDO148" s="537"/>
      <c r="XDP148" s="537"/>
      <c r="XDQ148" s="537"/>
      <c r="XDR148" s="537"/>
      <c r="XDS148" s="537"/>
      <c r="XDT148" s="537"/>
      <c r="XDU148" s="537"/>
      <c r="XDV148" s="537"/>
      <c r="XDW148" s="537"/>
      <c r="XDX148" s="537"/>
      <c r="XDY148" s="537"/>
      <c r="XDZ148" s="537"/>
      <c r="XEA148" s="537"/>
      <c r="XEB148" s="537"/>
      <c r="XEC148" s="537"/>
      <c r="XED148" s="537"/>
      <c r="XEE148" s="537"/>
      <c r="XEF148" s="537"/>
      <c r="XEG148" s="537"/>
      <c r="XEH148" s="537"/>
      <c r="XEI148" s="537"/>
      <c r="XEJ148" s="537"/>
      <c r="XEK148" s="537"/>
      <c r="XEL148" s="537"/>
      <c r="XEM148" s="537"/>
      <c r="XEN148" s="537"/>
      <c r="XEO148" s="537"/>
      <c r="XEP148" s="537"/>
      <c r="XEQ148" s="537"/>
      <c r="XER148" s="537"/>
      <c r="XES148" s="537"/>
      <c r="XET148" s="537"/>
      <c r="XEU148" s="537"/>
      <c r="XEV148" s="537"/>
      <c r="XEW148" s="537"/>
      <c r="XEX148" s="537"/>
      <c r="XEY148" s="537"/>
      <c r="XEZ148" s="537"/>
      <c r="XFA148" s="537"/>
      <c r="XFB148" s="537"/>
      <c r="XFC148" s="537"/>
      <c r="XFD148" s="537"/>
    </row>
    <row r="149" spans="1:16384">
      <c r="A149" s="279">
        <v>42370</v>
      </c>
      <c r="B149" s="26">
        <v>24.928999999999998</v>
      </c>
      <c r="C149" s="26">
        <v>44.253</v>
      </c>
      <c r="D149" s="26">
        <v>58.636000000000003</v>
      </c>
      <c r="E149" s="26">
        <v>9.7334999999999994</v>
      </c>
      <c r="F149" s="26">
        <v>57.161999999999999</v>
      </c>
      <c r="G149" s="26">
        <v>14.019</v>
      </c>
      <c r="H149" s="26">
        <v>43.694000000000003</v>
      </c>
      <c r="I149" s="26">
        <v>18.190999999999999</v>
      </c>
      <c r="J149" s="26">
        <v>43.968000000000004</v>
      </c>
      <c r="K149" s="26">
        <v>44.481999999999999</v>
      </c>
      <c r="L149" s="26">
        <v>48.616</v>
      </c>
      <c r="M149" s="26">
        <v>57.186</v>
      </c>
      <c r="N149" s="26">
        <v>58.247</v>
      </c>
      <c r="O149" s="26">
        <v>32.317999999999998</v>
      </c>
      <c r="P149" s="26">
        <v>43.107999999999997</v>
      </c>
      <c r="Q149" s="26">
        <v>43.698999999999998</v>
      </c>
      <c r="R149" s="26">
        <v>21.850999999999999</v>
      </c>
      <c r="S149" s="26">
        <v>22.555</v>
      </c>
      <c r="T149" s="26">
        <v>32.914999999999999</v>
      </c>
      <c r="U149" s="26">
        <v>32.143000000000001</v>
      </c>
      <c r="V149" s="26">
        <v>44.168999999999997</v>
      </c>
      <c r="W149" s="26">
        <v>45.719000000000001</v>
      </c>
      <c r="X149" s="26">
        <v>55.274000000000001</v>
      </c>
      <c r="Y149" s="26">
        <v>58.494</v>
      </c>
      <c r="Z149" s="26">
        <v>43.372999999999998</v>
      </c>
      <c r="AA149" s="26">
        <v>43.429000000000002</v>
      </c>
      <c r="AB149" s="26">
        <v>58.314999999999998</v>
      </c>
      <c r="AC149" s="26">
        <v>43.058</v>
      </c>
      <c r="AD149" s="26">
        <v>30.881</v>
      </c>
      <c r="AE149" s="26">
        <v>55.170999999999999</v>
      </c>
      <c r="AF149" s="26">
        <v>43.210999999999999</v>
      </c>
      <c r="AG149" s="26">
        <v>24.664000000000001</v>
      </c>
      <c r="AH149" s="26">
        <v>44.731000000000002</v>
      </c>
      <c r="AI149" s="26">
        <v>22.074000000000002</v>
      </c>
      <c r="AJ149" s="26">
        <v>44.167000000000002</v>
      </c>
      <c r="AK149" s="26">
        <v>19.204999999999998</v>
      </c>
      <c r="AL149" s="26">
        <v>14.504</v>
      </c>
      <c r="AM149" s="26">
        <v>44.332000000000001</v>
      </c>
      <c r="AN149" s="26">
        <v>43.683</v>
      </c>
      <c r="AO149" s="26">
        <v>46.667999999999999</v>
      </c>
      <c r="AP149" s="26">
        <v>24.928999999999998</v>
      </c>
      <c r="AQ149" s="26">
        <v>42.735999999999997</v>
      </c>
      <c r="AR149" s="26">
        <v>57.341999999999999</v>
      </c>
      <c r="AS149" s="26">
        <v>46.718000000000004</v>
      </c>
      <c r="AT149" s="26">
        <v>8.8552999999999997</v>
      </c>
      <c r="AU149" s="26">
        <v>31.928000000000001</v>
      </c>
      <c r="AV149" s="26">
        <v>43.694000000000003</v>
      </c>
      <c r="AW149" s="26">
        <v>32.317999999999998</v>
      </c>
      <c r="AX149" s="26">
        <v>43.673999999999999</v>
      </c>
      <c r="AY149" s="26">
        <v>18.420999999999999</v>
      </c>
      <c r="AZ149" s="26">
        <v>57.076999999999998</v>
      </c>
      <c r="BA149" s="26">
        <v>13.776999999999999</v>
      </c>
      <c r="BB149" s="26">
        <v>44.537999999999997</v>
      </c>
      <c r="BC149" s="26">
        <v>24.65</v>
      </c>
      <c r="BD149" s="26">
        <v>31.87</v>
      </c>
      <c r="BE149" s="26">
        <v>19.154</v>
      </c>
      <c r="BF149" s="26">
        <v>59.029000000000003</v>
      </c>
      <c r="BG149" s="26">
        <v>8.8731000000000009</v>
      </c>
      <c r="BH149" s="26">
        <v>19.873999999999999</v>
      </c>
      <c r="BI149" s="26">
        <v>45.505000000000003</v>
      </c>
      <c r="BJ149" s="26">
        <v>43.094999999999999</v>
      </c>
      <c r="BK149" s="26">
        <v>22.338999999999999</v>
      </c>
      <c r="BL149" s="26">
        <v>32.273000000000003</v>
      </c>
      <c r="BM149" s="26">
        <v>52.524999999999999</v>
      </c>
      <c r="BN149" s="26">
        <v>58.276000000000003</v>
      </c>
      <c r="BO149" s="26">
        <v>31.98</v>
      </c>
      <c r="BP149" s="26">
        <v>44.658000000000001</v>
      </c>
      <c r="BQ149" s="26">
        <v>46.82</v>
      </c>
      <c r="BR149" s="26">
        <v>46.372</v>
      </c>
      <c r="BS149" s="26">
        <v>49.048999999999999</v>
      </c>
      <c r="BT149" s="26">
        <v>58.494</v>
      </c>
      <c r="BU149" s="26">
        <v>18.420999999999999</v>
      </c>
      <c r="BV149" s="26">
        <v>13.909000000000001</v>
      </c>
      <c r="BW149" s="26">
        <v>44.524000000000001</v>
      </c>
      <c r="BX149" s="26">
        <v>44.668999999999997</v>
      </c>
      <c r="BY149" s="26">
        <v>55.435000000000002</v>
      </c>
      <c r="BZ149" s="26">
        <v>25.616</v>
      </c>
      <c r="CA149" s="26">
        <v>18.245999999999999</v>
      </c>
      <c r="CB149" s="26">
        <v>40.723999999999997</v>
      </c>
      <c r="CC149" s="26">
        <v>43.298999999999999</v>
      </c>
      <c r="CD149" s="26">
        <v>18.32</v>
      </c>
      <c r="CE149" s="26">
        <v>19.184000000000001</v>
      </c>
      <c r="CF149" s="26">
        <v>44.357999999999997</v>
      </c>
      <c r="CG149" s="26">
        <v>52.58</v>
      </c>
      <c r="CH149" s="26">
        <v>45.255000000000003</v>
      </c>
      <c r="CI149" s="26">
        <v>32.795000000000002</v>
      </c>
      <c r="CJ149" s="26">
        <v>37.155000000000001</v>
      </c>
      <c r="CK149" s="26">
        <v>43.728999999999999</v>
      </c>
      <c r="CL149" s="26">
        <v>57.067</v>
      </c>
      <c r="CM149" s="26">
        <v>43.363</v>
      </c>
      <c r="CN149" s="26">
        <v>43.694000000000003</v>
      </c>
      <c r="CO149" s="26">
        <v>35.938000000000002</v>
      </c>
      <c r="CP149" s="26">
        <v>44.508000000000003</v>
      </c>
      <c r="CQ149" s="26">
        <v>43.823999999999998</v>
      </c>
      <c r="CR149" s="26">
        <v>42.872999999999998</v>
      </c>
      <c r="CS149" s="26">
        <v>44.780999999999999</v>
      </c>
      <c r="CT149" s="26">
        <v>44.414000000000001</v>
      </c>
      <c r="CU149" s="26">
        <v>18.32</v>
      </c>
      <c r="CV149" s="26">
        <v>56.362000000000002</v>
      </c>
      <c r="CW149" s="26">
        <v>43.082999999999998</v>
      </c>
      <c r="CX149" s="26">
        <v>39.223999999999997</v>
      </c>
      <c r="CY149" s="61"/>
      <c r="CZ149" s="537"/>
      <c r="DA149" s="61"/>
    </row>
    <row r="150" spans="1:16384">
      <c r="A150" s="279">
        <v>42401</v>
      </c>
      <c r="B150" s="26">
        <v>26.471</v>
      </c>
      <c r="C150" s="26">
        <v>33.354999999999997</v>
      </c>
      <c r="D150" s="26">
        <v>61.01</v>
      </c>
      <c r="E150" s="26">
        <v>12.742000000000001</v>
      </c>
      <c r="F150" s="26">
        <v>61.223999999999997</v>
      </c>
      <c r="G150" s="26">
        <v>18.353000000000002</v>
      </c>
      <c r="H150" s="26">
        <v>52.674999999999997</v>
      </c>
      <c r="I150" s="26">
        <v>12.914</v>
      </c>
      <c r="J150" s="26">
        <v>60.765000000000001</v>
      </c>
      <c r="K150" s="26">
        <v>48.73</v>
      </c>
      <c r="L150" s="26">
        <v>56.066000000000003</v>
      </c>
      <c r="M150" s="26">
        <v>60.848999999999997</v>
      </c>
      <c r="N150" s="26">
        <v>60.777000000000001</v>
      </c>
      <c r="O150" s="26">
        <v>33.201000000000001</v>
      </c>
      <c r="P150" s="26">
        <v>47.524000000000001</v>
      </c>
      <c r="Q150" s="26">
        <v>52.712000000000003</v>
      </c>
      <c r="R150" s="26">
        <v>18.738</v>
      </c>
      <c r="S150" s="26">
        <v>26.846</v>
      </c>
      <c r="T150" s="26">
        <v>43.359000000000002</v>
      </c>
      <c r="U150" s="26">
        <v>42.655999999999999</v>
      </c>
      <c r="V150" s="26">
        <v>42.686999999999998</v>
      </c>
      <c r="W150" s="26">
        <v>42.037999999999997</v>
      </c>
      <c r="X150" s="26">
        <v>60.768999999999998</v>
      </c>
      <c r="Y150" s="26">
        <v>63.085999999999999</v>
      </c>
      <c r="Z150" s="26">
        <v>52.722999999999999</v>
      </c>
      <c r="AA150" s="26">
        <v>49.944000000000003</v>
      </c>
      <c r="AB150" s="26">
        <v>62.176000000000002</v>
      </c>
      <c r="AC150" s="26">
        <v>42.747</v>
      </c>
      <c r="AD150" s="26">
        <v>36.042999999999999</v>
      </c>
      <c r="AE150" s="26">
        <v>52.761000000000003</v>
      </c>
      <c r="AF150" s="26">
        <v>50.838000000000001</v>
      </c>
      <c r="AG150" s="26">
        <v>29.838999999999999</v>
      </c>
      <c r="AH150" s="26">
        <v>60.795999999999999</v>
      </c>
      <c r="AI150" s="26">
        <v>23.343</v>
      </c>
      <c r="AJ150" s="26">
        <v>43.37</v>
      </c>
      <c r="AK150" s="26">
        <v>13.07</v>
      </c>
      <c r="AL150" s="26">
        <v>18.373999999999999</v>
      </c>
      <c r="AM150" s="26">
        <v>42.273000000000003</v>
      </c>
      <c r="AN150" s="26">
        <v>45.192</v>
      </c>
      <c r="AO150" s="26">
        <v>62.03</v>
      </c>
      <c r="AP150" s="26">
        <v>26.882999999999999</v>
      </c>
      <c r="AQ150" s="26">
        <v>29.795000000000002</v>
      </c>
      <c r="AR150" s="26">
        <v>54.728999999999999</v>
      </c>
      <c r="AS150" s="26">
        <v>60.765000000000001</v>
      </c>
      <c r="AT150" s="26">
        <v>4.6746999999999996</v>
      </c>
      <c r="AU150" s="26">
        <v>33.137999999999998</v>
      </c>
      <c r="AV150" s="26">
        <v>52.674999999999997</v>
      </c>
      <c r="AW150" s="26">
        <v>41.197000000000003</v>
      </c>
      <c r="AX150" s="26">
        <v>35.396000000000001</v>
      </c>
      <c r="AY150" s="26">
        <v>11.045</v>
      </c>
      <c r="AZ150" s="26">
        <v>60.765000000000001</v>
      </c>
      <c r="BA150" s="26">
        <v>11.007999999999999</v>
      </c>
      <c r="BB150" s="26">
        <v>60.765000000000001</v>
      </c>
      <c r="BC150" s="26">
        <v>27.715</v>
      </c>
      <c r="BD150" s="26">
        <v>40.738999999999997</v>
      </c>
      <c r="BE150" s="26">
        <v>30.995000000000001</v>
      </c>
      <c r="BF150" s="26">
        <v>61.71</v>
      </c>
      <c r="BG150" s="26">
        <v>4.6901000000000002</v>
      </c>
      <c r="BH150" s="26">
        <v>27.087</v>
      </c>
      <c r="BI150" s="26">
        <v>60.890999999999998</v>
      </c>
      <c r="BJ150" s="26">
        <v>43.359000000000002</v>
      </c>
      <c r="BK150" s="26">
        <v>26.831</v>
      </c>
      <c r="BL150" s="26">
        <v>33.893999999999998</v>
      </c>
      <c r="BM150" s="26">
        <v>61.247999999999998</v>
      </c>
      <c r="BN150" s="26">
        <v>63.395000000000003</v>
      </c>
      <c r="BO150" s="26">
        <v>36.174999999999997</v>
      </c>
      <c r="BP150" s="26">
        <v>47.387999999999998</v>
      </c>
      <c r="BQ150" s="26">
        <v>51.722999999999999</v>
      </c>
      <c r="BR150" s="26">
        <v>52.674999999999997</v>
      </c>
      <c r="BS150" s="26">
        <v>61.801000000000002</v>
      </c>
      <c r="BT150" s="26">
        <v>89.055999999999997</v>
      </c>
      <c r="BU150" s="26">
        <v>7.9446000000000003</v>
      </c>
      <c r="BV150" s="26">
        <v>19.324999999999999</v>
      </c>
      <c r="BW150" s="26">
        <v>52.753</v>
      </c>
      <c r="BX150" s="26">
        <v>48.173000000000002</v>
      </c>
      <c r="BY150" s="26">
        <v>61.646999999999998</v>
      </c>
      <c r="BZ150" s="26">
        <v>33.384</v>
      </c>
      <c r="CA150" s="26">
        <v>29.64</v>
      </c>
      <c r="CB150" s="26">
        <v>33.143999999999998</v>
      </c>
      <c r="CC150" s="26">
        <v>42.363999999999997</v>
      </c>
      <c r="CD150" s="26">
        <v>10.948</v>
      </c>
      <c r="CE150" s="26">
        <v>22.951000000000001</v>
      </c>
      <c r="CF150" s="26">
        <v>47.863999999999997</v>
      </c>
      <c r="CG150" s="26">
        <v>60.637</v>
      </c>
      <c r="CH150" s="26">
        <v>43.765999999999998</v>
      </c>
      <c r="CI150" s="26">
        <v>36.107999999999997</v>
      </c>
      <c r="CJ150" s="26">
        <v>25.326000000000001</v>
      </c>
      <c r="CK150" s="26">
        <v>56.56</v>
      </c>
      <c r="CL150" s="26">
        <v>44.514000000000003</v>
      </c>
      <c r="CM150" s="26">
        <v>41.267000000000003</v>
      </c>
      <c r="CN150" s="26">
        <v>36.276000000000003</v>
      </c>
      <c r="CO150" s="26">
        <v>33.353000000000002</v>
      </c>
      <c r="CP150" s="26">
        <v>42.695</v>
      </c>
      <c r="CQ150" s="26">
        <v>43.491999999999997</v>
      </c>
      <c r="CR150" s="26">
        <v>33.314</v>
      </c>
      <c r="CS150" s="26">
        <v>60.765000000000001</v>
      </c>
      <c r="CT150" s="26">
        <v>60.774999999999999</v>
      </c>
      <c r="CU150" s="26">
        <v>18.331</v>
      </c>
      <c r="CV150" s="26">
        <v>61</v>
      </c>
      <c r="CW150" s="26">
        <v>48.411000000000001</v>
      </c>
      <c r="CX150" s="26">
        <v>43.792000000000002</v>
      </c>
      <c r="CY150" s="61"/>
      <c r="CZ150" s="537"/>
      <c r="DA150" s="61"/>
    </row>
    <row r="151" spans="1:16384">
      <c r="A151" s="279">
        <v>42430</v>
      </c>
      <c r="B151" s="26">
        <v>42.670999999999999</v>
      </c>
      <c r="C151" s="26">
        <v>32.393999999999998</v>
      </c>
      <c r="D151" s="26">
        <v>53.045999999999999</v>
      </c>
      <c r="E151" s="26">
        <v>22.794</v>
      </c>
      <c r="F151" s="26">
        <v>58.036999999999999</v>
      </c>
      <c r="G151" s="26">
        <v>16.759</v>
      </c>
      <c r="H151" s="26">
        <v>60.997</v>
      </c>
      <c r="I151" s="26">
        <v>13.11</v>
      </c>
      <c r="J151" s="26">
        <v>34.613</v>
      </c>
      <c r="K151" s="26">
        <v>54.289000000000001</v>
      </c>
      <c r="L151" s="26">
        <v>54.704999999999998</v>
      </c>
      <c r="M151" s="26">
        <v>52.921999999999997</v>
      </c>
      <c r="N151" s="26">
        <v>53.021000000000001</v>
      </c>
      <c r="O151" s="26">
        <v>34.89</v>
      </c>
      <c r="P151" s="26">
        <v>50.877000000000002</v>
      </c>
      <c r="Q151" s="26">
        <v>51.006999999999998</v>
      </c>
      <c r="R151" s="26">
        <v>17.635000000000002</v>
      </c>
      <c r="S151" s="26">
        <v>29.337</v>
      </c>
      <c r="T151" s="26">
        <v>52.9</v>
      </c>
      <c r="U151" s="26">
        <v>42.917000000000002</v>
      </c>
      <c r="V151" s="26">
        <v>49.417000000000002</v>
      </c>
      <c r="W151" s="26">
        <v>45.624000000000002</v>
      </c>
      <c r="X151" s="26">
        <v>52.994</v>
      </c>
      <c r="Y151" s="26">
        <v>67.067999999999998</v>
      </c>
      <c r="Z151" s="26">
        <v>56.496000000000002</v>
      </c>
      <c r="AA151" s="26">
        <v>60.997</v>
      </c>
      <c r="AB151" s="26">
        <v>61.165999999999997</v>
      </c>
      <c r="AC151" s="26">
        <v>56.058999999999997</v>
      </c>
      <c r="AD151" s="26">
        <v>31.056999999999999</v>
      </c>
      <c r="AE151" s="26">
        <v>51.762999999999998</v>
      </c>
      <c r="AF151" s="26">
        <v>36.209000000000003</v>
      </c>
      <c r="AG151" s="26">
        <v>17.434000000000001</v>
      </c>
      <c r="AH151" s="26">
        <v>52.603000000000002</v>
      </c>
      <c r="AI151" s="26">
        <v>23.123000000000001</v>
      </c>
      <c r="AJ151" s="26">
        <v>51.573999999999998</v>
      </c>
      <c r="AK151" s="26">
        <v>13.083</v>
      </c>
      <c r="AL151" s="26">
        <v>13.750999999999999</v>
      </c>
      <c r="AM151" s="26">
        <v>21.434000000000001</v>
      </c>
      <c r="AN151" s="26">
        <v>52.9</v>
      </c>
      <c r="AO151" s="26">
        <v>43.313000000000002</v>
      </c>
      <c r="AP151" s="26">
        <v>32.125</v>
      </c>
      <c r="AQ151" s="26">
        <v>31.388000000000002</v>
      </c>
      <c r="AR151" s="26">
        <v>52.951000000000001</v>
      </c>
      <c r="AS151" s="26">
        <v>56.780999999999999</v>
      </c>
      <c r="AT151" s="26">
        <v>4.9821999999999997</v>
      </c>
      <c r="AU151" s="26">
        <v>37.344000000000001</v>
      </c>
      <c r="AV151" s="26">
        <v>52.905000000000001</v>
      </c>
      <c r="AW151" s="26">
        <v>40.771999999999998</v>
      </c>
      <c r="AX151" s="26">
        <v>40.542999999999999</v>
      </c>
      <c r="AY151" s="26">
        <v>9.1229999999999993</v>
      </c>
      <c r="AZ151" s="26">
        <v>51.902999999999999</v>
      </c>
      <c r="BA151" s="26">
        <v>8.2035999999999998</v>
      </c>
      <c r="BB151" s="26">
        <v>52.9</v>
      </c>
      <c r="BC151" s="26">
        <v>23.829000000000001</v>
      </c>
      <c r="BD151" s="26">
        <v>41.481000000000002</v>
      </c>
      <c r="BE151" s="26">
        <v>25.532</v>
      </c>
      <c r="BF151" s="26">
        <v>58.14</v>
      </c>
      <c r="BG151" s="26">
        <v>4.0419999999999998</v>
      </c>
      <c r="BH151" s="26">
        <v>26.693999999999999</v>
      </c>
      <c r="BI151" s="26">
        <v>52.543999999999997</v>
      </c>
      <c r="BJ151" s="26">
        <v>53.427999999999997</v>
      </c>
      <c r="BK151" s="26">
        <v>32.466000000000001</v>
      </c>
      <c r="BL151" s="26">
        <v>36.94</v>
      </c>
      <c r="BM151" s="26">
        <v>52.878999999999998</v>
      </c>
      <c r="BN151" s="26">
        <v>61.165999999999997</v>
      </c>
      <c r="BO151" s="26">
        <v>32.767000000000003</v>
      </c>
      <c r="BP151" s="26">
        <v>60.997</v>
      </c>
      <c r="BQ151" s="26">
        <v>56.780999999999999</v>
      </c>
      <c r="BR151" s="26">
        <v>43.298000000000002</v>
      </c>
      <c r="BS151" s="26">
        <v>52.933999999999997</v>
      </c>
      <c r="BT151" s="26">
        <v>61.048000000000002</v>
      </c>
      <c r="BU151" s="26">
        <v>5.0763999999999996</v>
      </c>
      <c r="BV151" s="26">
        <v>22.818000000000001</v>
      </c>
      <c r="BW151" s="26">
        <v>52.851999999999997</v>
      </c>
      <c r="BX151" s="26">
        <v>54.121000000000002</v>
      </c>
      <c r="BY151" s="26">
        <v>60.037999999999997</v>
      </c>
      <c r="BZ151" s="26">
        <v>34.378999999999998</v>
      </c>
      <c r="CA151" s="26">
        <v>39.579000000000001</v>
      </c>
      <c r="CB151" s="26">
        <v>36.116</v>
      </c>
      <c r="CC151" s="26">
        <v>32.033999999999999</v>
      </c>
      <c r="CD151" s="26">
        <v>16.116</v>
      </c>
      <c r="CE151" s="26">
        <v>28.32</v>
      </c>
      <c r="CF151" s="26">
        <v>54.701999999999998</v>
      </c>
      <c r="CG151" s="26">
        <v>51.908999999999999</v>
      </c>
      <c r="CH151" s="26">
        <v>42.64</v>
      </c>
      <c r="CI151" s="26">
        <v>30.641999999999999</v>
      </c>
      <c r="CJ151" s="26">
        <v>35.329000000000001</v>
      </c>
      <c r="CK151" s="26">
        <v>56.780999999999999</v>
      </c>
      <c r="CL151" s="26">
        <v>44.456000000000003</v>
      </c>
      <c r="CM151" s="26">
        <v>29.209</v>
      </c>
      <c r="CN151" s="26">
        <v>24.11</v>
      </c>
      <c r="CO151" s="26">
        <v>30.640999999999998</v>
      </c>
      <c r="CP151" s="26">
        <v>40.470999999999997</v>
      </c>
      <c r="CQ151" s="26">
        <v>58.557000000000002</v>
      </c>
      <c r="CR151" s="26">
        <v>42.863</v>
      </c>
      <c r="CS151" s="26">
        <v>60.997</v>
      </c>
      <c r="CT151" s="26">
        <v>45.921999999999997</v>
      </c>
      <c r="CU151" s="26">
        <v>13.227</v>
      </c>
      <c r="CV151" s="26">
        <v>36.338000000000001</v>
      </c>
      <c r="CW151" s="26">
        <v>30.312000000000001</v>
      </c>
      <c r="CX151" s="26">
        <v>44.463999999999999</v>
      </c>
      <c r="CY151" s="61"/>
      <c r="CZ151" s="537"/>
      <c r="DA151" s="61"/>
    </row>
    <row r="152" spans="1:16384">
      <c r="A152" s="279">
        <v>42461</v>
      </c>
      <c r="B152" s="26">
        <v>53.05</v>
      </c>
      <c r="C152" s="26">
        <v>42.716999999999999</v>
      </c>
      <c r="D152" s="26">
        <v>55.323999999999998</v>
      </c>
      <c r="E152" s="26">
        <v>10.436</v>
      </c>
      <c r="F152" s="26">
        <v>45.265999999999998</v>
      </c>
      <c r="G152" s="26">
        <v>21.582999999999998</v>
      </c>
      <c r="H152" s="26">
        <v>44.234999999999999</v>
      </c>
      <c r="I152" s="26">
        <v>3.2757000000000001</v>
      </c>
      <c r="J152" s="26">
        <v>28.045000000000002</v>
      </c>
      <c r="K152" s="26">
        <v>45.593000000000004</v>
      </c>
      <c r="L152" s="26">
        <v>45.505000000000003</v>
      </c>
      <c r="M152" s="26">
        <v>39.494999999999997</v>
      </c>
      <c r="N152" s="26">
        <v>43.323999999999998</v>
      </c>
      <c r="O152" s="26">
        <v>38.962000000000003</v>
      </c>
      <c r="P152" s="26">
        <v>42.893000000000001</v>
      </c>
      <c r="Q152" s="26">
        <v>49.505000000000003</v>
      </c>
      <c r="R152" s="26">
        <v>37.396000000000001</v>
      </c>
      <c r="S152" s="26">
        <v>42.899000000000001</v>
      </c>
      <c r="T152" s="26">
        <v>33.094000000000001</v>
      </c>
      <c r="U152" s="26">
        <v>53.05</v>
      </c>
      <c r="V152" s="26">
        <v>61.165999999999997</v>
      </c>
      <c r="W152" s="26">
        <v>45.942999999999998</v>
      </c>
      <c r="X152" s="26">
        <v>56.938000000000002</v>
      </c>
      <c r="Y152" s="26">
        <v>53.05</v>
      </c>
      <c r="Z152" s="26">
        <v>53.05</v>
      </c>
      <c r="AA152" s="26">
        <v>45.682000000000002</v>
      </c>
      <c r="AB152" s="26">
        <v>61.165999999999997</v>
      </c>
      <c r="AC152" s="26">
        <v>56.755000000000003</v>
      </c>
      <c r="AD152" s="26">
        <v>15.942</v>
      </c>
      <c r="AE152" s="26">
        <v>46.423000000000002</v>
      </c>
      <c r="AF152" s="26">
        <v>38.945999999999998</v>
      </c>
      <c r="AG152" s="26">
        <v>25.14</v>
      </c>
      <c r="AH152" s="26">
        <v>39.131</v>
      </c>
      <c r="AI152" s="26">
        <v>28.919</v>
      </c>
      <c r="AJ152" s="26">
        <v>53.05</v>
      </c>
      <c r="AK152" s="26">
        <v>21.521999999999998</v>
      </c>
      <c r="AL152" s="26">
        <v>9.3238000000000003</v>
      </c>
      <c r="AM152" s="26">
        <v>26.812999999999999</v>
      </c>
      <c r="AN152" s="26">
        <v>61.228999999999999</v>
      </c>
      <c r="AO152" s="26">
        <v>52.823999999999998</v>
      </c>
      <c r="AP152" s="26">
        <v>28.265000000000001</v>
      </c>
      <c r="AQ152" s="26">
        <v>25.966000000000001</v>
      </c>
      <c r="AR152" s="26">
        <v>42.933</v>
      </c>
      <c r="AS152" s="26">
        <v>43.63</v>
      </c>
      <c r="AT152" s="26">
        <v>8.9461999999999993</v>
      </c>
      <c r="AU152" s="26">
        <v>45.293999999999997</v>
      </c>
      <c r="AV152" s="26">
        <v>52.216000000000001</v>
      </c>
      <c r="AW152" s="26">
        <v>42.829000000000001</v>
      </c>
      <c r="AX152" s="26">
        <v>45.87</v>
      </c>
      <c r="AY152" s="26">
        <v>2.6358000000000001</v>
      </c>
      <c r="AZ152" s="26">
        <v>46.488</v>
      </c>
      <c r="BA152" s="26">
        <v>17.405999999999999</v>
      </c>
      <c r="BB152" s="26">
        <v>47.494999999999997</v>
      </c>
      <c r="BC152" s="26">
        <v>21.545000000000002</v>
      </c>
      <c r="BD152" s="26">
        <v>46.078000000000003</v>
      </c>
      <c r="BE152" s="26">
        <v>20.776</v>
      </c>
      <c r="BF152" s="26">
        <v>53.05</v>
      </c>
      <c r="BG152" s="26">
        <v>3.1202999999999999</v>
      </c>
      <c r="BH152" s="26">
        <v>30.673999999999999</v>
      </c>
      <c r="BI152" s="26">
        <v>42.926000000000002</v>
      </c>
      <c r="BJ152" s="26">
        <v>41.703000000000003</v>
      </c>
      <c r="BK152" s="26">
        <v>32.887999999999998</v>
      </c>
      <c r="BL152" s="26">
        <v>34.046999999999997</v>
      </c>
      <c r="BM152" s="26">
        <v>42.965000000000003</v>
      </c>
      <c r="BN152" s="26">
        <v>53.113999999999997</v>
      </c>
      <c r="BO152" s="26">
        <v>34.603000000000002</v>
      </c>
      <c r="BP152" s="26">
        <v>33.234000000000002</v>
      </c>
      <c r="BQ152" s="26">
        <v>53.05</v>
      </c>
      <c r="BR152" s="26">
        <v>41.314</v>
      </c>
      <c r="BS152" s="26">
        <v>38.502000000000002</v>
      </c>
      <c r="BT152" s="26">
        <v>50.651000000000003</v>
      </c>
      <c r="BU152" s="26">
        <v>8.8778000000000006</v>
      </c>
      <c r="BV152" s="26">
        <v>37.314999999999998</v>
      </c>
      <c r="BW152" s="26">
        <v>52.817999999999998</v>
      </c>
      <c r="BX152" s="26">
        <v>60.755000000000003</v>
      </c>
      <c r="BY152" s="26">
        <v>42.863</v>
      </c>
      <c r="BZ152" s="26">
        <v>45.067999999999998</v>
      </c>
      <c r="CA152" s="26">
        <v>43.63</v>
      </c>
      <c r="CB152" s="26">
        <v>40.063000000000002</v>
      </c>
      <c r="CC152" s="26">
        <v>37.613</v>
      </c>
      <c r="CD152" s="26">
        <v>20.323</v>
      </c>
      <c r="CE152" s="26">
        <v>28.815000000000001</v>
      </c>
      <c r="CF152" s="26">
        <v>42.856000000000002</v>
      </c>
      <c r="CG152" s="26">
        <v>42.106000000000002</v>
      </c>
      <c r="CH152" s="26">
        <v>51.338000000000001</v>
      </c>
      <c r="CI152" s="26">
        <v>42.453000000000003</v>
      </c>
      <c r="CJ152" s="26">
        <v>43.014000000000003</v>
      </c>
      <c r="CK152" s="26">
        <v>45.942999999999998</v>
      </c>
      <c r="CL152" s="26">
        <v>34.750999999999998</v>
      </c>
      <c r="CM152" s="26">
        <v>29.013000000000002</v>
      </c>
      <c r="CN152" s="26">
        <v>28.850999999999999</v>
      </c>
      <c r="CO152" s="26">
        <v>36.243000000000002</v>
      </c>
      <c r="CP152" s="26">
        <v>22.765000000000001</v>
      </c>
      <c r="CQ152" s="26">
        <v>42.124000000000002</v>
      </c>
      <c r="CR152" s="26">
        <v>22.193000000000001</v>
      </c>
      <c r="CS152" s="26">
        <v>53.05</v>
      </c>
      <c r="CT152" s="26">
        <v>40.347000000000001</v>
      </c>
      <c r="CU152" s="26">
        <v>9.3405000000000005</v>
      </c>
      <c r="CV152" s="26">
        <v>41.008000000000003</v>
      </c>
      <c r="CW152" s="26">
        <v>24.71</v>
      </c>
      <c r="CX152" s="26">
        <v>40.814999999999998</v>
      </c>
      <c r="CY152" s="61"/>
      <c r="CZ152" s="537"/>
      <c r="DA152" s="61"/>
    </row>
    <row r="153" spans="1:16384">
      <c r="A153" s="279">
        <v>42491</v>
      </c>
      <c r="B153" s="26">
        <v>45.405999999999999</v>
      </c>
      <c r="C153" s="26">
        <v>30.164999999999999</v>
      </c>
      <c r="D153" s="26">
        <v>48.531999999999996</v>
      </c>
      <c r="E153" s="26">
        <v>5.4147999999999996</v>
      </c>
      <c r="F153" s="26">
        <v>44.816000000000003</v>
      </c>
      <c r="G153" s="26">
        <v>23.76</v>
      </c>
      <c r="H153" s="26">
        <v>28.61</v>
      </c>
      <c r="I153" s="26">
        <v>5.3204000000000002</v>
      </c>
      <c r="J153" s="26">
        <v>41.094000000000001</v>
      </c>
      <c r="K153" s="26">
        <v>42.837000000000003</v>
      </c>
      <c r="L153" s="26">
        <v>53.37</v>
      </c>
      <c r="M153" s="26">
        <v>45.487000000000002</v>
      </c>
      <c r="N153" s="26">
        <v>42.78</v>
      </c>
      <c r="O153" s="26">
        <v>28.315999999999999</v>
      </c>
      <c r="P153" s="26">
        <v>40.74</v>
      </c>
      <c r="Q153" s="26">
        <v>31.018999999999998</v>
      </c>
      <c r="R153" s="26">
        <v>40.226999999999997</v>
      </c>
      <c r="S153" s="26">
        <v>15.108000000000001</v>
      </c>
      <c r="T153" s="26">
        <v>15.047000000000001</v>
      </c>
      <c r="U153" s="26">
        <v>45.587000000000003</v>
      </c>
      <c r="V153" s="26">
        <v>32.040999999999997</v>
      </c>
      <c r="W153" s="26">
        <v>45.78</v>
      </c>
      <c r="X153" s="26">
        <v>53.274999999999999</v>
      </c>
      <c r="Y153" s="26">
        <v>57.231999999999999</v>
      </c>
      <c r="Z153" s="26">
        <v>55.593000000000004</v>
      </c>
      <c r="AA153" s="26">
        <v>31.65</v>
      </c>
      <c r="AB153" s="26">
        <v>61.539000000000001</v>
      </c>
      <c r="AC153" s="26">
        <v>50.743000000000002</v>
      </c>
      <c r="AD153" s="26">
        <v>25.638000000000002</v>
      </c>
      <c r="AE153" s="26">
        <v>44.399000000000001</v>
      </c>
      <c r="AF153" s="26">
        <v>49.523000000000003</v>
      </c>
      <c r="AG153" s="26">
        <v>30.942</v>
      </c>
      <c r="AH153" s="26">
        <v>29.006</v>
      </c>
      <c r="AI153" s="26">
        <v>29.417999999999999</v>
      </c>
      <c r="AJ153" s="26">
        <v>40.433</v>
      </c>
      <c r="AK153" s="26">
        <v>29.911000000000001</v>
      </c>
      <c r="AL153" s="26">
        <v>17.568000000000001</v>
      </c>
      <c r="AM153" s="26">
        <v>33.625999999999998</v>
      </c>
      <c r="AN153" s="26">
        <v>45.530999999999999</v>
      </c>
      <c r="AO153" s="26">
        <v>30.431000000000001</v>
      </c>
      <c r="AP153" s="26">
        <v>38.728000000000002</v>
      </c>
      <c r="AQ153" s="26">
        <v>32.131999999999998</v>
      </c>
      <c r="AR153" s="26">
        <v>40.512</v>
      </c>
      <c r="AS153" s="26">
        <v>40.512</v>
      </c>
      <c r="AT153" s="26">
        <v>5.4625000000000004</v>
      </c>
      <c r="AU153" s="26">
        <v>42.962000000000003</v>
      </c>
      <c r="AV153" s="26">
        <v>50.561999999999998</v>
      </c>
      <c r="AW153" s="26">
        <v>42.075000000000003</v>
      </c>
      <c r="AX153" s="26">
        <v>43.725000000000001</v>
      </c>
      <c r="AY153" s="26">
        <v>3.1368999999999998</v>
      </c>
      <c r="AZ153" s="26">
        <v>45.076999999999998</v>
      </c>
      <c r="BA153" s="26">
        <v>4.2617000000000003</v>
      </c>
      <c r="BB153" s="26">
        <v>39.42</v>
      </c>
      <c r="BC153" s="26">
        <v>22.795000000000002</v>
      </c>
      <c r="BD153" s="26">
        <v>40.750999999999998</v>
      </c>
      <c r="BE153" s="26">
        <v>12.897</v>
      </c>
      <c r="BF153" s="26">
        <v>57.2</v>
      </c>
      <c r="BG153" s="26">
        <v>1.1099000000000001</v>
      </c>
      <c r="BH153" s="26">
        <v>18.791</v>
      </c>
      <c r="BI153" s="26">
        <v>49.728000000000002</v>
      </c>
      <c r="BJ153" s="26">
        <v>48.451999999999998</v>
      </c>
      <c r="BK153" s="26">
        <v>40.51</v>
      </c>
      <c r="BL153" s="26">
        <v>29.901</v>
      </c>
      <c r="BM153" s="26">
        <v>40.512</v>
      </c>
      <c r="BN153" s="26">
        <v>48.000999999999998</v>
      </c>
      <c r="BO153" s="26">
        <v>39.787999999999997</v>
      </c>
      <c r="BP153" s="26">
        <v>40.619999999999997</v>
      </c>
      <c r="BQ153" s="26">
        <v>40.633000000000003</v>
      </c>
      <c r="BR153" s="26">
        <v>30.43</v>
      </c>
      <c r="BS153" s="26">
        <v>40.51</v>
      </c>
      <c r="BT153" s="26">
        <v>49.896999999999998</v>
      </c>
      <c r="BU153" s="26">
        <v>3.1292</v>
      </c>
      <c r="BV153" s="26">
        <v>30.463000000000001</v>
      </c>
      <c r="BW153" s="26">
        <v>53.274999999999999</v>
      </c>
      <c r="BX153" s="26">
        <v>57.954000000000001</v>
      </c>
      <c r="BY153" s="26">
        <v>36.906999999999996</v>
      </c>
      <c r="BZ153" s="26">
        <v>40.603999999999999</v>
      </c>
      <c r="CA153" s="26">
        <v>42.837000000000003</v>
      </c>
      <c r="CB153" s="26">
        <v>31.247</v>
      </c>
      <c r="CC153" s="26">
        <v>27.399000000000001</v>
      </c>
      <c r="CD153" s="26">
        <v>23.515000000000001</v>
      </c>
      <c r="CE153" s="26">
        <v>15.331</v>
      </c>
      <c r="CF153" s="26">
        <v>40.656999999999996</v>
      </c>
      <c r="CG153" s="26">
        <v>34.417000000000002</v>
      </c>
      <c r="CH153" s="26">
        <v>43.018999999999998</v>
      </c>
      <c r="CI153" s="26">
        <v>40.984000000000002</v>
      </c>
      <c r="CJ153" s="26">
        <v>40.299999999999997</v>
      </c>
      <c r="CK153" s="26">
        <v>41.98</v>
      </c>
      <c r="CL153" s="26">
        <v>39.651000000000003</v>
      </c>
      <c r="CM153" s="26">
        <v>24.564</v>
      </c>
      <c r="CN153" s="26">
        <v>22.795999999999999</v>
      </c>
      <c r="CO153" s="26">
        <v>31.780999999999999</v>
      </c>
      <c r="CP153" s="26">
        <v>15.194000000000001</v>
      </c>
      <c r="CQ153" s="26">
        <v>42.822000000000003</v>
      </c>
      <c r="CR153" s="26">
        <v>24.79</v>
      </c>
      <c r="CS153" s="26">
        <v>47.131</v>
      </c>
      <c r="CT153" s="26">
        <v>19.640999999999998</v>
      </c>
      <c r="CU153" s="26">
        <v>24.128</v>
      </c>
      <c r="CV153" s="26">
        <v>26.888000000000002</v>
      </c>
      <c r="CW153" s="26">
        <v>40.57</v>
      </c>
      <c r="CX153" s="26">
        <v>39.408000000000001</v>
      </c>
      <c r="CY153" s="61"/>
      <c r="CZ153" s="537"/>
      <c r="DA153" s="61"/>
    </row>
    <row r="154" spans="1:16384">
      <c r="A154" s="279">
        <v>42522</v>
      </c>
      <c r="B154" s="26">
        <v>7.0637999999999996</v>
      </c>
      <c r="C154" s="26">
        <v>32.804000000000002</v>
      </c>
      <c r="D154" s="26">
        <v>53.52</v>
      </c>
      <c r="E154" s="26">
        <v>19.015000000000001</v>
      </c>
      <c r="F154" s="26">
        <v>40.133000000000003</v>
      </c>
      <c r="G154" s="26">
        <v>18.135999999999999</v>
      </c>
      <c r="H154" s="26">
        <v>29.428999999999998</v>
      </c>
      <c r="I154" s="26">
        <v>18.620999999999999</v>
      </c>
      <c r="J154" s="26">
        <v>41.095999999999997</v>
      </c>
      <c r="K154" s="26">
        <v>41.881999999999998</v>
      </c>
      <c r="L154" s="26">
        <v>48.389000000000003</v>
      </c>
      <c r="M154" s="26">
        <v>42.057000000000002</v>
      </c>
      <c r="N154" s="26">
        <v>43.792999999999999</v>
      </c>
      <c r="O154" s="26">
        <v>36.238</v>
      </c>
      <c r="P154" s="26">
        <v>41.396999999999998</v>
      </c>
      <c r="Q154" s="26">
        <v>27.609000000000002</v>
      </c>
      <c r="R154" s="26">
        <v>43.750999999999998</v>
      </c>
      <c r="S154" s="26">
        <v>18.510000000000002</v>
      </c>
      <c r="T154" s="26">
        <v>13.763</v>
      </c>
      <c r="U154" s="26">
        <v>35.841999999999999</v>
      </c>
      <c r="V154" s="26">
        <v>31.875</v>
      </c>
      <c r="W154" s="26">
        <v>43.244</v>
      </c>
      <c r="X154" s="26">
        <v>52.478000000000002</v>
      </c>
      <c r="Y154" s="26">
        <v>47.878999999999998</v>
      </c>
      <c r="Z154" s="26">
        <v>48.404000000000003</v>
      </c>
      <c r="AA154" s="26">
        <v>26.306000000000001</v>
      </c>
      <c r="AB154" s="26">
        <v>49.56</v>
      </c>
      <c r="AC154" s="26">
        <v>47.743000000000002</v>
      </c>
      <c r="AD154" s="26">
        <v>26.724</v>
      </c>
      <c r="AE154" s="26">
        <v>49.173999999999999</v>
      </c>
      <c r="AF154" s="26">
        <v>43.040999999999997</v>
      </c>
      <c r="AG154" s="26">
        <v>41.945999999999998</v>
      </c>
      <c r="AH154" s="26">
        <v>27.530999999999999</v>
      </c>
      <c r="AI154" s="26">
        <v>29.527999999999999</v>
      </c>
      <c r="AJ154" s="26">
        <v>48.877000000000002</v>
      </c>
      <c r="AK154" s="26">
        <v>27.167999999999999</v>
      </c>
      <c r="AL154" s="26">
        <v>19.004999999999999</v>
      </c>
      <c r="AM154" s="26">
        <v>40.811</v>
      </c>
      <c r="AN154" s="26">
        <v>45.188000000000002</v>
      </c>
      <c r="AO154" s="26">
        <v>12.885999999999999</v>
      </c>
      <c r="AP154" s="26">
        <v>25.126999999999999</v>
      </c>
      <c r="AQ154" s="26">
        <v>26.646999999999998</v>
      </c>
      <c r="AR154" s="26">
        <v>49.551000000000002</v>
      </c>
      <c r="AS154" s="26">
        <v>36.237000000000002</v>
      </c>
      <c r="AT154" s="26">
        <v>2.9333999999999998</v>
      </c>
      <c r="AU154" s="26">
        <v>44.95</v>
      </c>
      <c r="AV154" s="26">
        <v>48.289000000000001</v>
      </c>
      <c r="AW154" s="26">
        <v>42.817999999999998</v>
      </c>
      <c r="AX154" s="26">
        <v>45.465000000000003</v>
      </c>
      <c r="AY154" s="26">
        <v>2.9337</v>
      </c>
      <c r="AZ154" s="26">
        <v>43.54</v>
      </c>
      <c r="BA154" s="26">
        <v>3.4466000000000001</v>
      </c>
      <c r="BB154" s="26">
        <v>39.259</v>
      </c>
      <c r="BC154" s="26">
        <v>21.908000000000001</v>
      </c>
      <c r="BD154" s="26">
        <v>41.896000000000001</v>
      </c>
      <c r="BE154" s="26">
        <v>16.016999999999999</v>
      </c>
      <c r="BF154" s="26">
        <v>44.744999999999997</v>
      </c>
      <c r="BG154" s="26">
        <v>0.9032</v>
      </c>
      <c r="BH154" s="26">
        <v>26.971</v>
      </c>
      <c r="BI154" s="26">
        <v>50.145000000000003</v>
      </c>
      <c r="BJ154" s="26">
        <v>51.503</v>
      </c>
      <c r="BK154" s="26">
        <v>36.466000000000001</v>
      </c>
      <c r="BL154" s="26">
        <v>35.965000000000003</v>
      </c>
      <c r="BM154" s="26">
        <v>42.899000000000001</v>
      </c>
      <c r="BN154" s="26">
        <v>50.823999999999998</v>
      </c>
      <c r="BO154" s="26">
        <v>41.73</v>
      </c>
      <c r="BP154" s="26">
        <v>42.582999999999998</v>
      </c>
      <c r="BQ154" s="26">
        <v>45.256</v>
      </c>
      <c r="BR154" s="26">
        <v>19.88</v>
      </c>
      <c r="BS154" s="26">
        <v>42.588999999999999</v>
      </c>
      <c r="BT154" s="26">
        <v>46.802999999999997</v>
      </c>
      <c r="BU154" s="26">
        <v>2.0387</v>
      </c>
      <c r="BV154" s="26">
        <v>40.289000000000001</v>
      </c>
      <c r="BW154" s="26">
        <v>52.401000000000003</v>
      </c>
      <c r="BX154" s="26">
        <v>38.067999999999998</v>
      </c>
      <c r="BY154" s="26">
        <v>27.529</v>
      </c>
      <c r="BZ154" s="26">
        <v>43.591999999999999</v>
      </c>
      <c r="CA154" s="26">
        <v>26.033000000000001</v>
      </c>
      <c r="CB154" s="26">
        <v>26.055</v>
      </c>
      <c r="CC154" s="26">
        <v>25.914999999999999</v>
      </c>
      <c r="CD154" s="26">
        <v>33.962000000000003</v>
      </c>
      <c r="CE154" s="26">
        <v>10.198</v>
      </c>
      <c r="CF154" s="26">
        <v>41.911000000000001</v>
      </c>
      <c r="CG154" s="26">
        <v>21.638999999999999</v>
      </c>
      <c r="CH154" s="26">
        <v>41.838000000000001</v>
      </c>
      <c r="CI154" s="26">
        <v>35.128</v>
      </c>
      <c r="CJ154" s="26">
        <v>41.945999999999998</v>
      </c>
      <c r="CK154" s="26">
        <v>49.664000000000001</v>
      </c>
      <c r="CL154" s="26">
        <v>42.316000000000003</v>
      </c>
      <c r="CM154" s="26">
        <v>5.5331000000000001</v>
      </c>
      <c r="CN154" s="26">
        <v>32.305999999999997</v>
      </c>
      <c r="CO154" s="26">
        <v>25.071000000000002</v>
      </c>
      <c r="CP154" s="26">
        <v>23.111999999999998</v>
      </c>
      <c r="CQ154" s="26">
        <v>43.454000000000001</v>
      </c>
      <c r="CR154" s="26">
        <v>19.297999999999998</v>
      </c>
      <c r="CS154" s="26">
        <v>36.447000000000003</v>
      </c>
      <c r="CT154" s="26">
        <v>26.091000000000001</v>
      </c>
      <c r="CU154" s="26">
        <v>18.824999999999999</v>
      </c>
      <c r="CV154" s="26">
        <v>26.34</v>
      </c>
      <c r="CW154" s="26">
        <v>42.298000000000002</v>
      </c>
      <c r="CX154" s="26">
        <v>37.927</v>
      </c>
      <c r="CY154" s="61"/>
      <c r="CZ154" s="537"/>
      <c r="DA154" s="61"/>
    </row>
    <row r="155" spans="1:16384">
      <c r="A155" s="279">
        <v>42552</v>
      </c>
      <c r="B155" s="26">
        <v>27.289000000000001</v>
      </c>
      <c r="C155" s="26">
        <v>40.783999999999999</v>
      </c>
      <c r="D155" s="26">
        <v>57.716000000000001</v>
      </c>
      <c r="E155" s="26">
        <v>7.5883000000000003</v>
      </c>
      <c r="F155" s="26">
        <v>36.954000000000001</v>
      </c>
      <c r="G155" s="26">
        <v>26.15</v>
      </c>
      <c r="H155" s="26">
        <v>30.721</v>
      </c>
      <c r="I155" s="26">
        <v>20.867999999999999</v>
      </c>
      <c r="J155" s="26">
        <v>45.978000000000002</v>
      </c>
      <c r="K155" s="26">
        <v>38.094000000000001</v>
      </c>
      <c r="L155" s="26">
        <v>46.512999999999998</v>
      </c>
      <c r="M155" s="26">
        <v>44.298999999999999</v>
      </c>
      <c r="N155" s="26">
        <v>38.433</v>
      </c>
      <c r="O155" s="26">
        <v>37.588999999999999</v>
      </c>
      <c r="P155" s="26">
        <v>36.343000000000004</v>
      </c>
      <c r="Q155" s="26">
        <v>8.0648999999999997</v>
      </c>
      <c r="R155" s="26">
        <v>37.917000000000002</v>
      </c>
      <c r="S155" s="26">
        <v>11.241</v>
      </c>
      <c r="T155" s="26">
        <v>0.90320999999999996</v>
      </c>
      <c r="U155" s="26">
        <v>30.652000000000001</v>
      </c>
      <c r="V155" s="26">
        <v>40.685000000000002</v>
      </c>
      <c r="W155" s="26">
        <v>37.585999999999999</v>
      </c>
      <c r="X155" s="26">
        <v>44.48</v>
      </c>
      <c r="Y155" s="26">
        <v>55.371000000000002</v>
      </c>
      <c r="Z155" s="26">
        <v>44.677</v>
      </c>
      <c r="AA155" s="26">
        <v>39.654000000000003</v>
      </c>
      <c r="AB155" s="26">
        <v>47.45</v>
      </c>
      <c r="AC155" s="26">
        <v>50.106999999999999</v>
      </c>
      <c r="AD155" s="26">
        <v>31.285</v>
      </c>
      <c r="AE155" s="26">
        <v>58.076000000000001</v>
      </c>
      <c r="AF155" s="26">
        <v>46.017000000000003</v>
      </c>
      <c r="AG155" s="26">
        <v>44.826000000000001</v>
      </c>
      <c r="AH155" s="26">
        <v>37.305</v>
      </c>
      <c r="AI155" s="26">
        <v>28.126000000000001</v>
      </c>
      <c r="AJ155" s="26">
        <v>41.853999999999999</v>
      </c>
      <c r="AK155" s="26">
        <v>38.445</v>
      </c>
      <c r="AL155" s="26">
        <v>7.7346000000000004</v>
      </c>
      <c r="AM155" s="26">
        <v>43.371000000000002</v>
      </c>
      <c r="AN155" s="26">
        <v>51.512</v>
      </c>
      <c r="AO155" s="26">
        <v>21.504999999999999</v>
      </c>
      <c r="AP155" s="26">
        <v>28.939</v>
      </c>
      <c r="AQ155" s="26">
        <v>38.488</v>
      </c>
      <c r="AR155" s="26">
        <v>44.218000000000004</v>
      </c>
      <c r="AS155" s="26">
        <v>31.213000000000001</v>
      </c>
      <c r="AT155" s="26">
        <v>0.86578999999999995</v>
      </c>
      <c r="AU155" s="26">
        <v>39.880000000000003</v>
      </c>
      <c r="AV155" s="26">
        <v>38.265999999999998</v>
      </c>
      <c r="AW155" s="26">
        <v>38.997</v>
      </c>
      <c r="AX155" s="26">
        <v>45.335000000000001</v>
      </c>
      <c r="AY155" s="26">
        <v>0.86639999999999995</v>
      </c>
      <c r="AZ155" s="26">
        <v>37.082999999999998</v>
      </c>
      <c r="BA155" s="26">
        <v>0.86578999999999995</v>
      </c>
      <c r="BB155" s="26">
        <v>43.418999999999997</v>
      </c>
      <c r="BC155" s="26">
        <v>34.578000000000003</v>
      </c>
      <c r="BD155" s="26">
        <v>42.462000000000003</v>
      </c>
      <c r="BE155" s="26">
        <v>21.97</v>
      </c>
      <c r="BF155" s="26">
        <v>25.611999999999998</v>
      </c>
      <c r="BG155" s="26">
        <v>0.86578999999999995</v>
      </c>
      <c r="BH155" s="26">
        <v>34.753999999999998</v>
      </c>
      <c r="BI155" s="26">
        <v>49.777000000000001</v>
      </c>
      <c r="BJ155" s="26">
        <v>53.746000000000002</v>
      </c>
      <c r="BK155" s="26">
        <v>40.54</v>
      </c>
      <c r="BL155" s="26">
        <v>8.0740999999999996</v>
      </c>
      <c r="BM155" s="26">
        <v>45.406999999999996</v>
      </c>
      <c r="BN155" s="26">
        <v>57.619</v>
      </c>
      <c r="BO155" s="26">
        <v>41.643000000000001</v>
      </c>
      <c r="BP155" s="26">
        <v>43.895000000000003</v>
      </c>
      <c r="BQ155" s="26">
        <v>48.926000000000002</v>
      </c>
      <c r="BR155" s="26">
        <v>33.828000000000003</v>
      </c>
      <c r="BS155" s="26">
        <v>42.634</v>
      </c>
      <c r="BT155" s="26">
        <v>49.03</v>
      </c>
      <c r="BU155" s="26">
        <v>0.86639999999999995</v>
      </c>
      <c r="BV155" s="26">
        <v>45.764000000000003</v>
      </c>
      <c r="BW155" s="26">
        <v>57.847000000000001</v>
      </c>
      <c r="BX155" s="26">
        <v>44.284999999999997</v>
      </c>
      <c r="BY155" s="26">
        <v>36.777999999999999</v>
      </c>
      <c r="BZ155" s="26">
        <v>44.116999999999997</v>
      </c>
      <c r="CA155" s="26">
        <v>21.754000000000001</v>
      </c>
      <c r="CB155" s="26">
        <v>30.46</v>
      </c>
      <c r="CC155" s="26">
        <v>10.4</v>
      </c>
      <c r="CD155" s="26">
        <v>21.198</v>
      </c>
      <c r="CE155" s="26">
        <v>15.821</v>
      </c>
      <c r="CF155" s="26">
        <v>49.539000000000001</v>
      </c>
      <c r="CG155" s="26">
        <v>27.323</v>
      </c>
      <c r="CH155" s="26">
        <v>44.811999999999998</v>
      </c>
      <c r="CI155" s="26">
        <v>48.58</v>
      </c>
      <c r="CJ155" s="26">
        <v>43.048000000000002</v>
      </c>
      <c r="CK155" s="26">
        <v>43.63</v>
      </c>
      <c r="CL155" s="26">
        <v>37.018999999999998</v>
      </c>
      <c r="CM155" s="26">
        <v>7.6115000000000004</v>
      </c>
      <c r="CN155" s="26">
        <v>42.652000000000001</v>
      </c>
      <c r="CO155" s="26">
        <v>21.646999999999998</v>
      </c>
      <c r="CP155" s="26">
        <v>9.3694000000000006</v>
      </c>
      <c r="CQ155" s="26">
        <v>43.375999999999998</v>
      </c>
      <c r="CR155" s="26">
        <v>26.843</v>
      </c>
      <c r="CS155" s="26">
        <v>43.417999999999999</v>
      </c>
      <c r="CT155" s="26">
        <v>22.664999999999999</v>
      </c>
      <c r="CU155" s="26">
        <v>10.903</v>
      </c>
      <c r="CV155" s="26">
        <v>42.234999999999999</v>
      </c>
      <c r="CW155" s="26">
        <v>6.0415999999999999</v>
      </c>
      <c r="CX155" s="26">
        <v>38.082999999999998</v>
      </c>
      <c r="CY155" s="61"/>
      <c r="CZ155" s="537"/>
      <c r="DA155" s="61"/>
    </row>
    <row r="156" spans="1:16384">
      <c r="A156" s="279">
        <v>42583</v>
      </c>
      <c r="B156" s="26">
        <v>36.351999999999997</v>
      </c>
      <c r="C156" s="26">
        <v>42.88</v>
      </c>
      <c r="D156" s="26">
        <v>64.906999999999996</v>
      </c>
      <c r="E156" s="26">
        <v>12.317</v>
      </c>
      <c r="F156" s="26">
        <v>39.164999999999999</v>
      </c>
      <c r="G156" s="26">
        <v>43.515000000000001</v>
      </c>
      <c r="H156" s="26">
        <v>39.901000000000003</v>
      </c>
      <c r="I156" s="26">
        <v>29.591000000000001</v>
      </c>
      <c r="J156" s="26">
        <v>40.814999999999998</v>
      </c>
      <c r="K156" s="26">
        <v>37.47</v>
      </c>
      <c r="L156" s="26">
        <v>48.826000000000001</v>
      </c>
      <c r="M156" s="26">
        <v>49.98</v>
      </c>
      <c r="N156" s="26">
        <v>44.752000000000002</v>
      </c>
      <c r="O156" s="26">
        <v>33.822000000000003</v>
      </c>
      <c r="P156" s="26">
        <v>44.167000000000002</v>
      </c>
      <c r="Q156" s="26">
        <v>0.53969</v>
      </c>
      <c r="R156" s="26">
        <v>31.367999999999999</v>
      </c>
      <c r="S156" s="26">
        <v>0.53969</v>
      </c>
      <c r="T156" s="26">
        <v>0.53969</v>
      </c>
      <c r="U156" s="26">
        <v>37.933999999999997</v>
      </c>
      <c r="V156" s="26">
        <v>43.933999999999997</v>
      </c>
      <c r="W156" s="26">
        <v>38.451000000000001</v>
      </c>
      <c r="X156" s="26">
        <v>47.095999999999997</v>
      </c>
      <c r="Y156" s="26">
        <v>55.054000000000002</v>
      </c>
      <c r="Z156" s="26">
        <v>44.588000000000001</v>
      </c>
      <c r="AA156" s="26">
        <v>38.04</v>
      </c>
      <c r="AB156" s="26">
        <v>38.453000000000003</v>
      </c>
      <c r="AC156" s="26">
        <v>46.902000000000001</v>
      </c>
      <c r="AD156" s="26">
        <v>37.750999999999998</v>
      </c>
      <c r="AE156" s="26">
        <v>56.496000000000002</v>
      </c>
      <c r="AF156" s="26">
        <v>45.23</v>
      </c>
      <c r="AG156" s="26">
        <v>47.396000000000001</v>
      </c>
      <c r="AH156" s="26">
        <v>45.926000000000002</v>
      </c>
      <c r="AI156" s="26">
        <v>32.857999999999997</v>
      </c>
      <c r="AJ156" s="26">
        <v>47.738999999999997</v>
      </c>
      <c r="AK156" s="26">
        <v>42.612000000000002</v>
      </c>
      <c r="AL156" s="26">
        <v>9.7739999999999991</v>
      </c>
      <c r="AM156" s="26">
        <v>38.890999999999998</v>
      </c>
      <c r="AN156" s="26">
        <v>56.387999999999998</v>
      </c>
      <c r="AO156" s="26">
        <v>38.981000000000002</v>
      </c>
      <c r="AP156" s="26">
        <v>10.003</v>
      </c>
      <c r="AQ156" s="26">
        <v>37.674999999999997</v>
      </c>
      <c r="AR156" s="26">
        <v>38.826999999999998</v>
      </c>
      <c r="AS156" s="26">
        <v>32.018000000000001</v>
      </c>
      <c r="AT156" s="26">
        <v>0.53969</v>
      </c>
      <c r="AU156" s="26">
        <v>38.505000000000003</v>
      </c>
      <c r="AV156" s="26">
        <v>31.645</v>
      </c>
      <c r="AW156" s="26">
        <v>36.494</v>
      </c>
      <c r="AX156" s="26">
        <v>42.465000000000003</v>
      </c>
      <c r="AY156" s="26">
        <v>1.9562999999999999</v>
      </c>
      <c r="AZ156" s="26">
        <v>48.100999999999999</v>
      </c>
      <c r="BA156" s="26">
        <v>0.53969</v>
      </c>
      <c r="BB156" s="26">
        <v>37.542999999999999</v>
      </c>
      <c r="BC156" s="26">
        <v>37.634</v>
      </c>
      <c r="BD156" s="26">
        <v>43.655000000000001</v>
      </c>
      <c r="BE156" s="26">
        <v>25.641999999999999</v>
      </c>
      <c r="BF156" s="26">
        <v>35.777000000000001</v>
      </c>
      <c r="BG156" s="26">
        <v>8.7047000000000008</v>
      </c>
      <c r="BH156" s="26">
        <v>28.969000000000001</v>
      </c>
      <c r="BI156" s="26">
        <v>56.59</v>
      </c>
      <c r="BJ156" s="26">
        <v>46.662999999999997</v>
      </c>
      <c r="BK156" s="26">
        <v>46.411000000000001</v>
      </c>
      <c r="BL156" s="26">
        <v>9.9564000000000004</v>
      </c>
      <c r="BM156" s="26">
        <v>46.5</v>
      </c>
      <c r="BN156" s="26">
        <v>61.26</v>
      </c>
      <c r="BO156" s="26">
        <v>47.308</v>
      </c>
      <c r="BP156" s="26">
        <v>46.616</v>
      </c>
      <c r="BQ156" s="26">
        <v>47.828000000000003</v>
      </c>
      <c r="BR156" s="26">
        <v>15.013999999999999</v>
      </c>
      <c r="BS156" s="26">
        <v>38.020000000000003</v>
      </c>
      <c r="BT156" s="26">
        <v>46.795999999999999</v>
      </c>
      <c r="BU156" s="26">
        <v>0.53969</v>
      </c>
      <c r="BV156" s="26">
        <v>46.786999999999999</v>
      </c>
      <c r="BW156" s="26">
        <v>54.95</v>
      </c>
      <c r="BX156" s="26">
        <v>42.71</v>
      </c>
      <c r="BY156" s="26">
        <v>46.997999999999998</v>
      </c>
      <c r="BZ156" s="26">
        <v>53.9</v>
      </c>
      <c r="CA156" s="26">
        <v>30.164000000000001</v>
      </c>
      <c r="CB156" s="26">
        <v>15.122</v>
      </c>
      <c r="CC156" s="26">
        <v>6.9250999999999996</v>
      </c>
      <c r="CD156" s="26">
        <v>13.394</v>
      </c>
      <c r="CE156" s="26">
        <v>22.706</v>
      </c>
      <c r="CF156" s="26">
        <v>47.68</v>
      </c>
      <c r="CG156" s="26">
        <v>38.119999999999997</v>
      </c>
      <c r="CH156" s="26">
        <v>46.173000000000002</v>
      </c>
      <c r="CI156" s="26">
        <v>45.677</v>
      </c>
      <c r="CJ156" s="26">
        <v>41.841000000000001</v>
      </c>
      <c r="CK156" s="26">
        <v>37.545000000000002</v>
      </c>
      <c r="CL156" s="26">
        <v>45.198999999999998</v>
      </c>
      <c r="CM156" s="26">
        <v>0.72109999999999996</v>
      </c>
      <c r="CN156" s="26">
        <v>43.978999999999999</v>
      </c>
      <c r="CO156" s="26">
        <v>36.860999999999997</v>
      </c>
      <c r="CP156" s="26">
        <v>12.276</v>
      </c>
      <c r="CQ156" s="26">
        <v>43.343000000000004</v>
      </c>
      <c r="CR156" s="26">
        <v>9.7926000000000002</v>
      </c>
      <c r="CS156" s="26">
        <v>15.954000000000001</v>
      </c>
      <c r="CT156" s="26">
        <v>37.747999999999998</v>
      </c>
      <c r="CU156" s="26">
        <v>10.119</v>
      </c>
      <c r="CV156" s="26">
        <v>37.067999999999998</v>
      </c>
      <c r="CW156" s="26">
        <v>0.86639999999999995</v>
      </c>
      <c r="CX156" s="26">
        <v>40.24</v>
      </c>
      <c r="CY156" s="61"/>
      <c r="CZ156" s="537"/>
      <c r="DA156" s="61"/>
    </row>
    <row r="157" spans="1:16384">
      <c r="A157" s="279">
        <v>42614</v>
      </c>
      <c r="B157" s="26">
        <v>43.207999999999998</v>
      </c>
      <c r="C157" s="26">
        <v>41.194000000000003</v>
      </c>
      <c r="D157" s="26">
        <v>59.076000000000001</v>
      </c>
      <c r="E157" s="26">
        <v>28.8</v>
      </c>
      <c r="F157" s="26">
        <v>38.140999999999998</v>
      </c>
      <c r="G157" s="26">
        <v>28.14</v>
      </c>
      <c r="H157" s="26">
        <v>30.861999999999998</v>
      </c>
      <c r="I157" s="26">
        <v>32.244999999999997</v>
      </c>
      <c r="J157" s="26">
        <v>38.843000000000004</v>
      </c>
      <c r="K157" s="26">
        <v>41.908999999999999</v>
      </c>
      <c r="L157" s="26">
        <v>51.359000000000002</v>
      </c>
      <c r="M157" s="26">
        <v>54.024999999999999</v>
      </c>
      <c r="N157" s="26">
        <v>49.061</v>
      </c>
      <c r="O157" s="26">
        <v>37.454000000000001</v>
      </c>
      <c r="P157" s="26">
        <v>50.264000000000003</v>
      </c>
      <c r="Q157" s="26">
        <v>0.71333000000000002</v>
      </c>
      <c r="R157" s="26">
        <v>35.134999999999998</v>
      </c>
      <c r="S157" s="26">
        <v>1.0185</v>
      </c>
      <c r="T157" s="26">
        <v>13.645</v>
      </c>
      <c r="U157" s="26">
        <v>50.026000000000003</v>
      </c>
      <c r="V157" s="26">
        <v>39.514000000000003</v>
      </c>
      <c r="W157" s="26">
        <v>37.162999999999997</v>
      </c>
      <c r="X157" s="26">
        <v>49.593000000000004</v>
      </c>
      <c r="Y157" s="26">
        <v>56.844999999999999</v>
      </c>
      <c r="Z157" s="26">
        <v>32.749000000000002</v>
      </c>
      <c r="AA157" s="26">
        <v>11.442</v>
      </c>
      <c r="AB157" s="26">
        <v>45.094000000000001</v>
      </c>
      <c r="AC157" s="26">
        <v>48.79</v>
      </c>
      <c r="AD157" s="26">
        <v>37.131999999999998</v>
      </c>
      <c r="AE157" s="26">
        <v>57.003999999999998</v>
      </c>
      <c r="AF157" s="26">
        <v>49.206000000000003</v>
      </c>
      <c r="AG157" s="26">
        <v>53.387</v>
      </c>
      <c r="AH157" s="26">
        <v>41.284999999999997</v>
      </c>
      <c r="AI157" s="26">
        <v>35.799999999999997</v>
      </c>
      <c r="AJ157" s="26">
        <v>54.055</v>
      </c>
      <c r="AK157" s="26">
        <v>44.262999999999998</v>
      </c>
      <c r="AL157" s="26">
        <v>0.65142</v>
      </c>
      <c r="AM157" s="26">
        <v>42.222999999999999</v>
      </c>
      <c r="AN157" s="26">
        <v>55.133000000000003</v>
      </c>
      <c r="AO157" s="26">
        <v>33.453000000000003</v>
      </c>
      <c r="AP157" s="26">
        <v>16.076000000000001</v>
      </c>
      <c r="AQ157" s="26">
        <v>44.192999999999998</v>
      </c>
      <c r="AR157" s="26">
        <v>45.878999999999998</v>
      </c>
      <c r="AS157" s="26">
        <v>42.857999999999997</v>
      </c>
      <c r="AT157" s="26">
        <v>1.0085999999999999</v>
      </c>
      <c r="AU157" s="26">
        <v>42.942</v>
      </c>
      <c r="AV157" s="26">
        <v>35.648000000000003</v>
      </c>
      <c r="AW157" s="26">
        <v>16.856000000000002</v>
      </c>
      <c r="AX157" s="26">
        <v>38.777000000000001</v>
      </c>
      <c r="AY157" s="26">
        <v>3.5009000000000001</v>
      </c>
      <c r="AZ157" s="26">
        <v>45.628999999999998</v>
      </c>
      <c r="BA157" s="26">
        <v>2.4912999999999998</v>
      </c>
      <c r="BB157" s="26">
        <v>40.061</v>
      </c>
      <c r="BC157" s="26">
        <v>43.7</v>
      </c>
      <c r="BD157" s="26">
        <v>50.445999999999998</v>
      </c>
      <c r="BE157" s="26">
        <v>32.401000000000003</v>
      </c>
      <c r="BF157" s="26">
        <v>44.417000000000002</v>
      </c>
      <c r="BG157" s="26">
        <v>20.954000000000001</v>
      </c>
      <c r="BH157" s="26">
        <v>36.186</v>
      </c>
      <c r="BI157" s="26">
        <v>56.472999999999999</v>
      </c>
      <c r="BJ157" s="26">
        <v>45.344000000000001</v>
      </c>
      <c r="BK157" s="26">
        <v>44.353999999999999</v>
      </c>
      <c r="BL157" s="26">
        <v>4.9200999999999997</v>
      </c>
      <c r="BM157" s="26">
        <v>45.177</v>
      </c>
      <c r="BN157" s="26">
        <v>56.795000000000002</v>
      </c>
      <c r="BO157" s="26">
        <v>49.551000000000002</v>
      </c>
      <c r="BP157" s="26">
        <v>49.341000000000001</v>
      </c>
      <c r="BQ157" s="26">
        <v>46.872</v>
      </c>
      <c r="BR157" s="26">
        <v>30.876999999999999</v>
      </c>
      <c r="BS157" s="26">
        <v>42.695</v>
      </c>
      <c r="BT157" s="26">
        <v>51.889000000000003</v>
      </c>
      <c r="BU157" s="26">
        <v>0.62807000000000002</v>
      </c>
      <c r="BV157" s="26">
        <v>50.445999999999998</v>
      </c>
      <c r="BW157" s="26">
        <v>58.295000000000002</v>
      </c>
      <c r="BX157" s="26">
        <v>38.831000000000003</v>
      </c>
      <c r="BY157" s="26">
        <v>52.076000000000001</v>
      </c>
      <c r="BZ157" s="26">
        <v>58.911999999999999</v>
      </c>
      <c r="CA157" s="26">
        <v>33.347000000000001</v>
      </c>
      <c r="CB157" s="26">
        <v>8.4838000000000005</v>
      </c>
      <c r="CC157" s="26">
        <v>21.896000000000001</v>
      </c>
      <c r="CD157" s="26">
        <v>26.346</v>
      </c>
      <c r="CE157" s="26">
        <v>14.952999999999999</v>
      </c>
      <c r="CF157" s="26">
        <v>45.463999999999999</v>
      </c>
      <c r="CG157" s="26">
        <v>32.116</v>
      </c>
      <c r="CH157" s="26">
        <v>46.341000000000001</v>
      </c>
      <c r="CI157" s="26">
        <v>49.307000000000002</v>
      </c>
      <c r="CJ157" s="26">
        <v>46.66</v>
      </c>
      <c r="CK157" s="26">
        <v>42.948</v>
      </c>
      <c r="CL157" s="26">
        <v>36.204000000000001</v>
      </c>
      <c r="CM157" s="26">
        <v>0.78757999999999995</v>
      </c>
      <c r="CN157" s="26">
        <v>48.665999999999997</v>
      </c>
      <c r="CO157" s="26">
        <v>44.463000000000001</v>
      </c>
      <c r="CP157" s="26">
        <v>1.7282</v>
      </c>
      <c r="CQ157" s="26">
        <v>44.847000000000001</v>
      </c>
      <c r="CR157" s="26">
        <v>0.61429999999999996</v>
      </c>
      <c r="CS157" s="26">
        <v>17.04</v>
      </c>
      <c r="CT157" s="26">
        <v>39.680999999999997</v>
      </c>
      <c r="CU157" s="26">
        <v>0.53969</v>
      </c>
      <c r="CV157" s="26">
        <v>21.395</v>
      </c>
      <c r="CW157" s="26">
        <v>1.0421</v>
      </c>
      <c r="CX157" s="26">
        <v>40.619</v>
      </c>
      <c r="CY157" s="61"/>
      <c r="CZ157" s="537"/>
      <c r="DA157" s="61"/>
    </row>
    <row r="158" spans="1:16384">
      <c r="A158" s="279">
        <v>42644</v>
      </c>
      <c r="B158" s="26">
        <v>41.814</v>
      </c>
      <c r="C158" s="26">
        <v>36.389000000000003</v>
      </c>
      <c r="D158" s="26">
        <v>63.006999999999998</v>
      </c>
      <c r="E158" s="26">
        <v>35.86</v>
      </c>
      <c r="F158" s="26">
        <v>45.517000000000003</v>
      </c>
      <c r="G158" s="26">
        <v>35.470999999999997</v>
      </c>
      <c r="H158" s="26">
        <v>36.04</v>
      </c>
      <c r="I158" s="26">
        <v>35.799999999999997</v>
      </c>
      <c r="J158" s="26">
        <v>36.023000000000003</v>
      </c>
      <c r="K158" s="26">
        <v>44.927999999999997</v>
      </c>
      <c r="L158" s="26">
        <v>55.08</v>
      </c>
      <c r="M158" s="26">
        <v>55.317</v>
      </c>
      <c r="N158" s="26">
        <v>49.546999999999997</v>
      </c>
      <c r="O158" s="26">
        <v>35.387</v>
      </c>
      <c r="P158" s="26">
        <v>44.997</v>
      </c>
      <c r="Q158" s="26">
        <v>25.841999999999999</v>
      </c>
      <c r="R158" s="26">
        <v>43.057000000000002</v>
      </c>
      <c r="S158" s="26">
        <v>0.61429999999999996</v>
      </c>
      <c r="T158" s="26">
        <v>1.2827</v>
      </c>
      <c r="U158" s="26">
        <v>48.94</v>
      </c>
      <c r="V158" s="26">
        <v>43.67</v>
      </c>
      <c r="W158" s="26">
        <v>36.067</v>
      </c>
      <c r="X158" s="26">
        <v>50.607999999999997</v>
      </c>
      <c r="Y158" s="26">
        <v>49.889000000000003</v>
      </c>
      <c r="Z158" s="26">
        <v>33.865000000000002</v>
      </c>
      <c r="AA158" s="26">
        <v>27.123999999999999</v>
      </c>
      <c r="AB158" s="26">
        <v>46.351999999999997</v>
      </c>
      <c r="AC158" s="26">
        <v>48.57</v>
      </c>
      <c r="AD158" s="26">
        <v>23.439</v>
      </c>
      <c r="AE158" s="26">
        <v>56.286999999999999</v>
      </c>
      <c r="AF158" s="26">
        <v>49.606999999999999</v>
      </c>
      <c r="AG158" s="26">
        <v>56.146000000000001</v>
      </c>
      <c r="AH158" s="26">
        <v>42.78</v>
      </c>
      <c r="AI158" s="26">
        <v>36.119999999999997</v>
      </c>
      <c r="AJ158" s="26">
        <v>48.893999999999998</v>
      </c>
      <c r="AK158" s="26">
        <v>44.052999999999997</v>
      </c>
      <c r="AL158" s="26">
        <v>15.22</v>
      </c>
      <c r="AM158" s="26">
        <v>42.816000000000003</v>
      </c>
      <c r="AN158" s="26">
        <v>51.488999999999997</v>
      </c>
      <c r="AO158" s="26">
        <v>21.419</v>
      </c>
      <c r="AP158" s="26">
        <v>21.638000000000002</v>
      </c>
      <c r="AQ158" s="26">
        <v>48.167000000000002</v>
      </c>
      <c r="AR158" s="26">
        <v>48.962000000000003</v>
      </c>
      <c r="AS158" s="26">
        <v>37.396999999999998</v>
      </c>
      <c r="AT158" s="26">
        <v>0.61429999999999996</v>
      </c>
      <c r="AU158" s="26">
        <v>32.177</v>
      </c>
      <c r="AV158" s="26">
        <v>35.255000000000003</v>
      </c>
      <c r="AW158" s="26">
        <v>35.045000000000002</v>
      </c>
      <c r="AX158" s="26">
        <v>37.228000000000002</v>
      </c>
      <c r="AY158" s="26">
        <v>9.8825000000000003</v>
      </c>
      <c r="AZ158" s="26">
        <v>42.926000000000002</v>
      </c>
      <c r="BA158" s="26">
        <v>22.518999999999998</v>
      </c>
      <c r="BB158" s="26">
        <v>45.142000000000003</v>
      </c>
      <c r="BC158" s="26">
        <v>42.183999999999997</v>
      </c>
      <c r="BD158" s="26">
        <v>49.585000000000001</v>
      </c>
      <c r="BE158" s="26">
        <v>36.375</v>
      </c>
      <c r="BF158" s="26">
        <v>34.783999999999999</v>
      </c>
      <c r="BG158" s="26">
        <v>31.582000000000001</v>
      </c>
      <c r="BH158" s="26">
        <v>35.929000000000002</v>
      </c>
      <c r="BI158" s="26">
        <v>62.859000000000002</v>
      </c>
      <c r="BJ158" s="26">
        <v>49.286000000000001</v>
      </c>
      <c r="BK158" s="26">
        <v>42.81</v>
      </c>
      <c r="BL158" s="26">
        <v>15.478</v>
      </c>
      <c r="BM158" s="26">
        <v>36.881</v>
      </c>
      <c r="BN158" s="26">
        <v>61.360999999999997</v>
      </c>
      <c r="BO158" s="26">
        <v>49.896000000000001</v>
      </c>
      <c r="BP158" s="26">
        <v>44.344000000000001</v>
      </c>
      <c r="BQ158" s="26">
        <v>45.834000000000003</v>
      </c>
      <c r="BR158" s="26">
        <v>35.945</v>
      </c>
      <c r="BS158" s="26">
        <v>43.308</v>
      </c>
      <c r="BT158" s="26">
        <v>49.331000000000003</v>
      </c>
      <c r="BU158" s="26">
        <v>0.61429999999999996</v>
      </c>
      <c r="BV158" s="26">
        <v>49.046999999999997</v>
      </c>
      <c r="BW158" s="26">
        <v>56.619</v>
      </c>
      <c r="BX158" s="26">
        <v>29.478999999999999</v>
      </c>
      <c r="BY158" s="26">
        <v>49.585000000000001</v>
      </c>
      <c r="BZ158" s="26">
        <v>56.646999999999998</v>
      </c>
      <c r="CA158" s="26">
        <v>35.689</v>
      </c>
      <c r="CB158" s="26">
        <v>2.6541999999999999</v>
      </c>
      <c r="CC158" s="26">
        <v>32.682000000000002</v>
      </c>
      <c r="CD158" s="26">
        <v>8.7261000000000006</v>
      </c>
      <c r="CE158" s="26">
        <v>5.9500999999999999</v>
      </c>
      <c r="CF158" s="26">
        <v>48.465000000000003</v>
      </c>
      <c r="CG158" s="26">
        <v>40.136000000000003</v>
      </c>
      <c r="CH158" s="26">
        <v>51.759</v>
      </c>
      <c r="CI158" s="26">
        <v>50.372</v>
      </c>
      <c r="CJ158" s="26">
        <v>42.802999999999997</v>
      </c>
      <c r="CK158" s="26">
        <v>42.685000000000002</v>
      </c>
      <c r="CL158" s="26">
        <v>45.597999999999999</v>
      </c>
      <c r="CM158" s="26">
        <v>1.0326</v>
      </c>
      <c r="CN158" s="26">
        <v>36.753999999999998</v>
      </c>
      <c r="CO158" s="26">
        <v>46.043999999999997</v>
      </c>
      <c r="CP158" s="26">
        <v>2.2353000000000001</v>
      </c>
      <c r="CQ158" s="26">
        <v>46.878</v>
      </c>
      <c r="CR158" s="26">
        <v>0.61429999999999996</v>
      </c>
      <c r="CS158" s="26">
        <v>8.0328999999999997</v>
      </c>
      <c r="CT158" s="26">
        <v>40.31</v>
      </c>
      <c r="CU158" s="26">
        <v>0.61429999999999996</v>
      </c>
      <c r="CV158" s="26">
        <v>22.454999999999998</v>
      </c>
      <c r="CW158" s="26">
        <v>3.9609000000000001</v>
      </c>
      <c r="CX158" s="26">
        <v>39.686</v>
      </c>
      <c r="CY158" s="61"/>
      <c r="CZ158" s="537"/>
      <c r="DA158" s="61"/>
    </row>
    <row r="159" spans="1:16384">
      <c r="A159" s="279">
        <v>42675</v>
      </c>
      <c r="B159" s="26">
        <v>42.23</v>
      </c>
      <c r="C159" s="26">
        <v>37.695999999999998</v>
      </c>
      <c r="D159" s="26">
        <v>66.799000000000007</v>
      </c>
      <c r="E159" s="26">
        <v>33.222000000000001</v>
      </c>
      <c r="F159" s="26">
        <v>42.862000000000002</v>
      </c>
      <c r="G159" s="26">
        <v>42.12</v>
      </c>
      <c r="H159" s="26">
        <v>42.680999999999997</v>
      </c>
      <c r="I159" s="26">
        <v>38.817</v>
      </c>
      <c r="J159" s="26">
        <v>42.978000000000002</v>
      </c>
      <c r="K159" s="26">
        <v>45.843000000000004</v>
      </c>
      <c r="L159" s="26">
        <v>54.646999999999998</v>
      </c>
      <c r="M159" s="26">
        <v>55.738</v>
      </c>
      <c r="N159" s="26">
        <v>54.475000000000001</v>
      </c>
      <c r="O159" s="26">
        <v>33.234000000000002</v>
      </c>
      <c r="P159" s="26">
        <v>42.664000000000001</v>
      </c>
      <c r="Q159" s="26">
        <v>16.933</v>
      </c>
      <c r="R159" s="26">
        <v>44.978999999999999</v>
      </c>
      <c r="S159" s="26">
        <v>0.29211999999999999</v>
      </c>
      <c r="T159" s="26">
        <v>10.868</v>
      </c>
      <c r="U159" s="26">
        <v>52.960999999999999</v>
      </c>
      <c r="V159" s="26">
        <v>54.771000000000001</v>
      </c>
      <c r="W159" s="26">
        <v>42.728999999999999</v>
      </c>
      <c r="X159" s="26">
        <v>56.439</v>
      </c>
      <c r="Y159" s="26">
        <v>51.902000000000001</v>
      </c>
      <c r="Z159" s="26">
        <v>36.738</v>
      </c>
      <c r="AA159" s="26">
        <v>22.207999999999998</v>
      </c>
      <c r="AB159" s="26">
        <v>42.478000000000002</v>
      </c>
      <c r="AC159" s="26">
        <v>36.573</v>
      </c>
      <c r="AD159" s="26">
        <v>23.148</v>
      </c>
      <c r="AE159" s="26">
        <v>54.326999999999998</v>
      </c>
      <c r="AF159" s="26">
        <v>42.029000000000003</v>
      </c>
      <c r="AG159" s="26">
        <v>54.484000000000002</v>
      </c>
      <c r="AH159" s="26">
        <v>41.066000000000003</v>
      </c>
      <c r="AI159" s="26">
        <v>38.049999999999997</v>
      </c>
      <c r="AJ159" s="26">
        <v>41.753999999999998</v>
      </c>
      <c r="AK159" s="26">
        <v>31.446000000000002</v>
      </c>
      <c r="AL159" s="26">
        <v>22.617000000000001</v>
      </c>
      <c r="AM159" s="26">
        <v>45.005000000000003</v>
      </c>
      <c r="AN159" s="26">
        <v>55.51</v>
      </c>
      <c r="AO159" s="26">
        <v>25.091000000000001</v>
      </c>
      <c r="AP159" s="26">
        <v>22.241</v>
      </c>
      <c r="AQ159" s="26">
        <v>45.042000000000002</v>
      </c>
      <c r="AR159" s="26">
        <v>48.543999999999997</v>
      </c>
      <c r="AS159" s="26">
        <v>39.037999999999997</v>
      </c>
      <c r="AT159" s="26">
        <v>0.72470000000000001</v>
      </c>
      <c r="AU159" s="26">
        <v>37.981999999999999</v>
      </c>
      <c r="AV159" s="26">
        <v>30.821999999999999</v>
      </c>
      <c r="AW159" s="26">
        <v>36.594999999999999</v>
      </c>
      <c r="AX159" s="26">
        <v>33.609000000000002</v>
      </c>
      <c r="AY159" s="26">
        <v>25.495000000000001</v>
      </c>
      <c r="AZ159" s="26">
        <v>31.416</v>
      </c>
      <c r="BA159" s="26">
        <v>31.103999999999999</v>
      </c>
      <c r="BB159" s="26">
        <v>42.122999999999998</v>
      </c>
      <c r="BC159" s="26">
        <v>36.194000000000003</v>
      </c>
      <c r="BD159" s="26">
        <v>53.423000000000002</v>
      </c>
      <c r="BE159" s="26">
        <v>38.095999999999997</v>
      </c>
      <c r="BF159" s="26">
        <v>31.148</v>
      </c>
      <c r="BG159" s="26">
        <v>37.055</v>
      </c>
      <c r="BH159" s="26">
        <v>43.451000000000001</v>
      </c>
      <c r="BI159" s="26">
        <v>55.9</v>
      </c>
      <c r="BJ159" s="26">
        <v>42.994999999999997</v>
      </c>
      <c r="BK159" s="26">
        <v>42.783000000000001</v>
      </c>
      <c r="BL159" s="26">
        <v>29.26</v>
      </c>
      <c r="BM159" s="26">
        <v>38.881999999999998</v>
      </c>
      <c r="BN159" s="26">
        <v>65.216999999999999</v>
      </c>
      <c r="BO159" s="26">
        <v>54.476999999999997</v>
      </c>
      <c r="BP159" s="26">
        <v>44.454999999999998</v>
      </c>
      <c r="BQ159" s="26">
        <v>54.045999999999999</v>
      </c>
      <c r="BR159" s="26">
        <v>44.161000000000001</v>
      </c>
      <c r="BS159" s="26">
        <v>37.131999999999998</v>
      </c>
      <c r="BT159" s="26">
        <v>54.276000000000003</v>
      </c>
      <c r="BU159" s="26">
        <v>0.53969</v>
      </c>
      <c r="BV159" s="26">
        <v>54.390999999999998</v>
      </c>
      <c r="BW159" s="26">
        <v>56.441000000000003</v>
      </c>
      <c r="BX159" s="26">
        <v>22.48</v>
      </c>
      <c r="BY159" s="26">
        <v>53.268000000000001</v>
      </c>
      <c r="BZ159" s="26">
        <v>54.481999999999999</v>
      </c>
      <c r="CA159" s="26">
        <v>36.795000000000002</v>
      </c>
      <c r="CB159" s="26">
        <v>1.0325</v>
      </c>
      <c r="CC159" s="26">
        <v>38.406999999999996</v>
      </c>
      <c r="CD159" s="26">
        <v>21.614999999999998</v>
      </c>
      <c r="CE159" s="26">
        <v>0.53969</v>
      </c>
      <c r="CF159" s="26">
        <v>52.414999999999999</v>
      </c>
      <c r="CG159" s="26">
        <v>47.972000000000001</v>
      </c>
      <c r="CH159" s="26">
        <v>50.96</v>
      </c>
      <c r="CI159" s="26">
        <v>54.395000000000003</v>
      </c>
      <c r="CJ159" s="26">
        <v>32.08</v>
      </c>
      <c r="CK159" s="26">
        <v>44.469000000000001</v>
      </c>
      <c r="CL159" s="26">
        <v>45.167999999999999</v>
      </c>
      <c r="CM159" s="26">
        <v>0.9032</v>
      </c>
      <c r="CN159" s="26">
        <v>44.871000000000002</v>
      </c>
      <c r="CO159" s="26">
        <v>53.215000000000003</v>
      </c>
      <c r="CP159" s="26">
        <v>0.82613999999999999</v>
      </c>
      <c r="CQ159" s="26">
        <v>39.393000000000001</v>
      </c>
      <c r="CR159" s="26">
        <v>0.53969</v>
      </c>
      <c r="CS159" s="26">
        <v>31.459</v>
      </c>
      <c r="CT159" s="26">
        <v>45.091999999999999</v>
      </c>
      <c r="CU159" s="26">
        <v>29.009</v>
      </c>
      <c r="CV159" s="26">
        <v>31.75</v>
      </c>
      <c r="CW159" s="26">
        <v>12.457000000000001</v>
      </c>
      <c r="CX159" s="26">
        <v>43.621000000000002</v>
      </c>
      <c r="CY159" s="61"/>
      <c r="CZ159" s="537"/>
      <c r="DA159" s="61"/>
    </row>
    <row r="160" spans="1:16384">
      <c r="A160" s="279">
        <v>42705</v>
      </c>
      <c r="B160" s="26">
        <v>51.133000000000003</v>
      </c>
      <c r="C160" s="26">
        <v>42.841000000000001</v>
      </c>
      <c r="D160" s="26">
        <v>91.004999999999995</v>
      </c>
      <c r="E160" s="26">
        <v>32.343000000000004</v>
      </c>
      <c r="F160" s="26">
        <v>49.506</v>
      </c>
      <c r="G160" s="26">
        <v>47.03</v>
      </c>
      <c r="H160" s="26">
        <v>50.484999999999999</v>
      </c>
      <c r="I160" s="26">
        <v>42.823999999999998</v>
      </c>
      <c r="J160" s="26">
        <v>43.521000000000001</v>
      </c>
      <c r="K160" s="26">
        <v>38.639000000000003</v>
      </c>
      <c r="L160" s="26">
        <v>59.048999999999999</v>
      </c>
      <c r="M160" s="26">
        <v>50.843000000000004</v>
      </c>
      <c r="N160" s="26">
        <v>49.52</v>
      </c>
      <c r="O160" s="26">
        <v>30.21</v>
      </c>
      <c r="P160" s="26">
        <v>42.261000000000003</v>
      </c>
      <c r="Q160" s="26">
        <v>16.875</v>
      </c>
      <c r="R160" s="26">
        <v>48.38</v>
      </c>
      <c r="S160" s="26">
        <v>16.047999999999998</v>
      </c>
      <c r="T160" s="26">
        <v>12.695</v>
      </c>
      <c r="U160" s="26">
        <v>39.043999999999997</v>
      </c>
      <c r="V160" s="26">
        <v>54.101999999999997</v>
      </c>
      <c r="W160" s="26">
        <v>42.835999999999999</v>
      </c>
      <c r="X160" s="26">
        <v>57.406999999999996</v>
      </c>
      <c r="Y160" s="26">
        <v>47.155000000000001</v>
      </c>
      <c r="Z160" s="26">
        <v>50.765000000000001</v>
      </c>
      <c r="AA160" s="26">
        <v>28.942</v>
      </c>
      <c r="AB160" s="26">
        <v>43.457000000000001</v>
      </c>
      <c r="AC160" s="26">
        <v>37.201999999999998</v>
      </c>
      <c r="AD160" s="26">
        <v>25.323</v>
      </c>
      <c r="AE160" s="26">
        <v>58.56</v>
      </c>
      <c r="AF160" s="26">
        <v>53.558</v>
      </c>
      <c r="AG160" s="26">
        <v>51.444000000000003</v>
      </c>
      <c r="AH160" s="26">
        <v>43.051000000000002</v>
      </c>
      <c r="AI160" s="26">
        <v>42.670999999999999</v>
      </c>
      <c r="AJ160" s="26">
        <v>46.963999999999999</v>
      </c>
      <c r="AK160" s="26">
        <v>30.175000000000001</v>
      </c>
      <c r="AL160" s="26">
        <v>28.827999999999999</v>
      </c>
      <c r="AM160" s="26">
        <v>53.738999999999997</v>
      </c>
      <c r="AN160" s="26">
        <v>63.012999999999998</v>
      </c>
      <c r="AO160" s="26">
        <v>24.841000000000001</v>
      </c>
      <c r="AP160" s="26">
        <v>29.437999999999999</v>
      </c>
      <c r="AQ160" s="26">
        <v>49.283000000000001</v>
      </c>
      <c r="AR160" s="26">
        <v>47.347000000000001</v>
      </c>
      <c r="AS160" s="26">
        <v>38.131</v>
      </c>
      <c r="AT160" s="26">
        <v>1.0348999999999999</v>
      </c>
      <c r="AU160" s="26">
        <v>37.408999999999999</v>
      </c>
      <c r="AV160" s="26">
        <v>24.863</v>
      </c>
      <c r="AW160" s="26">
        <v>42.789000000000001</v>
      </c>
      <c r="AX160" s="26">
        <v>25.419</v>
      </c>
      <c r="AY160" s="26">
        <v>35.177999999999997</v>
      </c>
      <c r="AZ160" s="26">
        <v>36.29</v>
      </c>
      <c r="BA160" s="26">
        <v>42.31</v>
      </c>
      <c r="BB160" s="26">
        <v>49.5</v>
      </c>
      <c r="BC160" s="26">
        <v>42.765000000000001</v>
      </c>
      <c r="BD160" s="26">
        <v>54.052</v>
      </c>
      <c r="BE160" s="26">
        <v>37.292000000000002</v>
      </c>
      <c r="BF160" s="26">
        <v>29.074000000000002</v>
      </c>
      <c r="BG160" s="26">
        <v>39.853999999999999</v>
      </c>
      <c r="BH160" s="26">
        <v>37.811</v>
      </c>
      <c r="BI160" s="26">
        <v>56.637999999999998</v>
      </c>
      <c r="BJ160" s="26">
        <v>37.204000000000001</v>
      </c>
      <c r="BK160" s="26">
        <v>50.917000000000002</v>
      </c>
      <c r="BL160" s="26">
        <v>23.890999999999998</v>
      </c>
      <c r="BM160" s="26">
        <v>45.920999999999999</v>
      </c>
      <c r="BN160" s="26">
        <v>73.614999999999995</v>
      </c>
      <c r="BO160" s="26">
        <v>58.447000000000003</v>
      </c>
      <c r="BP160" s="26">
        <v>42.677999999999997</v>
      </c>
      <c r="BQ160" s="26">
        <v>58.723999999999997</v>
      </c>
      <c r="BR160" s="26">
        <v>47.067999999999998</v>
      </c>
      <c r="BS160" s="26">
        <v>50.576999999999998</v>
      </c>
      <c r="BT160" s="26">
        <v>54.625</v>
      </c>
      <c r="BU160" s="26">
        <v>35.307000000000002</v>
      </c>
      <c r="BV160" s="26">
        <v>51.555999999999997</v>
      </c>
      <c r="BW160" s="26">
        <v>58.863</v>
      </c>
      <c r="BX160" s="26">
        <v>25.414000000000001</v>
      </c>
      <c r="BY160" s="26">
        <v>58.71</v>
      </c>
      <c r="BZ160" s="26">
        <v>46.671999999999997</v>
      </c>
      <c r="CA160" s="26">
        <v>37.171999999999997</v>
      </c>
      <c r="CB160" s="26">
        <v>16.754000000000001</v>
      </c>
      <c r="CC160" s="26">
        <v>42.908000000000001</v>
      </c>
      <c r="CD160" s="26">
        <v>32.401000000000003</v>
      </c>
      <c r="CE160" s="26">
        <v>24.625</v>
      </c>
      <c r="CF160" s="26">
        <v>58.738</v>
      </c>
      <c r="CG160" s="26">
        <v>51.530999999999999</v>
      </c>
      <c r="CH160" s="26">
        <v>51.277999999999999</v>
      </c>
      <c r="CI160" s="26">
        <v>59.024999999999999</v>
      </c>
      <c r="CJ160" s="26">
        <v>30.271000000000001</v>
      </c>
      <c r="CK160" s="26">
        <v>53.643000000000001</v>
      </c>
      <c r="CL160" s="26">
        <v>50.045000000000002</v>
      </c>
      <c r="CM160" s="26">
        <v>0.59913000000000005</v>
      </c>
      <c r="CN160" s="26">
        <v>49.807000000000002</v>
      </c>
      <c r="CO160" s="26">
        <v>54.625</v>
      </c>
      <c r="CP160" s="26">
        <v>31.838999999999999</v>
      </c>
      <c r="CQ160" s="26">
        <v>49.933</v>
      </c>
      <c r="CR160" s="26">
        <v>0.84792999999999996</v>
      </c>
      <c r="CS160" s="26">
        <v>30.472000000000001</v>
      </c>
      <c r="CT160" s="26">
        <v>43.220999999999997</v>
      </c>
      <c r="CU160" s="26">
        <v>36.404000000000003</v>
      </c>
      <c r="CV160" s="26">
        <v>35.594999999999999</v>
      </c>
      <c r="CW160" s="26">
        <v>29.239000000000001</v>
      </c>
      <c r="CX160" s="26">
        <v>44.518999999999998</v>
      </c>
      <c r="CY160" s="61"/>
      <c r="CZ160" s="537"/>
      <c r="DA160" s="61"/>
    </row>
    <row r="161" spans="1:16384" s="540" customFormat="1">
      <c r="A161" s="538" t="s">
        <v>126</v>
      </c>
      <c r="B161" s="539">
        <f t="shared" ref="B161:AG161" si="13">AVERAGE(B149:B160)</f>
        <v>36.801400000000001</v>
      </c>
      <c r="C161" s="539">
        <f t="shared" si="13"/>
        <v>38.122666666666667</v>
      </c>
      <c r="D161" s="539">
        <f t="shared" si="13"/>
        <v>61.048166666666667</v>
      </c>
      <c r="E161" s="539">
        <f t="shared" si="13"/>
        <v>19.188800000000001</v>
      </c>
      <c r="F161" s="539">
        <f t="shared" si="13"/>
        <v>46.565249999999999</v>
      </c>
      <c r="G161" s="539">
        <f t="shared" si="13"/>
        <v>27.919666666666661</v>
      </c>
      <c r="H161" s="539">
        <f t="shared" si="13"/>
        <v>40.860833333333339</v>
      </c>
      <c r="I161" s="539">
        <f t="shared" si="13"/>
        <v>22.631425000000004</v>
      </c>
      <c r="J161" s="539">
        <f t="shared" si="13"/>
        <v>41.47825000000001</v>
      </c>
      <c r="K161" s="539">
        <f t="shared" si="13"/>
        <v>43.724666666666657</v>
      </c>
      <c r="L161" s="539">
        <f t="shared" si="13"/>
        <v>51.84375</v>
      </c>
      <c r="M161" s="539">
        <f t="shared" si="13"/>
        <v>50.683166666666665</v>
      </c>
      <c r="N161" s="539">
        <f t="shared" si="13"/>
        <v>48.977499999999999</v>
      </c>
      <c r="O161" s="539">
        <f t="shared" si="13"/>
        <v>34.301749999999998</v>
      </c>
      <c r="P161" s="539">
        <f t="shared" si="13"/>
        <v>43.936250000000008</v>
      </c>
      <c r="Q161" s="539">
        <f t="shared" si="13"/>
        <v>27.043243333333333</v>
      </c>
      <c r="R161" s="539">
        <f t="shared" si="13"/>
        <v>35.036166666666666</v>
      </c>
      <c r="S161" s="539">
        <f t="shared" si="13"/>
        <v>15.417384166666665</v>
      </c>
      <c r="T161" s="539">
        <f t="shared" si="13"/>
        <v>19.250966666666667</v>
      </c>
      <c r="U161" s="539">
        <f t="shared" si="13"/>
        <v>42.645999999999994</v>
      </c>
      <c r="V161" s="539">
        <f t="shared" si="13"/>
        <v>44.83591666666667</v>
      </c>
      <c r="W161" s="539">
        <f t="shared" si="13"/>
        <v>41.931666666666672</v>
      </c>
      <c r="X161" s="539">
        <f t="shared" si="13"/>
        <v>53.112583333333333</v>
      </c>
      <c r="Y161" s="539">
        <f t="shared" si="13"/>
        <v>55.252083333333331</v>
      </c>
      <c r="Z161" s="539">
        <f t="shared" si="13"/>
        <v>46.085083333333337</v>
      </c>
      <c r="AA161" s="539">
        <f t="shared" si="13"/>
        <v>35.45150000000001</v>
      </c>
      <c r="AB161" s="539">
        <f t="shared" si="13"/>
        <v>51.433833333333325</v>
      </c>
      <c r="AC161" s="539">
        <f t="shared" si="13"/>
        <v>47.104083333333335</v>
      </c>
      <c r="AD161" s="539">
        <f t="shared" si="13"/>
        <v>28.696916666666667</v>
      </c>
      <c r="AE161" s="539">
        <f t="shared" si="13"/>
        <v>53.370083333333334</v>
      </c>
      <c r="AF161" s="539">
        <f t="shared" si="13"/>
        <v>45.617916666666673</v>
      </c>
      <c r="AG161" s="539">
        <f t="shared" si="13"/>
        <v>39.804000000000002</v>
      </c>
      <c r="AH161" s="539">
        <f t="shared" ref="AH161:BM161" si="14">AVERAGE(AH149:AH160)</f>
        <v>42.100916666666663</v>
      </c>
      <c r="AI161" s="539">
        <f t="shared" si="14"/>
        <v>30.835833333333337</v>
      </c>
      <c r="AJ161" s="539">
        <f t="shared" si="14"/>
        <v>46.89425</v>
      </c>
      <c r="AK161" s="539">
        <f t="shared" si="14"/>
        <v>29.57941666666667</v>
      </c>
      <c r="AL161" s="539">
        <f t="shared" si="14"/>
        <v>14.779235</v>
      </c>
      <c r="AM161" s="539">
        <f t="shared" si="14"/>
        <v>39.611166666666669</v>
      </c>
      <c r="AN161" s="539">
        <f t="shared" si="14"/>
        <v>52.230666666666671</v>
      </c>
      <c r="AO161" s="539">
        <f t="shared" si="14"/>
        <v>34.453499999999998</v>
      </c>
      <c r="AP161" s="539">
        <f t="shared" si="14"/>
        <v>25.366</v>
      </c>
      <c r="AQ161" s="539">
        <f t="shared" si="14"/>
        <v>37.626000000000005</v>
      </c>
      <c r="AR161" s="539">
        <f t="shared" si="14"/>
        <v>47.649583333333332</v>
      </c>
      <c r="AS161" s="539">
        <f t="shared" si="14"/>
        <v>42.108166666666669</v>
      </c>
      <c r="AT161" s="539">
        <f t="shared" si="14"/>
        <v>3.3868566666666662</v>
      </c>
      <c r="AU161" s="539">
        <f t="shared" si="14"/>
        <v>38.709249999999997</v>
      </c>
      <c r="AV161" s="539">
        <f t="shared" si="14"/>
        <v>41.403333333333336</v>
      </c>
      <c r="AW161" s="539">
        <f t="shared" si="14"/>
        <v>37.39875</v>
      </c>
      <c r="AX161" s="539">
        <f t="shared" si="14"/>
        <v>39.79216666666666</v>
      </c>
      <c r="AY161" s="539">
        <f t="shared" si="14"/>
        <v>10.347875</v>
      </c>
      <c r="AZ161" s="539">
        <f t="shared" si="14"/>
        <v>45.524583333333332</v>
      </c>
      <c r="BA161" s="539">
        <f t="shared" si="14"/>
        <v>13.161056666666667</v>
      </c>
      <c r="BB161" s="539">
        <f t="shared" si="14"/>
        <v>45.180416666666666</v>
      </c>
      <c r="BC161" s="539">
        <f t="shared" si="14"/>
        <v>31.624750000000002</v>
      </c>
      <c r="BD161" s="539">
        <f t="shared" si="14"/>
        <v>44.703166666666668</v>
      </c>
      <c r="BE161" s="539">
        <f t="shared" si="14"/>
        <v>26.428916666666669</v>
      </c>
      <c r="BF161" s="539">
        <f t="shared" si="14"/>
        <v>44.557166666666667</v>
      </c>
      <c r="BG161" s="539">
        <f t="shared" si="14"/>
        <v>13.479507500000002</v>
      </c>
      <c r="BH161" s="539">
        <f t="shared" si="14"/>
        <v>30.599249999999998</v>
      </c>
      <c r="BI161" s="539">
        <f t="shared" si="14"/>
        <v>53.331333333333333</v>
      </c>
      <c r="BJ161" s="539">
        <f t="shared" si="14"/>
        <v>46.398166666666661</v>
      </c>
      <c r="BK161" s="539">
        <f t="shared" si="14"/>
        <v>38.276250000000005</v>
      </c>
      <c r="BL161" s="539">
        <f t="shared" si="14"/>
        <v>24.549966666666666</v>
      </c>
      <c r="BM161" s="539">
        <f t="shared" si="14"/>
        <v>45.983000000000004</v>
      </c>
      <c r="BN161" s="539">
        <f t="shared" ref="BN161:CS161" si="15">AVERAGE(BN149:BN160)</f>
        <v>59.22025</v>
      </c>
      <c r="BO161" s="539">
        <f t="shared" si="15"/>
        <v>43.197083333333332</v>
      </c>
      <c r="BP161" s="539">
        <f t="shared" si="15"/>
        <v>45.067416666666666</v>
      </c>
      <c r="BQ161" s="539">
        <f t="shared" si="15"/>
        <v>49.707750000000011</v>
      </c>
      <c r="BR161" s="539">
        <f t="shared" si="15"/>
        <v>36.738500000000002</v>
      </c>
      <c r="BS161" s="539">
        <f t="shared" si="15"/>
        <v>44.97925</v>
      </c>
      <c r="BT161" s="539">
        <f t="shared" si="15"/>
        <v>55.157999999999994</v>
      </c>
      <c r="BU161" s="539">
        <f t="shared" si="15"/>
        <v>6.998570833333333</v>
      </c>
      <c r="BV161" s="539">
        <f t="shared" si="15"/>
        <v>38.509166666666665</v>
      </c>
      <c r="BW161" s="539">
        <f t="shared" si="15"/>
        <v>54.303166666666662</v>
      </c>
      <c r="BX161" s="539">
        <f t="shared" si="15"/>
        <v>42.244916666666661</v>
      </c>
      <c r="BY161" s="539">
        <f t="shared" si="15"/>
        <v>48.486166666666669</v>
      </c>
      <c r="BZ161" s="539">
        <f t="shared" si="15"/>
        <v>44.781083333333328</v>
      </c>
      <c r="CA161" s="539">
        <f t="shared" si="15"/>
        <v>32.907166666666676</v>
      </c>
      <c r="CB161" s="539">
        <f t="shared" si="15"/>
        <v>23.487958333333335</v>
      </c>
      <c r="CC161" s="539">
        <f t="shared" si="15"/>
        <v>30.153508333333335</v>
      </c>
      <c r="CD161" s="539">
        <f t="shared" si="15"/>
        <v>20.572008333333336</v>
      </c>
      <c r="CE161" s="539">
        <f t="shared" si="15"/>
        <v>17.449482499999998</v>
      </c>
      <c r="CF161" s="539">
        <f t="shared" si="15"/>
        <v>47.88741666666666</v>
      </c>
      <c r="CG161" s="539">
        <f t="shared" si="15"/>
        <v>41.707166666666666</v>
      </c>
      <c r="CH161" s="539">
        <f t="shared" si="15"/>
        <v>46.59825</v>
      </c>
      <c r="CI161" s="539">
        <f t="shared" si="15"/>
        <v>43.788833333333336</v>
      </c>
      <c r="CJ161" s="539">
        <f t="shared" si="15"/>
        <v>38.314416666666666</v>
      </c>
      <c r="CK161" s="539">
        <f t="shared" si="15"/>
        <v>46.631416666666667</v>
      </c>
      <c r="CL161" s="539">
        <f t="shared" si="15"/>
        <v>43.499000000000002</v>
      </c>
      <c r="CM161" s="539">
        <f t="shared" si="15"/>
        <v>15.383684166666667</v>
      </c>
      <c r="CN161" s="539">
        <f t="shared" si="15"/>
        <v>37.896833333333326</v>
      </c>
      <c r="CO161" s="539">
        <f t="shared" si="15"/>
        <v>37.49016666666666</v>
      </c>
      <c r="CP161" s="539">
        <f t="shared" si="15"/>
        <v>20.58492</v>
      </c>
      <c r="CQ161" s="539">
        <f t="shared" si="15"/>
        <v>45.170249999999989</v>
      </c>
      <c r="CR161" s="539">
        <f t="shared" si="15"/>
        <v>18.715234999999996</v>
      </c>
      <c r="CS161" s="539">
        <f t="shared" si="15"/>
        <v>37.462241666666671</v>
      </c>
      <c r="CT161" s="539">
        <f>AVERAGE(CT149:CT160)</f>
        <v>38.825583333333334</v>
      </c>
      <c r="CU161" s="539">
        <f>AVERAGE(CU149:CU160)</f>
        <v>15.813374166666668</v>
      </c>
      <c r="CV161" s="539">
        <f>AVERAGE(CV149:CV160)</f>
        <v>36.536166666666666</v>
      </c>
      <c r="CW161" s="539">
        <f>AVERAGE(CW149:CW160)</f>
        <v>23.582583333333332</v>
      </c>
      <c r="CX161" s="539">
        <f>AVERAGE(CX149:CX160)</f>
        <v>41.033166666666666</v>
      </c>
      <c r="CY161" s="61"/>
      <c r="CZ161" s="537"/>
      <c r="DA161" s="537"/>
      <c r="DB161" s="537"/>
      <c r="DC161" s="537"/>
      <c r="DD161" s="537"/>
      <c r="DE161" s="537"/>
      <c r="DF161" s="537"/>
      <c r="DG161" s="537"/>
      <c r="DH161" s="537"/>
      <c r="DI161" s="537"/>
      <c r="DJ161" s="537"/>
      <c r="DK161" s="537"/>
      <c r="DL161" s="537"/>
      <c r="DM161" s="537"/>
      <c r="DN161" s="537"/>
      <c r="DO161" s="537"/>
      <c r="DP161" s="537"/>
      <c r="DQ161" s="537"/>
      <c r="DR161" s="537"/>
      <c r="DS161" s="537"/>
      <c r="DT161" s="537"/>
      <c r="DU161" s="537"/>
      <c r="DV161" s="537"/>
      <c r="DW161" s="537"/>
      <c r="DX161" s="537"/>
      <c r="DY161" s="537"/>
      <c r="DZ161" s="537"/>
      <c r="EA161" s="537"/>
      <c r="EB161" s="537"/>
      <c r="EC161" s="537"/>
      <c r="ED161" s="537"/>
      <c r="EE161" s="537"/>
      <c r="EF161" s="537"/>
      <c r="EG161" s="537"/>
      <c r="EH161" s="537"/>
      <c r="EI161" s="537"/>
      <c r="EJ161" s="537"/>
      <c r="EK161" s="537"/>
      <c r="EL161" s="537"/>
      <c r="EM161" s="537"/>
      <c r="EN161" s="537"/>
      <c r="EO161" s="537"/>
      <c r="EP161" s="537"/>
      <c r="EQ161" s="537"/>
      <c r="ER161" s="537"/>
      <c r="ES161" s="537"/>
      <c r="ET161" s="537"/>
      <c r="EU161" s="537"/>
      <c r="EV161" s="537"/>
      <c r="EW161" s="537"/>
      <c r="EX161" s="537"/>
      <c r="EY161" s="537"/>
      <c r="EZ161" s="537"/>
      <c r="FA161" s="537"/>
      <c r="FB161" s="537"/>
      <c r="FC161" s="537"/>
      <c r="FD161" s="537"/>
      <c r="FE161" s="537"/>
      <c r="FF161" s="537"/>
      <c r="FG161" s="537"/>
      <c r="FH161" s="537"/>
      <c r="FI161" s="537"/>
      <c r="FJ161" s="537"/>
      <c r="FK161" s="537"/>
      <c r="FL161" s="537"/>
      <c r="FM161" s="537"/>
      <c r="FN161" s="537"/>
      <c r="FO161" s="537"/>
      <c r="FP161" s="537"/>
      <c r="FQ161" s="537"/>
      <c r="FR161" s="537"/>
      <c r="FS161" s="537"/>
      <c r="FT161" s="537"/>
      <c r="FU161" s="537"/>
      <c r="FV161" s="537"/>
      <c r="FW161" s="537"/>
      <c r="FX161" s="537"/>
      <c r="FY161" s="537"/>
      <c r="FZ161" s="537"/>
      <c r="GA161" s="537"/>
      <c r="GB161" s="537"/>
      <c r="GC161" s="537"/>
      <c r="GD161" s="537"/>
      <c r="GE161" s="537"/>
      <c r="GF161" s="537"/>
      <c r="GG161" s="537"/>
      <c r="GH161" s="537"/>
      <c r="GI161" s="537"/>
      <c r="GJ161" s="537"/>
      <c r="GK161" s="537"/>
      <c r="GL161" s="537"/>
      <c r="GM161" s="537"/>
      <c r="GN161" s="537"/>
      <c r="GO161" s="537"/>
      <c r="GP161" s="537"/>
      <c r="GQ161" s="537"/>
      <c r="GR161" s="537"/>
      <c r="GS161" s="537"/>
      <c r="GT161" s="537"/>
      <c r="GU161" s="537"/>
      <c r="GV161" s="537"/>
      <c r="GW161" s="537"/>
      <c r="GX161" s="537"/>
      <c r="GY161" s="537"/>
      <c r="GZ161" s="537"/>
      <c r="HA161" s="537"/>
      <c r="HB161" s="537"/>
      <c r="HC161" s="537"/>
      <c r="HD161" s="537"/>
      <c r="HE161" s="537"/>
      <c r="HF161" s="537"/>
      <c r="HG161" s="537"/>
      <c r="HH161" s="537"/>
      <c r="HI161" s="537"/>
      <c r="HJ161" s="537"/>
      <c r="HK161" s="537"/>
      <c r="HL161" s="537"/>
      <c r="HM161" s="537"/>
      <c r="HN161" s="537"/>
      <c r="HO161" s="537"/>
      <c r="HP161" s="537"/>
      <c r="HQ161" s="537"/>
      <c r="HR161" s="537"/>
      <c r="HS161" s="537"/>
      <c r="HT161" s="537"/>
      <c r="HU161" s="537"/>
      <c r="HV161" s="537"/>
      <c r="HW161" s="537"/>
      <c r="HX161" s="537"/>
      <c r="HY161" s="537"/>
      <c r="HZ161" s="537"/>
      <c r="IA161" s="537"/>
      <c r="IB161" s="537"/>
      <c r="IC161" s="537"/>
      <c r="ID161" s="537"/>
      <c r="IE161" s="537"/>
      <c r="IF161" s="537"/>
      <c r="IG161" s="537"/>
      <c r="IH161" s="537"/>
      <c r="II161" s="537"/>
      <c r="IJ161" s="537"/>
      <c r="IK161" s="537"/>
      <c r="IL161" s="537"/>
      <c r="IM161" s="537"/>
      <c r="IN161" s="537"/>
      <c r="IO161" s="537"/>
      <c r="IP161" s="537"/>
      <c r="IQ161" s="537"/>
      <c r="IR161" s="537"/>
      <c r="IS161" s="537"/>
      <c r="IT161" s="537"/>
      <c r="IU161" s="537"/>
      <c r="IV161" s="537"/>
      <c r="IW161" s="537"/>
      <c r="IX161" s="537"/>
      <c r="IY161" s="537"/>
      <c r="IZ161" s="537"/>
      <c r="JA161" s="537"/>
      <c r="JB161" s="537"/>
      <c r="JC161" s="537"/>
      <c r="JD161" s="537"/>
      <c r="JE161" s="537"/>
      <c r="JF161" s="537"/>
      <c r="JG161" s="537"/>
      <c r="JH161" s="537"/>
      <c r="JI161" s="537"/>
      <c r="JJ161" s="537"/>
      <c r="JK161" s="537"/>
      <c r="JL161" s="537"/>
      <c r="JM161" s="537"/>
      <c r="JN161" s="537"/>
      <c r="JO161" s="537"/>
      <c r="JP161" s="537"/>
      <c r="JQ161" s="537"/>
      <c r="JR161" s="537"/>
      <c r="JS161" s="537"/>
      <c r="JT161" s="537"/>
      <c r="JU161" s="537"/>
      <c r="JV161" s="537"/>
      <c r="JW161" s="537"/>
      <c r="JX161" s="537"/>
      <c r="JY161" s="537"/>
      <c r="JZ161" s="537"/>
      <c r="KA161" s="537"/>
      <c r="KB161" s="537"/>
      <c r="KC161" s="537"/>
      <c r="KD161" s="537"/>
      <c r="KE161" s="537"/>
      <c r="KF161" s="537"/>
      <c r="KG161" s="537"/>
      <c r="KH161" s="537"/>
      <c r="KI161" s="537"/>
      <c r="KJ161" s="537"/>
      <c r="KK161" s="537"/>
      <c r="KL161" s="537"/>
      <c r="KM161" s="537"/>
      <c r="KN161" s="537"/>
      <c r="KO161" s="537"/>
      <c r="KP161" s="537"/>
      <c r="KQ161" s="537"/>
      <c r="KR161" s="537"/>
      <c r="KS161" s="537"/>
      <c r="KT161" s="537"/>
      <c r="KU161" s="537"/>
      <c r="KV161" s="537"/>
      <c r="KW161" s="537"/>
      <c r="KX161" s="537"/>
      <c r="KY161" s="537"/>
      <c r="KZ161" s="537"/>
      <c r="LA161" s="537"/>
      <c r="LB161" s="537"/>
      <c r="LC161" s="537"/>
      <c r="LD161" s="537"/>
      <c r="LE161" s="537"/>
      <c r="LF161" s="537"/>
      <c r="LG161" s="537"/>
      <c r="LH161" s="537"/>
      <c r="LI161" s="537"/>
      <c r="LJ161" s="537"/>
      <c r="LK161" s="537"/>
      <c r="LL161" s="537"/>
      <c r="LM161" s="537"/>
      <c r="LN161" s="537"/>
      <c r="LO161" s="537"/>
      <c r="LP161" s="537"/>
      <c r="LQ161" s="537"/>
      <c r="LR161" s="537"/>
      <c r="LS161" s="537"/>
      <c r="LT161" s="537"/>
      <c r="LU161" s="537"/>
      <c r="LV161" s="537"/>
      <c r="LW161" s="537"/>
      <c r="LX161" s="537"/>
      <c r="LY161" s="537"/>
      <c r="LZ161" s="537"/>
      <c r="MA161" s="537"/>
      <c r="MB161" s="537"/>
      <c r="MC161" s="537"/>
      <c r="MD161" s="537"/>
      <c r="ME161" s="537"/>
      <c r="MF161" s="537"/>
      <c r="MG161" s="537"/>
      <c r="MH161" s="537"/>
      <c r="MI161" s="537"/>
      <c r="MJ161" s="537"/>
      <c r="MK161" s="537"/>
      <c r="ML161" s="537"/>
      <c r="MM161" s="537"/>
      <c r="MN161" s="537"/>
      <c r="MO161" s="537"/>
      <c r="MP161" s="537"/>
      <c r="MQ161" s="537"/>
      <c r="MR161" s="537"/>
      <c r="MS161" s="537"/>
      <c r="MT161" s="537"/>
      <c r="MU161" s="537"/>
      <c r="MV161" s="537"/>
      <c r="MW161" s="537"/>
      <c r="MX161" s="537"/>
      <c r="MY161" s="537"/>
      <c r="MZ161" s="537"/>
      <c r="NA161" s="537"/>
      <c r="NB161" s="537"/>
      <c r="NC161" s="537"/>
      <c r="ND161" s="537"/>
      <c r="NE161" s="537"/>
      <c r="NF161" s="537"/>
      <c r="NG161" s="537"/>
      <c r="NH161" s="537"/>
      <c r="NI161" s="537"/>
      <c r="NJ161" s="537"/>
      <c r="NK161" s="537"/>
      <c r="NL161" s="537"/>
      <c r="NM161" s="537"/>
      <c r="NN161" s="537"/>
      <c r="NO161" s="537"/>
      <c r="NP161" s="537"/>
      <c r="NQ161" s="537"/>
      <c r="NR161" s="537"/>
      <c r="NS161" s="537"/>
      <c r="NT161" s="537"/>
      <c r="NU161" s="537"/>
      <c r="NV161" s="537"/>
      <c r="NW161" s="537"/>
      <c r="NX161" s="537"/>
      <c r="NY161" s="537"/>
      <c r="NZ161" s="537"/>
      <c r="OA161" s="537"/>
      <c r="OB161" s="537"/>
      <c r="OC161" s="537"/>
      <c r="OD161" s="537"/>
      <c r="OE161" s="537"/>
      <c r="OF161" s="537"/>
      <c r="OG161" s="537"/>
      <c r="OH161" s="537"/>
      <c r="OI161" s="537"/>
      <c r="OJ161" s="537"/>
      <c r="OK161" s="537"/>
      <c r="OL161" s="537"/>
      <c r="OM161" s="537"/>
      <c r="ON161" s="537"/>
      <c r="OO161" s="537"/>
      <c r="OP161" s="537"/>
      <c r="OQ161" s="537"/>
      <c r="OR161" s="537"/>
      <c r="OS161" s="537"/>
      <c r="OT161" s="537"/>
      <c r="OU161" s="537"/>
      <c r="OV161" s="537"/>
      <c r="OW161" s="537"/>
      <c r="OX161" s="537"/>
      <c r="OY161" s="537"/>
      <c r="OZ161" s="537"/>
      <c r="PA161" s="537"/>
      <c r="PB161" s="537"/>
      <c r="PC161" s="537"/>
      <c r="PD161" s="537"/>
      <c r="PE161" s="537"/>
      <c r="PF161" s="537"/>
      <c r="PG161" s="537"/>
      <c r="PH161" s="537"/>
      <c r="PI161" s="537"/>
      <c r="PJ161" s="537"/>
      <c r="PK161" s="537"/>
      <c r="PL161" s="537"/>
      <c r="PM161" s="537"/>
      <c r="PN161" s="537"/>
      <c r="PO161" s="537"/>
      <c r="PP161" s="537"/>
      <c r="PQ161" s="537"/>
      <c r="PR161" s="537"/>
      <c r="PS161" s="537"/>
      <c r="PT161" s="537"/>
      <c r="PU161" s="537"/>
      <c r="PV161" s="537"/>
      <c r="PW161" s="537"/>
      <c r="PX161" s="537"/>
      <c r="PY161" s="537"/>
      <c r="PZ161" s="537"/>
      <c r="QA161" s="537"/>
      <c r="QB161" s="537"/>
      <c r="QC161" s="537"/>
      <c r="QD161" s="537"/>
      <c r="QE161" s="537"/>
      <c r="QF161" s="537"/>
      <c r="QG161" s="537"/>
      <c r="QH161" s="537"/>
      <c r="QI161" s="537"/>
      <c r="QJ161" s="537"/>
      <c r="QK161" s="537"/>
      <c r="QL161" s="537"/>
      <c r="QM161" s="537"/>
      <c r="QN161" s="537"/>
      <c r="QO161" s="537"/>
      <c r="QP161" s="537"/>
      <c r="QQ161" s="537"/>
      <c r="QR161" s="537"/>
      <c r="QS161" s="537"/>
      <c r="QT161" s="537"/>
      <c r="QU161" s="537"/>
      <c r="QV161" s="537"/>
      <c r="QW161" s="537"/>
      <c r="QX161" s="537"/>
      <c r="QY161" s="537"/>
      <c r="QZ161" s="537"/>
      <c r="RA161" s="537"/>
      <c r="RB161" s="537"/>
      <c r="RC161" s="537"/>
      <c r="RD161" s="537"/>
      <c r="RE161" s="537"/>
      <c r="RF161" s="537"/>
      <c r="RG161" s="537"/>
      <c r="RH161" s="537"/>
      <c r="RI161" s="537"/>
      <c r="RJ161" s="537"/>
      <c r="RK161" s="537"/>
      <c r="RL161" s="537"/>
      <c r="RM161" s="537"/>
      <c r="RN161" s="537"/>
      <c r="RO161" s="537"/>
      <c r="RP161" s="537"/>
      <c r="RQ161" s="537"/>
      <c r="RR161" s="537"/>
      <c r="RS161" s="537"/>
      <c r="RT161" s="537"/>
      <c r="RU161" s="537"/>
      <c r="RV161" s="537"/>
      <c r="RW161" s="537"/>
      <c r="RX161" s="537"/>
      <c r="RY161" s="537"/>
      <c r="RZ161" s="537"/>
      <c r="SA161" s="537"/>
      <c r="SB161" s="537"/>
      <c r="SC161" s="537"/>
      <c r="SD161" s="537"/>
      <c r="SE161" s="537"/>
      <c r="SF161" s="537"/>
      <c r="SG161" s="537"/>
      <c r="SH161" s="537"/>
      <c r="SI161" s="537"/>
      <c r="SJ161" s="537"/>
      <c r="SK161" s="537"/>
      <c r="SL161" s="537"/>
      <c r="SM161" s="537"/>
      <c r="SN161" s="537"/>
      <c r="SO161" s="537"/>
      <c r="SP161" s="537"/>
      <c r="SQ161" s="537"/>
      <c r="SR161" s="537"/>
      <c r="SS161" s="537"/>
      <c r="ST161" s="537"/>
      <c r="SU161" s="537"/>
      <c r="SV161" s="537"/>
      <c r="SW161" s="537"/>
      <c r="SX161" s="537"/>
      <c r="SY161" s="537"/>
      <c r="SZ161" s="537"/>
      <c r="TA161" s="537"/>
      <c r="TB161" s="537"/>
      <c r="TC161" s="537"/>
      <c r="TD161" s="537"/>
      <c r="TE161" s="537"/>
      <c r="TF161" s="537"/>
      <c r="TG161" s="537"/>
      <c r="TH161" s="537"/>
      <c r="TI161" s="537"/>
      <c r="TJ161" s="537"/>
      <c r="TK161" s="537"/>
      <c r="TL161" s="537"/>
      <c r="TM161" s="537"/>
      <c r="TN161" s="537"/>
      <c r="TO161" s="537"/>
      <c r="TP161" s="537"/>
      <c r="TQ161" s="537"/>
      <c r="TR161" s="537"/>
      <c r="TS161" s="537"/>
      <c r="TT161" s="537"/>
      <c r="TU161" s="537"/>
      <c r="TV161" s="537"/>
      <c r="TW161" s="537"/>
      <c r="TX161" s="537"/>
      <c r="TY161" s="537"/>
      <c r="TZ161" s="537"/>
      <c r="UA161" s="537"/>
      <c r="UB161" s="537"/>
      <c r="UC161" s="537"/>
      <c r="UD161" s="537"/>
      <c r="UE161" s="537"/>
      <c r="UF161" s="537"/>
      <c r="UG161" s="537"/>
      <c r="UH161" s="537"/>
      <c r="UI161" s="537"/>
      <c r="UJ161" s="537"/>
      <c r="UK161" s="537"/>
      <c r="UL161" s="537"/>
      <c r="UM161" s="537"/>
      <c r="UN161" s="537"/>
      <c r="UO161" s="537"/>
      <c r="UP161" s="537"/>
      <c r="UQ161" s="537"/>
      <c r="UR161" s="537"/>
      <c r="US161" s="537"/>
      <c r="UT161" s="537"/>
      <c r="UU161" s="537"/>
      <c r="UV161" s="537"/>
      <c r="UW161" s="537"/>
      <c r="UX161" s="537"/>
      <c r="UY161" s="537"/>
      <c r="UZ161" s="537"/>
      <c r="VA161" s="537"/>
      <c r="VB161" s="537"/>
      <c r="VC161" s="537"/>
      <c r="VD161" s="537"/>
      <c r="VE161" s="537"/>
      <c r="VF161" s="537"/>
      <c r="VG161" s="537"/>
      <c r="VH161" s="537"/>
      <c r="VI161" s="537"/>
      <c r="VJ161" s="537"/>
      <c r="VK161" s="537"/>
      <c r="VL161" s="537"/>
      <c r="VM161" s="537"/>
      <c r="VN161" s="537"/>
      <c r="VO161" s="537"/>
      <c r="VP161" s="537"/>
      <c r="VQ161" s="537"/>
      <c r="VR161" s="537"/>
      <c r="VS161" s="537"/>
      <c r="VT161" s="537"/>
      <c r="VU161" s="537"/>
      <c r="VV161" s="537"/>
      <c r="VW161" s="537"/>
      <c r="VX161" s="537"/>
      <c r="VY161" s="537"/>
      <c r="VZ161" s="537"/>
      <c r="WA161" s="537"/>
      <c r="WB161" s="537"/>
      <c r="WC161" s="537"/>
      <c r="WD161" s="537"/>
      <c r="WE161" s="537"/>
      <c r="WF161" s="537"/>
      <c r="WG161" s="537"/>
      <c r="WH161" s="537"/>
      <c r="WI161" s="537"/>
      <c r="WJ161" s="537"/>
      <c r="WK161" s="537"/>
      <c r="WL161" s="537"/>
      <c r="WM161" s="537"/>
      <c r="WN161" s="537"/>
      <c r="WO161" s="537"/>
      <c r="WP161" s="537"/>
      <c r="WQ161" s="537"/>
      <c r="WR161" s="537"/>
      <c r="WS161" s="537"/>
      <c r="WT161" s="537"/>
      <c r="WU161" s="537"/>
      <c r="WV161" s="537"/>
      <c r="WW161" s="537"/>
      <c r="WX161" s="537"/>
      <c r="WY161" s="537"/>
      <c r="WZ161" s="537"/>
      <c r="XA161" s="537"/>
      <c r="XB161" s="537"/>
      <c r="XC161" s="537"/>
      <c r="XD161" s="537"/>
      <c r="XE161" s="537"/>
      <c r="XF161" s="537"/>
      <c r="XG161" s="537"/>
      <c r="XH161" s="537"/>
      <c r="XI161" s="537"/>
      <c r="XJ161" s="537"/>
      <c r="XK161" s="537"/>
      <c r="XL161" s="537"/>
      <c r="XM161" s="537"/>
      <c r="XN161" s="537"/>
      <c r="XO161" s="537"/>
      <c r="XP161" s="537"/>
      <c r="XQ161" s="537"/>
      <c r="XR161" s="537"/>
      <c r="XS161" s="537"/>
      <c r="XT161" s="537"/>
      <c r="XU161" s="537"/>
      <c r="XV161" s="537"/>
      <c r="XW161" s="537"/>
      <c r="XX161" s="537"/>
      <c r="XY161" s="537"/>
      <c r="XZ161" s="537"/>
      <c r="YA161" s="537"/>
      <c r="YB161" s="537"/>
      <c r="YC161" s="537"/>
      <c r="YD161" s="537"/>
      <c r="YE161" s="537"/>
      <c r="YF161" s="537"/>
      <c r="YG161" s="537"/>
      <c r="YH161" s="537"/>
      <c r="YI161" s="537"/>
      <c r="YJ161" s="537"/>
      <c r="YK161" s="537"/>
      <c r="YL161" s="537"/>
      <c r="YM161" s="537"/>
      <c r="YN161" s="537"/>
      <c r="YO161" s="537"/>
      <c r="YP161" s="537"/>
      <c r="YQ161" s="537"/>
      <c r="YR161" s="537"/>
      <c r="YS161" s="537"/>
      <c r="YT161" s="537"/>
      <c r="YU161" s="537"/>
      <c r="YV161" s="537"/>
      <c r="YW161" s="537"/>
      <c r="YX161" s="537"/>
      <c r="YY161" s="537"/>
      <c r="YZ161" s="537"/>
      <c r="ZA161" s="537"/>
      <c r="ZB161" s="537"/>
      <c r="ZC161" s="537"/>
      <c r="ZD161" s="537"/>
      <c r="ZE161" s="537"/>
      <c r="ZF161" s="537"/>
      <c r="ZG161" s="537"/>
      <c r="ZH161" s="537"/>
      <c r="ZI161" s="537"/>
      <c r="ZJ161" s="537"/>
      <c r="ZK161" s="537"/>
      <c r="ZL161" s="537"/>
      <c r="ZM161" s="537"/>
      <c r="ZN161" s="537"/>
      <c r="ZO161" s="537"/>
      <c r="ZP161" s="537"/>
      <c r="ZQ161" s="537"/>
      <c r="ZR161" s="537"/>
      <c r="ZS161" s="537"/>
      <c r="ZT161" s="537"/>
      <c r="ZU161" s="537"/>
      <c r="ZV161" s="537"/>
      <c r="ZW161" s="537"/>
      <c r="ZX161" s="537"/>
      <c r="ZY161" s="537"/>
      <c r="ZZ161" s="537"/>
      <c r="AAA161" s="537"/>
      <c r="AAB161" s="537"/>
      <c r="AAC161" s="537"/>
      <c r="AAD161" s="537"/>
      <c r="AAE161" s="537"/>
      <c r="AAF161" s="537"/>
      <c r="AAG161" s="537"/>
      <c r="AAH161" s="537"/>
      <c r="AAI161" s="537"/>
      <c r="AAJ161" s="537"/>
      <c r="AAK161" s="537"/>
      <c r="AAL161" s="537"/>
      <c r="AAM161" s="537"/>
      <c r="AAN161" s="537"/>
      <c r="AAO161" s="537"/>
      <c r="AAP161" s="537"/>
      <c r="AAQ161" s="537"/>
      <c r="AAR161" s="537"/>
      <c r="AAS161" s="537"/>
      <c r="AAT161" s="537"/>
      <c r="AAU161" s="537"/>
      <c r="AAV161" s="537"/>
      <c r="AAW161" s="537"/>
      <c r="AAX161" s="537"/>
      <c r="AAY161" s="537"/>
      <c r="AAZ161" s="537"/>
      <c r="ABA161" s="537"/>
      <c r="ABB161" s="537"/>
      <c r="ABC161" s="537"/>
      <c r="ABD161" s="537"/>
      <c r="ABE161" s="537"/>
      <c r="ABF161" s="537"/>
      <c r="ABG161" s="537"/>
      <c r="ABH161" s="537"/>
      <c r="ABI161" s="537"/>
      <c r="ABJ161" s="537"/>
      <c r="ABK161" s="537"/>
      <c r="ABL161" s="537"/>
      <c r="ABM161" s="537"/>
      <c r="ABN161" s="537"/>
      <c r="ABO161" s="537"/>
      <c r="ABP161" s="537"/>
      <c r="ABQ161" s="537"/>
      <c r="ABR161" s="537"/>
      <c r="ABS161" s="537"/>
      <c r="ABT161" s="537"/>
      <c r="ABU161" s="537"/>
      <c r="ABV161" s="537"/>
      <c r="ABW161" s="537"/>
      <c r="ABX161" s="537"/>
      <c r="ABY161" s="537"/>
      <c r="ABZ161" s="537"/>
      <c r="ACA161" s="537"/>
      <c r="ACB161" s="537"/>
      <c r="ACC161" s="537"/>
      <c r="ACD161" s="537"/>
      <c r="ACE161" s="537"/>
      <c r="ACF161" s="537"/>
      <c r="ACG161" s="537"/>
      <c r="ACH161" s="537"/>
      <c r="ACI161" s="537"/>
      <c r="ACJ161" s="537"/>
      <c r="ACK161" s="537"/>
      <c r="ACL161" s="537"/>
      <c r="ACM161" s="537"/>
      <c r="ACN161" s="537"/>
      <c r="ACO161" s="537"/>
      <c r="ACP161" s="537"/>
      <c r="ACQ161" s="537"/>
      <c r="ACR161" s="537"/>
      <c r="ACS161" s="537"/>
      <c r="ACT161" s="537"/>
      <c r="ACU161" s="537"/>
      <c r="ACV161" s="537"/>
      <c r="ACW161" s="537"/>
      <c r="ACX161" s="537"/>
      <c r="ACY161" s="537"/>
      <c r="ACZ161" s="537"/>
      <c r="ADA161" s="537"/>
      <c r="ADB161" s="537"/>
      <c r="ADC161" s="537"/>
      <c r="ADD161" s="537"/>
      <c r="ADE161" s="537"/>
      <c r="ADF161" s="537"/>
      <c r="ADG161" s="537"/>
      <c r="ADH161" s="537"/>
      <c r="ADI161" s="537"/>
      <c r="ADJ161" s="537"/>
      <c r="ADK161" s="537"/>
      <c r="ADL161" s="537"/>
      <c r="ADM161" s="537"/>
      <c r="ADN161" s="537"/>
      <c r="ADO161" s="537"/>
      <c r="ADP161" s="537"/>
      <c r="ADQ161" s="537"/>
      <c r="ADR161" s="537"/>
      <c r="ADS161" s="537"/>
      <c r="ADT161" s="537"/>
      <c r="ADU161" s="537"/>
      <c r="ADV161" s="537"/>
      <c r="ADW161" s="537"/>
      <c r="ADX161" s="537"/>
      <c r="ADY161" s="537"/>
      <c r="ADZ161" s="537"/>
      <c r="AEA161" s="537"/>
      <c r="AEB161" s="537"/>
      <c r="AEC161" s="537"/>
      <c r="AED161" s="537"/>
      <c r="AEE161" s="537"/>
      <c r="AEF161" s="537"/>
      <c r="AEG161" s="537"/>
      <c r="AEH161" s="537"/>
      <c r="AEI161" s="537"/>
      <c r="AEJ161" s="537"/>
      <c r="AEK161" s="537"/>
      <c r="AEL161" s="537"/>
      <c r="AEM161" s="537"/>
      <c r="AEN161" s="537"/>
      <c r="AEO161" s="537"/>
      <c r="AEP161" s="537"/>
      <c r="AEQ161" s="537"/>
      <c r="AER161" s="537"/>
      <c r="AES161" s="537"/>
      <c r="AET161" s="537"/>
      <c r="AEU161" s="537"/>
      <c r="AEV161" s="537"/>
      <c r="AEW161" s="537"/>
      <c r="AEX161" s="537"/>
      <c r="AEY161" s="537"/>
      <c r="AEZ161" s="537"/>
      <c r="AFA161" s="537"/>
      <c r="AFB161" s="537"/>
      <c r="AFC161" s="537"/>
      <c r="AFD161" s="537"/>
      <c r="AFE161" s="537"/>
      <c r="AFF161" s="537"/>
      <c r="AFG161" s="537"/>
      <c r="AFH161" s="537"/>
      <c r="AFI161" s="537"/>
      <c r="AFJ161" s="537"/>
      <c r="AFK161" s="537"/>
      <c r="AFL161" s="537"/>
      <c r="AFM161" s="537"/>
      <c r="AFN161" s="537"/>
      <c r="AFO161" s="537"/>
      <c r="AFP161" s="537"/>
      <c r="AFQ161" s="537"/>
      <c r="AFR161" s="537"/>
      <c r="AFS161" s="537"/>
      <c r="AFT161" s="537"/>
      <c r="AFU161" s="537"/>
      <c r="AFV161" s="537"/>
      <c r="AFW161" s="537"/>
      <c r="AFX161" s="537"/>
      <c r="AFY161" s="537"/>
      <c r="AFZ161" s="537"/>
      <c r="AGA161" s="537"/>
      <c r="AGB161" s="537"/>
      <c r="AGC161" s="537"/>
      <c r="AGD161" s="537"/>
      <c r="AGE161" s="537"/>
      <c r="AGF161" s="537"/>
      <c r="AGG161" s="537"/>
      <c r="AGH161" s="537"/>
      <c r="AGI161" s="537"/>
      <c r="AGJ161" s="537"/>
      <c r="AGK161" s="537"/>
      <c r="AGL161" s="537"/>
      <c r="AGM161" s="537"/>
      <c r="AGN161" s="537"/>
      <c r="AGO161" s="537"/>
      <c r="AGP161" s="537"/>
      <c r="AGQ161" s="537"/>
      <c r="AGR161" s="537"/>
      <c r="AGS161" s="537"/>
      <c r="AGT161" s="537"/>
      <c r="AGU161" s="537"/>
      <c r="AGV161" s="537"/>
      <c r="AGW161" s="537"/>
      <c r="AGX161" s="537"/>
      <c r="AGY161" s="537"/>
      <c r="AGZ161" s="537"/>
      <c r="AHA161" s="537"/>
      <c r="AHB161" s="537"/>
      <c r="AHC161" s="537"/>
      <c r="AHD161" s="537"/>
      <c r="AHE161" s="537"/>
      <c r="AHF161" s="537"/>
      <c r="AHG161" s="537"/>
      <c r="AHH161" s="537"/>
      <c r="AHI161" s="537"/>
      <c r="AHJ161" s="537"/>
      <c r="AHK161" s="537"/>
      <c r="AHL161" s="537"/>
      <c r="AHM161" s="537"/>
      <c r="AHN161" s="537"/>
      <c r="AHO161" s="537"/>
      <c r="AHP161" s="537"/>
      <c r="AHQ161" s="537"/>
      <c r="AHR161" s="537"/>
      <c r="AHS161" s="537"/>
      <c r="AHT161" s="537"/>
      <c r="AHU161" s="537"/>
      <c r="AHV161" s="537"/>
      <c r="AHW161" s="537"/>
      <c r="AHX161" s="537"/>
      <c r="AHY161" s="537"/>
      <c r="AHZ161" s="537"/>
      <c r="AIA161" s="537"/>
      <c r="AIB161" s="537"/>
      <c r="AIC161" s="537"/>
      <c r="AID161" s="537"/>
      <c r="AIE161" s="537"/>
      <c r="AIF161" s="537"/>
      <c r="AIG161" s="537"/>
      <c r="AIH161" s="537"/>
      <c r="AII161" s="537"/>
      <c r="AIJ161" s="537"/>
      <c r="AIK161" s="537"/>
      <c r="AIL161" s="537"/>
      <c r="AIM161" s="537"/>
      <c r="AIN161" s="537"/>
      <c r="AIO161" s="537"/>
      <c r="AIP161" s="537"/>
      <c r="AIQ161" s="537"/>
      <c r="AIR161" s="537"/>
      <c r="AIS161" s="537"/>
      <c r="AIT161" s="537"/>
      <c r="AIU161" s="537"/>
      <c r="AIV161" s="537"/>
      <c r="AIW161" s="537"/>
      <c r="AIX161" s="537"/>
      <c r="AIY161" s="537"/>
      <c r="AIZ161" s="537"/>
      <c r="AJA161" s="537"/>
      <c r="AJB161" s="537"/>
      <c r="AJC161" s="537"/>
      <c r="AJD161" s="537"/>
      <c r="AJE161" s="537"/>
      <c r="AJF161" s="537"/>
      <c r="AJG161" s="537"/>
      <c r="AJH161" s="537"/>
      <c r="AJI161" s="537"/>
      <c r="AJJ161" s="537"/>
      <c r="AJK161" s="537"/>
      <c r="AJL161" s="537"/>
      <c r="AJM161" s="537"/>
      <c r="AJN161" s="537"/>
      <c r="AJO161" s="537"/>
      <c r="AJP161" s="537"/>
      <c r="AJQ161" s="537"/>
      <c r="AJR161" s="537"/>
      <c r="AJS161" s="537"/>
      <c r="AJT161" s="537"/>
      <c r="AJU161" s="537"/>
      <c r="AJV161" s="537"/>
      <c r="AJW161" s="537"/>
      <c r="AJX161" s="537"/>
      <c r="AJY161" s="537"/>
      <c r="AJZ161" s="537"/>
      <c r="AKA161" s="537"/>
      <c r="AKB161" s="537"/>
      <c r="AKC161" s="537"/>
      <c r="AKD161" s="537"/>
      <c r="AKE161" s="537"/>
      <c r="AKF161" s="537"/>
      <c r="AKG161" s="537"/>
      <c r="AKH161" s="537"/>
      <c r="AKI161" s="537"/>
      <c r="AKJ161" s="537"/>
      <c r="AKK161" s="537"/>
      <c r="AKL161" s="537"/>
      <c r="AKM161" s="537"/>
      <c r="AKN161" s="537"/>
      <c r="AKO161" s="537"/>
      <c r="AKP161" s="537"/>
      <c r="AKQ161" s="537"/>
      <c r="AKR161" s="537"/>
      <c r="AKS161" s="537"/>
      <c r="AKT161" s="537"/>
      <c r="AKU161" s="537"/>
      <c r="AKV161" s="537"/>
      <c r="AKW161" s="537"/>
      <c r="AKX161" s="537"/>
      <c r="AKY161" s="537"/>
      <c r="AKZ161" s="537"/>
      <c r="ALA161" s="537"/>
      <c r="ALB161" s="537"/>
      <c r="ALC161" s="537"/>
      <c r="ALD161" s="537"/>
      <c r="ALE161" s="537"/>
      <c r="ALF161" s="537"/>
      <c r="ALG161" s="537"/>
      <c r="ALH161" s="537"/>
      <c r="ALI161" s="537"/>
      <c r="ALJ161" s="537"/>
      <c r="ALK161" s="537"/>
      <c r="ALL161" s="537"/>
      <c r="ALM161" s="537"/>
      <c r="ALN161" s="537"/>
      <c r="ALO161" s="537"/>
      <c r="ALP161" s="537"/>
      <c r="ALQ161" s="537"/>
      <c r="ALR161" s="537"/>
      <c r="ALS161" s="537"/>
      <c r="ALT161" s="537"/>
      <c r="ALU161" s="537"/>
      <c r="ALV161" s="537"/>
      <c r="ALW161" s="537"/>
      <c r="ALX161" s="537"/>
      <c r="ALY161" s="537"/>
      <c r="ALZ161" s="537"/>
      <c r="AMA161" s="537"/>
      <c r="AMB161" s="537"/>
      <c r="AMC161" s="537"/>
      <c r="AMD161" s="537"/>
      <c r="AME161" s="537"/>
      <c r="AMF161" s="537"/>
      <c r="AMG161" s="537"/>
      <c r="AMH161" s="537"/>
      <c r="AMI161" s="537"/>
      <c r="AMJ161" s="537"/>
      <c r="AMK161" s="537"/>
      <c r="AML161" s="537"/>
      <c r="AMM161" s="537"/>
      <c r="AMN161" s="537"/>
      <c r="AMO161" s="537"/>
      <c r="AMP161" s="537"/>
      <c r="AMQ161" s="537"/>
      <c r="AMR161" s="537"/>
      <c r="AMS161" s="537"/>
      <c r="AMT161" s="537"/>
      <c r="AMU161" s="537"/>
      <c r="AMV161" s="537"/>
      <c r="AMW161" s="537"/>
      <c r="AMX161" s="537"/>
      <c r="AMY161" s="537"/>
      <c r="AMZ161" s="537"/>
      <c r="ANA161" s="537"/>
      <c r="ANB161" s="537"/>
      <c r="ANC161" s="537"/>
      <c r="AND161" s="537"/>
      <c r="ANE161" s="537"/>
      <c r="ANF161" s="537"/>
      <c r="ANG161" s="537"/>
      <c r="ANH161" s="537"/>
      <c r="ANI161" s="537"/>
      <c r="ANJ161" s="537"/>
      <c r="ANK161" s="537"/>
      <c r="ANL161" s="537"/>
      <c r="ANM161" s="537"/>
      <c r="ANN161" s="537"/>
      <c r="ANO161" s="537"/>
      <c r="ANP161" s="537"/>
      <c r="ANQ161" s="537"/>
      <c r="ANR161" s="537"/>
      <c r="ANS161" s="537"/>
      <c r="ANT161" s="537"/>
      <c r="ANU161" s="537"/>
      <c r="ANV161" s="537"/>
      <c r="ANW161" s="537"/>
      <c r="ANX161" s="537"/>
      <c r="ANY161" s="537"/>
      <c r="ANZ161" s="537"/>
      <c r="AOA161" s="537"/>
      <c r="AOB161" s="537"/>
      <c r="AOC161" s="537"/>
      <c r="AOD161" s="537"/>
      <c r="AOE161" s="537"/>
      <c r="AOF161" s="537"/>
      <c r="AOG161" s="537"/>
      <c r="AOH161" s="537"/>
      <c r="AOI161" s="537"/>
      <c r="AOJ161" s="537"/>
      <c r="AOK161" s="537"/>
      <c r="AOL161" s="537"/>
      <c r="AOM161" s="537"/>
      <c r="AON161" s="537"/>
      <c r="AOO161" s="537"/>
      <c r="AOP161" s="537"/>
      <c r="AOQ161" s="537"/>
      <c r="AOR161" s="537"/>
      <c r="AOS161" s="537"/>
      <c r="AOT161" s="537"/>
      <c r="AOU161" s="537"/>
      <c r="AOV161" s="537"/>
      <c r="AOW161" s="537"/>
      <c r="AOX161" s="537"/>
      <c r="AOY161" s="537"/>
      <c r="AOZ161" s="537"/>
      <c r="APA161" s="537"/>
      <c r="APB161" s="537"/>
      <c r="APC161" s="537"/>
      <c r="APD161" s="537"/>
      <c r="APE161" s="537"/>
      <c r="APF161" s="537"/>
      <c r="APG161" s="537"/>
      <c r="APH161" s="537"/>
      <c r="API161" s="537"/>
      <c r="APJ161" s="537"/>
      <c r="APK161" s="537"/>
      <c r="APL161" s="537"/>
      <c r="APM161" s="537"/>
      <c r="APN161" s="537"/>
      <c r="APO161" s="537"/>
      <c r="APP161" s="537"/>
      <c r="APQ161" s="537"/>
      <c r="APR161" s="537"/>
      <c r="APS161" s="537"/>
      <c r="APT161" s="537"/>
      <c r="APU161" s="537"/>
      <c r="APV161" s="537"/>
      <c r="APW161" s="537"/>
      <c r="APX161" s="537"/>
      <c r="APY161" s="537"/>
      <c r="APZ161" s="537"/>
      <c r="AQA161" s="537"/>
      <c r="AQB161" s="537"/>
      <c r="AQC161" s="537"/>
      <c r="AQD161" s="537"/>
      <c r="AQE161" s="537"/>
      <c r="AQF161" s="537"/>
      <c r="AQG161" s="537"/>
      <c r="AQH161" s="537"/>
      <c r="AQI161" s="537"/>
      <c r="AQJ161" s="537"/>
      <c r="AQK161" s="537"/>
      <c r="AQL161" s="537"/>
      <c r="AQM161" s="537"/>
      <c r="AQN161" s="537"/>
      <c r="AQO161" s="537"/>
      <c r="AQP161" s="537"/>
      <c r="AQQ161" s="537"/>
      <c r="AQR161" s="537"/>
      <c r="AQS161" s="537"/>
      <c r="AQT161" s="537"/>
      <c r="AQU161" s="537"/>
      <c r="AQV161" s="537"/>
      <c r="AQW161" s="537"/>
      <c r="AQX161" s="537"/>
      <c r="AQY161" s="537"/>
      <c r="AQZ161" s="537"/>
      <c r="ARA161" s="537"/>
      <c r="ARB161" s="537"/>
      <c r="ARC161" s="537"/>
      <c r="ARD161" s="537"/>
      <c r="ARE161" s="537"/>
      <c r="ARF161" s="537"/>
      <c r="ARG161" s="537"/>
      <c r="ARH161" s="537"/>
      <c r="ARI161" s="537"/>
      <c r="ARJ161" s="537"/>
      <c r="ARK161" s="537"/>
      <c r="ARL161" s="537"/>
      <c r="ARM161" s="537"/>
      <c r="ARN161" s="537"/>
      <c r="ARO161" s="537"/>
      <c r="ARP161" s="537"/>
      <c r="ARQ161" s="537"/>
      <c r="ARR161" s="537"/>
      <c r="ARS161" s="537"/>
      <c r="ART161" s="537"/>
      <c r="ARU161" s="537"/>
      <c r="ARV161" s="537"/>
      <c r="ARW161" s="537"/>
      <c r="ARX161" s="537"/>
      <c r="ARY161" s="537"/>
      <c r="ARZ161" s="537"/>
      <c r="ASA161" s="537"/>
      <c r="ASB161" s="537"/>
      <c r="ASC161" s="537"/>
      <c r="ASD161" s="537"/>
      <c r="ASE161" s="537"/>
      <c r="ASF161" s="537"/>
      <c r="ASG161" s="537"/>
      <c r="ASH161" s="537"/>
      <c r="ASI161" s="537"/>
      <c r="ASJ161" s="537"/>
      <c r="ASK161" s="537"/>
      <c r="ASL161" s="537"/>
      <c r="ASM161" s="537"/>
      <c r="ASN161" s="537"/>
      <c r="ASO161" s="537"/>
      <c r="ASP161" s="537"/>
      <c r="ASQ161" s="537"/>
      <c r="ASR161" s="537"/>
      <c r="ASS161" s="537"/>
      <c r="AST161" s="537"/>
      <c r="ASU161" s="537"/>
      <c r="ASV161" s="537"/>
      <c r="ASW161" s="537"/>
      <c r="ASX161" s="537"/>
      <c r="ASY161" s="537"/>
      <c r="ASZ161" s="537"/>
      <c r="ATA161" s="537"/>
      <c r="ATB161" s="537"/>
      <c r="ATC161" s="537"/>
      <c r="ATD161" s="537"/>
      <c r="ATE161" s="537"/>
      <c r="ATF161" s="537"/>
      <c r="ATG161" s="537"/>
      <c r="ATH161" s="537"/>
      <c r="ATI161" s="537"/>
      <c r="ATJ161" s="537"/>
      <c r="ATK161" s="537"/>
      <c r="ATL161" s="537"/>
      <c r="ATM161" s="537"/>
      <c r="ATN161" s="537"/>
      <c r="ATO161" s="537"/>
      <c r="ATP161" s="537"/>
      <c r="ATQ161" s="537"/>
      <c r="ATR161" s="537"/>
      <c r="ATS161" s="537"/>
      <c r="ATT161" s="537"/>
      <c r="ATU161" s="537"/>
      <c r="ATV161" s="537"/>
      <c r="ATW161" s="537"/>
      <c r="ATX161" s="537"/>
      <c r="ATY161" s="537"/>
      <c r="ATZ161" s="537"/>
      <c r="AUA161" s="537"/>
      <c r="AUB161" s="537"/>
      <c r="AUC161" s="537"/>
      <c r="AUD161" s="537"/>
      <c r="AUE161" s="537"/>
      <c r="AUF161" s="537"/>
      <c r="AUG161" s="537"/>
      <c r="AUH161" s="537"/>
      <c r="AUI161" s="537"/>
      <c r="AUJ161" s="537"/>
      <c r="AUK161" s="537"/>
      <c r="AUL161" s="537"/>
      <c r="AUM161" s="537"/>
      <c r="AUN161" s="537"/>
      <c r="AUO161" s="537"/>
      <c r="AUP161" s="537"/>
      <c r="AUQ161" s="537"/>
      <c r="AUR161" s="537"/>
      <c r="AUS161" s="537"/>
      <c r="AUT161" s="537"/>
      <c r="AUU161" s="537"/>
      <c r="AUV161" s="537"/>
      <c r="AUW161" s="537"/>
      <c r="AUX161" s="537"/>
      <c r="AUY161" s="537"/>
      <c r="AUZ161" s="537"/>
      <c r="AVA161" s="537"/>
      <c r="AVB161" s="537"/>
      <c r="AVC161" s="537"/>
      <c r="AVD161" s="537"/>
      <c r="AVE161" s="537"/>
      <c r="AVF161" s="537"/>
      <c r="AVG161" s="537"/>
      <c r="AVH161" s="537"/>
      <c r="AVI161" s="537"/>
      <c r="AVJ161" s="537"/>
      <c r="AVK161" s="537"/>
      <c r="AVL161" s="537"/>
      <c r="AVM161" s="537"/>
      <c r="AVN161" s="537"/>
      <c r="AVO161" s="537"/>
      <c r="AVP161" s="537"/>
      <c r="AVQ161" s="537"/>
      <c r="AVR161" s="537"/>
      <c r="AVS161" s="537"/>
      <c r="AVT161" s="537"/>
      <c r="AVU161" s="537"/>
      <c r="AVV161" s="537"/>
      <c r="AVW161" s="537"/>
      <c r="AVX161" s="537"/>
      <c r="AVY161" s="537"/>
      <c r="AVZ161" s="537"/>
      <c r="AWA161" s="537"/>
      <c r="AWB161" s="537"/>
      <c r="AWC161" s="537"/>
      <c r="AWD161" s="537"/>
      <c r="AWE161" s="537"/>
      <c r="AWF161" s="537"/>
      <c r="AWG161" s="537"/>
      <c r="AWH161" s="537"/>
      <c r="AWI161" s="537"/>
      <c r="AWJ161" s="537"/>
      <c r="AWK161" s="537"/>
      <c r="AWL161" s="537"/>
      <c r="AWM161" s="537"/>
      <c r="AWN161" s="537"/>
      <c r="AWO161" s="537"/>
      <c r="AWP161" s="537"/>
      <c r="AWQ161" s="537"/>
      <c r="AWR161" s="537"/>
      <c r="AWS161" s="537"/>
      <c r="AWT161" s="537"/>
      <c r="AWU161" s="537"/>
      <c r="AWV161" s="537"/>
      <c r="AWW161" s="537"/>
      <c r="AWX161" s="537"/>
      <c r="AWY161" s="537"/>
      <c r="AWZ161" s="537"/>
      <c r="AXA161" s="537"/>
      <c r="AXB161" s="537"/>
      <c r="AXC161" s="537"/>
      <c r="AXD161" s="537"/>
      <c r="AXE161" s="537"/>
      <c r="AXF161" s="537"/>
      <c r="AXG161" s="537"/>
      <c r="AXH161" s="537"/>
      <c r="AXI161" s="537"/>
      <c r="AXJ161" s="537"/>
      <c r="AXK161" s="537"/>
      <c r="AXL161" s="537"/>
      <c r="AXM161" s="537"/>
      <c r="AXN161" s="537"/>
      <c r="AXO161" s="537"/>
      <c r="AXP161" s="537"/>
      <c r="AXQ161" s="537"/>
      <c r="AXR161" s="537"/>
      <c r="AXS161" s="537"/>
      <c r="AXT161" s="537"/>
      <c r="AXU161" s="537"/>
      <c r="AXV161" s="537"/>
      <c r="AXW161" s="537"/>
      <c r="AXX161" s="537"/>
      <c r="AXY161" s="537"/>
      <c r="AXZ161" s="537"/>
      <c r="AYA161" s="537"/>
      <c r="AYB161" s="537"/>
      <c r="AYC161" s="537"/>
      <c r="AYD161" s="537"/>
      <c r="AYE161" s="537"/>
      <c r="AYF161" s="537"/>
      <c r="AYG161" s="537"/>
      <c r="AYH161" s="537"/>
      <c r="AYI161" s="537"/>
      <c r="AYJ161" s="537"/>
      <c r="AYK161" s="537"/>
      <c r="AYL161" s="537"/>
      <c r="AYM161" s="537"/>
      <c r="AYN161" s="537"/>
      <c r="AYO161" s="537"/>
      <c r="AYP161" s="537"/>
      <c r="AYQ161" s="537"/>
      <c r="AYR161" s="537"/>
      <c r="AYS161" s="537"/>
      <c r="AYT161" s="537"/>
      <c r="AYU161" s="537"/>
      <c r="AYV161" s="537"/>
      <c r="AYW161" s="537"/>
      <c r="AYX161" s="537"/>
      <c r="AYY161" s="537"/>
      <c r="AYZ161" s="537"/>
      <c r="AZA161" s="537"/>
      <c r="AZB161" s="537"/>
      <c r="AZC161" s="537"/>
      <c r="AZD161" s="537"/>
      <c r="AZE161" s="537"/>
      <c r="AZF161" s="537"/>
      <c r="AZG161" s="537"/>
      <c r="AZH161" s="537"/>
      <c r="AZI161" s="537"/>
      <c r="AZJ161" s="537"/>
      <c r="AZK161" s="537"/>
      <c r="AZL161" s="537"/>
      <c r="AZM161" s="537"/>
      <c r="AZN161" s="537"/>
      <c r="AZO161" s="537"/>
      <c r="AZP161" s="537"/>
      <c r="AZQ161" s="537"/>
      <c r="AZR161" s="537"/>
      <c r="AZS161" s="537"/>
      <c r="AZT161" s="537"/>
      <c r="AZU161" s="537"/>
      <c r="AZV161" s="537"/>
      <c r="AZW161" s="537"/>
      <c r="AZX161" s="537"/>
      <c r="AZY161" s="537"/>
      <c r="AZZ161" s="537"/>
      <c r="BAA161" s="537"/>
      <c r="BAB161" s="537"/>
      <c r="BAC161" s="537"/>
      <c r="BAD161" s="537"/>
      <c r="BAE161" s="537"/>
      <c r="BAF161" s="537"/>
      <c r="BAG161" s="537"/>
      <c r="BAH161" s="537"/>
      <c r="BAI161" s="537"/>
      <c r="BAJ161" s="537"/>
      <c r="BAK161" s="537"/>
      <c r="BAL161" s="537"/>
      <c r="BAM161" s="537"/>
      <c r="BAN161" s="537"/>
      <c r="BAO161" s="537"/>
      <c r="BAP161" s="537"/>
      <c r="BAQ161" s="537"/>
      <c r="BAR161" s="537"/>
      <c r="BAS161" s="537"/>
      <c r="BAT161" s="537"/>
      <c r="BAU161" s="537"/>
      <c r="BAV161" s="537"/>
      <c r="BAW161" s="537"/>
      <c r="BAX161" s="537"/>
      <c r="BAY161" s="537"/>
      <c r="BAZ161" s="537"/>
      <c r="BBA161" s="537"/>
      <c r="BBB161" s="537"/>
      <c r="BBC161" s="537"/>
      <c r="BBD161" s="537"/>
      <c r="BBE161" s="537"/>
      <c r="BBF161" s="537"/>
      <c r="BBG161" s="537"/>
      <c r="BBH161" s="537"/>
      <c r="BBI161" s="537"/>
      <c r="BBJ161" s="537"/>
      <c r="BBK161" s="537"/>
      <c r="BBL161" s="537"/>
      <c r="BBM161" s="537"/>
      <c r="BBN161" s="537"/>
      <c r="BBO161" s="537"/>
      <c r="BBP161" s="537"/>
      <c r="BBQ161" s="537"/>
      <c r="BBR161" s="537"/>
      <c r="BBS161" s="537"/>
      <c r="BBT161" s="537"/>
      <c r="BBU161" s="537"/>
      <c r="BBV161" s="537"/>
      <c r="BBW161" s="537"/>
      <c r="BBX161" s="537"/>
      <c r="BBY161" s="537"/>
      <c r="BBZ161" s="537"/>
      <c r="BCA161" s="537"/>
      <c r="BCB161" s="537"/>
      <c r="BCC161" s="537"/>
      <c r="BCD161" s="537"/>
      <c r="BCE161" s="537"/>
      <c r="BCF161" s="537"/>
      <c r="BCG161" s="537"/>
      <c r="BCH161" s="537"/>
      <c r="BCI161" s="537"/>
      <c r="BCJ161" s="537"/>
      <c r="BCK161" s="537"/>
      <c r="BCL161" s="537"/>
      <c r="BCM161" s="537"/>
      <c r="BCN161" s="537"/>
      <c r="BCO161" s="537"/>
      <c r="BCP161" s="537"/>
      <c r="BCQ161" s="537"/>
      <c r="BCR161" s="537"/>
      <c r="BCS161" s="537"/>
      <c r="BCT161" s="537"/>
      <c r="BCU161" s="537"/>
      <c r="BCV161" s="537"/>
      <c r="BCW161" s="537"/>
      <c r="BCX161" s="537"/>
      <c r="BCY161" s="537"/>
      <c r="BCZ161" s="537"/>
      <c r="BDA161" s="537"/>
      <c r="BDB161" s="537"/>
      <c r="BDC161" s="537"/>
      <c r="BDD161" s="537"/>
      <c r="BDE161" s="537"/>
      <c r="BDF161" s="537"/>
      <c r="BDG161" s="537"/>
      <c r="BDH161" s="537"/>
      <c r="BDI161" s="537"/>
      <c r="BDJ161" s="537"/>
      <c r="BDK161" s="537"/>
      <c r="BDL161" s="537"/>
      <c r="BDM161" s="537"/>
      <c r="BDN161" s="537"/>
      <c r="BDO161" s="537"/>
      <c r="BDP161" s="537"/>
      <c r="BDQ161" s="537"/>
      <c r="BDR161" s="537"/>
      <c r="BDS161" s="537"/>
      <c r="BDT161" s="537"/>
      <c r="BDU161" s="537"/>
      <c r="BDV161" s="537"/>
      <c r="BDW161" s="537"/>
      <c r="BDX161" s="537"/>
      <c r="BDY161" s="537"/>
      <c r="BDZ161" s="537"/>
      <c r="BEA161" s="537"/>
      <c r="BEB161" s="537"/>
      <c r="BEC161" s="537"/>
      <c r="BED161" s="537"/>
      <c r="BEE161" s="537"/>
      <c r="BEF161" s="537"/>
      <c r="BEG161" s="537"/>
      <c r="BEH161" s="537"/>
      <c r="BEI161" s="537"/>
      <c r="BEJ161" s="537"/>
      <c r="BEK161" s="537"/>
      <c r="BEL161" s="537"/>
      <c r="BEM161" s="537"/>
      <c r="BEN161" s="537"/>
      <c r="BEO161" s="537"/>
      <c r="BEP161" s="537"/>
      <c r="BEQ161" s="537"/>
      <c r="BER161" s="537"/>
      <c r="BES161" s="537"/>
      <c r="BET161" s="537"/>
      <c r="BEU161" s="537"/>
      <c r="BEV161" s="537"/>
      <c r="BEW161" s="537"/>
      <c r="BEX161" s="537"/>
      <c r="BEY161" s="537"/>
      <c r="BEZ161" s="537"/>
      <c r="BFA161" s="537"/>
      <c r="BFB161" s="537"/>
      <c r="BFC161" s="537"/>
      <c r="BFD161" s="537"/>
      <c r="BFE161" s="537"/>
      <c r="BFF161" s="537"/>
      <c r="BFG161" s="537"/>
      <c r="BFH161" s="537"/>
      <c r="BFI161" s="537"/>
      <c r="BFJ161" s="537"/>
      <c r="BFK161" s="537"/>
      <c r="BFL161" s="537"/>
      <c r="BFM161" s="537"/>
      <c r="BFN161" s="537"/>
      <c r="BFO161" s="537"/>
      <c r="BFP161" s="537"/>
      <c r="BFQ161" s="537"/>
      <c r="BFR161" s="537"/>
      <c r="BFS161" s="537"/>
      <c r="BFT161" s="537"/>
      <c r="BFU161" s="537"/>
      <c r="BFV161" s="537"/>
      <c r="BFW161" s="537"/>
      <c r="BFX161" s="537"/>
      <c r="BFY161" s="537"/>
      <c r="BFZ161" s="537"/>
      <c r="BGA161" s="537"/>
      <c r="BGB161" s="537"/>
      <c r="BGC161" s="537"/>
      <c r="BGD161" s="537"/>
      <c r="BGE161" s="537"/>
      <c r="BGF161" s="537"/>
      <c r="BGG161" s="537"/>
      <c r="BGH161" s="537"/>
      <c r="BGI161" s="537"/>
      <c r="BGJ161" s="537"/>
      <c r="BGK161" s="537"/>
      <c r="BGL161" s="537"/>
      <c r="BGM161" s="537"/>
      <c r="BGN161" s="537"/>
      <c r="BGO161" s="537"/>
      <c r="BGP161" s="537"/>
      <c r="BGQ161" s="537"/>
      <c r="BGR161" s="537"/>
      <c r="BGS161" s="537"/>
      <c r="BGT161" s="537"/>
      <c r="BGU161" s="537"/>
      <c r="BGV161" s="537"/>
      <c r="BGW161" s="537"/>
      <c r="BGX161" s="537"/>
      <c r="BGY161" s="537"/>
      <c r="BGZ161" s="537"/>
      <c r="BHA161" s="537"/>
      <c r="BHB161" s="537"/>
      <c r="BHC161" s="537"/>
      <c r="BHD161" s="537"/>
      <c r="BHE161" s="537"/>
      <c r="BHF161" s="537"/>
      <c r="BHG161" s="537"/>
      <c r="BHH161" s="537"/>
      <c r="BHI161" s="537"/>
      <c r="BHJ161" s="537"/>
      <c r="BHK161" s="537"/>
      <c r="BHL161" s="537"/>
      <c r="BHM161" s="537"/>
      <c r="BHN161" s="537"/>
      <c r="BHO161" s="537"/>
      <c r="BHP161" s="537"/>
      <c r="BHQ161" s="537"/>
      <c r="BHR161" s="537"/>
      <c r="BHS161" s="537"/>
      <c r="BHT161" s="537"/>
      <c r="BHU161" s="537"/>
      <c r="BHV161" s="537"/>
      <c r="BHW161" s="537"/>
      <c r="BHX161" s="537"/>
      <c r="BHY161" s="537"/>
      <c r="BHZ161" s="537"/>
      <c r="BIA161" s="537"/>
      <c r="BIB161" s="537"/>
      <c r="BIC161" s="537"/>
      <c r="BID161" s="537"/>
      <c r="BIE161" s="537"/>
      <c r="BIF161" s="537"/>
      <c r="BIG161" s="537"/>
      <c r="BIH161" s="537"/>
      <c r="BII161" s="537"/>
      <c r="BIJ161" s="537"/>
      <c r="BIK161" s="537"/>
      <c r="BIL161" s="537"/>
      <c r="BIM161" s="537"/>
      <c r="BIN161" s="537"/>
      <c r="BIO161" s="537"/>
      <c r="BIP161" s="537"/>
      <c r="BIQ161" s="537"/>
      <c r="BIR161" s="537"/>
      <c r="BIS161" s="537"/>
      <c r="BIT161" s="537"/>
      <c r="BIU161" s="537"/>
      <c r="BIV161" s="537"/>
      <c r="BIW161" s="537"/>
      <c r="BIX161" s="537"/>
      <c r="BIY161" s="537"/>
      <c r="BIZ161" s="537"/>
      <c r="BJA161" s="537"/>
      <c r="BJB161" s="537"/>
      <c r="BJC161" s="537"/>
      <c r="BJD161" s="537"/>
      <c r="BJE161" s="537"/>
      <c r="BJF161" s="537"/>
      <c r="BJG161" s="537"/>
      <c r="BJH161" s="537"/>
      <c r="BJI161" s="537"/>
      <c r="BJJ161" s="537"/>
      <c r="BJK161" s="537"/>
      <c r="BJL161" s="537"/>
      <c r="BJM161" s="537"/>
      <c r="BJN161" s="537"/>
      <c r="BJO161" s="537"/>
      <c r="BJP161" s="537"/>
      <c r="BJQ161" s="537"/>
      <c r="BJR161" s="537"/>
      <c r="BJS161" s="537"/>
      <c r="BJT161" s="537"/>
      <c r="BJU161" s="537"/>
      <c r="BJV161" s="537"/>
      <c r="BJW161" s="537"/>
      <c r="BJX161" s="537"/>
      <c r="BJY161" s="537"/>
      <c r="BJZ161" s="537"/>
      <c r="BKA161" s="537"/>
      <c r="BKB161" s="537"/>
      <c r="BKC161" s="537"/>
      <c r="BKD161" s="537"/>
      <c r="BKE161" s="537"/>
      <c r="BKF161" s="537"/>
      <c r="BKG161" s="537"/>
      <c r="BKH161" s="537"/>
      <c r="BKI161" s="537"/>
      <c r="BKJ161" s="537"/>
      <c r="BKK161" s="537"/>
      <c r="BKL161" s="537"/>
      <c r="BKM161" s="537"/>
      <c r="BKN161" s="537"/>
      <c r="BKO161" s="537"/>
      <c r="BKP161" s="537"/>
      <c r="BKQ161" s="537"/>
      <c r="BKR161" s="537"/>
      <c r="BKS161" s="537"/>
      <c r="BKT161" s="537"/>
      <c r="BKU161" s="537"/>
      <c r="BKV161" s="537"/>
      <c r="BKW161" s="537"/>
      <c r="BKX161" s="537"/>
      <c r="BKY161" s="537"/>
      <c r="BKZ161" s="537"/>
      <c r="BLA161" s="537"/>
      <c r="BLB161" s="537"/>
      <c r="BLC161" s="537"/>
      <c r="BLD161" s="537"/>
      <c r="BLE161" s="537"/>
      <c r="BLF161" s="537"/>
      <c r="BLG161" s="537"/>
      <c r="BLH161" s="537"/>
      <c r="BLI161" s="537"/>
      <c r="BLJ161" s="537"/>
      <c r="BLK161" s="537"/>
      <c r="BLL161" s="537"/>
      <c r="BLM161" s="537"/>
      <c r="BLN161" s="537"/>
      <c r="BLO161" s="537"/>
      <c r="BLP161" s="537"/>
      <c r="BLQ161" s="537"/>
      <c r="BLR161" s="537"/>
      <c r="BLS161" s="537"/>
      <c r="BLT161" s="537"/>
      <c r="BLU161" s="537"/>
      <c r="BLV161" s="537"/>
      <c r="BLW161" s="537"/>
      <c r="BLX161" s="537"/>
      <c r="BLY161" s="537"/>
      <c r="BLZ161" s="537"/>
      <c r="BMA161" s="537"/>
      <c r="BMB161" s="537"/>
      <c r="BMC161" s="537"/>
      <c r="BMD161" s="537"/>
      <c r="BME161" s="537"/>
      <c r="BMF161" s="537"/>
      <c r="BMG161" s="537"/>
      <c r="BMH161" s="537"/>
      <c r="BMI161" s="537"/>
      <c r="BMJ161" s="537"/>
      <c r="BMK161" s="537"/>
      <c r="BML161" s="537"/>
      <c r="BMM161" s="537"/>
      <c r="BMN161" s="537"/>
      <c r="BMO161" s="537"/>
      <c r="BMP161" s="537"/>
      <c r="BMQ161" s="537"/>
      <c r="BMR161" s="537"/>
      <c r="BMS161" s="537"/>
      <c r="BMT161" s="537"/>
      <c r="BMU161" s="537"/>
      <c r="BMV161" s="537"/>
      <c r="BMW161" s="537"/>
      <c r="BMX161" s="537"/>
      <c r="BMY161" s="537"/>
      <c r="BMZ161" s="537"/>
      <c r="BNA161" s="537"/>
      <c r="BNB161" s="537"/>
      <c r="BNC161" s="537"/>
      <c r="BND161" s="537"/>
      <c r="BNE161" s="537"/>
      <c r="BNF161" s="537"/>
      <c r="BNG161" s="537"/>
      <c r="BNH161" s="537"/>
      <c r="BNI161" s="537"/>
      <c r="BNJ161" s="537"/>
      <c r="BNK161" s="537"/>
      <c r="BNL161" s="537"/>
      <c r="BNM161" s="537"/>
      <c r="BNN161" s="537"/>
      <c r="BNO161" s="537"/>
      <c r="BNP161" s="537"/>
      <c r="BNQ161" s="537"/>
      <c r="BNR161" s="537"/>
      <c r="BNS161" s="537"/>
      <c r="BNT161" s="537"/>
      <c r="BNU161" s="537"/>
      <c r="BNV161" s="537"/>
      <c r="BNW161" s="537"/>
      <c r="BNX161" s="537"/>
      <c r="BNY161" s="537"/>
      <c r="BNZ161" s="537"/>
      <c r="BOA161" s="537"/>
      <c r="BOB161" s="537"/>
      <c r="BOC161" s="537"/>
      <c r="BOD161" s="537"/>
      <c r="BOE161" s="537"/>
      <c r="BOF161" s="537"/>
      <c r="BOG161" s="537"/>
      <c r="BOH161" s="537"/>
      <c r="BOI161" s="537"/>
      <c r="BOJ161" s="537"/>
      <c r="BOK161" s="537"/>
      <c r="BOL161" s="537"/>
      <c r="BOM161" s="537"/>
      <c r="BON161" s="537"/>
      <c r="BOO161" s="537"/>
      <c r="BOP161" s="537"/>
      <c r="BOQ161" s="537"/>
      <c r="BOR161" s="537"/>
      <c r="BOS161" s="537"/>
      <c r="BOT161" s="537"/>
      <c r="BOU161" s="537"/>
      <c r="BOV161" s="537"/>
      <c r="BOW161" s="537"/>
      <c r="BOX161" s="537"/>
      <c r="BOY161" s="537"/>
      <c r="BOZ161" s="537"/>
      <c r="BPA161" s="537"/>
      <c r="BPB161" s="537"/>
      <c r="BPC161" s="537"/>
      <c r="BPD161" s="537"/>
      <c r="BPE161" s="537"/>
      <c r="BPF161" s="537"/>
      <c r="BPG161" s="537"/>
      <c r="BPH161" s="537"/>
      <c r="BPI161" s="537"/>
      <c r="BPJ161" s="537"/>
      <c r="BPK161" s="537"/>
      <c r="BPL161" s="537"/>
      <c r="BPM161" s="537"/>
      <c r="BPN161" s="537"/>
      <c r="BPO161" s="537"/>
      <c r="BPP161" s="537"/>
      <c r="BPQ161" s="537"/>
      <c r="BPR161" s="537"/>
      <c r="BPS161" s="537"/>
      <c r="BPT161" s="537"/>
      <c r="BPU161" s="537"/>
      <c r="BPV161" s="537"/>
      <c r="BPW161" s="537"/>
      <c r="BPX161" s="537"/>
      <c r="BPY161" s="537"/>
      <c r="BPZ161" s="537"/>
      <c r="BQA161" s="537"/>
      <c r="BQB161" s="537"/>
      <c r="BQC161" s="537"/>
      <c r="BQD161" s="537"/>
      <c r="BQE161" s="537"/>
      <c r="BQF161" s="537"/>
      <c r="BQG161" s="537"/>
      <c r="BQH161" s="537"/>
      <c r="BQI161" s="537"/>
      <c r="BQJ161" s="537"/>
      <c r="BQK161" s="537"/>
      <c r="BQL161" s="537"/>
      <c r="BQM161" s="537"/>
      <c r="BQN161" s="537"/>
      <c r="BQO161" s="537"/>
      <c r="BQP161" s="537"/>
      <c r="BQQ161" s="537"/>
      <c r="BQR161" s="537"/>
      <c r="BQS161" s="537"/>
      <c r="BQT161" s="537"/>
      <c r="BQU161" s="537"/>
      <c r="BQV161" s="537"/>
      <c r="BQW161" s="537"/>
      <c r="BQX161" s="537"/>
      <c r="BQY161" s="537"/>
      <c r="BQZ161" s="537"/>
      <c r="BRA161" s="537"/>
      <c r="BRB161" s="537"/>
      <c r="BRC161" s="537"/>
      <c r="BRD161" s="537"/>
      <c r="BRE161" s="537"/>
      <c r="BRF161" s="537"/>
      <c r="BRG161" s="537"/>
      <c r="BRH161" s="537"/>
      <c r="BRI161" s="537"/>
      <c r="BRJ161" s="537"/>
      <c r="BRK161" s="537"/>
      <c r="BRL161" s="537"/>
      <c r="BRM161" s="537"/>
      <c r="BRN161" s="537"/>
      <c r="BRO161" s="537"/>
      <c r="BRP161" s="537"/>
      <c r="BRQ161" s="537"/>
      <c r="BRR161" s="537"/>
      <c r="BRS161" s="537"/>
      <c r="BRT161" s="537"/>
      <c r="BRU161" s="537"/>
      <c r="BRV161" s="537"/>
      <c r="BRW161" s="537"/>
      <c r="BRX161" s="537"/>
      <c r="BRY161" s="537"/>
      <c r="BRZ161" s="537"/>
      <c r="BSA161" s="537"/>
      <c r="BSB161" s="537"/>
      <c r="BSC161" s="537"/>
      <c r="BSD161" s="537"/>
      <c r="BSE161" s="537"/>
      <c r="BSF161" s="537"/>
      <c r="BSG161" s="537"/>
      <c r="BSH161" s="537"/>
      <c r="BSI161" s="537"/>
      <c r="BSJ161" s="537"/>
      <c r="BSK161" s="537"/>
      <c r="BSL161" s="537"/>
      <c r="BSM161" s="537"/>
      <c r="BSN161" s="537"/>
      <c r="BSO161" s="537"/>
      <c r="BSP161" s="537"/>
      <c r="BSQ161" s="537"/>
      <c r="BSR161" s="537"/>
      <c r="BSS161" s="537"/>
      <c r="BST161" s="537"/>
      <c r="BSU161" s="537"/>
      <c r="BSV161" s="537"/>
      <c r="BSW161" s="537"/>
      <c r="BSX161" s="537"/>
      <c r="BSY161" s="537"/>
      <c r="BSZ161" s="537"/>
      <c r="BTA161" s="537"/>
      <c r="BTB161" s="537"/>
      <c r="BTC161" s="537"/>
      <c r="BTD161" s="537"/>
      <c r="BTE161" s="537"/>
      <c r="BTF161" s="537"/>
      <c r="BTG161" s="537"/>
      <c r="BTH161" s="537"/>
      <c r="BTI161" s="537"/>
      <c r="BTJ161" s="537"/>
      <c r="BTK161" s="537"/>
      <c r="BTL161" s="537"/>
      <c r="BTM161" s="537"/>
      <c r="BTN161" s="537"/>
      <c r="BTO161" s="537"/>
      <c r="BTP161" s="537"/>
      <c r="BTQ161" s="537"/>
      <c r="BTR161" s="537"/>
      <c r="BTS161" s="537"/>
      <c r="BTT161" s="537"/>
      <c r="BTU161" s="537"/>
      <c r="BTV161" s="537"/>
      <c r="BTW161" s="537"/>
      <c r="BTX161" s="537"/>
      <c r="BTY161" s="537"/>
      <c r="BTZ161" s="537"/>
      <c r="BUA161" s="537"/>
      <c r="BUB161" s="537"/>
      <c r="BUC161" s="537"/>
      <c r="BUD161" s="537"/>
      <c r="BUE161" s="537"/>
      <c r="BUF161" s="537"/>
      <c r="BUG161" s="537"/>
      <c r="BUH161" s="537"/>
      <c r="BUI161" s="537"/>
      <c r="BUJ161" s="537"/>
      <c r="BUK161" s="537"/>
      <c r="BUL161" s="537"/>
      <c r="BUM161" s="537"/>
      <c r="BUN161" s="537"/>
      <c r="BUO161" s="537"/>
      <c r="BUP161" s="537"/>
      <c r="BUQ161" s="537"/>
      <c r="BUR161" s="537"/>
      <c r="BUS161" s="537"/>
      <c r="BUT161" s="537"/>
      <c r="BUU161" s="537"/>
      <c r="BUV161" s="537"/>
      <c r="BUW161" s="537"/>
      <c r="BUX161" s="537"/>
      <c r="BUY161" s="537"/>
      <c r="BUZ161" s="537"/>
      <c r="BVA161" s="537"/>
      <c r="BVB161" s="537"/>
      <c r="BVC161" s="537"/>
      <c r="BVD161" s="537"/>
      <c r="BVE161" s="537"/>
      <c r="BVF161" s="537"/>
      <c r="BVG161" s="537"/>
      <c r="BVH161" s="537"/>
      <c r="BVI161" s="537"/>
      <c r="BVJ161" s="537"/>
      <c r="BVK161" s="537"/>
      <c r="BVL161" s="537"/>
      <c r="BVM161" s="537"/>
      <c r="BVN161" s="537"/>
      <c r="BVO161" s="537"/>
      <c r="BVP161" s="537"/>
      <c r="BVQ161" s="537"/>
      <c r="BVR161" s="537"/>
      <c r="BVS161" s="537"/>
      <c r="BVT161" s="537"/>
      <c r="BVU161" s="537"/>
      <c r="BVV161" s="537"/>
      <c r="BVW161" s="537"/>
      <c r="BVX161" s="537"/>
      <c r="BVY161" s="537"/>
      <c r="BVZ161" s="537"/>
      <c r="BWA161" s="537"/>
      <c r="BWB161" s="537"/>
      <c r="BWC161" s="537"/>
      <c r="BWD161" s="537"/>
      <c r="BWE161" s="537"/>
      <c r="BWF161" s="537"/>
      <c r="BWG161" s="537"/>
      <c r="BWH161" s="537"/>
      <c r="BWI161" s="537"/>
      <c r="BWJ161" s="537"/>
      <c r="BWK161" s="537"/>
      <c r="BWL161" s="537"/>
      <c r="BWM161" s="537"/>
      <c r="BWN161" s="537"/>
      <c r="BWO161" s="537"/>
      <c r="BWP161" s="537"/>
      <c r="BWQ161" s="537"/>
      <c r="BWR161" s="537"/>
      <c r="BWS161" s="537"/>
      <c r="BWT161" s="537"/>
      <c r="BWU161" s="537"/>
      <c r="BWV161" s="537"/>
      <c r="BWW161" s="537"/>
      <c r="BWX161" s="537"/>
      <c r="BWY161" s="537"/>
      <c r="BWZ161" s="537"/>
      <c r="BXA161" s="537"/>
      <c r="BXB161" s="537"/>
      <c r="BXC161" s="537"/>
      <c r="BXD161" s="537"/>
      <c r="BXE161" s="537"/>
      <c r="BXF161" s="537"/>
      <c r="BXG161" s="537"/>
      <c r="BXH161" s="537"/>
      <c r="BXI161" s="537"/>
      <c r="BXJ161" s="537"/>
      <c r="BXK161" s="537"/>
      <c r="BXL161" s="537"/>
      <c r="BXM161" s="537"/>
      <c r="BXN161" s="537"/>
      <c r="BXO161" s="537"/>
      <c r="BXP161" s="537"/>
      <c r="BXQ161" s="537"/>
      <c r="BXR161" s="537"/>
      <c r="BXS161" s="537"/>
      <c r="BXT161" s="537"/>
      <c r="BXU161" s="537"/>
      <c r="BXV161" s="537"/>
      <c r="BXW161" s="537"/>
      <c r="BXX161" s="537"/>
      <c r="BXY161" s="537"/>
      <c r="BXZ161" s="537"/>
      <c r="BYA161" s="537"/>
      <c r="BYB161" s="537"/>
      <c r="BYC161" s="537"/>
      <c r="BYD161" s="537"/>
      <c r="BYE161" s="537"/>
      <c r="BYF161" s="537"/>
      <c r="BYG161" s="537"/>
      <c r="BYH161" s="537"/>
      <c r="BYI161" s="537"/>
      <c r="BYJ161" s="537"/>
      <c r="BYK161" s="537"/>
      <c r="BYL161" s="537"/>
      <c r="BYM161" s="537"/>
      <c r="BYN161" s="537"/>
      <c r="BYO161" s="537"/>
      <c r="BYP161" s="537"/>
      <c r="BYQ161" s="537"/>
      <c r="BYR161" s="537"/>
      <c r="BYS161" s="537"/>
      <c r="BYT161" s="537"/>
      <c r="BYU161" s="537"/>
      <c r="BYV161" s="537"/>
      <c r="BYW161" s="537"/>
      <c r="BYX161" s="537"/>
      <c r="BYY161" s="537"/>
      <c r="BYZ161" s="537"/>
      <c r="BZA161" s="537"/>
      <c r="BZB161" s="537"/>
      <c r="BZC161" s="537"/>
      <c r="BZD161" s="537"/>
      <c r="BZE161" s="537"/>
      <c r="BZF161" s="537"/>
      <c r="BZG161" s="537"/>
      <c r="BZH161" s="537"/>
      <c r="BZI161" s="537"/>
      <c r="BZJ161" s="537"/>
      <c r="BZK161" s="537"/>
      <c r="BZL161" s="537"/>
      <c r="BZM161" s="537"/>
      <c r="BZN161" s="537"/>
      <c r="BZO161" s="537"/>
      <c r="BZP161" s="537"/>
      <c r="BZQ161" s="537"/>
      <c r="BZR161" s="537"/>
      <c r="BZS161" s="537"/>
      <c r="BZT161" s="537"/>
      <c r="BZU161" s="537"/>
      <c r="BZV161" s="537"/>
      <c r="BZW161" s="537"/>
      <c r="BZX161" s="537"/>
      <c r="BZY161" s="537"/>
      <c r="BZZ161" s="537"/>
      <c r="CAA161" s="537"/>
      <c r="CAB161" s="537"/>
      <c r="CAC161" s="537"/>
      <c r="CAD161" s="537"/>
      <c r="CAE161" s="537"/>
      <c r="CAF161" s="537"/>
      <c r="CAG161" s="537"/>
      <c r="CAH161" s="537"/>
      <c r="CAI161" s="537"/>
      <c r="CAJ161" s="537"/>
      <c r="CAK161" s="537"/>
      <c r="CAL161" s="537"/>
      <c r="CAM161" s="537"/>
      <c r="CAN161" s="537"/>
      <c r="CAO161" s="537"/>
      <c r="CAP161" s="537"/>
      <c r="CAQ161" s="537"/>
      <c r="CAR161" s="537"/>
      <c r="CAS161" s="537"/>
      <c r="CAT161" s="537"/>
      <c r="CAU161" s="537"/>
      <c r="CAV161" s="537"/>
      <c r="CAW161" s="537"/>
      <c r="CAX161" s="537"/>
      <c r="CAY161" s="537"/>
      <c r="CAZ161" s="537"/>
      <c r="CBA161" s="537"/>
      <c r="CBB161" s="537"/>
      <c r="CBC161" s="537"/>
      <c r="CBD161" s="537"/>
      <c r="CBE161" s="537"/>
      <c r="CBF161" s="537"/>
      <c r="CBG161" s="537"/>
      <c r="CBH161" s="537"/>
      <c r="CBI161" s="537"/>
      <c r="CBJ161" s="537"/>
      <c r="CBK161" s="537"/>
      <c r="CBL161" s="537"/>
      <c r="CBM161" s="537"/>
      <c r="CBN161" s="537"/>
      <c r="CBO161" s="537"/>
      <c r="CBP161" s="537"/>
      <c r="CBQ161" s="537"/>
      <c r="CBR161" s="537"/>
      <c r="CBS161" s="537"/>
      <c r="CBT161" s="537"/>
      <c r="CBU161" s="537"/>
      <c r="CBV161" s="537"/>
      <c r="CBW161" s="537"/>
      <c r="CBX161" s="537"/>
      <c r="CBY161" s="537"/>
      <c r="CBZ161" s="537"/>
      <c r="CCA161" s="537"/>
      <c r="CCB161" s="537"/>
      <c r="CCC161" s="537"/>
      <c r="CCD161" s="537"/>
      <c r="CCE161" s="537"/>
      <c r="CCF161" s="537"/>
      <c r="CCG161" s="537"/>
      <c r="CCH161" s="537"/>
      <c r="CCI161" s="537"/>
      <c r="CCJ161" s="537"/>
      <c r="CCK161" s="537"/>
      <c r="CCL161" s="537"/>
      <c r="CCM161" s="537"/>
      <c r="CCN161" s="537"/>
      <c r="CCO161" s="537"/>
      <c r="CCP161" s="537"/>
      <c r="CCQ161" s="537"/>
      <c r="CCR161" s="537"/>
      <c r="CCS161" s="537"/>
      <c r="CCT161" s="537"/>
      <c r="CCU161" s="537"/>
      <c r="CCV161" s="537"/>
      <c r="CCW161" s="537"/>
      <c r="CCX161" s="537"/>
      <c r="CCY161" s="537"/>
      <c r="CCZ161" s="537"/>
      <c r="CDA161" s="537"/>
      <c r="CDB161" s="537"/>
      <c r="CDC161" s="537"/>
      <c r="CDD161" s="537"/>
      <c r="CDE161" s="537"/>
      <c r="CDF161" s="537"/>
      <c r="CDG161" s="537"/>
      <c r="CDH161" s="537"/>
      <c r="CDI161" s="537"/>
      <c r="CDJ161" s="537"/>
      <c r="CDK161" s="537"/>
      <c r="CDL161" s="537"/>
      <c r="CDM161" s="537"/>
      <c r="CDN161" s="537"/>
      <c r="CDO161" s="537"/>
      <c r="CDP161" s="537"/>
      <c r="CDQ161" s="537"/>
      <c r="CDR161" s="537"/>
      <c r="CDS161" s="537"/>
      <c r="CDT161" s="537"/>
      <c r="CDU161" s="537"/>
      <c r="CDV161" s="537"/>
      <c r="CDW161" s="537"/>
      <c r="CDX161" s="537"/>
      <c r="CDY161" s="537"/>
      <c r="CDZ161" s="537"/>
      <c r="CEA161" s="537"/>
      <c r="CEB161" s="537"/>
      <c r="CEC161" s="537"/>
      <c r="CED161" s="537"/>
      <c r="CEE161" s="537"/>
      <c r="CEF161" s="537"/>
      <c r="CEG161" s="537"/>
      <c r="CEH161" s="537"/>
      <c r="CEI161" s="537"/>
      <c r="CEJ161" s="537"/>
      <c r="CEK161" s="537"/>
      <c r="CEL161" s="537"/>
      <c r="CEM161" s="537"/>
      <c r="CEN161" s="537"/>
      <c r="CEO161" s="537"/>
      <c r="CEP161" s="537"/>
      <c r="CEQ161" s="537"/>
      <c r="CER161" s="537"/>
      <c r="CES161" s="537"/>
      <c r="CET161" s="537"/>
      <c r="CEU161" s="537"/>
      <c r="CEV161" s="537"/>
      <c r="CEW161" s="537"/>
      <c r="CEX161" s="537"/>
      <c r="CEY161" s="537"/>
      <c r="CEZ161" s="537"/>
      <c r="CFA161" s="537"/>
      <c r="CFB161" s="537"/>
      <c r="CFC161" s="537"/>
      <c r="CFD161" s="537"/>
      <c r="CFE161" s="537"/>
      <c r="CFF161" s="537"/>
      <c r="CFG161" s="537"/>
      <c r="CFH161" s="537"/>
      <c r="CFI161" s="537"/>
      <c r="CFJ161" s="537"/>
      <c r="CFK161" s="537"/>
      <c r="CFL161" s="537"/>
      <c r="CFM161" s="537"/>
      <c r="CFN161" s="537"/>
      <c r="CFO161" s="537"/>
      <c r="CFP161" s="537"/>
      <c r="CFQ161" s="537"/>
      <c r="CFR161" s="537"/>
      <c r="CFS161" s="537"/>
      <c r="CFT161" s="537"/>
      <c r="CFU161" s="537"/>
      <c r="CFV161" s="537"/>
      <c r="CFW161" s="537"/>
      <c r="CFX161" s="537"/>
      <c r="CFY161" s="537"/>
      <c r="CFZ161" s="537"/>
      <c r="CGA161" s="537"/>
      <c r="CGB161" s="537"/>
      <c r="CGC161" s="537"/>
      <c r="CGD161" s="537"/>
      <c r="CGE161" s="537"/>
      <c r="CGF161" s="537"/>
      <c r="CGG161" s="537"/>
      <c r="CGH161" s="537"/>
      <c r="CGI161" s="537"/>
      <c r="CGJ161" s="537"/>
      <c r="CGK161" s="537"/>
      <c r="CGL161" s="537"/>
      <c r="CGM161" s="537"/>
      <c r="CGN161" s="537"/>
      <c r="CGO161" s="537"/>
      <c r="CGP161" s="537"/>
      <c r="CGQ161" s="537"/>
      <c r="CGR161" s="537"/>
      <c r="CGS161" s="537"/>
      <c r="CGT161" s="537"/>
      <c r="CGU161" s="537"/>
      <c r="CGV161" s="537"/>
      <c r="CGW161" s="537"/>
      <c r="CGX161" s="537"/>
      <c r="CGY161" s="537"/>
      <c r="CGZ161" s="537"/>
      <c r="CHA161" s="537"/>
      <c r="CHB161" s="537"/>
      <c r="CHC161" s="537"/>
      <c r="CHD161" s="537"/>
      <c r="CHE161" s="537"/>
      <c r="CHF161" s="537"/>
      <c r="CHG161" s="537"/>
      <c r="CHH161" s="537"/>
      <c r="CHI161" s="537"/>
      <c r="CHJ161" s="537"/>
      <c r="CHK161" s="537"/>
      <c r="CHL161" s="537"/>
      <c r="CHM161" s="537"/>
      <c r="CHN161" s="537"/>
      <c r="CHO161" s="537"/>
      <c r="CHP161" s="537"/>
      <c r="CHQ161" s="537"/>
      <c r="CHR161" s="537"/>
      <c r="CHS161" s="537"/>
      <c r="CHT161" s="537"/>
      <c r="CHU161" s="537"/>
      <c r="CHV161" s="537"/>
      <c r="CHW161" s="537"/>
      <c r="CHX161" s="537"/>
      <c r="CHY161" s="537"/>
      <c r="CHZ161" s="537"/>
      <c r="CIA161" s="537"/>
      <c r="CIB161" s="537"/>
      <c r="CIC161" s="537"/>
      <c r="CID161" s="537"/>
      <c r="CIE161" s="537"/>
      <c r="CIF161" s="537"/>
      <c r="CIG161" s="537"/>
      <c r="CIH161" s="537"/>
      <c r="CII161" s="537"/>
      <c r="CIJ161" s="537"/>
      <c r="CIK161" s="537"/>
      <c r="CIL161" s="537"/>
      <c r="CIM161" s="537"/>
      <c r="CIN161" s="537"/>
      <c r="CIO161" s="537"/>
      <c r="CIP161" s="537"/>
      <c r="CIQ161" s="537"/>
      <c r="CIR161" s="537"/>
      <c r="CIS161" s="537"/>
      <c r="CIT161" s="537"/>
      <c r="CIU161" s="537"/>
      <c r="CIV161" s="537"/>
      <c r="CIW161" s="537"/>
      <c r="CIX161" s="537"/>
      <c r="CIY161" s="537"/>
      <c r="CIZ161" s="537"/>
      <c r="CJA161" s="537"/>
      <c r="CJB161" s="537"/>
      <c r="CJC161" s="537"/>
      <c r="CJD161" s="537"/>
      <c r="CJE161" s="537"/>
      <c r="CJF161" s="537"/>
      <c r="CJG161" s="537"/>
      <c r="CJH161" s="537"/>
      <c r="CJI161" s="537"/>
      <c r="CJJ161" s="537"/>
      <c r="CJK161" s="537"/>
      <c r="CJL161" s="537"/>
      <c r="CJM161" s="537"/>
      <c r="CJN161" s="537"/>
      <c r="CJO161" s="537"/>
      <c r="CJP161" s="537"/>
      <c r="CJQ161" s="537"/>
      <c r="CJR161" s="537"/>
      <c r="CJS161" s="537"/>
      <c r="CJT161" s="537"/>
      <c r="CJU161" s="537"/>
      <c r="CJV161" s="537"/>
      <c r="CJW161" s="537"/>
      <c r="CJX161" s="537"/>
      <c r="CJY161" s="537"/>
      <c r="CJZ161" s="537"/>
      <c r="CKA161" s="537"/>
      <c r="CKB161" s="537"/>
      <c r="CKC161" s="537"/>
      <c r="CKD161" s="537"/>
      <c r="CKE161" s="537"/>
      <c r="CKF161" s="537"/>
      <c r="CKG161" s="537"/>
      <c r="CKH161" s="537"/>
      <c r="CKI161" s="537"/>
      <c r="CKJ161" s="537"/>
      <c r="CKK161" s="537"/>
      <c r="CKL161" s="537"/>
      <c r="CKM161" s="537"/>
      <c r="CKN161" s="537"/>
      <c r="CKO161" s="537"/>
      <c r="CKP161" s="537"/>
      <c r="CKQ161" s="537"/>
      <c r="CKR161" s="537"/>
      <c r="CKS161" s="537"/>
      <c r="CKT161" s="537"/>
      <c r="CKU161" s="537"/>
      <c r="CKV161" s="537"/>
      <c r="CKW161" s="537"/>
      <c r="CKX161" s="537"/>
      <c r="CKY161" s="537"/>
      <c r="CKZ161" s="537"/>
      <c r="CLA161" s="537"/>
      <c r="CLB161" s="537"/>
      <c r="CLC161" s="537"/>
      <c r="CLD161" s="537"/>
      <c r="CLE161" s="537"/>
      <c r="CLF161" s="537"/>
      <c r="CLG161" s="537"/>
      <c r="CLH161" s="537"/>
      <c r="CLI161" s="537"/>
      <c r="CLJ161" s="537"/>
      <c r="CLK161" s="537"/>
      <c r="CLL161" s="537"/>
      <c r="CLM161" s="537"/>
      <c r="CLN161" s="537"/>
      <c r="CLO161" s="537"/>
      <c r="CLP161" s="537"/>
      <c r="CLQ161" s="537"/>
      <c r="CLR161" s="537"/>
      <c r="CLS161" s="537"/>
      <c r="CLT161" s="537"/>
      <c r="CLU161" s="537"/>
      <c r="CLV161" s="537"/>
      <c r="CLW161" s="537"/>
      <c r="CLX161" s="537"/>
      <c r="CLY161" s="537"/>
      <c r="CLZ161" s="537"/>
      <c r="CMA161" s="537"/>
      <c r="CMB161" s="537"/>
      <c r="CMC161" s="537"/>
      <c r="CMD161" s="537"/>
      <c r="CME161" s="537"/>
      <c r="CMF161" s="537"/>
      <c r="CMG161" s="537"/>
      <c r="CMH161" s="537"/>
      <c r="CMI161" s="537"/>
      <c r="CMJ161" s="537"/>
      <c r="CMK161" s="537"/>
      <c r="CML161" s="537"/>
      <c r="CMM161" s="537"/>
      <c r="CMN161" s="537"/>
      <c r="CMO161" s="537"/>
      <c r="CMP161" s="537"/>
      <c r="CMQ161" s="537"/>
      <c r="CMR161" s="537"/>
      <c r="CMS161" s="537"/>
      <c r="CMT161" s="537"/>
      <c r="CMU161" s="537"/>
      <c r="CMV161" s="537"/>
      <c r="CMW161" s="537"/>
      <c r="CMX161" s="537"/>
      <c r="CMY161" s="537"/>
      <c r="CMZ161" s="537"/>
      <c r="CNA161" s="537"/>
      <c r="CNB161" s="537"/>
      <c r="CNC161" s="537"/>
      <c r="CND161" s="537"/>
      <c r="CNE161" s="537"/>
      <c r="CNF161" s="537"/>
      <c r="CNG161" s="537"/>
      <c r="CNH161" s="537"/>
      <c r="CNI161" s="537"/>
      <c r="CNJ161" s="537"/>
      <c r="CNK161" s="537"/>
      <c r="CNL161" s="537"/>
      <c r="CNM161" s="537"/>
      <c r="CNN161" s="537"/>
      <c r="CNO161" s="537"/>
      <c r="CNP161" s="537"/>
      <c r="CNQ161" s="537"/>
      <c r="CNR161" s="537"/>
      <c r="CNS161" s="537"/>
      <c r="CNT161" s="537"/>
      <c r="CNU161" s="537"/>
      <c r="CNV161" s="537"/>
      <c r="CNW161" s="537"/>
      <c r="CNX161" s="537"/>
      <c r="CNY161" s="537"/>
      <c r="CNZ161" s="537"/>
      <c r="COA161" s="537"/>
      <c r="COB161" s="537"/>
      <c r="COC161" s="537"/>
      <c r="COD161" s="537"/>
      <c r="COE161" s="537"/>
      <c r="COF161" s="537"/>
      <c r="COG161" s="537"/>
      <c r="COH161" s="537"/>
      <c r="COI161" s="537"/>
      <c r="COJ161" s="537"/>
      <c r="COK161" s="537"/>
      <c r="COL161" s="537"/>
      <c r="COM161" s="537"/>
      <c r="CON161" s="537"/>
      <c r="COO161" s="537"/>
      <c r="COP161" s="537"/>
      <c r="COQ161" s="537"/>
      <c r="COR161" s="537"/>
      <c r="COS161" s="537"/>
      <c r="COT161" s="537"/>
      <c r="COU161" s="537"/>
      <c r="COV161" s="537"/>
      <c r="COW161" s="537"/>
      <c r="COX161" s="537"/>
      <c r="COY161" s="537"/>
      <c r="COZ161" s="537"/>
      <c r="CPA161" s="537"/>
      <c r="CPB161" s="537"/>
      <c r="CPC161" s="537"/>
      <c r="CPD161" s="537"/>
      <c r="CPE161" s="537"/>
      <c r="CPF161" s="537"/>
      <c r="CPG161" s="537"/>
      <c r="CPH161" s="537"/>
      <c r="CPI161" s="537"/>
      <c r="CPJ161" s="537"/>
      <c r="CPK161" s="537"/>
      <c r="CPL161" s="537"/>
      <c r="CPM161" s="537"/>
      <c r="CPN161" s="537"/>
      <c r="CPO161" s="537"/>
      <c r="CPP161" s="537"/>
      <c r="CPQ161" s="537"/>
      <c r="CPR161" s="537"/>
      <c r="CPS161" s="537"/>
      <c r="CPT161" s="537"/>
      <c r="CPU161" s="537"/>
      <c r="CPV161" s="537"/>
      <c r="CPW161" s="537"/>
      <c r="CPX161" s="537"/>
      <c r="CPY161" s="537"/>
      <c r="CPZ161" s="537"/>
      <c r="CQA161" s="537"/>
      <c r="CQB161" s="537"/>
      <c r="CQC161" s="537"/>
      <c r="CQD161" s="537"/>
      <c r="CQE161" s="537"/>
      <c r="CQF161" s="537"/>
      <c r="CQG161" s="537"/>
      <c r="CQH161" s="537"/>
      <c r="CQI161" s="537"/>
      <c r="CQJ161" s="537"/>
      <c r="CQK161" s="537"/>
      <c r="CQL161" s="537"/>
      <c r="CQM161" s="537"/>
      <c r="CQN161" s="537"/>
      <c r="CQO161" s="537"/>
      <c r="CQP161" s="537"/>
      <c r="CQQ161" s="537"/>
      <c r="CQR161" s="537"/>
      <c r="CQS161" s="537"/>
      <c r="CQT161" s="537"/>
      <c r="CQU161" s="537"/>
      <c r="CQV161" s="537"/>
      <c r="CQW161" s="537"/>
      <c r="CQX161" s="537"/>
      <c r="CQY161" s="537"/>
      <c r="CQZ161" s="537"/>
      <c r="CRA161" s="537"/>
      <c r="CRB161" s="537"/>
      <c r="CRC161" s="537"/>
      <c r="CRD161" s="537"/>
      <c r="CRE161" s="537"/>
      <c r="CRF161" s="537"/>
      <c r="CRG161" s="537"/>
      <c r="CRH161" s="537"/>
      <c r="CRI161" s="537"/>
      <c r="CRJ161" s="537"/>
      <c r="CRK161" s="537"/>
      <c r="CRL161" s="537"/>
      <c r="CRM161" s="537"/>
      <c r="CRN161" s="537"/>
      <c r="CRO161" s="537"/>
      <c r="CRP161" s="537"/>
      <c r="CRQ161" s="537"/>
      <c r="CRR161" s="537"/>
      <c r="CRS161" s="537"/>
      <c r="CRT161" s="537"/>
      <c r="CRU161" s="537"/>
      <c r="CRV161" s="537"/>
      <c r="CRW161" s="537"/>
      <c r="CRX161" s="537"/>
      <c r="CRY161" s="537"/>
      <c r="CRZ161" s="537"/>
      <c r="CSA161" s="537"/>
      <c r="CSB161" s="537"/>
      <c r="CSC161" s="537"/>
      <c r="CSD161" s="537"/>
      <c r="CSE161" s="537"/>
      <c r="CSF161" s="537"/>
      <c r="CSG161" s="537"/>
      <c r="CSH161" s="537"/>
      <c r="CSI161" s="537"/>
      <c r="CSJ161" s="537"/>
      <c r="CSK161" s="537"/>
      <c r="CSL161" s="537"/>
      <c r="CSM161" s="537"/>
      <c r="CSN161" s="537"/>
      <c r="CSO161" s="537"/>
      <c r="CSP161" s="537"/>
      <c r="CSQ161" s="537"/>
      <c r="CSR161" s="537"/>
      <c r="CSS161" s="537"/>
      <c r="CST161" s="537"/>
      <c r="CSU161" s="537"/>
      <c r="CSV161" s="537"/>
      <c r="CSW161" s="537"/>
      <c r="CSX161" s="537"/>
      <c r="CSY161" s="537"/>
      <c r="CSZ161" s="537"/>
      <c r="CTA161" s="537"/>
      <c r="CTB161" s="537"/>
      <c r="CTC161" s="537"/>
      <c r="CTD161" s="537"/>
      <c r="CTE161" s="537"/>
      <c r="CTF161" s="537"/>
      <c r="CTG161" s="537"/>
      <c r="CTH161" s="537"/>
      <c r="CTI161" s="537"/>
      <c r="CTJ161" s="537"/>
      <c r="CTK161" s="537"/>
      <c r="CTL161" s="537"/>
      <c r="CTM161" s="537"/>
      <c r="CTN161" s="537"/>
      <c r="CTO161" s="537"/>
      <c r="CTP161" s="537"/>
      <c r="CTQ161" s="537"/>
      <c r="CTR161" s="537"/>
      <c r="CTS161" s="537"/>
      <c r="CTT161" s="537"/>
      <c r="CTU161" s="537"/>
      <c r="CTV161" s="537"/>
      <c r="CTW161" s="537"/>
      <c r="CTX161" s="537"/>
      <c r="CTY161" s="537"/>
      <c r="CTZ161" s="537"/>
      <c r="CUA161" s="537"/>
      <c r="CUB161" s="537"/>
      <c r="CUC161" s="537"/>
      <c r="CUD161" s="537"/>
      <c r="CUE161" s="537"/>
      <c r="CUF161" s="537"/>
      <c r="CUG161" s="537"/>
      <c r="CUH161" s="537"/>
      <c r="CUI161" s="537"/>
      <c r="CUJ161" s="537"/>
      <c r="CUK161" s="537"/>
      <c r="CUL161" s="537"/>
      <c r="CUM161" s="537"/>
      <c r="CUN161" s="537"/>
      <c r="CUO161" s="537"/>
      <c r="CUP161" s="537"/>
      <c r="CUQ161" s="537"/>
      <c r="CUR161" s="537"/>
      <c r="CUS161" s="537"/>
      <c r="CUT161" s="537"/>
      <c r="CUU161" s="537"/>
      <c r="CUV161" s="537"/>
      <c r="CUW161" s="537"/>
      <c r="CUX161" s="537"/>
      <c r="CUY161" s="537"/>
      <c r="CUZ161" s="537"/>
      <c r="CVA161" s="537"/>
      <c r="CVB161" s="537"/>
      <c r="CVC161" s="537"/>
      <c r="CVD161" s="537"/>
      <c r="CVE161" s="537"/>
      <c r="CVF161" s="537"/>
      <c r="CVG161" s="537"/>
      <c r="CVH161" s="537"/>
      <c r="CVI161" s="537"/>
      <c r="CVJ161" s="537"/>
      <c r="CVK161" s="537"/>
      <c r="CVL161" s="537"/>
      <c r="CVM161" s="537"/>
      <c r="CVN161" s="537"/>
      <c r="CVO161" s="537"/>
      <c r="CVP161" s="537"/>
      <c r="CVQ161" s="537"/>
      <c r="CVR161" s="537"/>
      <c r="CVS161" s="537"/>
      <c r="CVT161" s="537"/>
      <c r="CVU161" s="537"/>
      <c r="CVV161" s="537"/>
      <c r="CVW161" s="537"/>
      <c r="CVX161" s="537"/>
      <c r="CVY161" s="537"/>
      <c r="CVZ161" s="537"/>
      <c r="CWA161" s="537"/>
      <c r="CWB161" s="537"/>
      <c r="CWC161" s="537"/>
      <c r="CWD161" s="537"/>
      <c r="CWE161" s="537"/>
      <c r="CWF161" s="537"/>
      <c r="CWG161" s="537"/>
      <c r="CWH161" s="537"/>
      <c r="CWI161" s="537"/>
      <c r="CWJ161" s="537"/>
      <c r="CWK161" s="537"/>
      <c r="CWL161" s="537"/>
      <c r="CWM161" s="537"/>
      <c r="CWN161" s="537"/>
      <c r="CWO161" s="537"/>
      <c r="CWP161" s="537"/>
      <c r="CWQ161" s="537"/>
      <c r="CWR161" s="537"/>
      <c r="CWS161" s="537"/>
      <c r="CWT161" s="537"/>
      <c r="CWU161" s="537"/>
      <c r="CWV161" s="537"/>
      <c r="CWW161" s="537"/>
      <c r="CWX161" s="537"/>
      <c r="CWY161" s="537"/>
      <c r="CWZ161" s="537"/>
      <c r="CXA161" s="537"/>
      <c r="CXB161" s="537"/>
      <c r="CXC161" s="537"/>
      <c r="CXD161" s="537"/>
      <c r="CXE161" s="537"/>
      <c r="CXF161" s="537"/>
      <c r="CXG161" s="537"/>
      <c r="CXH161" s="537"/>
      <c r="CXI161" s="537"/>
      <c r="CXJ161" s="537"/>
      <c r="CXK161" s="537"/>
      <c r="CXL161" s="537"/>
      <c r="CXM161" s="537"/>
      <c r="CXN161" s="537"/>
      <c r="CXO161" s="537"/>
      <c r="CXP161" s="537"/>
      <c r="CXQ161" s="537"/>
      <c r="CXR161" s="537"/>
      <c r="CXS161" s="537"/>
      <c r="CXT161" s="537"/>
      <c r="CXU161" s="537"/>
      <c r="CXV161" s="537"/>
      <c r="CXW161" s="537"/>
      <c r="CXX161" s="537"/>
      <c r="CXY161" s="537"/>
      <c r="CXZ161" s="537"/>
      <c r="CYA161" s="537"/>
      <c r="CYB161" s="537"/>
      <c r="CYC161" s="537"/>
      <c r="CYD161" s="537"/>
      <c r="CYE161" s="537"/>
      <c r="CYF161" s="537"/>
      <c r="CYG161" s="537"/>
      <c r="CYH161" s="537"/>
      <c r="CYI161" s="537"/>
      <c r="CYJ161" s="537"/>
      <c r="CYK161" s="537"/>
      <c r="CYL161" s="537"/>
      <c r="CYM161" s="537"/>
      <c r="CYN161" s="537"/>
      <c r="CYO161" s="537"/>
      <c r="CYP161" s="537"/>
      <c r="CYQ161" s="537"/>
      <c r="CYR161" s="537"/>
      <c r="CYS161" s="537"/>
      <c r="CYT161" s="537"/>
      <c r="CYU161" s="537"/>
      <c r="CYV161" s="537"/>
      <c r="CYW161" s="537"/>
      <c r="CYX161" s="537"/>
      <c r="CYY161" s="537"/>
      <c r="CYZ161" s="537"/>
      <c r="CZA161" s="537"/>
      <c r="CZB161" s="537"/>
      <c r="CZC161" s="537"/>
      <c r="CZD161" s="537"/>
      <c r="CZE161" s="537"/>
      <c r="CZF161" s="537"/>
      <c r="CZG161" s="537"/>
      <c r="CZH161" s="537"/>
      <c r="CZI161" s="537"/>
      <c r="CZJ161" s="537"/>
      <c r="CZK161" s="537"/>
      <c r="CZL161" s="537"/>
      <c r="CZM161" s="537"/>
      <c r="CZN161" s="537"/>
      <c r="CZO161" s="537"/>
      <c r="CZP161" s="537"/>
      <c r="CZQ161" s="537"/>
      <c r="CZR161" s="537"/>
      <c r="CZS161" s="537"/>
      <c r="CZT161" s="537"/>
      <c r="CZU161" s="537"/>
      <c r="CZV161" s="537"/>
      <c r="CZW161" s="537"/>
      <c r="CZX161" s="537"/>
      <c r="CZY161" s="537"/>
      <c r="CZZ161" s="537"/>
      <c r="DAA161" s="537"/>
      <c r="DAB161" s="537"/>
      <c r="DAC161" s="537"/>
      <c r="DAD161" s="537"/>
      <c r="DAE161" s="537"/>
      <c r="DAF161" s="537"/>
      <c r="DAG161" s="537"/>
      <c r="DAH161" s="537"/>
      <c r="DAI161" s="537"/>
      <c r="DAJ161" s="537"/>
      <c r="DAK161" s="537"/>
      <c r="DAL161" s="537"/>
      <c r="DAM161" s="537"/>
      <c r="DAN161" s="537"/>
      <c r="DAO161" s="537"/>
      <c r="DAP161" s="537"/>
      <c r="DAQ161" s="537"/>
      <c r="DAR161" s="537"/>
      <c r="DAS161" s="537"/>
      <c r="DAT161" s="537"/>
      <c r="DAU161" s="537"/>
      <c r="DAV161" s="537"/>
      <c r="DAW161" s="537"/>
      <c r="DAX161" s="537"/>
      <c r="DAY161" s="537"/>
      <c r="DAZ161" s="537"/>
      <c r="DBA161" s="537"/>
      <c r="DBB161" s="537"/>
      <c r="DBC161" s="537"/>
      <c r="DBD161" s="537"/>
      <c r="DBE161" s="537"/>
      <c r="DBF161" s="537"/>
      <c r="DBG161" s="537"/>
      <c r="DBH161" s="537"/>
      <c r="DBI161" s="537"/>
      <c r="DBJ161" s="537"/>
      <c r="DBK161" s="537"/>
      <c r="DBL161" s="537"/>
      <c r="DBM161" s="537"/>
      <c r="DBN161" s="537"/>
      <c r="DBO161" s="537"/>
      <c r="DBP161" s="537"/>
      <c r="DBQ161" s="537"/>
      <c r="DBR161" s="537"/>
      <c r="DBS161" s="537"/>
      <c r="DBT161" s="537"/>
      <c r="DBU161" s="537"/>
      <c r="DBV161" s="537"/>
      <c r="DBW161" s="537"/>
      <c r="DBX161" s="537"/>
      <c r="DBY161" s="537"/>
      <c r="DBZ161" s="537"/>
      <c r="DCA161" s="537"/>
      <c r="DCB161" s="537"/>
      <c r="DCC161" s="537"/>
      <c r="DCD161" s="537"/>
      <c r="DCE161" s="537"/>
      <c r="DCF161" s="537"/>
      <c r="DCG161" s="537"/>
      <c r="DCH161" s="537"/>
      <c r="DCI161" s="537"/>
      <c r="DCJ161" s="537"/>
      <c r="DCK161" s="537"/>
      <c r="DCL161" s="537"/>
      <c r="DCM161" s="537"/>
      <c r="DCN161" s="537"/>
      <c r="DCO161" s="537"/>
      <c r="DCP161" s="537"/>
      <c r="DCQ161" s="537"/>
      <c r="DCR161" s="537"/>
      <c r="DCS161" s="537"/>
      <c r="DCT161" s="537"/>
      <c r="DCU161" s="537"/>
      <c r="DCV161" s="537"/>
      <c r="DCW161" s="537"/>
      <c r="DCX161" s="537"/>
      <c r="DCY161" s="537"/>
      <c r="DCZ161" s="537"/>
      <c r="DDA161" s="537"/>
      <c r="DDB161" s="537"/>
      <c r="DDC161" s="537"/>
      <c r="DDD161" s="537"/>
      <c r="DDE161" s="537"/>
      <c r="DDF161" s="537"/>
      <c r="DDG161" s="537"/>
      <c r="DDH161" s="537"/>
      <c r="DDI161" s="537"/>
      <c r="DDJ161" s="537"/>
      <c r="DDK161" s="537"/>
      <c r="DDL161" s="537"/>
      <c r="DDM161" s="537"/>
      <c r="DDN161" s="537"/>
      <c r="DDO161" s="537"/>
      <c r="DDP161" s="537"/>
      <c r="DDQ161" s="537"/>
      <c r="DDR161" s="537"/>
      <c r="DDS161" s="537"/>
      <c r="DDT161" s="537"/>
      <c r="DDU161" s="537"/>
      <c r="DDV161" s="537"/>
      <c r="DDW161" s="537"/>
      <c r="DDX161" s="537"/>
      <c r="DDY161" s="537"/>
      <c r="DDZ161" s="537"/>
      <c r="DEA161" s="537"/>
      <c r="DEB161" s="537"/>
      <c r="DEC161" s="537"/>
      <c r="DED161" s="537"/>
      <c r="DEE161" s="537"/>
      <c r="DEF161" s="537"/>
      <c r="DEG161" s="537"/>
      <c r="DEH161" s="537"/>
      <c r="DEI161" s="537"/>
      <c r="DEJ161" s="537"/>
      <c r="DEK161" s="537"/>
      <c r="DEL161" s="537"/>
      <c r="DEM161" s="537"/>
      <c r="DEN161" s="537"/>
      <c r="DEO161" s="537"/>
      <c r="DEP161" s="537"/>
      <c r="DEQ161" s="537"/>
      <c r="DER161" s="537"/>
      <c r="DES161" s="537"/>
      <c r="DET161" s="537"/>
      <c r="DEU161" s="537"/>
      <c r="DEV161" s="537"/>
      <c r="DEW161" s="537"/>
      <c r="DEX161" s="537"/>
      <c r="DEY161" s="537"/>
      <c r="DEZ161" s="537"/>
      <c r="DFA161" s="537"/>
      <c r="DFB161" s="537"/>
      <c r="DFC161" s="537"/>
      <c r="DFD161" s="537"/>
      <c r="DFE161" s="537"/>
      <c r="DFF161" s="537"/>
      <c r="DFG161" s="537"/>
      <c r="DFH161" s="537"/>
      <c r="DFI161" s="537"/>
      <c r="DFJ161" s="537"/>
      <c r="DFK161" s="537"/>
      <c r="DFL161" s="537"/>
      <c r="DFM161" s="537"/>
      <c r="DFN161" s="537"/>
      <c r="DFO161" s="537"/>
      <c r="DFP161" s="537"/>
      <c r="DFQ161" s="537"/>
      <c r="DFR161" s="537"/>
      <c r="DFS161" s="537"/>
      <c r="DFT161" s="537"/>
      <c r="DFU161" s="537"/>
      <c r="DFV161" s="537"/>
      <c r="DFW161" s="537"/>
      <c r="DFX161" s="537"/>
      <c r="DFY161" s="537"/>
      <c r="DFZ161" s="537"/>
      <c r="DGA161" s="537"/>
      <c r="DGB161" s="537"/>
      <c r="DGC161" s="537"/>
      <c r="DGD161" s="537"/>
      <c r="DGE161" s="537"/>
      <c r="DGF161" s="537"/>
      <c r="DGG161" s="537"/>
      <c r="DGH161" s="537"/>
      <c r="DGI161" s="537"/>
      <c r="DGJ161" s="537"/>
      <c r="DGK161" s="537"/>
      <c r="DGL161" s="537"/>
      <c r="DGM161" s="537"/>
      <c r="DGN161" s="537"/>
      <c r="DGO161" s="537"/>
      <c r="DGP161" s="537"/>
      <c r="DGQ161" s="537"/>
      <c r="DGR161" s="537"/>
      <c r="DGS161" s="537"/>
      <c r="DGT161" s="537"/>
      <c r="DGU161" s="537"/>
      <c r="DGV161" s="537"/>
      <c r="DGW161" s="537"/>
      <c r="DGX161" s="537"/>
      <c r="DGY161" s="537"/>
      <c r="DGZ161" s="537"/>
      <c r="DHA161" s="537"/>
      <c r="DHB161" s="537"/>
      <c r="DHC161" s="537"/>
      <c r="DHD161" s="537"/>
      <c r="DHE161" s="537"/>
      <c r="DHF161" s="537"/>
      <c r="DHG161" s="537"/>
      <c r="DHH161" s="537"/>
      <c r="DHI161" s="537"/>
      <c r="DHJ161" s="537"/>
      <c r="DHK161" s="537"/>
      <c r="DHL161" s="537"/>
      <c r="DHM161" s="537"/>
      <c r="DHN161" s="537"/>
      <c r="DHO161" s="537"/>
      <c r="DHP161" s="537"/>
      <c r="DHQ161" s="537"/>
      <c r="DHR161" s="537"/>
      <c r="DHS161" s="537"/>
      <c r="DHT161" s="537"/>
      <c r="DHU161" s="537"/>
      <c r="DHV161" s="537"/>
      <c r="DHW161" s="537"/>
      <c r="DHX161" s="537"/>
      <c r="DHY161" s="537"/>
      <c r="DHZ161" s="537"/>
      <c r="DIA161" s="537"/>
      <c r="DIB161" s="537"/>
      <c r="DIC161" s="537"/>
      <c r="DID161" s="537"/>
      <c r="DIE161" s="537"/>
      <c r="DIF161" s="537"/>
      <c r="DIG161" s="537"/>
      <c r="DIH161" s="537"/>
      <c r="DII161" s="537"/>
      <c r="DIJ161" s="537"/>
      <c r="DIK161" s="537"/>
      <c r="DIL161" s="537"/>
      <c r="DIM161" s="537"/>
      <c r="DIN161" s="537"/>
      <c r="DIO161" s="537"/>
      <c r="DIP161" s="537"/>
      <c r="DIQ161" s="537"/>
      <c r="DIR161" s="537"/>
      <c r="DIS161" s="537"/>
      <c r="DIT161" s="537"/>
      <c r="DIU161" s="537"/>
      <c r="DIV161" s="537"/>
      <c r="DIW161" s="537"/>
      <c r="DIX161" s="537"/>
      <c r="DIY161" s="537"/>
      <c r="DIZ161" s="537"/>
      <c r="DJA161" s="537"/>
      <c r="DJB161" s="537"/>
      <c r="DJC161" s="537"/>
      <c r="DJD161" s="537"/>
      <c r="DJE161" s="537"/>
      <c r="DJF161" s="537"/>
      <c r="DJG161" s="537"/>
      <c r="DJH161" s="537"/>
      <c r="DJI161" s="537"/>
      <c r="DJJ161" s="537"/>
      <c r="DJK161" s="537"/>
      <c r="DJL161" s="537"/>
      <c r="DJM161" s="537"/>
      <c r="DJN161" s="537"/>
      <c r="DJO161" s="537"/>
      <c r="DJP161" s="537"/>
      <c r="DJQ161" s="537"/>
      <c r="DJR161" s="537"/>
      <c r="DJS161" s="537"/>
      <c r="DJT161" s="537"/>
      <c r="DJU161" s="537"/>
      <c r="DJV161" s="537"/>
      <c r="DJW161" s="537"/>
      <c r="DJX161" s="537"/>
      <c r="DJY161" s="537"/>
      <c r="DJZ161" s="537"/>
      <c r="DKA161" s="537"/>
      <c r="DKB161" s="537"/>
      <c r="DKC161" s="537"/>
      <c r="DKD161" s="537"/>
      <c r="DKE161" s="537"/>
      <c r="DKF161" s="537"/>
      <c r="DKG161" s="537"/>
      <c r="DKH161" s="537"/>
      <c r="DKI161" s="537"/>
      <c r="DKJ161" s="537"/>
      <c r="DKK161" s="537"/>
      <c r="DKL161" s="537"/>
      <c r="DKM161" s="537"/>
      <c r="DKN161" s="537"/>
      <c r="DKO161" s="537"/>
      <c r="DKP161" s="537"/>
      <c r="DKQ161" s="537"/>
      <c r="DKR161" s="537"/>
      <c r="DKS161" s="537"/>
      <c r="DKT161" s="537"/>
      <c r="DKU161" s="537"/>
      <c r="DKV161" s="537"/>
      <c r="DKW161" s="537"/>
      <c r="DKX161" s="537"/>
      <c r="DKY161" s="537"/>
      <c r="DKZ161" s="537"/>
      <c r="DLA161" s="537"/>
      <c r="DLB161" s="537"/>
      <c r="DLC161" s="537"/>
      <c r="DLD161" s="537"/>
      <c r="DLE161" s="537"/>
      <c r="DLF161" s="537"/>
      <c r="DLG161" s="537"/>
      <c r="DLH161" s="537"/>
      <c r="DLI161" s="537"/>
      <c r="DLJ161" s="537"/>
      <c r="DLK161" s="537"/>
      <c r="DLL161" s="537"/>
      <c r="DLM161" s="537"/>
      <c r="DLN161" s="537"/>
      <c r="DLO161" s="537"/>
      <c r="DLP161" s="537"/>
      <c r="DLQ161" s="537"/>
      <c r="DLR161" s="537"/>
      <c r="DLS161" s="537"/>
      <c r="DLT161" s="537"/>
      <c r="DLU161" s="537"/>
      <c r="DLV161" s="537"/>
      <c r="DLW161" s="537"/>
      <c r="DLX161" s="537"/>
      <c r="DLY161" s="537"/>
      <c r="DLZ161" s="537"/>
      <c r="DMA161" s="537"/>
      <c r="DMB161" s="537"/>
      <c r="DMC161" s="537"/>
      <c r="DMD161" s="537"/>
      <c r="DME161" s="537"/>
      <c r="DMF161" s="537"/>
      <c r="DMG161" s="537"/>
      <c r="DMH161" s="537"/>
      <c r="DMI161" s="537"/>
      <c r="DMJ161" s="537"/>
      <c r="DMK161" s="537"/>
      <c r="DML161" s="537"/>
      <c r="DMM161" s="537"/>
      <c r="DMN161" s="537"/>
      <c r="DMO161" s="537"/>
      <c r="DMP161" s="537"/>
      <c r="DMQ161" s="537"/>
      <c r="DMR161" s="537"/>
      <c r="DMS161" s="537"/>
      <c r="DMT161" s="537"/>
      <c r="DMU161" s="537"/>
      <c r="DMV161" s="537"/>
      <c r="DMW161" s="537"/>
      <c r="DMX161" s="537"/>
      <c r="DMY161" s="537"/>
      <c r="DMZ161" s="537"/>
      <c r="DNA161" s="537"/>
      <c r="DNB161" s="537"/>
      <c r="DNC161" s="537"/>
      <c r="DND161" s="537"/>
      <c r="DNE161" s="537"/>
      <c r="DNF161" s="537"/>
      <c r="DNG161" s="537"/>
      <c r="DNH161" s="537"/>
      <c r="DNI161" s="537"/>
      <c r="DNJ161" s="537"/>
      <c r="DNK161" s="537"/>
      <c r="DNL161" s="537"/>
      <c r="DNM161" s="537"/>
      <c r="DNN161" s="537"/>
      <c r="DNO161" s="537"/>
      <c r="DNP161" s="537"/>
      <c r="DNQ161" s="537"/>
      <c r="DNR161" s="537"/>
      <c r="DNS161" s="537"/>
      <c r="DNT161" s="537"/>
      <c r="DNU161" s="537"/>
      <c r="DNV161" s="537"/>
      <c r="DNW161" s="537"/>
      <c r="DNX161" s="537"/>
      <c r="DNY161" s="537"/>
      <c r="DNZ161" s="537"/>
      <c r="DOA161" s="537"/>
      <c r="DOB161" s="537"/>
      <c r="DOC161" s="537"/>
      <c r="DOD161" s="537"/>
      <c r="DOE161" s="537"/>
      <c r="DOF161" s="537"/>
      <c r="DOG161" s="537"/>
      <c r="DOH161" s="537"/>
      <c r="DOI161" s="537"/>
      <c r="DOJ161" s="537"/>
      <c r="DOK161" s="537"/>
      <c r="DOL161" s="537"/>
      <c r="DOM161" s="537"/>
      <c r="DON161" s="537"/>
      <c r="DOO161" s="537"/>
      <c r="DOP161" s="537"/>
      <c r="DOQ161" s="537"/>
      <c r="DOR161" s="537"/>
      <c r="DOS161" s="537"/>
      <c r="DOT161" s="537"/>
      <c r="DOU161" s="537"/>
      <c r="DOV161" s="537"/>
      <c r="DOW161" s="537"/>
      <c r="DOX161" s="537"/>
      <c r="DOY161" s="537"/>
      <c r="DOZ161" s="537"/>
      <c r="DPA161" s="537"/>
      <c r="DPB161" s="537"/>
      <c r="DPC161" s="537"/>
      <c r="DPD161" s="537"/>
      <c r="DPE161" s="537"/>
      <c r="DPF161" s="537"/>
      <c r="DPG161" s="537"/>
      <c r="DPH161" s="537"/>
      <c r="DPI161" s="537"/>
      <c r="DPJ161" s="537"/>
      <c r="DPK161" s="537"/>
      <c r="DPL161" s="537"/>
      <c r="DPM161" s="537"/>
      <c r="DPN161" s="537"/>
      <c r="DPO161" s="537"/>
      <c r="DPP161" s="537"/>
      <c r="DPQ161" s="537"/>
      <c r="DPR161" s="537"/>
      <c r="DPS161" s="537"/>
      <c r="DPT161" s="537"/>
      <c r="DPU161" s="537"/>
      <c r="DPV161" s="537"/>
      <c r="DPW161" s="537"/>
      <c r="DPX161" s="537"/>
      <c r="DPY161" s="537"/>
      <c r="DPZ161" s="537"/>
      <c r="DQA161" s="537"/>
      <c r="DQB161" s="537"/>
      <c r="DQC161" s="537"/>
      <c r="DQD161" s="537"/>
      <c r="DQE161" s="537"/>
      <c r="DQF161" s="537"/>
      <c r="DQG161" s="537"/>
      <c r="DQH161" s="537"/>
      <c r="DQI161" s="537"/>
      <c r="DQJ161" s="537"/>
      <c r="DQK161" s="537"/>
      <c r="DQL161" s="537"/>
      <c r="DQM161" s="537"/>
      <c r="DQN161" s="537"/>
      <c r="DQO161" s="537"/>
      <c r="DQP161" s="537"/>
      <c r="DQQ161" s="537"/>
      <c r="DQR161" s="537"/>
      <c r="DQS161" s="537"/>
      <c r="DQT161" s="537"/>
      <c r="DQU161" s="537"/>
      <c r="DQV161" s="537"/>
      <c r="DQW161" s="537"/>
      <c r="DQX161" s="537"/>
      <c r="DQY161" s="537"/>
      <c r="DQZ161" s="537"/>
      <c r="DRA161" s="537"/>
      <c r="DRB161" s="537"/>
      <c r="DRC161" s="537"/>
      <c r="DRD161" s="537"/>
      <c r="DRE161" s="537"/>
      <c r="DRF161" s="537"/>
      <c r="DRG161" s="537"/>
      <c r="DRH161" s="537"/>
      <c r="DRI161" s="537"/>
      <c r="DRJ161" s="537"/>
      <c r="DRK161" s="537"/>
      <c r="DRL161" s="537"/>
      <c r="DRM161" s="537"/>
      <c r="DRN161" s="537"/>
      <c r="DRO161" s="537"/>
      <c r="DRP161" s="537"/>
      <c r="DRQ161" s="537"/>
      <c r="DRR161" s="537"/>
      <c r="DRS161" s="537"/>
      <c r="DRT161" s="537"/>
      <c r="DRU161" s="537"/>
      <c r="DRV161" s="537"/>
      <c r="DRW161" s="537"/>
      <c r="DRX161" s="537"/>
      <c r="DRY161" s="537"/>
      <c r="DRZ161" s="537"/>
      <c r="DSA161" s="537"/>
      <c r="DSB161" s="537"/>
      <c r="DSC161" s="537"/>
      <c r="DSD161" s="537"/>
      <c r="DSE161" s="537"/>
      <c r="DSF161" s="537"/>
      <c r="DSG161" s="537"/>
      <c r="DSH161" s="537"/>
      <c r="DSI161" s="537"/>
      <c r="DSJ161" s="537"/>
      <c r="DSK161" s="537"/>
      <c r="DSL161" s="537"/>
      <c r="DSM161" s="537"/>
      <c r="DSN161" s="537"/>
      <c r="DSO161" s="537"/>
      <c r="DSP161" s="537"/>
      <c r="DSQ161" s="537"/>
      <c r="DSR161" s="537"/>
      <c r="DSS161" s="537"/>
      <c r="DST161" s="537"/>
      <c r="DSU161" s="537"/>
      <c r="DSV161" s="537"/>
      <c r="DSW161" s="537"/>
      <c r="DSX161" s="537"/>
      <c r="DSY161" s="537"/>
      <c r="DSZ161" s="537"/>
      <c r="DTA161" s="537"/>
      <c r="DTB161" s="537"/>
      <c r="DTC161" s="537"/>
      <c r="DTD161" s="537"/>
      <c r="DTE161" s="537"/>
      <c r="DTF161" s="537"/>
      <c r="DTG161" s="537"/>
      <c r="DTH161" s="537"/>
      <c r="DTI161" s="537"/>
      <c r="DTJ161" s="537"/>
      <c r="DTK161" s="537"/>
      <c r="DTL161" s="537"/>
      <c r="DTM161" s="537"/>
      <c r="DTN161" s="537"/>
      <c r="DTO161" s="537"/>
      <c r="DTP161" s="537"/>
      <c r="DTQ161" s="537"/>
      <c r="DTR161" s="537"/>
      <c r="DTS161" s="537"/>
      <c r="DTT161" s="537"/>
      <c r="DTU161" s="537"/>
      <c r="DTV161" s="537"/>
      <c r="DTW161" s="537"/>
      <c r="DTX161" s="537"/>
      <c r="DTY161" s="537"/>
      <c r="DTZ161" s="537"/>
      <c r="DUA161" s="537"/>
      <c r="DUB161" s="537"/>
      <c r="DUC161" s="537"/>
      <c r="DUD161" s="537"/>
      <c r="DUE161" s="537"/>
      <c r="DUF161" s="537"/>
      <c r="DUG161" s="537"/>
      <c r="DUH161" s="537"/>
      <c r="DUI161" s="537"/>
      <c r="DUJ161" s="537"/>
      <c r="DUK161" s="537"/>
      <c r="DUL161" s="537"/>
      <c r="DUM161" s="537"/>
      <c r="DUN161" s="537"/>
      <c r="DUO161" s="537"/>
      <c r="DUP161" s="537"/>
      <c r="DUQ161" s="537"/>
      <c r="DUR161" s="537"/>
      <c r="DUS161" s="537"/>
      <c r="DUT161" s="537"/>
      <c r="DUU161" s="537"/>
      <c r="DUV161" s="537"/>
      <c r="DUW161" s="537"/>
      <c r="DUX161" s="537"/>
      <c r="DUY161" s="537"/>
      <c r="DUZ161" s="537"/>
      <c r="DVA161" s="537"/>
      <c r="DVB161" s="537"/>
      <c r="DVC161" s="537"/>
      <c r="DVD161" s="537"/>
      <c r="DVE161" s="537"/>
      <c r="DVF161" s="537"/>
      <c r="DVG161" s="537"/>
      <c r="DVH161" s="537"/>
      <c r="DVI161" s="537"/>
      <c r="DVJ161" s="537"/>
      <c r="DVK161" s="537"/>
      <c r="DVL161" s="537"/>
      <c r="DVM161" s="537"/>
      <c r="DVN161" s="537"/>
      <c r="DVO161" s="537"/>
      <c r="DVP161" s="537"/>
      <c r="DVQ161" s="537"/>
      <c r="DVR161" s="537"/>
      <c r="DVS161" s="537"/>
      <c r="DVT161" s="537"/>
      <c r="DVU161" s="537"/>
      <c r="DVV161" s="537"/>
      <c r="DVW161" s="537"/>
      <c r="DVX161" s="537"/>
      <c r="DVY161" s="537"/>
      <c r="DVZ161" s="537"/>
      <c r="DWA161" s="537"/>
      <c r="DWB161" s="537"/>
      <c r="DWC161" s="537"/>
      <c r="DWD161" s="537"/>
      <c r="DWE161" s="537"/>
      <c r="DWF161" s="537"/>
      <c r="DWG161" s="537"/>
      <c r="DWH161" s="537"/>
      <c r="DWI161" s="537"/>
      <c r="DWJ161" s="537"/>
      <c r="DWK161" s="537"/>
      <c r="DWL161" s="537"/>
      <c r="DWM161" s="537"/>
      <c r="DWN161" s="537"/>
      <c r="DWO161" s="537"/>
      <c r="DWP161" s="537"/>
      <c r="DWQ161" s="537"/>
      <c r="DWR161" s="537"/>
      <c r="DWS161" s="537"/>
      <c r="DWT161" s="537"/>
      <c r="DWU161" s="537"/>
      <c r="DWV161" s="537"/>
      <c r="DWW161" s="537"/>
      <c r="DWX161" s="537"/>
      <c r="DWY161" s="537"/>
      <c r="DWZ161" s="537"/>
      <c r="DXA161" s="537"/>
      <c r="DXB161" s="537"/>
      <c r="DXC161" s="537"/>
      <c r="DXD161" s="537"/>
      <c r="DXE161" s="537"/>
      <c r="DXF161" s="537"/>
      <c r="DXG161" s="537"/>
      <c r="DXH161" s="537"/>
      <c r="DXI161" s="537"/>
      <c r="DXJ161" s="537"/>
      <c r="DXK161" s="537"/>
      <c r="DXL161" s="537"/>
      <c r="DXM161" s="537"/>
      <c r="DXN161" s="537"/>
      <c r="DXO161" s="537"/>
      <c r="DXP161" s="537"/>
      <c r="DXQ161" s="537"/>
      <c r="DXR161" s="537"/>
      <c r="DXS161" s="537"/>
      <c r="DXT161" s="537"/>
      <c r="DXU161" s="537"/>
      <c r="DXV161" s="537"/>
      <c r="DXW161" s="537"/>
      <c r="DXX161" s="537"/>
      <c r="DXY161" s="537"/>
      <c r="DXZ161" s="537"/>
      <c r="DYA161" s="537"/>
      <c r="DYB161" s="537"/>
      <c r="DYC161" s="537"/>
      <c r="DYD161" s="537"/>
      <c r="DYE161" s="537"/>
      <c r="DYF161" s="537"/>
      <c r="DYG161" s="537"/>
      <c r="DYH161" s="537"/>
      <c r="DYI161" s="537"/>
      <c r="DYJ161" s="537"/>
      <c r="DYK161" s="537"/>
      <c r="DYL161" s="537"/>
      <c r="DYM161" s="537"/>
      <c r="DYN161" s="537"/>
      <c r="DYO161" s="537"/>
      <c r="DYP161" s="537"/>
      <c r="DYQ161" s="537"/>
      <c r="DYR161" s="537"/>
      <c r="DYS161" s="537"/>
      <c r="DYT161" s="537"/>
      <c r="DYU161" s="537"/>
      <c r="DYV161" s="537"/>
      <c r="DYW161" s="537"/>
      <c r="DYX161" s="537"/>
      <c r="DYY161" s="537"/>
      <c r="DYZ161" s="537"/>
      <c r="DZA161" s="537"/>
      <c r="DZB161" s="537"/>
      <c r="DZC161" s="537"/>
      <c r="DZD161" s="537"/>
      <c r="DZE161" s="537"/>
      <c r="DZF161" s="537"/>
      <c r="DZG161" s="537"/>
      <c r="DZH161" s="537"/>
      <c r="DZI161" s="537"/>
      <c r="DZJ161" s="537"/>
      <c r="DZK161" s="537"/>
      <c r="DZL161" s="537"/>
      <c r="DZM161" s="537"/>
      <c r="DZN161" s="537"/>
      <c r="DZO161" s="537"/>
      <c r="DZP161" s="537"/>
      <c r="DZQ161" s="537"/>
      <c r="DZR161" s="537"/>
      <c r="DZS161" s="537"/>
      <c r="DZT161" s="537"/>
      <c r="DZU161" s="537"/>
      <c r="DZV161" s="537"/>
      <c r="DZW161" s="537"/>
      <c r="DZX161" s="537"/>
      <c r="DZY161" s="537"/>
      <c r="DZZ161" s="537"/>
      <c r="EAA161" s="537"/>
      <c r="EAB161" s="537"/>
      <c r="EAC161" s="537"/>
      <c r="EAD161" s="537"/>
      <c r="EAE161" s="537"/>
      <c r="EAF161" s="537"/>
      <c r="EAG161" s="537"/>
      <c r="EAH161" s="537"/>
      <c r="EAI161" s="537"/>
      <c r="EAJ161" s="537"/>
      <c r="EAK161" s="537"/>
      <c r="EAL161" s="537"/>
      <c r="EAM161" s="537"/>
      <c r="EAN161" s="537"/>
      <c r="EAO161" s="537"/>
      <c r="EAP161" s="537"/>
      <c r="EAQ161" s="537"/>
      <c r="EAR161" s="537"/>
      <c r="EAS161" s="537"/>
      <c r="EAT161" s="537"/>
      <c r="EAU161" s="537"/>
      <c r="EAV161" s="537"/>
      <c r="EAW161" s="537"/>
      <c r="EAX161" s="537"/>
      <c r="EAY161" s="537"/>
      <c r="EAZ161" s="537"/>
      <c r="EBA161" s="537"/>
      <c r="EBB161" s="537"/>
      <c r="EBC161" s="537"/>
      <c r="EBD161" s="537"/>
      <c r="EBE161" s="537"/>
      <c r="EBF161" s="537"/>
      <c r="EBG161" s="537"/>
      <c r="EBH161" s="537"/>
      <c r="EBI161" s="537"/>
      <c r="EBJ161" s="537"/>
      <c r="EBK161" s="537"/>
      <c r="EBL161" s="537"/>
      <c r="EBM161" s="537"/>
      <c r="EBN161" s="537"/>
      <c r="EBO161" s="537"/>
      <c r="EBP161" s="537"/>
      <c r="EBQ161" s="537"/>
      <c r="EBR161" s="537"/>
      <c r="EBS161" s="537"/>
      <c r="EBT161" s="537"/>
      <c r="EBU161" s="537"/>
      <c r="EBV161" s="537"/>
      <c r="EBW161" s="537"/>
      <c r="EBX161" s="537"/>
      <c r="EBY161" s="537"/>
      <c r="EBZ161" s="537"/>
      <c r="ECA161" s="537"/>
      <c r="ECB161" s="537"/>
      <c r="ECC161" s="537"/>
      <c r="ECD161" s="537"/>
      <c r="ECE161" s="537"/>
      <c r="ECF161" s="537"/>
      <c r="ECG161" s="537"/>
      <c r="ECH161" s="537"/>
      <c r="ECI161" s="537"/>
      <c r="ECJ161" s="537"/>
      <c r="ECK161" s="537"/>
      <c r="ECL161" s="537"/>
      <c r="ECM161" s="537"/>
      <c r="ECN161" s="537"/>
      <c r="ECO161" s="537"/>
      <c r="ECP161" s="537"/>
      <c r="ECQ161" s="537"/>
      <c r="ECR161" s="537"/>
      <c r="ECS161" s="537"/>
      <c r="ECT161" s="537"/>
      <c r="ECU161" s="537"/>
      <c r="ECV161" s="537"/>
      <c r="ECW161" s="537"/>
      <c r="ECX161" s="537"/>
      <c r="ECY161" s="537"/>
      <c r="ECZ161" s="537"/>
      <c r="EDA161" s="537"/>
      <c r="EDB161" s="537"/>
      <c r="EDC161" s="537"/>
      <c r="EDD161" s="537"/>
      <c r="EDE161" s="537"/>
      <c r="EDF161" s="537"/>
      <c r="EDG161" s="537"/>
      <c r="EDH161" s="537"/>
      <c r="EDI161" s="537"/>
      <c r="EDJ161" s="537"/>
      <c r="EDK161" s="537"/>
      <c r="EDL161" s="537"/>
      <c r="EDM161" s="537"/>
      <c r="EDN161" s="537"/>
      <c r="EDO161" s="537"/>
      <c r="EDP161" s="537"/>
      <c r="EDQ161" s="537"/>
      <c r="EDR161" s="537"/>
      <c r="EDS161" s="537"/>
      <c r="EDT161" s="537"/>
      <c r="EDU161" s="537"/>
      <c r="EDV161" s="537"/>
      <c r="EDW161" s="537"/>
      <c r="EDX161" s="537"/>
      <c r="EDY161" s="537"/>
      <c r="EDZ161" s="537"/>
      <c r="EEA161" s="537"/>
      <c r="EEB161" s="537"/>
      <c r="EEC161" s="537"/>
      <c r="EED161" s="537"/>
      <c r="EEE161" s="537"/>
      <c r="EEF161" s="537"/>
      <c r="EEG161" s="537"/>
      <c r="EEH161" s="537"/>
      <c r="EEI161" s="537"/>
      <c r="EEJ161" s="537"/>
      <c r="EEK161" s="537"/>
      <c r="EEL161" s="537"/>
      <c r="EEM161" s="537"/>
      <c r="EEN161" s="537"/>
      <c r="EEO161" s="537"/>
      <c r="EEP161" s="537"/>
      <c r="EEQ161" s="537"/>
      <c r="EER161" s="537"/>
      <c r="EES161" s="537"/>
      <c r="EET161" s="537"/>
      <c r="EEU161" s="537"/>
      <c r="EEV161" s="537"/>
      <c r="EEW161" s="537"/>
      <c r="EEX161" s="537"/>
      <c r="EEY161" s="537"/>
      <c r="EEZ161" s="537"/>
      <c r="EFA161" s="537"/>
      <c r="EFB161" s="537"/>
      <c r="EFC161" s="537"/>
      <c r="EFD161" s="537"/>
      <c r="EFE161" s="537"/>
      <c r="EFF161" s="537"/>
      <c r="EFG161" s="537"/>
      <c r="EFH161" s="537"/>
      <c r="EFI161" s="537"/>
      <c r="EFJ161" s="537"/>
      <c r="EFK161" s="537"/>
      <c r="EFL161" s="537"/>
      <c r="EFM161" s="537"/>
      <c r="EFN161" s="537"/>
      <c r="EFO161" s="537"/>
      <c r="EFP161" s="537"/>
      <c r="EFQ161" s="537"/>
      <c r="EFR161" s="537"/>
      <c r="EFS161" s="537"/>
      <c r="EFT161" s="537"/>
      <c r="EFU161" s="537"/>
      <c r="EFV161" s="537"/>
      <c r="EFW161" s="537"/>
      <c r="EFX161" s="537"/>
      <c r="EFY161" s="537"/>
      <c r="EFZ161" s="537"/>
      <c r="EGA161" s="537"/>
      <c r="EGB161" s="537"/>
      <c r="EGC161" s="537"/>
      <c r="EGD161" s="537"/>
      <c r="EGE161" s="537"/>
      <c r="EGF161" s="537"/>
      <c r="EGG161" s="537"/>
      <c r="EGH161" s="537"/>
      <c r="EGI161" s="537"/>
      <c r="EGJ161" s="537"/>
      <c r="EGK161" s="537"/>
      <c r="EGL161" s="537"/>
      <c r="EGM161" s="537"/>
      <c r="EGN161" s="537"/>
      <c r="EGO161" s="537"/>
      <c r="EGP161" s="537"/>
      <c r="EGQ161" s="537"/>
      <c r="EGR161" s="537"/>
      <c r="EGS161" s="537"/>
      <c r="EGT161" s="537"/>
      <c r="EGU161" s="537"/>
      <c r="EGV161" s="537"/>
      <c r="EGW161" s="537"/>
      <c r="EGX161" s="537"/>
      <c r="EGY161" s="537"/>
      <c r="EGZ161" s="537"/>
      <c r="EHA161" s="537"/>
      <c r="EHB161" s="537"/>
      <c r="EHC161" s="537"/>
      <c r="EHD161" s="537"/>
      <c r="EHE161" s="537"/>
      <c r="EHF161" s="537"/>
      <c r="EHG161" s="537"/>
      <c r="EHH161" s="537"/>
      <c r="EHI161" s="537"/>
      <c r="EHJ161" s="537"/>
      <c r="EHK161" s="537"/>
      <c r="EHL161" s="537"/>
      <c r="EHM161" s="537"/>
      <c r="EHN161" s="537"/>
      <c r="EHO161" s="537"/>
      <c r="EHP161" s="537"/>
      <c r="EHQ161" s="537"/>
      <c r="EHR161" s="537"/>
      <c r="EHS161" s="537"/>
      <c r="EHT161" s="537"/>
      <c r="EHU161" s="537"/>
      <c r="EHV161" s="537"/>
      <c r="EHW161" s="537"/>
      <c r="EHX161" s="537"/>
      <c r="EHY161" s="537"/>
      <c r="EHZ161" s="537"/>
      <c r="EIA161" s="537"/>
      <c r="EIB161" s="537"/>
      <c r="EIC161" s="537"/>
      <c r="EID161" s="537"/>
      <c r="EIE161" s="537"/>
      <c r="EIF161" s="537"/>
      <c r="EIG161" s="537"/>
      <c r="EIH161" s="537"/>
      <c r="EII161" s="537"/>
      <c r="EIJ161" s="537"/>
      <c r="EIK161" s="537"/>
      <c r="EIL161" s="537"/>
      <c r="EIM161" s="537"/>
      <c r="EIN161" s="537"/>
      <c r="EIO161" s="537"/>
      <c r="EIP161" s="537"/>
      <c r="EIQ161" s="537"/>
      <c r="EIR161" s="537"/>
      <c r="EIS161" s="537"/>
      <c r="EIT161" s="537"/>
      <c r="EIU161" s="537"/>
      <c r="EIV161" s="537"/>
      <c r="EIW161" s="537"/>
      <c r="EIX161" s="537"/>
      <c r="EIY161" s="537"/>
      <c r="EIZ161" s="537"/>
      <c r="EJA161" s="537"/>
      <c r="EJB161" s="537"/>
      <c r="EJC161" s="537"/>
      <c r="EJD161" s="537"/>
      <c r="EJE161" s="537"/>
      <c r="EJF161" s="537"/>
      <c r="EJG161" s="537"/>
      <c r="EJH161" s="537"/>
      <c r="EJI161" s="537"/>
      <c r="EJJ161" s="537"/>
      <c r="EJK161" s="537"/>
      <c r="EJL161" s="537"/>
      <c r="EJM161" s="537"/>
      <c r="EJN161" s="537"/>
      <c r="EJO161" s="537"/>
      <c r="EJP161" s="537"/>
      <c r="EJQ161" s="537"/>
      <c r="EJR161" s="537"/>
      <c r="EJS161" s="537"/>
      <c r="EJT161" s="537"/>
      <c r="EJU161" s="537"/>
      <c r="EJV161" s="537"/>
      <c r="EJW161" s="537"/>
      <c r="EJX161" s="537"/>
      <c r="EJY161" s="537"/>
      <c r="EJZ161" s="537"/>
      <c r="EKA161" s="537"/>
      <c r="EKB161" s="537"/>
      <c r="EKC161" s="537"/>
      <c r="EKD161" s="537"/>
      <c r="EKE161" s="537"/>
      <c r="EKF161" s="537"/>
      <c r="EKG161" s="537"/>
      <c r="EKH161" s="537"/>
      <c r="EKI161" s="537"/>
      <c r="EKJ161" s="537"/>
      <c r="EKK161" s="537"/>
      <c r="EKL161" s="537"/>
      <c r="EKM161" s="537"/>
      <c r="EKN161" s="537"/>
      <c r="EKO161" s="537"/>
      <c r="EKP161" s="537"/>
      <c r="EKQ161" s="537"/>
      <c r="EKR161" s="537"/>
      <c r="EKS161" s="537"/>
      <c r="EKT161" s="537"/>
      <c r="EKU161" s="537"/>
      <c r="EKV161" s="537"/>
      <c r="EKW161" s="537"/>
      <c r="EKX161" s="537"/>
      <c r="EKY161" s="537"/>
      <c r="EKZ161" s="537"/>
      <c r="ELA161" s="537"/>
      <c r="ELB161" s="537"/>
      <c r="ELC161" s="537"/>
      <c r="ELD161" s="537"/>
      <c r="ELE161" s="537"/>
      <c r="ELF161" s="537"/>
      <c r="ELG161" s="537"/>
      <c r="ELH161" s="537"/>
      <c r="ELI161" s="537"/>
      <c r="ELJ161" s="537"/>
      <c r="ELK161" s="537"/>
      <c r="ELL161" s="537"/>
      <c r="ELM161" s="537"/>
      <c r="ELN161" s="537"/>
      <c r="ELO161" s="537"/>
      <c r="ELP161" s="537"/>
      <c r="ELQ161" s="537"/>
      <c r="ELR161" s="537"/>
      <c r="ELS161" s="537"/>
      <c r="ELT161" s="537"/>
      <c r="ELU161" s="537"/>
      <c r="ELV161" s="537"/>
      <c r="ELW161" s="537"/>
      <c r="ELX161" s="537"/>
      <c r="ELY161" s="537"/>
      <c r="ELZ161" s="537"/>
      <c r="EMA161" s="537"/>
      <c r="EMB161" s="537"/>
      <c r="EMC161" s="537"/>
      <c r="EMD161" s="537"/>
      <c r="EME161" s="537"/>
      <c r="EMF161" s="537"/>
      <c r="EMG161" s="537"/>
      <c r="EMH161" s="537"/>
      <c r="EMI161" s="537"/>
      <c r="EMJ161" s="537"/>
      <c r="EMK161" s="537"/>
      <c r="EML161" s="537"/>
      <c r="EMM161" s="537"/>
      <c r="EMN161" s="537"/>
      <c r="EMO161" s="537"/>
      <c r="EMP161" s="537"/>
      <c r="EMQ161" s="537"/>
      <c r="EMR161" s="537"/>
      <c r="EMS161" s="537"/>
      <c r="EMT161" s="537"/>
      <c r="EMU161" s="537"/>
      <c r="EMV161" s="537"/>
      <c r="EMW161" s="537"/>
      <c r="EMX161" s="537"/>
      <c r="EMY161" s="537"/>
      <c r="EMZ161" s="537"/>
      <c r="ENA161" s="537"/>
      <c r="ENB161" s="537"/>
      <c r="ENC161" s="537"/>
      <c r="END161" s="537"/>
      <c r="ENE161" s="537"/>
      <c r="ENF161" s="537"/>
      <c r="ENG161" s="537"/>
      <c r="ENH161" s="537"/>
      <c r="ENI161" s="537"/>
      <c r="ENJ161" s="537"/>
      <c r="ENK161" s="537"/>
      <c r="ENL161" s="537"/>
      <c r="ENM161" s="537"/>
      <c r="ENN161" s="537"/>
      <c r="ENO161" s="537"/>
      <c r="ENP161" s="537"/>
      <c r="ENQ161" s="537"/>
      <c r="ENR161" s="537"/>
      <c r="ENS161" s="537"/>
      <c r="ENT161" s="537"/>
      <c r="ENU161" s="537"/>
      <c r="ENV161" s="537"/>
      <c r="ENW161" s="537"/>
      <c r="ENX161" s="537"/>
      <c r="ENY161" s="537"/>
      <c r="ENZ161" s="537"/>
      <c r="EOA161" s="537"/>
      <c r="EOB161" s="537"/>
      <c r="EOC161" s="537"/>
      <c r="EOD161" s="537"/>
      <c r="EOE161" s="537"/>
      <c r="EOF161" s="537"/>
      <c r="EOG161" s="537"/>
      <c r="EOH161" s="537"/>
      <c r="EOI161" s="537"/>
      <c r="EOJ161" s="537"/>
      <c r="EOK161" s="537"/>
      <c r="EOL161" s="537"/>
      <c r="EOM161" s="537"/>
      <c r="EON161" s="537"/>
      <c r="EOO161" s="537"/>
      <c r="EOP161" s="537"/>
      <c r="EOQ161" s="537"/>
      <c r="EOR161" s="537"/>
      <c r="EOS161" s="537"/>
      <c r="EOT161" s="537"/>
      <c r="EOU161" s="537"/>
      <c r="EOV161" s="537"/>
      <c r="EOW161" s="537"/>
      <c r="EOX161" s="537"/>
      <c r="EOY161" s="537"/>
      <c r="EOZ161" s="537"/>
      <c r="EPA161" s="537"/>
      <c r="EPB161" s="537"/>
      <c r="EPC161" s="537"/>
      <c r="EPD161" s="537"/>
      <c r="EPE161" s="537"/>
      <c r="EPF161" s="537"/>
      <c r="EPG161" s="537"/>
      <c r="EPH161" s="537"/>
      <c r="EPI161" s="537"/>
      <c r="EPJ161" s="537"/>
      <c r="EPK161" s="537"/>
      <c r="EPL161" s="537"/>
      <c r="EPM161" s="537"/>
      <c r="EPN161" s="537"/>
      <c r="EPO161" s="537"/>
      <c r="EPP161" s="537"/>
      <c r="EPQ161" s="537"/>
      <c r="EPR161" s="537"/>
      <c r="EPS161" s="537"/>
      <c r="EPT161" s="537"/>
      <c r="EPU161" s="537"/>
      <c r="EPV161" s="537"/>
      <c r="EPW161" s="537"/>
      <c r="EPX161" s="537"/>
      <c r="EPY161" s="537"/>
      <c r="EPZ161" s="537"/>
      <c r="EQA161" s="537"/>
      <c r="EQB161" s="537"/>
      <c r="EQC161" s="537"/>
      <c r="EQD161" s="537"/>
      <c r="EQE161" s="537"/>
      <c r="EQF161" s="537"/>
      <c r="EQG161" s="537"/>
      <c r="EQH161" s="537"/>
      <c r="EQI161" s="537"/>
      <c r="EQJ161" s="537"/>
      <c r="EQK161" s="537"/>
      <c r="EQL161" s="537"/>
      <c r="EQM161" s="537"/>
      <c r="EQN161" s="537"/>
      <c r="EQO161" s="537"/>
      <c r="EQP161" s="537"/>
      <c r="EQQ161" s="537"/>
      <c r="EQR161" s="537"/>
      <c r="EQS161" s="537"/>
      <c r="EQT161" s="537"/>
      <c r="EQU161" s="537"/>
      <c r="EQV161" s="537"/>
      <c r="EQW161" s="537"/>
      <c r="EQX161" s="537"/>
      <c r="EQY161" s="537"/>
      <c r="EQZ161" s="537"/>
      <c r="ERA161" s="537"/>
      <c r="ERB161" s="537"/>
      <c r="ERC161" s="537"/>
      <c r="ERD161" s="537"/>
      <c r="ERE161" s="537"/>
      <c r="ERF161" s="537"/>
      <c r="ERG161" s="537"/>
      <c r="ERH161" s="537"/>
      <c r="ERI161" s="537"/>
      <c r="ERJ161" s="537"/>
      <c r="ERK161" s="537"/>
      <c r="ERL161" s="537"/>
      <c r="ERM161" s="537"/>
      <c r="ERN161" s="537"/>
      <c r="ERO161" s="537"/>
      <c r="ERP161" s="537"/>
      <c r="ERQ161" s="537"/>
      <c r="ERR161" s="537"/>
      <c r="ERS161" s="537"/>
      <c r="ERT161" s="537"/>
      <c r="ERU161" s="537"/>
      <c r="ERV161" s="537"/>
      <c r="ERW161" s="537"/>
      <c r="ERX161" s="537"/>
      <c r="ERY161" s="537"/>
      <c r="ERZ161" s="537"/>
      <c r="ESA161" s="537"/>
      <c r="ESB161" s="537"/>
      <c r="ESC161" s="537"/>
      <c r="ESD161" s="537"/>
      <c r="ESE161" s="537"/>
      <c r="ESF161" s="537"/>
      <c r="ESG161" s="537"/>
      <c r="ESH161" s="537"/>
      <c r="ESI161" s="537"/>
      <c r="ESJ161" s="537"/>
      <c r="ESK161" s="537"/>
      <c r="ESL161" s="537"/>
      <c r="ESM161" s="537"/>
      <c r="ESN161" s="537"/>
      <c r="ESO161" s="537"/>
      <c r="ESP161" s="537"/>
      <c r="ESQ161" s="537"/>
      <c r="ESR161" s="537"/>
      <c r="ESS161" s="537"/>
      <c r="EST161" s="537"/>
      <c r="ESU161" s="537"/>
      <c r="ESV161" s="537"/>
      <c r="ESW161" s="537"/>
      <c r="ESX161" s="537"/>
      <c r="ESY161" s="537"/>
      <c r="ESZ161" s="537"/>
      <c r="ETA161" s="537"/>
      <c r="ETB161" s="537"/>
      <c r="ETC161" s="537"/>
      <c r="ETD161" s="537"/>
      <c r="ETE161" s="537"/>
      <c r="ETF161" s="537"/>
      <c r="ETG161" s="537"/>
      <c r="ETH161" s="537"/>
      <c r="ETI161" s="537"/>
      <c r="ETJ161" s="537"/>
      <c r="ETK161" s="537"/>
      <c r="ETL161" s="537"/>
      <c r="ETM161" s="537"/>
      <c r="ETN161" s="537"/>
      <c r="ETO161" s="537"/>
      <c r="ETP161" s="537"/>
      <c r="ETQ161" s="537"/>
      <c r="ETR161" s="537"/>
      <c r="ETS161" s="537"/>
      <c r="ETT161" s="537"/>
      <c r="ETU161" s="537"/>
      <c r="ETV161" s="537"/>
      <c r="ETW161" s="537"/>
      <c r="ETX161" s="537"/>
      <c r="ETY161" s="537"/>
      <c r="ETZ161" s="537"/>
      <c r="EUA161" s="537"/>
      <c r="EUB161" s="537"/>
      <c r="EUC161" s="537"/>
      <c r="EUD161" s="537"/>
      <c r="EUE161" s="537"/>
      <c r="EUF161" s="537"/>
      <c r="EUG161" s="537"/>
      <c r="EUH161" s="537"/>
      <c r="EUI161" s="537"/>
      <c r="EUJ161" s="537"/>
      <c r="EUK161" s="537"/>
      <c r="EUL161" s="537"/>
      <c r="EUM161" s="537"/>
      <c r="EUN161" s="537"/>
      <c r="EUO161" s="537"/>
      <c r="EUP161" s="537"/>
      <c r="EUQ161" s="537"/>
      <c r="EUR161" s="537"/>
      <c r="EUS161" s="537"/>
      <c r="EUT161" s="537"/>
      <c r="EUU161" s="537"/>
      <c r="EUV161" s="537"/>
      <c r="EUW161" s="537"/>
      <c r="EUX161" s="537"/>
      <c r="EUY161" s="537"/>
      <c r="EUZ161" s="537"/>
      <c r="EVA161" s="537"/>
      <c r="EVB161" s="537"/>
      <c r="EVC161" s="537"/>
      <c r="EVD161" s="537"/>
      <c r="EVE161" s="537"/>
      <c r="EVF161" s="537"/>
      <c r="EVG161" s="537"/>
      <c r="EVH161" s="537"/>
      <c r="EVI161" s="537"/>
      <c r="EVJ161" s="537"/>
      <c r="EVK161" s="537"/>
      <c r="EVL161" s="537"/>
      <c r="EVM161" s="537"/>
      <c r="EVN161" s="537"/>
      <c r="EVO161" s="537"/>
      <c r="EVP161" s="537"/>
      <c r="EVQ161" s="537"/>
      <c r="EVR161" s="537"/>
      <c r="EVS161" s="537"/>
      <c r="EVT161" s="537"/>
      <c r="EVU161" s="537"/>
      <c r="EVV161" s="537"/>
      <c r="EVW161" s="537"/>
      <c r="EVX161" s="537"/>
      <c r="EVY161" s="537"/>
      <c r="EVZ161" s="537"/>
      <c r="EWA161" s="537"/>
      <c r="EWB161" s="537"/>
      <c r="EWC161" s="537"/>
      <c r="EWD161" s="537"/>
      <c r="EWE161" s="537"/>
      <c r="EWF161" s="537"/>
      <c r="EWG161" s="537"/>
      <c r="EWH161" s="537"/>
      <c r="EWI161" s="537"/>
      <c r="EWJ161" s="537"/>
      <c r="EWK161" s="537"/>
      <c r="EWL161" s="537"/>
      <c r="EWM161" s="537"/>
      <c r="EWN161" s="537"/>
      <c r="EWO161" s="537"/>
      <c r="EWP161" s="537"/>
      <c r="EWQ161" s="537"/>
      <c r="EWR161" s="537"/>
      <c r="EWS161" s="537"/>
      <c r="EWT161" s="537"/>
      <c r="EWU161" s="537"/>
      <c r="EWV161" s="537"/>
      <c r="EWW161" s="537"/>
      <c r="EWX161" s="537"/>
      <c r="EWY161" s="537"/>
      <c r="EWZ161" s="537"/>
      <c r="EXA161" s="537"/>
      <c r="EXB161" s="537"/>
      <c r="EXC161" s="537"/>
      <c r="EXD161" s="537"/>
      <c r="EXE161" s="537"/>
      <c r="EXF161" s="537"/>
      <c r="EXG161" s="537"/>
      <c r="EXH161" s="537"/>
      <c r="EXI161" s="537"/>
      <c r="EXJ161" s="537"/>
      <c r="EXK161" s="537"/>
      <c r="EXL161" s="537"/>
      <c r="EXM161" s="537"/>
      <c r="EXN161" s="537"/>
      <c r="EXO161" s="537"/>
      <c r="EXP161" s="537"/>
      <c r="EXQ161" s="537"/>
      <c r="EXR161" s="537"/>
      <c r="EXS161" s="537"/>
      <c r="EXT161" s="537"/>
      <c r="EXU161" s="537"/>
      <c r="EXV161" s="537"/>
      <c r="EXW161" s="537"/>
      <c r="EXX161" s="537"/>
      <c r="EXY161" s="537"/>
      <c r="EXZ161" s="537"/>
      <c r="EYA161" s="537"/>
      <c r="EYB161" s="537"/>
      <c r="EYC161" s="537"/>
      <c r="EYD161" s="537"/>
      <c r="EYE161" s="537"/>
      <c r="EYF161" s="537"/>
      <c r="EYG161" s="537"/>
      <c r="EYH161" s="537"/>
      <c r="EYI161" s="537"/>
      <c r="EYJ161" s="537"/>
      <c r="EYK161" s="537"/>
      <c r="EYL161" s="537"/>
      <c r="EYM161" s="537"/>
      <c r="EYN161" s="537"/>
      <c r="EYO161" s="537"/>
      <c r="EYP161" s="537"/>
      <c r="EYQ161" s="537"/>
      <c r="EYR161" s="537"/>
      <c r="EYS161" s="537"/>
      <c r="EYT161" s="537"/>
      <c r="EYU161" s="537"/>
      <c r="EYV161" s="537"/>
      <c r="EYW161" s="537"/>
      <c r="EYX161" s="537"/>
      <c r="EYY161" s="537"/>
      <c r="EYZ161" s="537"/>
      <c r="EZA161" s="537"/>
      <c r="EZB161" s="537"/>
      <c r="EZC161" s="537"/>
      <c r="EZD161" s="537"/>
      <c r="EZE161" s="537"/>
      <c r="EZF161" s="537"/>
      <c r="EZG161" s="537"/>
      <c r="EZH161" s="537"/>
      <c r="EZI161" s="537"/>
      <c r="EZJ161" s="537"/>
      <c r="EZK161" s="537"/>
      <c r="EZL161" s="537"/>
      <c r="EZM161" s="537"/>
      <c r="EZN161" s="537"/>
      <c r="EZO161" s="537"/>
      <c r="EZP161" s="537"/>
      <c r="EZQ161" s="537"/>
      <c r="EZR161" s="537"/>
      <c r="EZS161" s="537"/>
      <c r="EZT161" s="537"/>
      <c r="EZU161" s="537"/>
      <c r="EZV161" s="537"/>
      <c r="EZW161" s="537"/>
      <c r="EZX161" s="537"/>
      <c r="EZY161" s="537"/>
      <c r="EZZ161" s="537"/>
      <c r="FAA161" s="537"/>
      <c r="FAB161" s="537"/>
      <c r="FAC161" s="537"/>
      <c r="FAD161" s="537"/>
      <c r="FAE161" s="537"/>
      <c r="FAF161" s="537"/>
      <c r="FAG161" s="537"/>
      <c r="FAH161" s="537"/>
      <c r="FAI161" s="537"/>
      <c r="FAJ161" s="537"/>
      <c r="FAK161" s="537"/>
      <c r="FAL161" s="537"/>
      <c r="FAM161" s="537"/>
      <c r="FAN161" s="537"/>
      <c r="FAO161" s="537"/>
      <c r="FAP161" s="537"/>
      <c r="FAQ161" s="537"/>
      <c r="FAR161" s="537"/>
      <c r="FAS161" s="537"/>
      <c r="FAT161" s="537"/>
      <c r="FAU161" s="537"/>
      <c r="FAV161" s="537"/>
      <c r="FAW161" s="537"/>
      <c r="FAX161" s="537"/>
      <c r="FAY161" s="537"/>
      <c r="FAZ161" s="537"/>
      <c r="FBA161" s="537"/>
      <c r="FBB161" s="537"/>
      <c r="FBC161" s="537"/>
      <c r="FBD161" s="537"/>
      <c r="FBE161" s="537"/>
      <c r="FBF161" s="537"/>
      <c r="FBG161" s="537"/>
      <c r="FBH161" s="537"/>
      <c r="FBI161" s="537"/>
      <c r="FBJ161" s="537"/>
      <c r="FBK161" s="537"/>
      <c r="FBL161" s="537"/>
      <c r="FBM161" s="537"/>
      <c r="FBN161" s="537"/>
      <c r="FBO161" s="537"/>
      <c r="FBP161" s="537"/>
      <c r="FBQ161" s="537"/>
      <c r="FBR161" s="537"/>
      <c r="FBS161" s="537"/>
      <c r="FBT161" s="537"/>
      <c r="FBU161" s="537"/>
      <c r="FBV161" s="537"/>
      <c r="FBW161" s="537"/>
      <c r="FBX161" s="537"/>
      <c r="FBY161" s="537"/>
      <c r="FBZ161" s="537"/>
      <c r="FCA161" s="537"/>
      <c r="FCB161" s="537"/>
      <c r="FCC161" s="537"/>
      <c r="FCD161" s="537"/>
      <c r="FCE161" s="537"/>
      <c r="FCF161" s="537"/>
      <c r="FCG161" s="537"/>
      <c r="FCH161" s="537"/>
      <c r="FCI161" s="537"/>
      <c r="FCJ161" s="537"/>
      <c r="FCK161" s="537"/>
      <c r="FCL161" s="537"/>
      <c r="FCM161" s="537"/>
      <c r="FCN161" s="537"/>
      <c r="FCO161" s="537"/>
      <c r="FCP161" s="537"/>
      <c r="FCQ161" s="537"/>
      <c r="FCR161" s="537"/>
      <c r="FCS161" s="537"/>
      <c r="FCT161" s="537"/>
      <c r="FCU161" s="537"/>
      <c r="FCV161" s="537"/>
      <c r="FCW161" s="537"/>
      <c r="FCX161" s="537"/>
      <c r="FCY161" s="537"/>
      <c r="FCZ161" s="537"/>
      <c r="FDA161" s="537"/>
      <c r="FDB161" s="537"/>
      <c r="FDC161" s="537"/>
      <c r="FDD161" s="537"/>
      <c r="FDE161" s="537"/>
      <c r="FDF161" s="537"/>
      <c r="FDG161" s="537"/>
      <c r="FDH161" s="537"/>
      <c r="FDI161" s="537"/>
      <c r="FDJ161" s="537"/>
      <c r="FDK161" s="537"/>
      <c r="FDL161" s="537"/>
      <c r="FDM161" s="537"/>
      <c r="FDN161" s="537"/>
      <c r="FDO161" s="537"/>
      <c r="FDP161" s="537"/>
      <c r="FDQ161" s="537"/>
      <c r="FDR161" s="537"/>
      <c r="FDS161" s="537"/>
      <c r="FDT161" s="537"/>
      <c r="FDU161" s="537"/>
      <c r="FDV161" s="537"/>
      <c r="FDW161" s="537"/>
      <c r="FDX161" s="537"/>
      <c r="FDY161" s="537"/>
      <c r="FDZ161" s="537"/>
      <c r="FEA161" s="537"/>
      <c r="FEB161" s="537"/>
      <c r="FEC161" s="537"/>
      <c r="FED161" s="537"/>
      <c r="FEE161" s="537"/>
      <c r="FEF161" s="537"/>
      <c r="FEG161" s="537"/>
      <c r="FEH161" s="537"/>
      <c r="FEI161" s="537"/>
      <c r="FEJ161" s="537"/>
      <c r="FEK161" s="537"/>
      <c r="FEL161" s="537"/>
      <c r="FEM161" s="537"/>
      <c r="FEN161" s="537"/>
      <c r="FEO161" s="537"/>
      <c r="FEP161" s="537"/>
      <c r="FEQ161" s="537"/>
      <c r="FER161" s="537"/>
      <c r="FES161" s="537"/>
      <c r="FET161" s="537"/>
      <c r="FEU161" s="537"/>
      <c r="FEV161" s="537"/>
      <c r="FEW161" s="537"/>
      <c r="FEX161" s="537"/>
      <c r="FEY161" s="537"/>
      <c r="FEZ161" s="537"/>
      <c r="FFA161" s="537"/>
      <c r="FFB161" s="537"/>
      <c r="FFC161" s="537"/>
      <c r="FFD161" s="537"/>
      <c r="FFE161" s="537"/>
      <c r="FFF161" s="537"/>
      <c r="FFG161" s="537"/>
      <c r="FFH161" s="537"/>
      <c r="FFI161" s="537"/>
      <c r="FFJ161" s="537"/>
      <c r="FFK161" s="537"/>
      <c r="FFL161" s="537"/>
      <c r="FFM161" s="537"/>
      <c r="FFN161" s="537"/>
      <c r="FFO161" s="537"/>
      <c r="FFP161" s="537"/>
      <c r="FFQ161" s="537"/>
      <c r="FFR161" s="537"/>
      <c r="FFS161" s="537"/>
      <c r="FFT161" s="537"/>
      <c r="FFU161" s="537"/>
      <c r="FFV161" s="537"/>
      <c r="FFW161" s="537"/>
      <c r="FFX161" s="537"/>
      <c r="FFY161" s="537"/>
      <c r="FFZ161" s="537"/>
      <c r="FGA161" s="537"/>
      <c r="FGB161" s="537"/>
      <c r="FGC161" s="537"/>
      <c r="FGD161" s="537"/>
      <c r="FGE161" s="537"/>
      <c r="FGF161" s="537"/>
      <c r="FGG161" s="537"/>
      <c r="FGH161" s="537"/>
      <c r="FGI161" s="537"/>
      <c r="FGJ161" s="537"/>
      <c r="FGK161" s="537"/>
      <c r="FGL161" s="537"/>
      <c r="FGM161" s="537"/>
      <c r="FGN161" s="537"/>
      <c r="FGO161" s="537"/>
      <c r="FGP161" s="537"/>
      <c r="FGQ161" s="537"/>
      <c r="FGR161" s="537"/>
      <c r="FGS161" s="537"/>
      <c r="FGT161" s="537"/>
      <c r="FGU161" s="537"/>
      <c r="FGV161" s="537"/>
      <c r="FGW161" s="537"/>
      <c r="FGX161" s="537"/>
      <c r="FGY161" s="537"/>
      <c r="FGZ161" s="537"/>
      <c r="FHA161" s="537"/>
      <c r="FHB161" s="537"/>
      <c r="FHC161" s="537"/>
      <c r="FHD161" s="537"/>
      <c r="FHE161" s="537"/>
      <c r="FHF161" s="537"/>
      <c r="FHG161" s="537"/>
      <c r="FHH161" s="537"/>
      <c r="FHI161" s="537"/>
      <c r="FHJ161" s="537"/>
      <c r="FHK161" s="537"/>
      <c r="FHL161" s="537"/>
      <c r="FHM161" s="537"/>
      <c r="FHN161" s="537"/>
      <c r="FHO161" s="537"/>
      <c r="FHP161" s="537"/>
      <c r="FHQ161" s="537"/>
      <c r="FHR161" s="537"/>
      <c r="FHS161" s="537"/>
      <c r="FHT161" s="537"/>
      <c r="FHU161" s="537"/>
      <c r="FHV161" s="537"/>
      <c r="FHW161" s="537"/>
      <c r="FHX161" s="537"/>
      <c r="FHY161" s="537"/>
      <c r="FHZ161" s="537"/>
      <c r="FIA161" s="537"/>
      <c r="FIB161" s="537"/>
      <c r="FIC161" s="537"/>
      <c r="FID161" s="537"/>
      <c r="FIE161" s="537"/>
      <c r="FIF161" s="537"/>
      <c r="FIG161" s="537"/>
      <c r="FIH161" s="537"/>
      <c r="FII161" s="537"/>
      <c r="FIJ161" s="537"/>
      <c r="FIK161" s="537"/>
      <c r="FIL161" s="537"/>
      <c r="FIM161" s="537"/>
      <c r="FIN161" s="537"/>
      <c r="FIO161" s="537"/>
      <c r="FIP161" s="537"/>
      <c r="FIQ161" s="537"/>
      <c r="FIR161" s="537"/>
      <c r="FIS161" s="537"/>
      <c r="FIT161" s="537"/>
      <c r="FIU161" s="537"/>
      <c r="FIV161" s="537"/>
      <c r="FIW161" s="537"/>
      <c r="FIX161" s="537"/>
      <c r="FIY161" s="537"/>
      <c r="FIZ161" s="537"/>
      <c r="FJA161" s="537"/>
      <c r="FJB161" s="537"/>
      <c r="FJC161" s="537"/>
      <c r="FJD161" s="537"/>
      <c r="FJE161" s="537"/>
      <c r="FJF161" s="537"/>
      <c r="FJG161" s="537"/>
      <c r="FJH161" s="537"/>
      <c r="FJI161" s="537"/>
      <c r="FJJ161" s="537"/>
      <c r="FJK161" s="537"/>
      <c r="FJL161" s="537"/>
      <c r="FJM161" s="537"/>
      <c r="FJN161" s="537"/>
      <c r="FJO161" s="537"/>
      <c r="FJP161" s="537"/>
      <c r="FJQ161" s="537"/>
      <c r="FJR161" s="537"/>
      <c r="FJS161" s="537"/>
      <c r="FJT161" s="537"/>
      <c r="FJU161" s="537"/>
      <c r="FJV161" s="537"/>
      <c r="FJW161" s="537"/>
      <c r="FJX161" s="537"/>
      <c r="FJY161" s="537"/>
      <c r="FJZ161" s="537"/>
      <c r="FKA161" s="537"/>
      <c r="FKB161" s="537"/>
      <c r="FKC161" s="537"/>
      <c r="FKD161" s="537"/>
      <c r="FKE161" s="537"/>
      <c r="FKF161" s="537"/>
      <c r="FKG161" s="537"/>
      <c r="FKH161" s="537"/>
      <c r="FKI161" s="537"/>
      <c r="FKJ161" s="537"/>
      <c r="FKK161" s="537"/>
      <c r="FKL161" s="537"/>
      <c r="FKM161" s="537"/>
      <c r="FKN161" s="537"/>
      <c r="FKO161" s="537"/>
      <c r="FKP161" s="537"/>
      <c r="FKQ161" s="537"/>
      <c r="FKR161" s="537"/>
      <c r="FKS161" s="537"/>
      <c r="FKT161" s="537"/>
      <c r="FKU161" s="537"/>
      <c r="FKV161" s="537"/>
      <c r="FKW161" s="537"/>
      <c r="FKX161" s="537"/>
      <c r="FKY161" s="537"/>
      <c r="FKZ161" s="537"/>
      <c r="FLA161" s="537"/>
      <c r="FLB161" s="537"/>
      <c r="FLC161" s="537"/>
      <c r="FLD161" s="537"/>
      <c r="FLE161" s="537"/>
      <c r="FLF161" s="537"/>
      <c r="FLG161" s="537"/>
      <c r="FLH161" s="537"/>
      <c r="FLI161" s="537"/>
      <c r="FLJ161" s="537"/>
      <c r="FLK161" s="537"/>
      <c r="FLL161" s="537"/>
      <c r="FLM161" s="537"/>
      <c r="FLN161" s="537"/>
      <c r="FLO161" s="537"/>
      <c r="FLP161" s="537"/>
      <c r="FLQ161" s="537"/>
      <c r="FLR161" s="537"/>
      <c r="FLS161" s="537"/>
      <c r="FLT161" s="537"/>
      <c r="FLU161" s="537"/>
      <c r="FLV161" s="537"/>
      <c r="FLW161" s="537"/>
      <c r="FLX161" s="537"/>
      <c r="FLY161" s="537"/>
      <c r="FLZ161" s="537"/>
      <c r="FMA161" s="537"/>
      <c r="FMB161" s="537"/>
      <c r="FMC161" s="537"/>
      <c r="FMD161" s="537"/>
      <c r="FME161" s="537"/>
      <c r="FMF161" s="537"/>
      <c r="FMG161" s="537"/>
      <c r="FMH161" s="537"/>
      <c r="FMI161" s="537"/>
      <c r="FMJ161" s="537"/>
      <c r="FMK161" s="537"/>
      <c r="FML161" s="537"/>
      <c r="FMM161" s="537"/>
      <c r="FMN161" s="537"/>
      <c r="FMO161" s="537"/>
      <c r="FMP161" s="537"/>
      <c r="FMQ161" s="537"/>
      <c r="FMR161" s="537"/>
      <c r="FMS161" s="537"/>
      <c r="FMT161" s="537"/>
      <c r="FMU161" s="537"/>
      <c r="FMV161" s="537"/>
      <c r="FMW161" s="537"/>
      <c r="FMX161" s="537"/>
      <c r="FMY161" s="537"/>
      <c r="FMZ161" s="537"/>
      <c r="FNA161" s="537"/>
      <c r="FNB161" s="537"/>
      <c r="FNC161" s="537"/>
      <c r="FND161" s="537"/>
      <c r="FNE161" s="537"/>
      <c r="FNF161" s="537"/>
      <c r="FNG161" s="537"/>
      <c r="FNH161" s="537"/>
      <c r="FNI161" s="537"/>
      <c r="FNJ161" s="537"/>
      <c r="FNK161" s="537"/>
      <c r="FNL161" s="537"/>
      <c r="FNM161" s="537"/>
      <c r="FNN161" s="537"/>
      <c r="FNO161" s="537"/>
      <c r="FNP161" s="537"/>
      <c r="FNQ161" s="537"/>
      <c r="FNR161" s="537"/>
      <c r="FNS161" s="537"/>
      <c r="FNT161" s="537"/>
      <c r="FNU161" s="537"/>
      <c r="FNV161" s="537"/>
      <c r="FNW161" s="537"/>
      <c r="FNX161" s="537"/>
      <c r="FNY161" s="537"/>
      <c r="FNZ161" s="537"/>
      <c r="FOA161" s="537"/>
      <c r="FOB161" s="537"/>
      <c r="FOC161" s="537"/>
      <c r="FOD161" s="537"/>
      <c r="FOE161" s="537"/>
      <c r="FOF161" s="537"/>
      <c r="FOG161" s="537"/>
      <c r="FOH161" s="537"/>
      <c r="FOI161" s="537"/>
      <c r="FOJ161" s="537"/>
      <c r="FOK161" s="537"/>
      <c r="FOL161" s="537"/>
      <c r="FOM161" s="537"/>
      <c r="FON161" s="537"/>
      <c r="FOO161" s="537"/>
      <c r="FOP161" s="537"/>
      <c r="FOQ161" s="537"/>
      <c r="FOR161" s="537"/>
      <c r="FOS161" s="537"/>
      <c r="FOT161" s="537"/>
      <c r="FOU161" s="537"/>
      <c r="FOV161" s="537"/>
      <c r="FOW161" s="537"/>
      <c r="FOX161" s="537"/>
      <c r="FOY161" s="537"/>
      <c r="FOZ161" s="537"/>
      <c r="FPA161" s="537"/>
      <c r="FPB161" s="537"/>
      <c r="FPC161" s="537"/>
      <c r="FPD161" s="537"/>
      <c r="FPE161" s="537"/>
      <c r="FPF161" s="537"/>
      <c r="FPG161" s="537"/>
      <c r="FPH161" s="537"/>
      <c r="FPI161" s="537"/>
      <c r="FPJ161" s="537"/>
      <c r="FPK161" s="537"/>
      <c r="FPL161" s="537"/>
      <c r="FPM161" s="537"/>
      <c r="FPN161" s="537"/>
      <c r="FPO161" s="537"/>
      <c r="FPP161" s="537"/>
      <c r="FPQ161" s="537"/>
      <c r="FPR161" s="537"/>
      <c r="FPS161" s="537"/>
      <c r="FPT161" s="537"/>
      <c r="FPU161" s="537"/>
      <c r="FPV161" s="537"/>
      <c r="FPW161" s="537"/>
      <c r="FPX161" s="537"/>
      <c r="FPY161" s="537"/>
      <c r="FPZ161" s="537"/>
      <c r="FQA161" s="537"/>
      <c r="FQB161" s="537"/>
      <c r="FQC161" s="537"/>
      <c r="FQD161" s="537"/>
      <c r="FQE161" s="537"/>
      <c r="FQF161" s="537"/>
      <c r="FQG161" s="537"/>
      <c r="FQH161" s="537"/>
      <c r="FQI161" s="537"/>
      <c r="FQJ161" s="537"/>
      <c r="FQK161" s="537"/>
      <c r="FQL161" s="537"/>
      <c r="FQM161" s="537"/>
      <c r="FQN161" s="537"/>
      <c r="FQO161" s="537"/>
      <c r="FQP161" s="537"/>
      <c r="FQQ161" s="537"/>
      <c r="FQR161" s="537"/>
      <c r="FQS161" s="537"/>
      <c r="FQT161" s="537"/>
      <c r="FQU161" s="537"/>
      <c r="FQV161" s="537"/>
      <c r="FQW161" s="537"/>
      <c r="FQX161" s="537"/>
      <c r="FQY161" s="537"/>
      <c r="FQZ161" s="537"/>
      <c r="FRA161" s="537"/>
      <c r="FRB161" s="537"/>
      <c r="FRC161" s="537"/>
      <c r="FRD161" s="537"/>
      <c r="FRE161" s="537"/>
      <c r="FRF161" s="537"/>
      <c r="FRG161" s="537"/>
      <c r="FRH161" s="537"/>
      <c r="FRI161" s="537"/>
      <c r="FRJ161" s="537"/>
      <c r="FRK161" s="537"/>
      <c r="FRL161" s="537"/>
      <c r="FRM161" s="537"/>
      <c r="FRN161" s="537"/>
      <c r="FRO161" s="537"/>
      <c r="FRP161" s="537"/>
      <c r="FRQ161" s="537"/>
      <c r="FRR161" s="537"/>
      <c r="FRS161" s="537"/>
      <c r="FRT161" s="537"/>
      <c r="FRU161" s="537"/>
      <c r="FRV161" s="537"/>
      <c r="FRW161" s="537"/>
      <c r="FRX161" s="537"/>
      <c r="FRY161" s="537"/>
      <c r="FRZ161" s="537"/>
      <c r="FSA161" s="537"/>
      <c r="FSB161" s="537"/>
      <c r="FSC161" s="537"/>
      <c r="FSD161" s="537"/>
      <c r="FSE161" s="537"/>
      <c r="FSF161" s="537"/>
      <c r="FSG161" s="537"/>
      <c r="FSH161" s="537"/>
      <c r="FSI161" s="537"/>
      <c r="FSJ161" s="537"/>
      <c r="FSK161" s="537"/>
      <c r="FSL161" s="537"/>
      <c r="FSM161" s="537"/>
      <c r="FSN161" s="537"/>
      <c r="FSO161" s="537"/>
      <c r="FSP161" s="537"/>
      <c r="FSQ161" s="537"/>
      <c r="FSR161" s="537"/>
      <c r="FSS161" s="537"/>
      <c r="FST161" s="537"/>
      <c r="FSU161" s="537"/>
      <c r="FSV161" s="537"/>
      <c r="FSW161" s="537"/>
      <c r="FSX161" s="537"/>
      <c r="FSY161" s="537"/>
      <c r="FSZ161" s="537"/>
      <c r="FTA161" s="537"/>
      <c r="FTB161" s="537"/>
      <c r="FTC161" s="537"/>
      <c r="FTD161" s="537"/>
      <c r="FTE161" s="537"/>
      <c r="FTF161" s="537"/>
      <c r="FTG161" s="537"/>
      <c r="FTH161" s="537"/>
      <c r="FTI161" s="537"/>
      <c r="FTJ161" s="537"/>
      <c r="FTK161" s="537"/>
      <c r="FTL161" s="537"/>
      <c r="FTM161" s="537"/>
      <c r="FTN161" s="537"/>
      <c r="FTO161" s="537"/>
      <c r="FTP161" s="537"/>
      <c r="FTQ161" s="537"/>
      <c r="FTR161" s="537"/>
      <c r="FTS161" s="537"/>
      <c r="FTT161" s="537"/>
      <c r="FTU161" s="537"/>
      <c r="FTV161" s="537"/>
      <c r="FTW161" s="537"/>
      <c r="FTX161" s="537"/>
      <c r="FTY161" s="537"/>
      <c r="FTZ161" s="537"/>
      <c r="FUA161" s="537"/>
      <c r="FUB161" s="537"/>
      <c r="FUC161" s="537"/>
      <c r="FUD161" s="537"/>
      <c r="FUE161" s="537"/>
      <c r="FUF161" s="537"/>
      <c r="FUG161" s="537"/>
      <c r="FUH161" s="537"/>
      <c r="FUI161" s="537"/>
      <c r="FUJ161" s="537"/>
      <c r="FUK161" s="537"/>
      <c r="FUL161" s="537"/>
      <c r="FUM161" s="537"/>
      <c r="FUN161" s="537"/>
      <c r="FUO161" s="537"/>
      <c r="FUP161" s="537"/>
      <c r="FUQ161" s="537"/>
      <c r="FUR161" s="537"/>
      <c r="FUS161" s="537"/>
      <c r="FUT161" s="537"/>
      <c r="FUU161" s="537"/>
      <c r="FUV161" s="537"/>
      <c r="FUW161" s="537"/>
      <c r="FUX161" s="537"/>
      <c r="FUY161" s="537"/>
      <c r="FUZ161" s="537"/>
      <c r="FVA161" s="537"/>
      <c r="FVB161" s="537"/>
      <c r="FVC161" s="537"/>
      <c r="FVD161" s="537"/>
      <c r="FVE161" s="537"/>
      <c r="FVF161" s="537"/>
      <c r="FVG161" s="537"/>
      <c r="FVH161" s="537"/>
      <c r="FVI161" s="537"/>
      <c r="FVJ161" s="537"/>
      <c r="FVK161" s="537"/>
      <c r="FVL161" s="537"/>
      <c r="FVM161" s="537"/>
      <c r="FVN161" s="537"/>
      <c r="FVO161" s="537"/>
      <c r="FVP161" s="537"/>
      <c r="FVQ161" s="537"/>
      <c r="FVR161" s="537"/>
      <c r="FVS161" s="537"/>
      <c r="FVT161" s="537"/>
      <c r="FVU161" s="537"/>
      <c r="FVV161" s="537"/>
      <c r="FVW161" s="537"/>
      <c r="FVX161" s="537"/>
      <c r="FVY161" s="537"/>
      <c r="FVZ161" s="537"/>
      <c r="FWA161" s="537"/>
      <c r="FWB161" s="537"/>
      <c r="FWC161" s="537"/>
      <c r="FWD161" s="537"/>
      <c r="FWE161" s="537"/>
      <c r="FWF161" s="537"/>
      <c r="FWG161" s="537"/>
      <c r="FWH161" s="537"/>
      <c r="FWI161" s="537"/>
      <c r="FWJ161" s="537"/>
      <c r="FWK161" s="537"/>
      <c r="FWL161" s="537"/>
      <c r="FWM161" s="537"/>
      <c r="FWN161" s="537"/>
      <c r="FWO161" s="537"/>
      <c r="FWP161" s="537"/>
      <c r="FWQ161" s="537"/>
      <c r="FWR161" s="537"/>
      <c r="FWS161" s="537"/>
      <c r="FWT161" s="537"/>
      <c r="FWU161" s="537"/>
      <c r="FWV161" s="537"/>
      <c r="FWW161" s="537"/>
      <c r="FWX161" s="537"/>
      <c r="FWY161" s="537"/>
      <c r="FWZ161" s="537"/>
      <c r="FXA161" s="537"/>
      <c r="FXB161" s="537"/>
      <c r="FXC161" s="537"/>
      <c r="FXD161" s="537"/>
      <c r="FXE161" s="537"/>
      <c r="FXF161" s="537"/>
      <c r="FXG161" s="537"/>
      <c r="FXH161" s="537"/>
      <c r="FXI161" s="537"/>
      <c r="FXJ161" s="537"/>
      <c r="FXK161" s="537"/>
      <c r="FXL161" s="537"/>
      <c r="FXM161" s="537"/>
      <c r="FXN161" s="537"/>
      <c r="FXO161" s="537"/>
      <c r="FXP161" s="537"/>
      <c r="FXQ161" s="537"/>
      <c r="FXR161" s="537"/>
      <c r="FXS161" s="537"/>
      <c r="FXT161" s="537"/>
      <c r="FXU161" s="537"/>
      <c r="FXV161" s="537"/>
      <c r="FXW161" s="537"/>
      <c r="FXX161" s="537"/>
      <c r="FXY161" s="537"/>
      <c r="FXZ161" s="537"/>
      <c r="FYA161" s="537"/>
      <c r="FYB161" s="537"/>
      <c r="FYC161" s="537"/>
      <c r="FYD161" s="537"/>
      <c r="FYE161" s="537"/>
      <c r="FYF161" s="537"/>
      <c r="FYG161" s="537"/>
      <c r="FYH161" s="537"/>
      <c r="FYI161" s="537"/>
      <c r="FYJ161" s="537"/>
      <c r="FYK161" s="537"/>
      <c r="FYL161" s="537"/>
      <c r="FYM161" s="537"/>
      <c r="FYN161" s="537"/>
      <c r="FYO161" s="537"/>
      <c r="FYP161" s="537"/>
      <c r="FYQ161" s="537"/>
      <c r="FYR161" s="537"/>
      <c r="FYS161" s="537"/>
      <c r="FYT161" s="537"/>
      <c r="FYU161" s="537"/>
      <c r="FYV161" s="537"/>
      <c r="FYW161" s="537"/>
      <c r="FYX161" s="537"/>
      <c r="FYY161" s="537"/>
      <c r="FYZ161" s="537"/>
      <c r="FZA161" s="537"/>
      <c r="FZB161" s="537"/>
      <c r="FZC161" s="537"/>
      <c r="FZD161" s="537"/>
      <c r="FZE161" s="537"/>
      <c r="FZF161" s="537"/>
      <c r="FZG161" s="537"/>
      <c r="FZH161" s="537"/>
      <c r="FZI161" s="537"/>
      <c r="FZJ161" s="537"/>
      <c r="FZK161" s="537"/>
      <c r="FZL161" s="537"/>
      <c r="FZM161" s="537"/>
      <c r="FZN161" s="537"/>
      <c r="FZO161" s="537"/>
      <c r="FZP161" s="537"/>
      <c r="FZQ161" s="537"/>
      <c r="FZR161" s="537"/>
      <c r="FZS161" s="537"/>
      <c r="FZT161" s="537"/>
      <c r="FZU161" s="537"/>
      <c r="FZV161" s="537"/>
      <c r="FZW161" s="537"/>
      <c r="FZX161" s="537"/>
      <c r="FZY161" s="537"/>
      <c r="FZZ161" s="537"/>
      <c r="GAA161" s="537"/>
      <c r="GAB161" s="537"/>
      <c r="GAC161" s="537"/>
      <c r="GAD161" s="537"/>
      <c r="GAE161" s="537"/>
      <c r="GAF161" s="537"/>
      <c r="GAG161" s="537"/>
      <c r="GAH161" s="537"/>
      <c r="GAI161" s="537"/>
      <c r="GAJ161" s="537"/>
      <c r="GAK161" s="537"/>
      <c r="GAL161" s="537"/>
      <c r="GAM161" s="537"/>
      <c r="GAN161" s="537"/>
      <c r="GAO161" s="537"/>
      <c r="GAP161" s="537"/>
      <c r="GAQ161" s="537"/>
      <c r="GAR161" s="537"/>
      <c r="GAS161" s="537"/>
      <c r="GAT161" s="537"/>
      <c r="GAU161" s="537"/>
      <c r="GAV161" s="537"/>
      <c r="GAW161" s="537"/>
      <c r="GAX161" s="537"/>
      <c r="GAY161" s="537"/>
      <c r="GAZ161" s="537"/>
      <c r="GBA161" s="537"/>
      <c r="GBB161" s="537"/>
      <c r="GBC161" s="537"/>
      <c r="GBD161" s="537"/>
      <c r="GBE161" s="537"/>
      <c r="GBF161" s="537"/>
      <c r="GBG161" s="537"/>
      <c r="GBH161" s="537"/>
      <c r="GBI161" s="537"/>
      <c r="GBJ161" s="537"/>
      <c r="GBK161" s="537"/>
      <c r="GBL161" s="537"/>
      <c r="GBM161" s="537"/>
      <c r="GBN161" s="537"/>
      <c r="GBO161" s="537"/>
      <c r="GBP161" s="537"/>
      <c r="GBQ161" s="537"/>
      <c r="GBR161" s="537"/>
      <c r="GBS161" s="537"/>
      <c r="GBT161" s="537"/>
      <c r="GBU161" s="537"/>
      <c r="GBV161" s="537"/>
      <c r="GBW161" s="537"/>
      <c r="GBX161" s="537"/>
      <c r="GBY161" s="537"/>
      <c r="GBZ161" s="537"/>
      <c r="GCA161" s="537"/>
      <c r="GCB161" s="537"/>
      <c r="GCC161" s="537"/>
      <c r="GCD161" s="537"/>
      <c r="GCE161" s="537"/>
      <c r="GCF161" s="537"/>
      <c r="GCG161" s="537"/>
      <c r="GCH161" s="537"/>
      <c r="GCI161" s="537"/>
      <c r="GCJ161" s="537"/>
      <c r="GCK161" s="537"/>
      <c r="GCL161" s="537"/>
      <c r="GCM161" s="537"/>
      <c r="GCN161" s="537"/>
      <c r="GCO161" s="537"/>
      <c r="GCP161" s="537"/>
      <c r="GCQ161" s="537"/>
      <c r="GCR161" s="537"/>
      <c r="GCS161" s="537"/>
      <c r="GCT161" s="537"/>
      <c r="GCU161" s="537"/>
      <c r="GCV161" s="537"/>
      <c r="GCW161" s="537"/>
      <c r="GCX161" s="537"/>
      <c r="GCY161" s="537"/>
      <c r="GCZ161" s="537"/>
      <c r="GDA161" s="537"/>
      <c r="GDB161" s="537"/>
      <c r="GDC161" s="537"/>
      <c r="GDD161" s="537"/>
      <c r="GDE161" s="537"/>
      <c r="GDF161" s="537"/>
      <c r="GDG161" s="537"/>
      <c r="GDH161" s="537"/>
      <c r="GDI161" s="537"/>
      <c r="GDJ161" s="537"/>
      <c r="GDK161" s="537"/>
      <c r="GDL161" s="537"/>
      <c r="GDM161" s="537"/>
      <c r="GDN161" s="537"/>
      <c r="GDO161" s="537"/>
      <c r="GDP161" s="537"/>
      <c r="GDQ161" s="537"/>
      <c r="GDR161" s="537"/>
      <c r="GDS161" s="537"/>
      <c r="GDT161" s="537"/>
      <c r="GDU161" s="537"/>
      <c r="GDV161" s="537"/>
      <c r="GDW161" s="537"/>
      <c r="GDX161" s="537"/>
      <c r="GDY161" s="537"/>
      <c r="GDZ161" s="537"/>
      <c r="GEA161" s="537"/>
      <c r="GEB161" s="537"/>
      <c r="GEC161" s="537"/>
      <c r="GED161" s="537"/>
      <c r="GEE161" s="537"/>
      <c r="GEF161" s="537"/>
      <c r="GEG161" s="537"/>
      <c r="GEH161" s="537"/>
      <c r="GEI161" s="537"/>
      <c r="GEJ161" s="537"/>
      <c r="GEK161" s="537"/>
      <c r="GEL161" s="537"/>
      <c r="GEM161" s="537"/>
      <c r="GEN161" s="537"/>
      <c r="GEO161" s="537"/>
      <c r="GEP161" s="537"/>
      <c r="GEQ161" s="537"/>
      <c r="GER161" s="537"/>
      <c r="GES161" s="537"/>
      <c r="GET161" s="537"/>
      <c r="GEU161" s="537"/>
      <c r="GEV161" s="537"/>
      <c r="GEW161" s="537"/>
      <c r="GEX161" s="537"/>
      <c r="GEY161" s="537"/>
      <c r="GEZ161" s="537"/>
      <c r="GFA161" s="537"/>
      <c r="GFB161" s="537"/>
      <c r="GFC161" s="537"/>
      <c r="GFD161" s="537"/>
      <c r="GFE161" s="537"/>
      <c r="GFF161" s="537"/>
      <c r="GFG161" s="537"/>
      <c r="GFH161" s="537"/>
      <c r="GFI161" s="537"/>
      <c r="GFJ161" s="537"/>
      <c r="GFK161" s="537"/>
      <c r="GFL161" s="537"/>
      <c r="GFM161" s="537"/>
      <c r="GFN161" s="537"/>
      <c r="GFO161" s="537"/>
      <c r="GFP161" s="537"/>
      <c r="GFQ161" s="537"/>
      <c r="GFR161" s="537"/>
      <c r="GFS161" s="537"/>
      <c r="GFT161" s="537"/>
      <c r="GFU161" s="537"/>
      <c r="GFV161" s="537"/>
      <c r="GFW161" s="537"/>
      <c r="GFX161" s="537"/>
      <c r="GFY161" s="537"/>
      <c r="GFZ161" s="537"/>
      <c r="GGA161" s="537"/>
      <c r="GGB161" s="537"/>
      <c r="GGC161" s="537"/>
      <c r="GGD161" s="537"/>
      <c r="GGE161" s="537"/>
      <c r="GGF161" s="537"/>
      <c r="GGG161" s="537"/>
      <c r="GGH161" s="537"/>
      <c r="GGI161" s="537"/>
      <c r="GGJ161" s="537"/>
      <c r="GGK161" s="537"/>
      <c r="GGL161" s="537"/>
      <c r="GGM161" s="537"/>
      <c r="GGN161" s="537"/>
      <c r="GGO161" s="537"/>
      <c r="GGP161" s="537"/>
      <c r="GGQ161" s="537"/>
      <c r="GGR161" s="537"/>
      <c r="GGS161" s="537"/>
      <c r="GGT161" s="537"/>
      <c r="GGU161" s="537"/>
      <c r="GGV161" s="537"/>
      <c r="GGW161" s="537"/>
      <c r="GGX161" s="537"/>
      <c r="GGY161" s="537"/>
      <c r="GGZ161" s="537"/>
      <c r="GHA161" s="537"/>
      <c r="GHB161" s="537"/>
      <c r="GHC161" s="537"/>
      <c r="GHD161" s="537"/>
      <c r="GHE161" s="537"/>
      <c r="GHF161" s="537"/>
      <c r="GHG161" s="537"/>
      <c r="GHH161" s="537"/>
      <c r="GHI161" s="537"/>
      <c r="GHJ161" s="537"/>
      <c r="GHK161" s="537"/>
      <c r="GHL161" s="537"/>
      <c r="GHM161" s="537"/>
      <c r="GHN161" s="537"/>
      <c r="GHO161" s="537"/>
      <c r="GHP161" s="537"/>
      <c r="GHQ161" s="537"/>
      <c r="GHR161" s="537"/>
      <c r="GHS161" s="537"/>
      <c r="GHT161" s="537"/>
      <c r="GHU161" s="537"/>
      <c r="GHV161" s="537"/>
      <c r="GHW161" s="537"/>
      <c r="GHX161" s="537"/>
      <c r="GHY161" s="537"/>
      <c r="GHZ161" s="537"/>
      <c r="GIA161" s="537"/>
      <c r="GIB161" s="537"/>
      <c r="GIC161" s="537"/>
      <c r="GID161" s="537"/>
      <c r="GIE161" s="537"/>
      <c r="GIF161" s="537"/>
      <c r="GIG161" s="537"/>
      <c r="GIH161" s="537"/>
      <c r="GII161" s="537"/>
      <c r="GIJ161" s="537"/>
      <c r="GIK161" s="537"/>
      <c r="GIL161" s="537"/>
      <c r="GIM161" s="537"/>
      <c r="GIN161" s="537"/>
      <c r="GIO161" s="537"/>
      <c r="GIP161" s="537"/>
      <c r="GIQ161" s="537"/>
      <c r="GIR161" s="537"/>
      <c r="GIS161" s="537"/>
      <c r="GIT161" s="537"/>
      <c r="GIU161" s="537"/>
      <c r="GIV161" s="537"/>
      <c r="GIW161" s="537"/>
      <c r="GIX161" s="537"/>
      <c r="GIY161" s="537"/>
      <c r="GIZ161" s="537"/>
      <c r="GJA161" s="537"/>
      <c r="GJB161" s="537"/>
      <c r="GJC161" s="537"/>
      <c r="GJD161" s="537"/>
      <c r="GJE161" s="537"/>
      <c r="GJF161" s="537"/>
      <c r="GJG161" s="537"/>
      <c r="GJH161" s="537"/>
      <c r="GJI161" s="537"/>
      <c r="GJJ161" s="537"/>
      <c r="GJK161" s="537"/>
      <c r="GJL161" s="537"/>
      <c r="GJM161" s="537"/>
      <c r="GJN161" s="537"/>
      <c r="GJO161" s="537"/>
      <c r="GJP161" s="537"/>
      <c r="GJQ161" s="537"/>
      <c r="GJR161" s="537"/>
      <c r="GJS161" s="537"/>
      <c r="GJT161" s="537"/>
      <c r="GJU161" s="537"/>
      <c r="GJV161" s="537"/>
      <c r="GJW161" s="537"/>
      <c r="GJX161" s="537"/>
      <c r="GJY161" s="537"/>
      <c r="GJZ161" s="537"/>
      <c r="GKA161" s="537"/>
      <c r="GKB161" s="537"/>
      <c r="GKC161" s="537"/>
      <c r="GKD161" s="537"/>
      <c r="GKE161" s="537"/>
      <c r="GKF161" s="537"/>
      <c r="GKG161" s="537"/>
      <c r="GKH161" s="537"/>
      <c r="GKI161" s="537"/>
      <c r="GKJ161" s="537"/>
      <c r="GKK161" s="537"/>
      <c r="GKL161" s="537"/>
      <c r="GKM161" s="537"/>
      <c r="GKN161" s="537"/>
      <c r="GKO161" s="537"/>
      <c r="GKP161" s="537"/>
      <c r="GKQ161" s="537"/>
      <c r="GKR161" s="537"/>
      <c r="GKS161" s="537"/>
      <c r="GKT161" s="537"/>
      <c r="GKU161" s="537"/>
      <c r="GKV161" s="537"/>
      <c r="GKW161" s="537"/>
      <c r="GKX161" s="537"/>
      <c r="GKY161" s="537"/>
      <c r="GKZ161" s="537"/>
      <c r="GLA161" s="537"/>
      <c r="GLB161" s="537"/>
      <c r="GLC161" s="537"/>
      <c r="GLD161" s="537"/>
      <c r="GLE161" s="537"/>
      <c r="GLF161" s="537"/>
      <c r="GLG161" s="537"/>
      <c r="GLH161" s="537"/>
      <c r="GLI161" s="537"/>
      <c r="GLJ161" s="537"/>
      <c r="GLK161" s="537"/>
      <c r="GLL161" s="537"/>
      <c r="GLM161" s="537"/>
      <c r="GLN161" s="537"/>
      <c r="GLO161" s="537"/>
      <c r="GLP161" s="537"/>
      <c r="GLQ161" s="537"/>
      <c r="GLR161" s="537"/>
      <c r="GLS161" s="537"/>
      <c r="GLT161" s="537"/>
      <c r="GLU161" s="537"/>
      <c r="GLV161" s="537"/>
      <c r="GLW161" s="537"/>
      <c r="GLX161" s="537"/>
      <c r="GLY161" s="537"/>
      <c r="GLZ161" s="537"/>
      <c r="GMA161" s="537"/>
      <c r="GMB161" s="537"/>
      <c r="GMC161" s="537"/>
      <c r="GMD161" s="537"/>
      <c r="GME161" s="537"/>
      <c r="GMF161" s="537"/>
      <c r="GMG161" s="537"/>
      <c r="GMH161" s="537"/>
      <c r="GMI161" s="537"/>
      <c r="GMJ161" s="537"/>
      <c r="GMK161" s="537"/>
      <c r="GML161" s="537"/>
      <c r="GMM161" s="537"/>
      <c r="GMN161" s="537"/>
      <c r="GMO161" s="537"/>
      <c r="GMP161" s="537"/>
      <c r="GMQ161" s="537"/>
      <c r="GMR161" s="537"/>
      <c r="GMS161" s="537"/>
      <c r="GMT161" s="537"/>
      <c r="GMU161" s="537"/>
      <c r="GMV161" s="537"/>
      <c r="GMW161" s="537"/>
      <c r="GMX161" s="537"/>
      <c r="GMY161" s="537"/>
      <c r="GMZ161" s="537"/>
      <c r="GNA161" s="537"/>
      <c r="GNB161" s="537"/>
      <c r="GNC161" s="537"/>
      <c r="GND161" s="537"/>
      <c r="GNE161" s="537"/>
      <c r="GNF161" s="537"/>
      <c r="GNG161" s="537"/>
      <c r="GNH161" s="537"/>
      <c r="GNI161" s="537"/>
      <c r="GNJ161" s="537"/>
      <c r="GNK161" s="537"/>
      <c r="GNL161" s="537"/>
      <c r="GNM161" s="537"/>
      <c r="GNN161" s="537"/>
      <c r="GNO161" s="537"/>
      <c r="GNP161" s="537"/>
      <c r="GNQ161" s="537"/>
      <c r="GNR161" s="537"/>
      <c r="GNS161" s="537"/>
      <c r="GNT161" s="537"/>
      <c r="GNU161" s="537"/>
      <c r="GNV161" s="537"/>
      <c r="GNW161" s="537"/>
      <c r="GNX161" s="537"/>
      <c r="GNY161" s="537"/>
      <c r="GNZ161" s="537"/>
      <c r="GOA161" s="537"/>
      <c r="GOB161" s="537"/>
      <c r="GOC161" s="537"/>
      <c r="GOD161" s="537"/>
      <c r="GOE161" s="537"/>
      <c r="GOF161" s="537"/>
      <c r="GOG161" s="537"/>
      <c r="GOH161" s="537"/>
      <c r="GOI161" s="537"/>
      <c r="GOJ161" s="537"/>
      <c r="GOK161" s="537"/>
      <c r="GOL161" s="537"/>
      <c r="GOM161" s="537"/>
      <c r="GON161" s="537"/>
      <c r="GOO161" s="537"/>
      <c r="GOP161" s="537"/>
      <c r="GOQ161" s="537"/>
      <c r="GOR161" s="537"/>
      <c r="GOS161" s="537"/>
      <c r="GOT161" s="537"/>
      <c r="GOU161" s="537"/>
      <c r="GOV161" s="537"/>
      <c r="GOW161" s="537"/>
      <c r="GOX161" s="537"/>
      <c r="GOY161" s="537"/>
      <c r="GOZ161" s="537"/>
      <c r="GPA161" s="537"/>
      <c r="GPB161" s="537"/>
      <c r="GPC161" s="537"/>
      <c r="GPD161" s="537"/>
      <c r="GPE161" s="537"/>
      <c r="GPF161" s="537"/>
      <c r="GPG161" s="537"/>
      <c r="GPH161" s="537"/>
      <c r="GPI161" s="537"/>
      <c r="GPJ161" s="537"/>
      <c r="GPK161" s="537"/>
      <c r="GPL161" s="537"/>
      <c r="GPM161" s="537"/>
      <c r="GPN161" s="537"/>
      <c r="GPO161" s="537"/>
      <c r="GPP161" s="537"/>
      <c r="GPQ161" s="537"/>
      <c r="GPR161" s="537"/>
      <c r="GPS161" s="537"/>
      <c r="GPT161" s="537"/>
      <c r="GPU161" s="537"/>
      <c r="GPV161" s="537"/>
      <c r="GPW161" s="537"/>
      <c r="GPX161" s="537"/>
      <c r="GPY161" s="537"/>
      <c r="GPZ161" s="537"/>
      <c r="GQA161" s="537"/>
      <c r="GQB161" s="537"/>
      <c r="GQC161" s="537"/>
      <c r="GQD161" s="537"/>
      <c r="GQE161" s="537"/>
      <c r="GQF161" s="537"/>
      <c r="GQG161" s="537"/>
      <c r="GQH161" s="537"/>
      <c r="GQI161" s="537"/>
      <c r="GQJ161" s="537"/>
      <c r="GQK161" s="537"/>
      <c r="GQL161" s="537"/>
      <c r="GQM161" s="537"/>
      <c r="GQN161" s="537"/>
      <c r="GQO161" s="537"/>
      <c r="GQP161" s="537"/>
      <c r="GQQ161" s="537"/>
      <c r="GQR161" s="537"/>
      <c r="GQS161" s="537"/>
      <c r="GQT161" s="537"/>
      <c r="GQU161" s="537"/>
      <c r="GQV161" s="537"/>
      <c r="GQW161" s="537"/>
      <c r="GQX161" s="537"/>
      <c r="GQY161" s="537"/>
      <c r="GQZ161" s="537"/>
      <c r="GRA161" s="537"/>
      <c r="GRB161" s="537"/>
      <c r="GRC161" s="537"/>
      <c r="GRD161" s="537"/>
      <c r="GRE161" s="537"/>
      <c r="GRF161" s="537"/>
      <c r="GRG161" s="537"/>
      <c r="GRH161" s="537"/>
      <c r="GRI161" s="537"/>
      <c r="GRJ161" s="537"/>
      <c r="GRK161" s="537"/>
      <c r="GRL161" s="537"/>
      <c r="GRM161" s="537"/>
      <c r="GRN161" s="537"/>
      <c r="GRO161" s="537"/>
      <c r="GRP161" s="537"/>
      <c r="GRQ161" s="537"/>
      <c r="GRR161" s="537"/>
      <c r="GRS161" s="537"/>
      <c r="GRT161" s="537"/>
      <c r="GRU161" s="537"/>
      <c r="GRV161" s="537"/>
      <c r="GRW161" s="537"/>
      <c r="GRX161" s="537"/>
      <c r="GRY161" s="537"/>
      <c r="GRZ161" s="537"/>
      <c r="GSA161" s="537"/>
      <c r="GSB161" s="537"/>
      <c r="GSC161" s="537"/>
      <c r="GSD161" s="537"/>
      <c r="GSE161" s="537"/>
      <c r="GSF161" s="537"/>
      <c r="GSG161" s="537"/>
      <c r="GSH161" s="537"/>
      <c r="GSI161" s="537"/>
      <c r="GSJ161" s="537"/>
      <c r="GSK161" s="537"/>
      <c r="GSL161" s="537"/>
      <c r="GSM161" s="537"/>
      <c r="GSN161" s="537"/>
      <c r="GSO161" s="537"/>
      <c r="GSP161" s="537"/>
      <c r="GSQ161" s="537"/>
      <c r="GSR161" s="537"/>
      <c r="GSS161" s="537"/>
      <c r="GST161" s="537"/>
      <c r="GSU161" s="537"/>
      <c r="GSV161" s="537"/>
      <c r="GSW161" s="537"/>
      <c r="GSX161" s="537"/>
      <c r="GSY161" s="537"/>
      <c r="GSZ161" s="537"/>
      <c r="GTA161" s="537"/>
      <c r="GTB161" s="537"/>
      <c r="GTC161" s="537"/>
      <c r="GTD161" s="537"/>
      <c r="GTE161" s="537"/>
      <c r="GTF161" s="537"/>
      <c r="GTG161" s="537"/>
      <c r="GTH161" s="537"/>
      <c r="GTI161" s="537"/>
      <c r="GTJ161" s="537"/>
      <c r="GTK161" s="537"/>
      <c r="GTL161" s="537"/>
      <c r="GTM161" s="537"/>
      <c r="GTN161" s="537"/>
      <c r="GTO161" s="537"/>
      <c r="GTP161" s="537"/>
      <c r="GTQ161" s="537"/>
      <c r="GTR161" s="537"/>
      <c r="GTS161" s="537"/>
      <c r="GTT161" s="537"/>
      <c r="GTU161" s="537"/>
      <c r="GTV161" s="537"/>
      <c r="GTW161" s="537"/>
      <c r="GTX161" s="537"/>
      <c r="GTY161" s="537"/>
      <c r="GTZ161" s="537"/>
      <c r="GUA161" s="537"/>
      <c r="GUB161" s="537"/>
      <c r="GUC161" s="537"/>
      <c r="GUD161" s="537"/>
      <c r="GUE161" s="537"/>
      <c r="GUF161" s="537"/>
      <c r="GUG161" s="537"/>
      <c r="GUH161" s="537"/>
      <c r="GUI161" s="537"/>
      <c r="GUJ161" s="537"/>
      <c r="GUK161" s="537"/>
      <c r="GUL161" s="537"/>
      <c r="GUM161" s="537"/>
      <c r="GUN161" s="537"/>
      <c r="GUO161" s="537"/>
      <c r="GUP161" s="537"/>
      <c r="GUQ161" s="537"/>
      <c r="GUR161" s="537"/>
      <c r="GUS161" s="537"/>
      <c r="GUT161" s="537"/>
      <c r="GUU161" s="537"/>
      <c r="GUV161" s="537"/>
      <c r="GUW161" s="537"/>
      <c r="GUX161" s="537"/>
      <c r="GUY161" s="537"/>
      <c r="GUZ161" s="537"/>
      <c r="GVA161" s="537"/>
      <c r="GVB161" s="537"/>
      <c r="GVC161" s="537"/>
      <c r="GVD161" s="537"/>
      <c r="GVE161" s="537"/>
      <c r="GVF161" s="537"/>
      <c r="GVG161" s="537"/>
      <c r="GVH161" s="537"/>
      <c r="GVI161" s="537"/>
      <c r="GVJ161" s="537"/>
      <c r="GVK161" s="537"/>
      <c r="GVL161" s="537"/>
      <c r="GVM161" s="537"/>
      <c r="GVN161" s="537"/>
      <c r="GVO161" s="537"/>
      <c r="GVP161" s="537"/>
      <c r="GVQ161" s="537"/>
      <c r="GVR161" s="537"/>
      <c r="GVS161" s="537"/>
      <c r="GVT161" s="537"/>
      <c r="GVU161" s="537"/>
      <c r="GVV161" s="537"/>
      <c r="GVW161" s="537"/>
      <c r="GVX161" s="537"/>
      <c r="GVY161" s="537"/>
      <c r="GVZ161" s="537"/>
      <c r="GWA161" s="537"/>
      <c r="GWB161" s="537"/>
      <c r="GWC161" s="537"/>
      <c r="GWD161" s="537"/>
      <c r="GWE161" s="537"/>
      <c r="GWF161" s="537"/>
      <c r="GWG161" s="537"/>
      <c r="GWH161" s="537"/>
      <c r="GWI161" s="537"/>
      <c r="GWJ161" s="537"/>
      <c r="GWK161" s="537"/>
      <c r="GWL161" s="537"/>
      <c r="GWM161" s="537"/>
      <c r="GWN161" s="537"/>
      <c r="GWO161" s="537"/>
      <c r="GWP161" s="537"/>
      <c r="GWQ161" s="537"/>
      <c r="GWR161" s="537"/>
      <c r="GWS161" s="537"/>
      <c r="GWT161" s="537"/>
      <c r="GWU161" s="537"/>
      <c r="GWV161" s="537"/>
      <c r="GWW161" s="537"/>
      <c r="GWX161" s="537"/>
      <c r="GWY161" s="537"/>
      <c r="GWZ161" s="537"/>
      <c r="GXA161" s="537"/>
      <c r="GXB161" s="537"/>
      <c r="GXC161" s="537"/>
      <c r="GXD161" s="537"/>
      <c r="GXE161" s="537"/>
      <c r="GXF161" s="537"/>
      <c r="GXG161" s="537"/>
      <c r="GXH161" s="537"/>
      <c r="GXI161" s="537"/>
      <c r="GXJ161" s="537"/>
      <c r="GXK161" s="537"/>
      <c r="GXL161" s="537"/>
      <c r="GXM161" s="537"/>
      <c r="GXN161" s="537"/>
      <c r="GXO161" s="537"/>
      <c r="GXP161" s="537"/>
      <c r="GXQ161" s="537"/>
      <c r="GXR161" s="537"/>
      <c r="GXS161" s="537"/>
      <c r="GXT161" s="537"/>
      <c r="GXU161" s="537"/>
      <c r="GXV161" s="537"/>
      <c r="GXW161" s="537"/>
      <c r="GXX161" s="537"/>
      <c r="GXY161" s="537"/>
      <c r="GXZ161" s="537"/>
      <c r="GYA161" s="537"/>
      <c r="GYB161" s="537"/>
      <c r="GYC161" s="537"/>
      <c r="GYD161" s="537"/>
      <c r="GYE161" s="537"/>
      <c r="GYF161" s="537"/>
      <c r="GYG161" s="537"/>
      <c r="GYH161" s="537"/>
      <c r="GYI161" s="537"/>
      <c r="GYJ161" s="537"/>
      <c r="GYK161" s="537"/>
      <c r="GYL161" s="537"/>
      <c r="GYM161" s="537"/>
      <c r="GYN161" s="537"/>
      <c r="GYO161" s="537"/>
      <c r="GYP161" s="537"/>
      <c r="GYQ161" s="537"/>
      <c r="GYR161" s="537"/>
      <c r="GYS161" s="537"/>
      <c r="GYT161" s="537"/>
      <c r="GYU161" s="537"/>
      <c r="GYV161" s="537"/>
      <c r="GYW161" s="537"/>
      <c r="GYX161" s="537"/>
      <c r="GYY161" s="537"/>
      <c r="GYZ161" s="537"/>
      <c r="GZA161" s="537"/>
      <c r="GZB161" s="537"/>
      <c r="GZC161" s="537"/>
      <c r="GZD161" s="537"/>
      <c r="GZE161" s="537"/>
      <c r="GZF161" s="537"/>
      <c r="GZG161" s="537"/>
      <c r="GZH161" s="537"/>
      <c r="GZI161" s="537"/>
      <c r="GZJ161" s="537"/>
      <c r="GZK161" s="537"/>
      <c r="GZL161" s="537"/>
      <c r="GZM161" s="537"/>
      <c r="GZN161" s="537"/>
      <c r="GZO161" s="537"/>
      <c r="GZP161" s="537"/>
      <c r="GZQ161" s="537"/>
      <c r="GZR161" s="537"/>
      <c r="GZS161" s="537"/>
      <c r="GZT161" s="537"/>
      <c r="GZU161" s="537"/>
      <c r="GZV161" s="537"/>
      <c r="GZW161" s="537"/>
      <c r="GZX161" s="537"/>
      <c r="GZY161" s="537"/>
      <c r="GZZ161" s="537"/>
      <c r="HAA161" s="537"/>
      <c r="HAB161" s="537"/>
      <c r="HAC161" s="537"/>
      <c r="HAD161" s="537"/>
      <c r="HAE161" s="537"/>
      <c r="HAF161" s="537"/>
      <c r="HAG161" s="537"/>
      <c r="HAH161" s="537"/>
      <c r="HAI161" s="537"/>
      <c r="HAJ161" s="537"/>
      <c r="HAK161" s="537"/>
      <c r="HAL161" s="537"/>
      <c r="HAM161" s="537"/>
      <c r="HAN161" s="537"/>
      <c r="HAO161" s="537"/>
      <c r="HAP161" s="537"/>
      <c r="HAQ161" s="537"/>
      <c r="HAR161" s="537"/>
      <c r="HAS161" s="537"/>
      <c r="HAT161" s="537"/>
      <c r="HAU161" s="537"/>
      <c r="HAV161" s="537"/>
      <c r="HAW161" s="537"/>
      <c r="HAX161" s="537"/>
      <c r="HAY161" s="537"/>
      <c r="HAZ161" s="537"/>
      <c r="HBA161" s="537"/>
      <c r="HBB161" s="537"/>
      <c r="HBC161" s="537"/>
      <c r="HBD161" s="537"/>
      <c r="HBE161" s="537"/>
      <c r="HBF161" s="537"/>
      <c r="HBG161" s="537"/>
      <c r="HBH161" s="537"/>
      <c r="HBI161" s="537"/>
      <c r="HBJ161" s="537"/>
      <c r="HBK161" s="537"/>
      <c r="HBL161" s="537"/>
      <c r="HBM161" s="537"/>
      <c r="HBN161" s="537"/>
      <c r="HBO161" s="537"/>
      <c r="HBP161" s="537"/>
      <c r="HBQ161" s="537"/>
      <c r="HBR161" s="537"/>
      <c r="HBS161" s="537"/>
      <c r="HBT161" s="537"/>
      <c r="HBU161" s="537"/>
      <c r="HBV161" s="537"/>
      <c r="HBW161" s="537"/>
      <c r="HBX161" s="537"/>
      <c r="HBY161" s="537"/>
      <c r="HBZ161" s="537"/>
      <c r="HCA161" s="537"/>
      <c r="HCB161" s="537"/>
      <c r="HCC161" s="537"/>
      <c r="HCD161" s="537"/>
      <c r="HCE161" s="537"/>
      <c r="HCF161" s="537"/>
      <c r="HCG161" s="537"/>
      <c r="HCH161" s="537"/>
      <c r="HCI161" s="537"/>
      <c r="HCJ161" s="537"/>
      <c r="HCK161" s="537"/>
      <c r="HCL161" s="537"/>
      <c r="HCM161" s="537"/>
      <c r="HCN161" s="537"/>
      <c r="HCO161" s="537"/>
      <c r="HCP161" s="537"/>
      <c r="HCQ161" s="537"/>
      <c r="HCR161" s="537"/>
      <c r="HCS161" s="537"/>
      <c r="HCT161" s="537"/>
      <c r="HCU161" s="537"/>
      <c r="HCV161" s="537"/>
      <c r="HCW161" s="537"/>
      <c r="HCX161" s="537"/>
      <c r="HCY161" s="537"/>
      <c r="HCZ161" s="537"/>
      <c r="HDA161" s="537"/>
      <c r="HDB161" s="537"/>
      <c r="HDC161" s="537"/>
      <c r="HDD161" s="537"/>
      <c r="HDE161" s="537"/>
      <c r="HDF161" s="537"/>
      <c r="HDG161" s="537"/>
      <c r="HDH161" s="537"/>
      <c r="HDI161" s="537"/>
      <c r="HDJ161" s="537"/>
      <c r="HDK161" s="537"/>
      <c r="HDL161" s="537"/>
      <c r="HDM161" s="537"/>
      <c r="HDN161" s="537"/>
      <c r="HDO161" s="537"/>
      <c r="HDP161" s="537"/>
      <c r="HDQ161" s="537"/>
      <c r="HDR161" s="537"/>
      <c r="HDS161" s="537"/>
      <c r="HDT161" s="537"/>
      <c r="HDU161" s="537"/>
      <c r="HDV161" s="537"/>
      <c r="HDW161" s="537"/>
      <c r="HDX161" s="537"/>
      <c r="HDY161" s="537"/>
      <c r="HDZ161" s="537"/>
      <c r="HEA161" s="537"/>
      <c r="HEB161" s="537"/>
      <c r="HEC161" s="537"/>
      <c r="HED161" s="537"/>
      <c r="HEE161" s="537"/>
      <c r="HEF161" s="537"/>
      <c r="HEG161" s="537"/>
      <c r="HEH161" s="537"/>
      <c r="HEI161" s="537"/>
      <c r="HEJ161" s="537"/>
      <c r="HEK161" s="537"/>
      <c r="HEL161" s="537"/>
      <c r="HEM161" s="537"/>
      <c r="HEN161" s="537"/>
      <c r="HEO161" s="537"/>
      <c r="HEP161" s="537"/>
      <c r="HEQ161" s="537"/>
      <c r="HER161" s="537"/>
      <c r="HES161" s="537"/>
      <c r="HET161" s="537"/>
      <c r="HEU161" s="537"/>
      <c r="HEV161" s="537"/>
      <c r="HEW161" s="537"/>
      <c r="HEX161" s="537"/>
      <c r="HEY161" s="537"/>
      <c r="HEZ161" s="537"/>
      <c r="HFA161" s="537"/>
      <c r="HFB161" s="537"/>
      <c r="HFC161" s="537"/>
      <c r="HFD161" s="537"/>
      <c r="HFE161" s="537"/>
      <c r="HFF161" s="537"/>
      <c r="HFG161" s="537"/>
      <c r="HFH161" s="537"/>
      <c r="HFI161" s="537"/>
      <c r="HFJ161" s="537"/>
      <c r="HFK161" s="537"/>
      <c r="HFL161" s="537"/>
      <c r="HFM161" s="537"/>
      <c r="HFN161" s="537"/>
      <c r="HFO161" s="537"/>
      <c r="HFP161" s="537"/>
      <c r="HFQ161" s="537"/>
      <c r="HFR161" s="537"/>
      <c r="HFS161" s="537"/>
      <c r="HFT161" s="537"/>
      <c r="HFU161" s="537"/>
      <c r="HFV161" s="537"/>
      <c r="HFW161" s="537"/>
      <c r="HFX161" s="537"/>
      <c r="HFY161" s="537"/>
      <c r="HFZ161" s="537"/>
      <c r="HGA161" s="537"/>
      <c r="HGB161" s="537"/>
      <c r="HGC161" s="537"/>
      <c r="HGD161" s="537"/>
      <c r="HGE161" s="537"/>
      <c r="HGF161" s="537"/>
      <c r="HGG161" s="537"/>
      <c r="HGH161" s="537"/>
      <c r="HGI161" s="537"/>
      <c r="HGJ161" s="537"/>
      <c r="HGK161" s="537"/>
      <c r="HGL161" s="537"/>
      <c r="HGM161" s="537"/>
      <c r="HGN161" s="537"/>
      <c r="HGO161" s="537"/>
      <c r="HGP161" s="537"/>
      <c r="HGQ161" s="537"/>
      <c r="HGR161" s="537"/>
      <c r="HGS161" s="537"/>
      <c r="HGT161" s="537"/>
      <c r="HGU161" s="537"/>
      <c r="HGV161" s="537"/>
      <c r="HGW161" s="537"/>
      <c r="HGX161" s="537"/>
      <c r="HGY161" s="537"/>
      <c r="HGZ161" s="537"/>
      <c r="HHA161" s="537"/>
      <c r="HHB161" s="537"/>
      <c r="HHC161" s="537"/>
      <c r="HHD161" s="537"/>
      <c r="HHE161" s="537"/>
      <c r="HHF161" s="537"/>
      <c r="HHG161" s="537"/>
      <c r="HHH161" s="537"/>
      <c r="HHI161" s="537"/>
      <c r="HHJ161" s="537"/>
      <c r="HHK161" s="537"/>
      <c r="HHL161" s="537"/>
      <c r="HHM161" s="537"/>
      <c r="HHN161" s="537"/>
      <c r="HHO161" s="537"/>
      <c r="HHP161" s="537"/>
      <c r="HHQ161" s="537"/>
      <c r="HHR161" s="537"/>
      <c r="HHS161" s="537"/>
      <c r="HHT161" s="537"/>
      <c r="HHU161" s="537"/>
      <c r="HHV161" s="537"/>
      <c r="HHW161" s="537"/>
      <c r="HHX161" s="537"/>
      <c r="HHY161" s="537"/>
      <c r="HHZ161" s="537"/>
      <c r="HIA161" s="537"/>
      <c r="HIB161" s="537"/>
      <c r="HIC161" s="537"/>
      <c r="HID161" s="537"/>
      <c r="HIE161" s="537"/>
      <c r="HIF161" s="537"/>
      <c r="HIG161" s="537"/>
      <c r="HIH161" s="537"/>
      <c r="HII161" s="537"/>
      <c r="HIJ161" s="537"/>
      <c r="HIK161" s="537"/>
      <c r="HIL161" s="537"/>
      <c r="HIM161" s="537"/>
      <c r="HIN161" s="537"/>
      <c r="HIO161" s="537"/>
      <c r="HIP161" s="537"/>
      <c r="HIQ161" s="537"/>
      <c r="HIR161" s="537"/>
      <c r="HIS161" s="537"/>
      <c r="HIT161" s="537"/>
      <c r="HIU161" s="537"/>
      <c r="HIV161" s="537"/>
      <c r="HIW161" s="537"/>
      <c r="HIX161" s="537"/>
      <c r="HIY161" s="537"/>
      <c r="HIZ161" s="537"/>
      <c r="HJA161" s="537"/>
      <c r="HJB161" s="537"/>
      <c r="HJC161" s="537"/>
      <c r="HJD161" s="537"/>
      <c r="HJE161" s="537"/>
      <c r="HJF161" s="537"/>
      <c r="HJG161" s="537"/>
      <c r="HJH161" s="537"/>
      <c r="HJI161" s="537"/>
      <c r="HJJ161" s="537"/>
      <c r="HJK161" s="537"/>
      <c r="HJL161" s="537"/>
      <c r="HJM161" s="537"/>
      <c r="HJN161" s="537"/>
      <c r="HJO161" s="537"/>
      <c r="HJP161" s="537"/>
      <c r="HJQ161" s="537"/>
      <c r="HJR161" s="537"/>
      <c r="HJS161" s="537"/>
      <c r="HJT161" s="537"/>
      <c r="HJU161" s="537"/>
      <c r="HJV161" s="537"/>
      <c r="HJW161" s="537"/>
      <c r="HJX161" s="537"/>
      <c r="HJY161" s="537"/>
      <c r="HJZ161" s="537"/>
      <c r="HKA161" s="537"/>
      <c r="HKB161" s="537"/>
      <c r="HKC161" s="537"/>
      <c r="HKD161" s="537"/>
      <c r="HKE161" s="537"/>
      <c r="HKF161" s="537"/>
      <c r="HKG161" s="537"/>
      <c r="HKH161" s="537"/>
      <c r="HKI161" s="537"/>
      <c r="HKJ161" s="537"/>
      <c r="HKK161" s="537"/>
      <c r="HKL161" s="537"/>
      <c r="HKM161" s="537"/>
      <c r="HKN161" s="537"/>
      <c r="HKO161" s="537"/>
      <c r="HKP161" s="537"/>
      <c r="HKQ161" s="537"/>
      <c r="HKR161" s="537"/>
      <c r="HKS161" s="537"/>
      <c r="HKT161" s="537"/>
      <c r="HKU161" s="537"/>
      <c r="HKV161" s="537"/>
      <c r="HKW161" s="537"/>
      <c r="HKX161" s="537"/>
      <c r="HKY161" s="537"/>
      <c r="HKZ161" s="537"/>
      <c r="HLA161" s="537"/>
      <c r="HLB161" s="537"/>
      <c r="HLC161" s="537"/>
      <c r="HLD161" s="537"/>
      <c r="HLE161" s="537"/>
      <c r="HLF161" s="537"/>
      <c r="HLG161" s="537"/>
      <c r="HLH161" s="537"/>
      <c r="HLI161" s="537"/>
      <c r="HLJ161" s="537"/>
      <c r="HLK161" s="537"/>
      <c r="HLL161" s="537"/>
      <c r="HLM161" s="537"/>
      <c r="HLN161" s="537"/>
      <c r="HLO161" s="537"/>
      <c r="HLP161" s="537"/>
      <c r="HLQ161" s="537"/>
      <c r="HLR161" s="537"/>
      <c r="HLS161" s="537"/>
      <c r="HLT161" s="537"/>
      <c r="HLU161" s="537"/>
      <c r="HLV161" s="537"/>
      <c r="HLW161" s="537"/>
      <c r="HLX161" s="537"/>
      <c r="HLY161" s="537"/>
      <c r="HLZ161" s="537"/>
      <c r="HMA161" s="537"/>
      <c r="HMB161" s="537"/>
      <c r="HMC161" s="537"/>
      <c r="HMD161" s="537"/>
      <c r="HME161" s="537"/>
      <c r="HMF161" s="537"/>
      <c r="HMG161" s="537"/>
      <c r="HMH161" s="537"/>
      <c r="HMI161" s="537"/>
      <c r="HMJ161" s="537"/>
      <c r="HMK161" s="537"/>
      <c r="HML161" s="537"/>
      <c r="HMM161" s="537"/>
      <c r="HMN161" s="537"/>
      <c r="HMO161" s="537"/>
      <c r="HMP161" s="537"/>
      <c r="HMQ161" s="537"/>
      <c r="HMR161" s="537"/>
      <c r="HMS161" s="537"/>
      <c r="HMT161" s="537"/>
      <c r="HMU161" s="537"/>
      <c r="HMV161" s="537"/>
      <c r="HMW161" s="537"/>
      <c r="HMX161" s="537"/>
      <c r="HMY161" s="537"/>
      <c r="HMZ161" s="537"/>
      <c r="HNA161" s="537"/>
      <c r="HNB161" s="537"/>
      <c r="HNC161" s="537"/>
      <c r="HND161" s="537"/>
      <c r="HNE161" s="537"/>
      <c r="HNF161" s="537"/>
      <c r="HNG161" s="537"/>
      <c r="HNH161" s="537"/>
      <c r="HNI161" s="537"/>
      <c r="HNJ161" s="537"/>
      <c r="HNK161" s="537"/>
      <c r="HNL161" s="537"/>
      <c r="HNM161" s="537"/>
      <c r="HNN161" s="537"/>
      <c r="HNO161" s="537"/>
      <c r="HNP161" s="537"/>
      <c r="HNQ161" s="537"/>
      <c r="HNR161" s="537"/>
      <c r="HNS161" s="537"/>
      <c r="HNT161" s="537"/>
      <c r="HNU161" s="537"/>
      <c r="HNV161" s="537"/>
      <c r="HNW161" s="537"/>
      <c r="HNX161" s="537"/>
      <c r="HNY161" s="537"/>
      <c r="HNZ161" s="537"/>
      <c r="HOA161" s="537"/>
      <c r="HOB161" s="537"/>
      <c r="HOC161" s="537"/>
      <c r="HOD161" s="537"/>
      <c r="HOE161" s="537"/>
      <c r="HOF161" s="537"/>
      <c r="HOG161" s="537"/>
      <c r="HOH161" s="537"/>
      <c r="HOI161" s="537"/>
      <c r="HOJ161" s="537"/>
      <c r="HOK161" s="537"/>
      <c r="HOL161" s="537"/>
      <c r="HOM161" s="537"/>
      <c r="HON161" s="537"/>
      <c r="HOO161" s="537"/>
      <c r="HOP161" s="537"/>
      <c r="HOQ161" s="537"/>
      <c r="HOR161" s="537"/>
      <c r="HOS161" s="537"/>
      <c r="HOT161" s="537"/>
      <c r="HOU161" s="537"/>
      <c r="HOV161" s="537"/>
      <c r="HOW161" s="537"/>
      <c r="HOX161" s="537"/>
      <c r="HOY161" s="537"/>
      <c r="HOZ161" s="537"/>
      <c r="HPA161" s="537"/>
      <c r="HPB161" s="537"/>
      <c r="HPC161" s="537"/>
      <c r="HPD161" s="537"/>
      <c r="HPE161" s="537"/>
      <c r="HPF161" s="537"/>
      <c r="HPG161" s="537"/>
      <c r="HPH161" s="537"/>
      <c r="HPI161" s="537"/>
      <c r="HPJ161" s="537"/>
      <c r="HPK161" s="537"/>
      <c r="HPL161" s="537"/>
      <c r="HPM161" s="537"/>
      <c r="HPN161" s="537"/>
      <c r="HPO161" s="537"/>
      <c r="HPP161" s="537"/>
      <c r="HPQ161" s="537"/>
      <c r="HPR161" s="537"/>
      <c r="HPS161" s="537"/>
      <c r="HPT161" s="537"/>
      <c r="HPU161" s="537"/>
      <c r="HPV161" s="537"/>
      <c r="HPW161" s="537"/>
      <c r="HPX161" s="537"/>
      <c r="HPY161" s="537"/>
      <c r="HPZ161" s="537"/>
      <c r="HQA161" s="537"/>
      <c r="HQB161" s="537"/>
      <c r="HQC161" s="537"/>
      <c r="HQD161" s="537"/>
      <c r="HQE161" s="537"/>
      <c r="HQF161" s="537"/>
      <c r="HQG161" s="537"/>
      <c r="HQH161" s="537"/>
      <c r="HQI161" s="537"/>
      <c r="HQJ161" s="537"/>
      <c r="HQK161" s="537"/>
      <c r="HQL161" s="537"/>
      <c r="HQM161" s="537"/>
      <c r="HQN161" s="537"/>
      <c r="HQO161" s="537"/>
      <c r="HQP161" s="537"/>
      <c r="HQQ161" s="537"/>
      <c r="HQR161" s="537"/>
      <c r="HQS161" s="537"/>
      <c r="HQT161" s="537"/>
      <c r="HQU161" s="537"/>
      <c r="HQV161" s="537"/>
      <c r="HQW161" s="537"/>
      <c r="HQX161" s="537"/>
      <c r="HQY161" s="537"/>
      <c r="HQZ161" s="537"/>
      <c r="HRA161" s="537"/>
      <c r="HRB161" s="537"/>
      <c r="HRC161" s="537"/>
      <c r="HRD161" s="537"/>
      <c r="HRE161" s="537"/>
      <c r="HRF161" s="537"/>
      <c r="HRG161" s="537"/>
      <c r="HRH161" s="537"/>
      <c r="HRI161" s="537"/>
      <c r="HRJ161" s="537"/>
      <c r="HRK161" s="537"/>
      <c r="HRL161" s="537"/>
      <c r="HRM161" s="537"/>
      <c r="HRN161" s="537"/>
      <c r="HRO161" s="537"/>
      <c r="HRP161" s="537"/>
      <c r="HRQ161" s="537"/>
      <c r="HRR161" s="537"/>
      <c r="HRS161" s="537"/>
      <c r="HRT161" s="537"/>
      <c r="HRU161" s="537"/>
      <c r="HRV161" s="537"/>
      <c r="HRW161" s="537"/>
      <c r="HRX161" s="537"/>
      <c r="HRY161" s="537"/>
      <c r="HRZ161" s="537"/>
      <c r="HSA161" s="537"/>
      <c r="HSB161" s="537"/>
      <c r="HSC161" s="537"/>
      <c r="HSD161" s="537"/>
      <c r="HSE161" s="537"/>
      <c r="HSF161" s="537"/>
      <c r="HSG161" s="537"/>
      <c r="HSH161" s="537"/>
      <c r="HSI161" s="537"/>
      <c r="HSJ161" s="537"/>
      <c r="HSK161" s="537"/>
      <c r="HSL161" s="537"/>
      <c r="HSM161" s="537"/>
      <c r="HSN161" s="537"/>
      <c r="HSO161" s="537"/>
      <c r="HSP161" s="537"/>
      <c r="HSQ161" s="537"/>
      <c r="HSR161" s="537"/>
      <c r="HSS161" s="537"/>
      <c r="HST161" s="537"/>
      <c r="HSU161" s="537"/>
      <c r="HSV161" s="537"/>
      <c r="HSW161" s="537"/>
      <c r="HSX161" s="537"/>
      <c r="HSY161" s="537"/>
      <c r="HSZ161" s="537"/>
      <c r="HTA161" s="537"/>
      <c r="HTB161" s="537"/>
      <c r="HTC161" s="537"/>
      <c r="HTD161" s="537"/>
      <c r="HTE161" s="537"/>
      <c r="HTF161" s="537"/>
      <c r="HTG161" s="537"/>
      <c r="HTH161" s="537"/>
      <c r="HTI161" s="537"/>
      <c r="HTJ161" s="537"/>
      <c r="HTK161" s="537"/>
      <c r="HTL161" s="537"/>
      <c r="HTM161" s="537"/>
      <c r="HTN161" s="537"/>
      <c r="HTO161" s="537"/>
      <c r="HTP161" s="537"/>
      <c r="HTQ161" s="537"/>
      <c r="HTR161" s="537"/>
      <c r="HTS161" s="537"/>
      <c r="HTT161" s="537"/>
      <c r="HTU161" s="537"/>
      <c r="HTV161" s="537"/>
      <c r="HTW161" s="537"/>
      <c r="HTX161" s="537"/>
      <c r="HTY161" s="537"/>
      <c r="HTZ161" s="537"/>
      <c r="HUA161" s="537"/>
      <c r="HUB161" s="537"/>
      <c r="HUC161" s="537"/>
      <c r="HUD161" s="537"/>
      <c r="HUE161" s="537"/>
      <c r="HUF161" s="537"/>
      <c r="HUG161" s="537"/>
      <c r="HUH161" s="537"/>
      <c r="HUI161" s="537"/>
      <c r="HUJ161" s="537"/>
      <c r="HUK161" s="537"/>
      <c r="HUL161" s="537"/>
      <c r="HUM161" s="537"/>
      <c r="HUN161" s="537"/>
      <c r="HUO161" s="537"/>
      <c r="HUP161" s="537"/>
      <c r="HUQ161" s="537"/>
      <c r="HUR161" s="537"/>
      <c r="HUS161" s="537"/>
      <c r="HUT161" s="537"/>
      <c r="HUU161" s="537"/>
      <c r="HUV161" s="537"/>
      <c r="HUW161" s="537"/>
      <c r="HUX161" s="537"/>
      <c r="HUY161" s="537"/>
      <c r="HUZ161" s="537"/>
      <c r="HVA161" s="537"/>
      <c r="HVB161" s="537"/>
      <c r="HVC161" s="537"/>
      <c r="HVD161" s="537"/>
      <c r="HVE161" s="537"/>
      <c r="HVF161" s="537"/>
      <c r="HVG161" s="537"/>
      <c r="HVH161" s="537"/>
      <c r="HVI161" s="537"/>
      <c r="HVJ161" s="537"/>
      <c r="HVK161" s="537"/>
      <c r="HVL161" s="537"/>
      <c r="HVM161" s="537"/>
      <c r="HVN161" s="537"/>
      <c r="HVO161" s="537"/>
      <c r="HVP161" s="537"/>
      <c r="HVQ161" s="537"/>
      <c r="HVR161" s="537"/>
      <c r="HVS161" s="537"/>
      <c r="HVT161" s="537"/>
      <c r="HVU161" s="537"/>
      <c r="HVV161" s="537"/>
      <c r="HVW161" s="537"/>
      <c r="HVX161" s="537"/>
      <c r="HVY161" s="537"/>
      <c r="HVZ161" s="537"/>
      <c r="HWA161" s="537"/>
      <c r="HWB161" s="537"/>
      <c r="HWC161" s="537"/>
      <c r="HWD161" s="537"/>
      <c r="HWE161" s="537"/>
      <c r="HWF161" s="537"/>
      <c r="HWG161" s="537"/>
      <c r="HWH161" s="537"/>
      <c r="HWI161" s="537"/>
      <c r="HWJ161" s="537"/>
      <c r="HWK161" s="537"/>
      <c r="HWL161" s="537"/>
      <c r="HWM161" s="537"/>
      <c r="HWN161" s="537"/>
      <c r="HWO161" s="537"/>
      <c r="HWP161" s="537"/>
      <c r="HWQ161" s="537"/>
      <c r="HWR161" s="537"/>
      <c r="HWS161" s="537"/>
      <c r="HWT161" s="537"/>
      <c r="HWU161" s="537"/>
      <c r="HWV161" s="537"/>
      <c r="HWW161" s="537"/>
      <c r="HWX161" s="537"/>
      <c r="HWY161" s="537"/>
      <c r="HWZ161" s="537"/>
      <c r="HXA161" s="537"/>
      <c r="HXB161" s="537"/>
      <c r="HXC161" s="537"/>
      <c r="HXD161" s="537"/>
      <c r="HXE161" s="537"/>
      <c r="HXF161" s="537"/>
      <c r="HXG161" s="537"/>
      <c r="HXH161" s="537"/>
      <c r="HXI161" s="537"/>
      <c r="HXJ161" s="537"/>
      <c r="HXK161" s="537"/>
      <c r="HXL161" s="537"/>
      <c r="HXM161" s="537"/>
      <c r="HXN161" s="537"/>
      <c r="HXO161" s="537"/>
      <c r="HXP161" s="537"/>
      <c r="HXQ161" s="537"/>
      <c r="HXR161" s="537"/>
      <c r="HXS161" s="537"/>
      <c r="HXT161" s="537"/>
      <c r="HXU161" s="537"/>
      <c r="HXV161" s="537"/>
      <c r="HXW161" s="537"/>
      <c r="HXX161" s="537"/>
      <c r="HXY161" s="537"/>
      <c r="HXZ161" s="537"/>
      <c r="HYA161" s="537"/>
      <c r="HYB161" s="537"/>
      <c r="HYC161" s="537"/>
      <c r="HYD161" s="537"/>
      <c r="HYE161" s="537"/>
      <c r="HYF161" s="537"/>
      <c r="HYG161" s="537"/>
      <c r="HYH161" s="537"/>
      <c r="HYI161" s="537"/>
      <c r="HYJ161" s="537"/>
      <c r="HYK161" s="537"/>
      <c r="HYL161" s="537"/>
      <c r="HYM161" s="537"/>
      <c r="HYN161" s="537"/>
      <c r="HYO161" s="537"/>
      <c r="HYP161" s="537"/>
      <c r="HYQ161" s="537"/>
      <c r="HYR161" s="537"/>
      <c r="HYS161" s="537"/>
      <c r="HYT161" s="537"/>
      <c r="HYU161" s="537"/>
      <c r="HYV161" s="537"/>
      <c r="HYW161" s="537"/>
      <c r="HYX161" s="537"/>
      <c r="HYY161" s="537"/>
      <c r="HYZ161" s="537"/>
      <c r="HZA161" s="537"/>
      <c r="HZB161" s="537"/>
      <c r="HZC161" s="537"/>
      <c r="HZD161" s="537"/>
      <c r="HZE161" s="537"/>
      <c r="HZF161" s="537"/>
      <c r="HZG161" s="537"/>
      <c r="HZH161" s="537"/>
      <c r="HZI161" s="537"/>
      <c r="HZJ161" s="537"/>
      <c r="HZK161" s="537"/>
      <c r="HZL161" s="537"/>
      <c r="HZM161" s="537"/>
      <c r="HZN161" s="537"/>
      <c r="HZO161" s="537"/>
      <c r="HZP161" s="537"/>
      <c r="HZQ161" s="537"/>
      <c r="HZR161" s="537"/>
      <c r="HZS161" s="537"/>
      <c r="HZT161" s="537"/>
      <c r="HZU161" s="537"/>
      <c r="HZV161" s="537"/>
      <c r="HZW161" s="537"/>
      <c r="HZX161" s="537"/>
      <c r="HZY161" s="537"/>
      <c r="HZZ161" s="537"/>
      <c r="IAA161" s="537"/>
      <c r="IAB161" s="537"/>
      <c r="IAC161" s="537"/>
      <c r="IAD161" s="537"/>
      <c r="IAE161" s="537"/>
      <c r="IAF161" s="537"/>
      <c r="IAG161" s="537"/>
      <c r="IAH161" s="537"/>
      <c r="IAI161" s="537"/>
      <c r="IAJ161" s="537"/>
      <c r="IAK161" s="537"/>
      <c r="IAL161" s="537"/>
      <c r="IAM161" s="537"/>
      <c r="IAN161" s="537"/>
      <c r="IAO161" s="537"/>
      <c r="IAP161" s="537"/>
      <c r="IAQ161" s="537"/>
      <c r="IAR161" s="537"/>
      <c r="IAS161" s="537"/>
      <c r="IAT161" s="537"/>
      <c r="IAU161" s="537"/>
      <c r="IAV161" s="537"/>
      <c r="IAW161" s="537"/>
      <c r="IAX161" s="537"/>
      <c r="IAY161" s="537"/>
      <c r="IAZ161" s="537"/>
      <c r="IBA161" s="537"/>
      <c r="IBB161" s="537"/>
      <c r="IBC161" s="537"/>
      <c r="IBD161" s="537"/>
      <c r="IBE161" s="537"/>
      <c r="IBF161" s="537"/>
      <c r="IBG161" s="537"/>
      <c r="IBH161" s="537"/>
      <c r="IBI161" s="537"/>
      <c r="IBJ161" s="537"/>
      <c r="IBK161" s="537"/>
      <c r="IBL161" s="537"/>
      <c r="IBM161" s="537"/>
      <c r="IBN161" s="537"/>
      <c r="IBO161" s="537"/>
      <c r="IBP161" s="537"/>
      <c r="IBQ161" s="537"/>
      <c r="IBR161" s="537"/>
      <c r="IBS161" s="537"/>
      <c r="IBT161" s="537"/>
      <c r="IBU161" s="537"/>
      <c r="IBV161" s="537"/>
      <c r="IBW161" s="537"/>
      <c r="IBX161" s="537"/>
      <c r="IBY161" s="537"/>
      <c r="IBZ161" s="537"/>
      <c r="ICA161" s="537"/>
      <c r="ICB161" s="537"/>
      <c r="ICC161" s="537"/>
      <c r="ICD161" s="537"/>
      <c r="ICE161" s="537"/>
      <c r="ICF161" s="537"/>
      <c r="ICG161" s="537"/>
      <c r="ICH161" s="537"/>
      <c r="ICI161" s="537"/>
      <c r="ICJ161" s="537"/>
      <c r="ICK161" s="537"/>
      <c r="ICL161" s="537"/>
      <c r="ICM161" s="537"/>
      <c r="ICN161" s="537"/>
      <c r="ICO161" s="537"/>
      <c r="ICP161" s="537"/>
      <c r="ICQ161" s="537"/>
      <c r="ICR161" s="537"/>
      <c r="ICS161" s="537"/>
      <c r="ICT161" s="537"/>
      <c r="ICU161" s="537"/>
      <c r="ICV161" s="537"/>
      <c r="ICW161" s="537"/>
      <c r="ICX161" s="537"/>
      <c r="ICY161" s="537"/>
      <c r="ICZ161" s="537"/>
      <c r="IDA161" s="537"/>
      <c r="IDB161" s="537"/>
      <c r="IDC161" s="537"/>
      <c r="IDD161" s="537"/>
      <c r="IDE161" s="537"/>
      <c r="IDF161" s="537"/>
      <c r="IDG161" s="537"/>
      <c r="IDH161" s="537"/>
      <c r="IDI161" s="537"/>
      <c r="IDJ161" s="537"/>
      <c r="IDK161" s="537"/>
      <c r="IDL161" s="537"/>
      <c r="IDM161" s="537"/>
      <c r="IDN161" s="537"/>
      <c r="IDO161" s="537"/>
      <c r="IDP161" s="537"/>
      <c r="IDQ161" s="537"/>
      <c r="IDR161" s="537"/>
      <c r="IDS161" s="537"/>
      <c r="IDT161" s="537"/>
      <c r="IDU161" s="537"/>
      <c r="IDV161" s="537"/>
      <c r="IDW161" s="537"/>
      <c r="IDX161" s="537"/>
      <c r="IDY161" s="537"/>
      <c r="IDZ161" s="537"/>
      <c r="IEA161" s="537"/>
      <c r="IEB161" s="537"/>
      <c r="IEC161" s="537"/>
      <c r="IED161" s="537"/>
      <c r="IEE161" s="537"/>
      <c r="IEF161" s="537"/>
      <c r="IEG161" s="537"/>
      <c r="IEH161" s="537"/>
      <c r="IEI161" s="537"/>
      <c r="IEJ161" s="537"/>
      <c r="IEK161" s="537"/>
      <c r="IEL161" s="537"/>
      <c r="IEM161" s="537"/>
      <c r="IEN161" s="537"/>
      <c r="IEO161" s="537"/>
      <c r="IEP161" s="537"/>
      <c r="IEQ161" s="537"/>
      <c r="IER161" s="537"/>
      <c r="IES161" s="537"/>
      <c r="IET161" s="537"/>
      <c r="IEU161" s="537"/>
      <c r="IEV161" s="537"/>
      <c r="IEW161" s="537"/>
      <c r="IEX161" s="537"/>
      <c r="IEY161" s="537"/>
      <c r="IEZ161" s="537"/>
      <c r="IFA161" s="537"/>
      <c r="IFB161" s="537"/>
      <c r="IFC161" s="537"/>
      <c r="IFD161" s="537"/>
      <c r="IFE161" s="537"/>
      <c r="IFF161" s="537"/>
      <c r="IFG161" s="537"/>
      <c r="IFH161" s="537"/>
      <c r="IFI161" s="537"/>
      <c r="IFJ161" s="537"/>
      <c r="IFK161" s="537"/>
      <c r="IFL161" s="537"/>
      <c r="IFM161" s="537"/>
      <c r="IFN161" s="537"/>
      <c r="IFO161" s="537"/>
      <c r="IFP161" s="537"/>
      <c r="IFQ161" s="537"/>
      <c r="IFR161" s="537"/>
      <c r="IFS161" s="537"/>
      <c r="IFT161" s="537"/>
      <c r="IFU161" s="537"/>
      <c r="IFV161" s="537"/>
      <c r="IFW161" s="537"/>
      <c r="IFX161" s="537"/>
      <c r="IFY161" s="537"/>
      <c r="IFZ161" s="537"/>
      <c r="IGA161" s="537"/>
      <c r="IGB161" s="537"/>
      <c r="IGC161" s="537"/>
      <c r="IGD161" s="537"/>
      <c r="IGE161" s="537"/>
      <c r="IGF161" s="537"/>
      <c r="IGG161" s="537"/>
      <c r="IGH161" s="537"/>
      <c r="IGI161" s="537"/>
      <c r="IGJ161" s="537"/>
      <c r="IGK161" s="537"/>
      <c r="IGL161" s="537"/>
      <c r="IGM161" s="537"/>
      <c r="IGN161" s="537"/>
      <c r="IGO161" s="537"/>
      <c r="IGP161" s="537"/>
      <c r="IGQ161" s="537"/>
      <c r="IGR161" s="537"/>
      <c r="IGS161" s="537"/>
      <c r="IGT161" s="537"/>
      <c r="IGU161" s="537"/>
      <c r="IGV161" s="537"/>
      <c r="IGW161" s="537"/>
      <c r="IGX161" s="537"/>
      <c r="IGY161" s="537"/>
      <c r="IGZ161" s="537"/>
      <c r="IHA161" s="537"/>
      <c r="IHB161" s="537"/>
      <c r="IHC161" s="537"/>
      <c r="IHD161" s="537"/>
      <c r="IHE161" s="537"/>
      <c r="IHF161" s="537"/>
      <c r="IHG161" s="537"/>
      <c r="IHH161" s="537"/>
      <c r="IHI161" s="537"/>
      <c r="IHJ161" s="537"/>
      <c r="IHK161" s="537"/>
      <c r="IHL161" s="537"/>
      <c r="IHM161" s="537"/>
      <c r="IHN161" s="537"/>
      <c r="IHO161" s="537"/>
      <c r="IHP161" s="537"/>
      <c r="IHQ161" s="537"/>
      <c r="IHR161" s="537"/>
      <c r="IHS161" s="537"/>
      <c r="IHT161" s="537"/>
      <c r="IHU161" s="537"/>
      <c r="IHV161" s="537"/>
      <c r="IHW161" s="537"/>
      <c r="IHX161" s="537"/>
      <c r="IHY161" s="537"/>
      <c r="IHZ161" s="537"/>
      <c r="IIA161" s="537"/>
      <c r="IIB161" s="537"/>
      <c r="IIC161" s="537"/>
      <c r="IID161" s="537"/>
      <c r="IIE161" s="537"/>
      <c r="IIF161" s="537"/>
      <c r="IIG161" s="537"/>
      <c r="IIH161" s="537"/>
      <c r="III161" s="537"/>
      <c r="IIJ161" s="537"/>
      <c r="IIK161" s="537"/>
      <c r="IIL161" s="537"/>
      <c r="IIM161" s="537"/>
      <c r="IIN161" s="537"/>
      <c r="IIO161" s="537"/>
      <c r="IIP161" s="537"/>
      <c r="IIQ161" s="537"/>
      <c r="IIR161" s="537"/>
      <c r="IIS161" s="537"/>
      <c r="IIT161" s="537"/>
      <c r="IIU161" s="537"/>
      <c r="IIV161" s="537"/>
      <c r="IIW161" s="537"/>
      <c r="IIX161" s="537"/>
      <c r="IIY161" s="537"/>
      <c r="IIZ161" s="537"/>
      <c r="IJA161" s="537"/>
      <c r="IJB161" s="537"/>
      <c r="IJC161" s="537"/>
      <c r="IJD161" s="537"/>
      <c r="IJE161" s="537"/>
      <c r="IJF161" s="537"/>
      <c r="IJG161" s="537"/>
      <c r="IJH161" s="537"/>
      <c r="IJI161" s="537"/>
      <c r="IJJ161" s="537"/>
      <c r="IJK161" s="537"/>
      <c r="IJL161" s="537"/>
      <c r="IJM161" s="537"/>
      <c r="IJN161" s="537"/>
      <c r="IJO161" s="537"/>
      <c r="IJP161" s="537"/>
      <c r="IJQ161" s="537"/>
      <c r="IJR161" s="537"/>
      <c r="IJS161" s="537"/>
      <c r="IJT161" s="537"/>
      <c r="IJU161" s="537"/>
      <c r="IJV161" s="537"/>
      <c r="IJW161" s="537"/>
      <c r="IJX161" s="537"/>
      <c r="IJY161" s="537"/>
      <c r="IJZ161" s="537"/>
      <c r="IKA161" s="537"/>
      <c r="IKB161" s="537"/>
      <c r="IKC161" s="537"/>
      <c r="IKD161" s="537"/>
      <c r="IKE161" s="537"/>
      <c r="IKF161" s="537"/>
      <c r="IKG161" s="537"/>
      <c r="IKH161" s="537"/>
      <c r="IKI161" s="537"/>
      <c r="IKJ161" s="537"/>
      <c r="IKK161" s="537"/>
      <c r="IKL161" s="537"/>
      <c r="IKM161" s="537"/>
      <c r="IKN161" s="537"/>
      <c r="IKO161" s="537"/>
      <c r="IKP161" s="537"/>
      <c r="IKQ161" s="537"/>
      <c r="IKR161" s="537"/>
      <c r="IKS161" s="537"/>
      <c r="IKT161" s="537"/>
      <c r="IKU161" s="537"/>
      <c r="IKV161" s="537"/>
      <c r="IKW161" s="537"/>
      <c r="IKX161" s="537"/>
      <c r="IKY161" s="537"/>
      <c r="IKZ161" s="537"/>
      <c r="ILA161" s="537"/>
      <c r="ILB161" s="537"/>
      <c r="ILC161" s="537"/>
      <c r="ILD161" s="537"/>
      <c r="ILE161" s="537"/>
      <c r="ILF161" s="537"/>
      <c r="ILG161" s="537"/>
      <c r="ILH161" s="537"/>
      <c r="ILI161" s="537"/>
      <c r="ILJ161" s="537"/>
      <c r="ILK161" s="537"/>
      <c r="ILL161" s="537"/>
      <c r="ILM161" s="537"/>
      <c r="ILN161" s="537"/>
      <c r="ILO161" s="537"/>
      <c r="ILP161" s="537"/>
      <c r="ILQ161" s="537"/>
      <c r="ILR161" s="537"/>
      <c r="ILS161" s="537"/>
      <c r="ILT161" s="537"/>
      <c r="ILU161" s="537"/>
      <c r="ILV161" s="537"/>
      <c r="ILW161" s="537"/>
      <c r="ILX161" s="537"/>
      <c r="ILY161" s="537"/>
      <c r="ILZ161" s="537"/>
      <c r="IMA161" s="537"/>
      <c r="IMB161" s="537"/>
      <c r="IMC161" s="537"/>
      <c r="IMD161" s="537"/>
      <c r="IME161" s="537"/>
      <c r="IMF161" s="537"/>
      <c r="IMG161" s="537"/>
      <c r="IMH161" s="537"/>
      <c r="IMI161" s="537"/>
      <c r="IMJ161" s="537"/>
      <c r="IMK161" s="537"/>
      <c r="IML161" s="537"/>
      <c r="IMM161" s="537"/>
      <c r="IMN161" s="537"/>
      <c r="IMO161" s="537"/>
      <c r="IMP161" s="537"/>
      <c r="IMQ161" s="537"/>
      <c r="IMR161" s="537"/>
      <c r="IMS161" s="537"/>
      <c r="IMT161" s="537"/>
      <c r="IMU161" s="537"/>
      <c r="IMV161" s="537"/>
      <c r="IMW161" s="537"/>
      <c r="IMX161" s="537"/>
      <c r="IMY161" s="537"/>
      <c r="IMZ161" s="537"/>
      <c r="INA161" s="537"/>
      <c r="INB161" s="537"/>
      <c r="INC161" s="537"/>
      <c r="IND161" s="537"/>
      <c r="INE161" s="537"/>
      <c r="INF161" s="537"/>
      <c r="ING161" s="537"/>
      <c r="INH161" s="537"/>
      <c r="INI161" s="537"/>
      <c r="INJ161" s="537"/>
      <c r="INK161" s="537"/>
      <c r="INL161" s="537"/>
      <c r="INM161" s="537"/>
      <c r="INN161" s="537"/>
      <c r="INO161" s="537"/>
      <c r="INP161" s="537"/>
      <c r="INQ161" s="537"/>
      <c r="INR161" s="537"/>
      <c r="INS161" s="537"/>
      <c r="INT161" s="537"/>
      <c r="INU161" s="537"/>
      <c r="INV161" s="537"/>
      <c r="INW161" s="537"/>
      <c r="INX161" s="537"/>
      <c r="INY161" s="537"/>
      <c r="INZ161" s="537"/>
      <c r="IOA161" s="537"/>
      <c r="IOB161" s="537"/>
      <c r="IOC161" s="537"/>
      <c r="IOD161" s="537"/>
      <c r="IOE161" s="537"/>
      <c r="IOF161" s="537"/>
      <c r="IOG161" s="537"/>
      <c r="IOH161" s="537"/>
      <c r="IOI161" s="537"/>
      <c r="IOJ161" s="537"/>
      <c r="IOK161" s="537"/>
      <c r="IOL161" s="537"/>
      <c r="IOM161" s="537"/>
      <c r="ION161" s="537"/>
      <c r="IOO161" s="537"/>
      <c r="IOP161" s="537"/>
      <c r="IOQ161" s="537"/>
      <c r="IOR161" s="537"/>
      <c r="IOS161" s="537"/>
      <c r="IOT161" s="537"/>
      <c r="IOU161" s="537"/>
      <c r="IOV161" s="537"/>
      <c r="IOW161" s="537"/>
      <c r="IOX161" s="537"/>
      <c r="IOY161" s="537"/>
      <c r="IOZ161" s="537"/>
      <c r="IPA161" s="537"/>
      <c r="IPB161" s="537"/>
      <c r="IPC161" s="537"/>
      <c r="IPD161" s="537"/>
      <c r="IPE161" s="537"/>
      <c r="IPF161" s="537"/>
      <c r="IPG161" s="537"/>
      <c r="IPH161" s="537"/>
      <c r="IPI161" s="537"/>
      <c r="IPJ161" s="537"/>
      <c r="IPK161" s="537"/>
      <c r="IPL161" s="537"/>
      <c r="IPM161" s="537"/>
      <c r="IPN161" s="537"/>
      <c r="IPO161" s="537"/>
      <c r="IPP161" s="537"/>
      <c r="IPQ161" s="537"/>
      <c r="IPR161" s="537"/>
      <c r="IPS161" s="537"/>
      <c r="IPT161" s="537"/>
      <c r="IPU161" s="537"/>
      <c r="IPV161" s="537"/>
      <c r="IPW161" s="537"/>
      <c r="IPX161" s="537"/>
      <c r="IPY161" s="537"/>
      <c r="IPZ161" s="537"/>
      <c r="IQA161" s="537"/>
      <c r="IQB161" s="537"/>
      <c r="IQC161" s="537"/>
      <c r="IQD161" s="537"/>
      <c r="IQE161" s="537"/>
      <c r="IQF161" s="537"/>
      <c r="IQG161" s="537"/>
      <c r="IQH161" s="537"/>
      <c r="IQI161" s="537"/>
      <c r="IQJ161" s="537"/>
      <c r="IQK161" s="537"/>
      <c r="IQL161" s="537"/>
      <c r="IQM161" s="537"/>
      <c r="IQN161" s="537"/>
      <c r="IQO161" s="537"/>
      <c r="IQP161" s="537"/>
      <c r="IQQ161" s="537"/>
      <c r="IQR161" s="537"/>
      <c r="IQS161" s="537"/>
      <c r="IQT161" s="537"/>
      <c r="IQU161" s="537"/>
      <c r="IQV161" s="537"/>
      <c r="IQW161" s="537"/>
      <c r="IQX161" s="537"/>
      <c r="IQY161" s="537"/>
      <c r="IQZ161" s="537"/>
      <c r="IRA161" s="537"/>
      <c r="IRB161" s="537"/>
      <c r="IRC161" s="537"/>
      <c r="IRD161" s="537"/>
      <c r="IRE161" s="537"/>
      <c r="IRF161" s="537"/>
      <c r="IRG161" s="537"/>
      <c r="IRH161" s="537"/>
      <c r="IRI161" s="537"/>
      <c r="IRJ161" s="537"/>
      <c r="IRK161" s="537"/>
      <c r="IRL161" s="537"/>
      <c r="IRM161" s="537"/>
      <c r="IRN161" s="537"/>
      <c r="IRO161" s="537"/>
      <c r="IRP161" s="537"/>
      <c r="IRQ161" s="537"/>
      <c r="IRR161" s="537"/>
      <c r="IRS161" s="537"/>
      <c r="IRT161" s="537"/>
      <c r="IRU161" s="537"/>
      <c r="IRV161" s="537"/>
      <c r="IRW161" s="537"/>
      <c r="IRX161" s="537"/>
      <c r="IRY161" s="537"/>
      <c r="IRZ161" s="537"/>
      <c r="ISA161" s="537"/>
      <c r="ISB161" s="537"/>
      <c r="ISC161" s="537"/>
      <c r="ISD161" s="537"/>
      <c r="ISE161" s="537"/>
      <c r="ISF161" s="537"/>
      <c r="ISG161" s="537"/>
      <c r="ISH161" s="537"/>
      <c r="ISI161" s="537"/>
      <c r="ISJ161" s="537"/>
      <c r="ISK161" s="537"/>
      <c r="ISL161" s="537"/>
      <c r="ISM161" s="537"/>
      <c r="ISN161" s="537"/>
      <c r="ISO161" s="537"/>
      <c r="ISP161" s="537"/>
      <c r="ISQ161" s="537"/>
      <c r="ISR161" s="537"/>
      <c r="ISS161" s="537"/>
      <c r="IST161" s="537"/>
      <c r="ISU161" s="537"/>
      <c r="ISV161" s="537"/>
      <c r="ISW161" s="537"/>
      <c r="ISX161" s="537"/>
      <c r="ISY161" s="537"/>
      <c r="ISZ161" s="537"/>
      <c r="ITA161" s="537"/>
      <c r="ITB161" s="537"/>
      <c r="ITC161" s="537"/>
      <c r="ITD161" s="537"/>
      <c r="ITE161" s="537"/>
      <c r="ITF161" s="537"/>
      <c r="ITG161" s="537"/>
      <c r="ITH161" s="537"/>
      <c r="ITI161" s="537"/>
      <c r="ITJ161" s="537"/>
      <c r="ITK161" s="537"/>
      <c r="ITL161" s="537"/>
      <c r="ITM161" s="537"/>
      <c r="ITN161" s="537"/>
      <c r="ITO161" s="537"/>
      <c r="ITP161" s="537"/>
      <c r="ITQ161" s="537"/>
      <c r="ITR161" s="537"/>
      <c r="ITS161" s="537"/>
      <c r="ITT161" s="537"/>
      <c r="ITU161" s="537"/>
      <c r="ITV161" s="537"/>
      <c r="ITW161" s="537"/>
      <c r="ITX161" s="537"/>
      <c r="ITY161" s="537"/>
      <c r="ITZ161" s="537"/>
      <c r="IUA161" s="537"/>
      <c r="IUB161" s="537"/>
      <c r="IUC161" s="537"/>
      <c r="IUD161" s="537"/>
      <c r="IUE161" s="537"/>
      <c r="IUF161" s="537"/>
      <c r="IUG161" s="537"/>
      <c r="IUH161" s="537"/>
      <c r="IUI161" s="537"/>
      <c r="IUJ161" s="537"/>
      <c r="IUK161" s="537"/>
      <c r="IUL161" s="537"/>
      <c r="IUM161" s="537"/>
      <c r="IUN161" s="537"/>
      <c r="IUO161" s="537"/>
      <c r="IUP161" s="537"/>
      <c r="IUQ161" s="537"/>
      <c r="IUR161" s="537"/>
      <c r="IUS161" s="537"/>
      <c r="IUT161" s="537"/>
      <c r="IUU161" s="537"/>
      <c r="IUV161" s="537"/>
      <c r="IUW161" s="537"/>
      <c r="IUX161" s="537"/>
      <c r="IUY161" s="537"/>
      <c r="IUZ161" s="537"/>
      <c r="IVA161" s="537"/>
      <c r="IVB161" s="537"/>
      <c r="IVC161" s="537"/>
      <c r="IVD161" s="537"/>
      <c r="IVE161" s="537"/>
      <c r="IVF161" s="537"/>
      <c r="IVG161" s="537"/>
      <c r="IVH161" s="537"/>
      <c r="IVI161" s="537"/>
      <c r="IVJ161" s="537"/>
      <c r="IVK161" s="537"/>
      <c r="IVL161" s="537"/>
      <c r="IVM161" s="537"/>
      <c r="IVN161" s="537"/>
      <c r="IVO161" s="537"/>
      <c r="IVP161" s="537"/>
      <c r="IVQ161" s="537"/>
      <c r="IVR161" s="537"/>
      <c r="IVS161" s="537"/>
      <c r="IVT161" s="537"/>
      <c r="IVU161" s="537"/>
      <c r="IVV161" s="537"/>
      <c r="IVW161" s="537"/>
      <c r="IVX161" s="537"/>
      <c r="IVY161" s="537"/>
      <c r="IVZ161" s="537"/>
      <c r="IWA161" s="537"/>
      <c r="IWB161" s="537"/>
      <c r="IWC161" s="537"/>
      <c r="IWD161" s="537"/>
      <c r="IWE161" s="537"/>
      <c r="IWF161" s="537"/>
      <c r="IWG161" s="537"/>
      <c r="IWH161" s="537"/>
      <c r="IWI161" s="537"/>
      <c r="IWJ161" s="537"/>
      <c r="IWK161" s="537"/>
      <c r="IWL161" s="537"/>
      <c r="IWM161" s="537"/>
      <c r="IWN161" s="537"/>
      <c r="IWO161" s="537"/>
      <c r="IWP161" s="537"/>
      <c r="IWQ161" s="537"/>
      <c r="IWR161" s="537"/>
      <c r="IWS161" s="537"/>
      <c r="IWT161" s="537"/>
      <c r="IWU161" s="537"/>
      <c r="IWV161" s="537"/>
      <c r="IWW161" s="537"/>
      <c r="IWX161" s="537"/>
      <c r="IWY161" s="537"/>
      <c r="IWZ161" s="537"/>
      <c r="IXA161" s="537"/>
      <c r="IXB161" s="537"/>
      <c r="IXC161" s="537"/>
      <c r="IXD161" s="537"/>
      <c r="IXE161" s="537"/>
      <c r="IXF161" s="537"/>
      <c r="IXG161" s="537"/>
      <c r="IXH161" s="537"/>
      <c r="IXI161" s="537"/>
      <c r="IXJ161" s="537"/>
      <c r="IXK161" s="537"/>
      <c r="IXL161" s="537"/>
      <c r="IXM161" s="537"/>
      <c r="IXN161" s="537"/>
      <c r="IXO161" s="537"/>
      <c r="IXP161" s="537"/>
      <c r="IXQ161" s="537"/>
      <c r="IXR161" s="537"/>
      <c r="IXS161" s="537"/>
      <c r="IXT161" s="537"/>
      <c r="IXU161" s="537"/>
      <c r="IXV161" s="537"/>
      <c r="IXW161" s="537"/>
      <c r="IXX161" s="537"/>
      <c r="IXY161" s="537"/>
      <c r="IXZ161" s="537"/>
      <c r="IYA161" s="537"/>
      <c r="IYB161" s="537"/>
      <c r="IYC161" s="537"/>
      <c r="IYD161" s="537"/>
      <c r="IYE161" s="537"/>
      <c r="IYF161" s="537"/>
      <c r="IYG161" s="537"/>
      <c r="IYH161" s="537"/>
      <c r="IYI161" s="537"/>
      <c r="IYJ161" s="537"/>
      <c r="IYK161" s="537"/>
      <c r="IYL161" s="537"/>
      <c r="IYM161" s="537"/>
      <c r="IYN161" s="537"/>
      <c r="IYO161" s="537"/>
      <c r="IYP161" s="537"/>
      <c r="IYQ161" s="537"/>
      <c r="IYR161" s="537"/>
      <c r="IYS161" s="537"/>
      <c r="IYT161" s="537"/>
      <c r="IYU161" s="537"/>
      <c r="IYV161" s="537"/>
      <c r="IYW161" s="537"/>
      <c r="IYX161" s="537"/>
      <c r="IYY161" s="537"/>
      <c r="IYZ161" s="537"/>
      <c r="IZA161" s="537"/>
      <c r="IZB161" s="537"/>
      <c r="IZC161" s="537"/>
      <c r="IZD161" s="537"/>
      <c r="IZE161" s="537"/>
      <c r="IZF161" s="537"/>
      <c r="IZG161" s="537"/>
      <c r="IZH161" s="537"/>
      <c r="IZI161" s="537"/>
      <c r="IZJ161" s="537"/>
      <c r="IZK161" s="537"/>
      <c r="IZL161" s="537"/>
      <c r="IZM161" s="537"/>
      <c r="IZN161" s="537"/>
      <c r="IZO161" s="537"/>
      <c r="IZP161" s="537"/>
      <c r="IZQ161" s="537"/>
      <c r="IZR161" s="537"/>
      <c r="IZS161" s="537"/>
      <c r="IZT161" s="537"/>
      <c r="IZU161" s="537"/>
      <c r="IZV161" s="537"/>
      <c r="IZW161" s="537"/>
      <c r="IZX161" s="537"/>
      <c r="IZY161" s="537"/>
      <c r="IZZ161" s="537"/>
      <c r="JAA161" s="537"/>
      <c r="JAB161" s="537"/>
      <c r="JAC161" s="537"/>
      <c r="JAD161" s="537"/>
      <c r="JAE161" s="537"/>
      <c r="JAF161" s="537"/>
      <c r="JAG161" s="537"/>
      <c r="JAH161" s="537"/>
      <c r="JAI161" s="537"/>
      <c r="JAJ161" s="537"/>
      <c r="JAK161" s="537"/>
      <c r="JAL161" s="537"/>
      <c r="JAM161" s="537"/>
      <c r="JAN161" s="537"/>
      <c r="JAO161" s="537"/>
      <c r="JAP161" s="537"/>
      <c r="JAQ161" s="537"/>
      <c r="JAR161" s="537"/>
      <c r="JAS161" s="537"/>
      <c r="JAT161" s="537"/>
      <c r="JAU161" s="537"/>
      <c r="JAV161" s="537"/>
      <c r="JAW161" s="537"/>
      <c r="JAX161" s="537"/>
      <c r="JAY161" s="537"/>
      <c r="JAZ161" s="537"/>
      <c r="JBA161" s="537"/>
      <c r="JBB161" s="537"/>
      <c r="JBC161" s="537"/>
      <c r="JBD161" s="537"/>
      <c r="JBE161" s="537"/>
      <c r="JBF161" s="537"/>
      <c r="JBG161" s="537"/>
      <c r="JBH161" s="537"/>
      <c r="JBI161" s="537"/>
      <c r="JBJ161" s="537"/>
      <c r="JBK161" s="537"/>
      <c r="JBL161" s="537"/>
      <c r="JBM161" s="537"/>
      <c r="JBN161" s="537"/>
      <c r="JBO161" s="537"/>
      <c r="JBP161" s="537"/>
      <c r="JBQ161" s="537"/>
      <c r="JBR161" s="537"/>
      <c r="JBS161" s="537"/>
      <c r="JBT161" s="537"/>
      <c r="JBU161" s="537"/>
      <c r="JBV161" s="537"/>
      <c r="JBW161" s="537"/>
      <c r="JBX161" s="537"/>
      <c r="JBY161" s="537"/>
      <c r="JBZ161" s="537"/>
      <c r="JCA161" s="537"/>
      <c r="JCB161" s="537"/>
      <c r="JCC161" s="537"/>
      <c r="JCD161" s="537"/>
      <c r="JCE161" s="537"/>
      <c r="JCF161" s="537"/>
      <c r="JCG161" s="537"/>
      <c r="JCH161" s="537"/>
      <c r="JCI161" s="537"/>
      <c r="JCJ161" s="537"/>
      <c r="JCK161" s="537"/>
      <c r="JCL161" s="537"/>
      <c r="JCM161" s="537"/>
      <c r="JCN161" s="537"/>
      <c r="JCO161" s="537"/>
      <c r="JCP161" s="537"/>
      <c r="JCQ161" s="537"/>
      <c r="JCR161" s="537"/>
      <c r="JCS161" s="537"/>
      <c r="JCT161" s="537"/>
      <c r="JCU161" s="537"/>
      <c r="JCV161" s="537"/>
      <c r="JCW161" s="537"/>
      <c r="JCX161" s="537"/>
      <c r="JCY161" s="537"/>
      <c r="JCZ161" s="537"/>
      <c r="JDA161" s="537"/>
      <c r="JDB161" s="537"/>
      <c r="JDC161" s="537"/>
      <c r="JDD161" s="537"/>
      <c r="JDE161" s="537"/>
      <c r="JDF161" s="537"/>
      <c r="JDG161" s="537"/>
      <c r="JDH161" s="537"/>
      <c r="JDI161" s="537"/>
      <c r="JDJ161" s="537"/>
      <c r="JDK161" s="537"/>
      <c r="JDL161" s="537"/>
      <c r="JDM161" s="537"/>
      <c r="JDN161" s="537"/>
      <c r="JDO161" s="537"/>
      <c r="JDP161" s="537"/>
      <c r="JDQ161" s="537"/>
      <c r="JDR161" s="537"/>
      <c r="JDS161" s="537"/>
      <c r="JDT161" s="537"/>
      <c r="JDU161" s="537"/>
      <c r="JDV161" s="537"/>
      <c r="JDW161" s="537"/>
      <c r="JDX161" s="537"/>
      <c r="JDY161" s="537"/>
      <c r="JDZ161" s="537"/>
      <c r="JEA161" s="537"/>
      <c r="JEB161" s="537"/>
      <c r="JEC161" s="537"/>
      <c r="JED161" s="537"/>
      <c r="JEE161" s="537"/>
      <c r="JEF161" s="537"/>
      <c r="JEG161" s="537"/>
      <c r="JEH161" s="537"/>
      <c r="JEI161" s="537"/>
      <c r="JEJ161" s="537"/>
      <c r="JEK161" s="537"/>
      <c r="JEL161" s="537"/>
      <c r="JEM161" s="537"/>
      <c r="JEN161" s="537"/>
      <c r="JEO161" s="537"/>
      <c r="JEP161" s="537"/>
      <c r="JEQ161" s="537"/>
      <c r="JER161" s="537"/>
      <c r="JES161" s="537"/>
      <c r="JET161" s="537"/>
      <c r="JEU161" s="537"/>
      <c r="JEV161" s="537"/>
      <c r="JEW161" s="537"/>
      <c r="JEX161" s="537"/>
      <c r="JEY161" s="537"/>
      <c r="JEZ161" s="537"/>
      <c r="JFA161" s="537"/>
      <c r="JFB161" s="537"/>
      <c r="JFC161" s="537"/>
      <c r="JFD161" s="537"/>
      <c r="JFE161" s="537"/>
      <c r="JFF161" s="537"/>
      <c r="JFG161" s="537"/>
      <c r="JFH161" s="537"/>
      <c r="JFI161" s="537"/>
      <c r="JFJ161" s="537"/>
      <c r="JFK161" s="537"/>
      <c r="JFL161" s="537"/>
      <c r="JFM161" s="537"/>
      <c r="JFN161" s="537"/>
      <c r="JFO161" s="537"/>
      <c r="JFP161" s="537"/>
      <c r="JFQ161" s="537"/>
      <c r="JFR161" s="537"/>
      <c r="JFS161" s="537"/>
      <c r="JFT161" s="537"/>
      <c r="JFU161" s="537"/>
      <c r="JFV161" s="537"/>
      <c r="JFW161" s="537"/>
      <c r="JFX161" s="537"/>
      <c r="JFY161" s="537"/>
      <c r="JFZ161" s="537"/>
      <c r="JGA161" s="537"/>
      <c r="JGB161" s="537"/>
      <c r="JGC161" s="537"/>
      <c r="JGD161" s="537"/>
      <c r="JGE161" s="537"/>
      <c r="JGF161" s="537"/>
      <c r="JGG161" s="537"/>
      <c r="JGH161" s="537"/>
      <c r="JGI161" s="537"/>
      <c r="JGJ161" s="537"/>
      <c r="JGK161" s="537"/>
      <c r="JGL161" s="537"/>
      <c r="JGM161" s="537"/>
      <c r="JGN161" s="537"/>
      <c r="JGO161" s="537"/>
      <c r="JGP161" s="537"/>
      <c r="JGQ161" s="537"/>
      <c r="JGR161" s="537"/>
      <c r="JGS161" s="537"/>
      <c r="JGT161" s="537"/>
      <c r="JGU161" s="537"/>
      <c r="JGV161" s="537"/>
      <c r="JGW161" s="537"/>
      <c r="JGX161" s="537"/>
      <c r="JGY161" s="537"/>
      <c r="JGZ161" s="537"/>
      <c r="JHA161" s="537"/>
      <c r="JHB161" s="537"/>
      <c r="JHC161" s="537"/>
      <c r="JHD161" s="537"/>
      <c r="JHE161" s="537"/>
      <c r="JHF161" s="537"/>
      <c r="JHG161" s="537"/>
      <c r="JHH161" s="537"/>
      <c r="JHI161" s="537"/>
      <c r="JHJ161" s="537"/>
      <c r="JHK161" s="537"/>
      <c r="JHL161" s="537"/>
      <c r="JHM161" s="537"/>
      <c r="JHN161" s="537"/>
      <c r="JHO161" s="537"/>
      <c r="JHP161" s="537"/>
      <c r="JHQ161" s="537"/>
      <c r="JHR161" s="537"/>
      <c r="JHS161" s="537"/>
      <c r="JHT161" s="537"/>
      <c r="JHU161" s="537"/>
      <c r="JHV161" s="537"/>
      <c r="JHW161" s="537"/>
      <c r="JHX161" s="537"/>
      <c r="JHY161" s="537"/>
      <c r="JHZ161" s="537"/>
      <c r="JIA161" s="537"/>
      <c r="JIB161" s="537"/>
      <c r="JIC161" s="537"/>
      <c r="JID161" s="537"/>
      <c r="JIE161" s="537"/>
      <c r="JIF161" s="537"/>
      <c r="JIG161" s="537"/>
      <c r="JIH161" s="537"/>
      <c r="JII161" s="537"/>
      <c r="JIJ161" s="537"/>
      <c r="JIK161" s="537"/>
      <c r="JIL161" s="537"/>
      <c r="JIM161" s="537"/>
      <c r="JIN161" s="537"/>
      <c r="JIO161" s="537"/>
      <c r="JIP161" s="537"/>
      <c r="JIQ161" s="537"/>
      <c r="JIR161" s="537"/>
      <c r="JIS161" s="537"/>
      <c r="JIT161" s="537"/>
      <c r="JIU161" s="537"/>
      <c r="JIV161" s="537"/>
      <c r="JIW161" s="537"/>
      <c r="JIX161" s="537"/>
      <c r="JIY161" s="537"/>
      <c r="JIZ161" s="537"/>
      <c r="JJA161" s="537"/>
      <c r="JJB161" s="537"/>
      <c r="JJC161" s="537"/>
      <c r="JJD161" s="537"/>
      <c r="JJE161" s="537"/>
      <c r="JJF161" s="537"/>
      <c r="JJG161" s="537"/>
      <c r="JJH161" s="537"/>
      <c r="JJI161" s="537"/>
      <c r="JJJ161" s="537"/>
      <c r="JJK161" s="537"/>
      <c r="JJL161" s="537"/>
      <c r="JJM161" s="537"/>
      <c r="JJN161" s="537"/>
      <c r="JJO161" s="537"/>
      <c r="JJP161" s="537"/>
      <c r="JJQ161" s="537"/>
      <c r="JJR161" s="537"/>
      <c r="JJS161" s="537"/>
      <c r="JJT161" s="537"/>
      <c r="JJU161" s="537"/>
      <c r="JJV161" s="537"/>
      <c r="JJW161" s="537"/>
      <c r="JJX161" s="537"/>
      <c r="JJY161" s="537"/>
      <c r="JJZ161" s="537"/>
      <c r="JKA161" s="537"/>
      <c r="JKB161" s="537"/>
      <c r="JKC161" s="537"/>
      <c r="JKD161" s="537"/>
      <c r="JKE161" s="537"/>
      <c r="JKF161" s="537"/>
      <c r="JKG161" s="537"/>
      <c r="JKH161" s="537"/>
      <c r="JKI161" s="537"/>
      <c r="JKJ161" s="537"/>
      <c r="JKK161" s="537"/>
      <c r="JKL161" s="537"/>
      <c r="JKM161" s="537"/>
      <c r="JKN161" s="537"/>
      <c r="JKO161" s="537"/>
      <c r="JKP161" s="537"/>
      <c r="JKQ161" s="537"/>
      <c r="JKR161" s="537"/>
      <c r="JKS161" s="537"/>
      <c r="JKT161" s="537"/>
      <c r="JKU161" s="537"/>
      <c r="JKV161" s="537"/>
      <c r="JKW161" s="537"/>
      <c r="JKX161" s="537"/>
      <c r="JKY161" s="537"/>
      <c r="JKZ161" s="537"/>
      <c r="JLA161" s="537"/>
      <c r="JLB161" s="537"/>
      <c r="JLC161" s="537"/>
      <c r="JLD161" s="537"/>
      <c r="JLE161" s="537"/>
      <c r="JLF161" s="537"/>
      <c r="JLG161" s="537"/>
      <c r="JLH161" s="537"/>
      <c r="JLI161" s="537"/>
      <c r="JLJ161" s="537"/>
      <c r="JLK161" s="537"/>
      <c r="JLL161" s="537"/>
      <c r="JLM161" s="537"/>
      <c r="JLN161" s="537"/>
      <c r="JLO161" s="537"/>
      <c r="JLP161" s="537"/>
      <c r="JLQ161" s="537"/>
      <c r="JLR161" s="537"/>
      <c r="JLS161" s="537"/>
      <c r="JLT161" s="537"/>
      <c r="JLU161" s="537"/>
      <c r="JLV161" s="537"/>
      <c r="JLW161" s="537"/>
      <c r="JLX161" s="537"/>
      <c r="JLY161" s="537"/>
      <c r="JLZ161" s="537"/>
      <c r="JMA161" s="537"/>
      <c r="JMB161" s="537"/>
      <c r="JMC161" s="537"/>
      <c r="JMD161" s="537"/>
      <c r="JME161" s="537"/>
      <c r="JMF161" s="537"/>
      <c r="JMG161" s="537"/>
      <c r="JMH161" s="537"/>
      <c r="JMI161" s="537"/>
      <c r="JMJ161" s="537"/>
      <c r="JMK161" s="537"/>
      <c r="JML161" s="537"/>
      <c r="JMM161" s="537"/>
      <c r="JMN161" s="537"/>
      <c r="JMO161" s="537"/>
      <c r="JMP161" s="537"/>
      <c r="JMQ161" s="537"/>
      <c r="JMR161" s="537"/>
      <c r="JMS161" s="537"/>
      <c r="JMT161" s="537"/>
      <c r="JMU161" s="537"/>
      <c r="JMV161" s="537"/>
      <c r="JMW161" s="537"/>
      <c r="JMX161" s="537"/>
      <c r="JMY161" s="537"/>
      <c r="JMZ161" s="537"/>
      <c r="JNA161" s="537"/>
      <c r="JNB161" s="537"/>
      <c r="JNC161" s="537"/>
      <c r="JND161" s="537"/>
      <c r="JNE161" s="537"/>
      <c r="JNF161" s="537"/>
      <c r="JNG161" s="537"/>
      <c r="JNH161" s="537"/>
      <c r="JNI161" s="537"/>
      <c r="JNJ161" s="537"/>
      <c r="JNK161" s="537"/>
      <c r="JNL161" s="537"/>
      <c r="JNM161" s="537"/>
      <c r="JNN161" s="537"/>
      <c r="JNO161" s="537"/>
      <c r="JNP161" s="537"/>
      <c r="JNQ161" s="537"/>
      <c r="JNR161" s="537"/>
      <c r="JNS161" s="537"/>
      <c r="JNT161" s="537"/>
      <c r="JNU161" s="537"/>
      <c r="JNV161" s="537"/>
      <c r="JNW161" s="537"/>
      <c r="JNX161" s="537"/>
      <c r="JNY161" s="537"/>
      <c r="JNZ161" s="537"/>
      <c r="JOA161" s="537"/>
      <c r="JOB161" s="537"/>
      <c r="JOC161" s="537"/>
      <c r="JOD161" s="537"/>
      <c r="JOE161" s="537"/>
      <c r="JOF161" s="537"/>
      <c r="JOG161" s="537"/>
      <c r="JOH161" s="537"/>
      <c r="JOI161" s="537"/>
      <c r="JOJ161" s="537"/>
      <c r="JOK161" s="537"/>
      <c r="JOL161" s="537"/>
      <c r="JOM161" s="537"/>
      <c r="JON161" s="537"/>
      <c r="JOO161" s="537"/>
      <c r="JOP161" s="537"/>
      <c r="JOQ161" s="537"/>
      <c r="JOR161" s="537"/>
      <c r="JOS161" s="537"/>
      <c r="JOT161" s="537"/>
      <c r="JOU161" s="537"/>
      <c r="JOV161" s="537"/>
      <c r="JOW161" s="537"/>
      <c r="JOX161" s="537"/>
      <c r="JOY161" s="537"/>
      <c r="JOZ161" s="537"/>
      <c r="JPA161" s="537"/>
      <c r="JPB161" s="537"/>
      <c r="JPC161" s="537"/>
      <c r="JPD161" s="537"/>
      <c r="JPE161" s="537"/>
      <c r="JPF161" s="537"/>
      <c r="JPG161" s="537"/>
      <c r="JPH161" s="537"/>
      <c r="JPI161" s="537"/>
      <c r="JPJ161" s="537"/>
      <c r="JPK161" s="537"/>
      <c r="JPL161" s="537"/>
      <c r="JPM161" s="537"/>
      <c r="JPN161" s="537"/>
      <c r="JPO161" s="537"/>
      <c r="JPP161" s="537"/>
      <c r="JPQ161" s="537"/>
      <c r="JPR161" s="537"/>
      <c r="JPS161" s="537"/>
      <c r="JPT161" s="537"/>
      <c r="JPU161" s="537"/>
      <c r="JPV161" s="537"/>
      <c r="JPW161" s="537"/>
      <c r="JPX161" s="537"/>
      <c r="JPY161" s="537"/>
      <c r="JPZ161" s="537"/>
      <c r="JQA161" s="537"/>
      <c r="JQB161" s="537"/>
      <c r="JQC161" s="537"/>
      <c r="JQD161" s="537"/>
      <c r="JQE161" s="537"/>
      <c r="JQF161" s="537"/>
      <c r="JQG161" s="537"/>
      <c r="JQH161" s="537"/>
      <c r="JQI161" s="537"/>
      <c r="JQJ161" s="537"/>
      <c r="JQK161" s="537"/>
      <c r="JQL161" s="537"/>
      <c r="JQM161" s="537"/>
      <c r="JQN161" s="537"/>
      <c r="JQO161" s="537"/>
      <c r="JQP161" s="537"/>
      <c r="JQQ161" s="537"/>
      <c r="JQR161" s="537"/>
      <c r="JQS161" s="537"/>
      <c r="JQT161" s="537"/>
      <c r="JQU161" s="537"/>
      <c r="JQV161" s="537"/>
      <c r="JQW161" s="537"/>
      <c r="JQX161" s="537"/>
      <c r="JQY161" s="537"/>
      <c r="JQZ161" s="537"/>
      <c r="JRA161" s="537"/>
      <c r="JRB161" s="537"/>
      <c r="JRC161" s="537"/>
      <c r="JRD161" s="537"/>
      <c r="JRE161" s="537"/>
      <c r="JRF161" s="537"/>
      <c r="JRG161" s="537"/>
      <c r="JRH161" s="537"/>
      <c r="JRI161" s="537"/>
      <c r="JRJ161" s="537"/>
      <c r="JRK161" s="537"/>
      <c r="JRL161" s="537"/>
      <c r="JRM161" s="537"/>
      <c r="JRN161" s="537"/>
      <c r="JRO161" s="537"/>
      <c r="JRP161" s="537"/>
      <c r="JRQ161" s="537"/>
      <c r="JRR161" s="537"/>
      <c r="JRS161" s="537"/>
      <c r="JRT161" s="537"/>
      <c r="JRU161" s="537"/>
      <c r="JRV161" s="537"/>
      <c r="JRW161" s="537"/>
      <c r="JRX161" s="537"/>
      <c r="JRY161" s="537"/>
      <c r="JRZ161" s="537"/>
      <c r="JSA161" s="537"/>
      <c r="JSB161" s="537"/>
      <c r="JSC161" s="537"/>
      <c r="JSD161" s="537"/>
      <c r="JSE161" s="537"/>
      <c r="JSF161" s="537"/>
      <c r="JSG161" s="537"/>
      <c r="JSH161" s="537"/>
      <c r="JSI161" s="537"/>
      <c r="JSJ161" s="537"/>
      <c r="JSK161" s="537"/>
      <c r="JSL161" s="537"/>
      <c r="JSM161" s="537"/>
      <c r="JSN161" s="537"/>
      <c r="JSO161" s="537"/>
      <c r="JSP161" s="537"/>
      <c r="JSQ161" s="537"/>
      <c r="JSR161" s="537"/>
      <c r="JSS161" s="537"/>
      <c r="JST161" s="537"/>
      <c r="JSU161" s="537"/>
      <c r="JSV161" s="537"/>
      <c r="JSW161" s="537"/>
      <c r="JSX161" s="537"/>
      <c r="JSY161" s="537"/>
      <c r="JSZ161" s="537"/>
      <c r="JTA161" s="537"/>
      <c r="JTB161" s="537"/>
      <c r="JTC161" s="537"/>
      <c r="JTD161" s="537"/>
      <c r="JTE161" s="537"/>
      <c r="JTF161" s="537"/>
      <c r="JTG161" s="537"/>
      <c r="JTH161" s="537"/>
      <c r="JTI161" s="537"/>
      <c r="JTJ161" s="537"/>
      <c r="JTK161" s="537"/>
      <c r="JTL161" s="537"/>
      <c r="JTM161" s="537"/>
      <c r="JTN161" s="537"/>
      <c r="JTO161" s="537"/>
      <c r="JTP161" s="537"/>
      <c r="JTQ161" s="537"/>
      <c r="JTR161" s="537"/>
      <c r="JTS161" s="537"/>
      <c r="JTT161" s="537"/>
      <c r="JTU161" s="537"/>
      <c r="JTV161" s="537"/>
      <c r="JTW161" s="537"/>
      <c r="JTX161" s="537"/>
      <c r="JTY161" s="537"/>
      <c r="JTZ161" s="537"/>
      <c r="JUA161" s="537"/>
      <c r="JUB161" s="537"/>
      <c r="JUC161" s="537"/>
      <c r="JUD161" s="537"/>
      <c r="JUE161" s="537"/>
      <c r="JUF161" s="537"/>
      <c r="JUG161" s="537"/>
      <c r="JUH161" s="537"/>
      <c r="JUI161" s="537"/>
      <c r="JUJ161" s="537"/>
      <c r="JUK161" s="537"/>
      <c r="JUL161" s="537"/>
      <c r="JUM161" s="537"/>
      <c r="JUN161" s="537"/>
      <c r="JUO161" s="537"/>
      <c r="JUP161" s="537"/>
      <c r="JUQ161" s="537"/>
      <c r="JUR161" s="537"/>
      <c r="JUS161" s="537"/>
      <c r="JUT161" s="537"/>
      <c r="JUU161" s="537"/>
      <c r="JUV161" s="537"/>
      <c r="JUW161" s="537"/>
      <c r="JUX161" s="537"/>
      <c r="JUY161" s="537"/>
      <c r="JUZ161" s="537"/>
      <c r="JVA161" s="537"/>
      <c r="JVB161" s="537"/>
      <c r="JVC161" s="537"/>
      <c r="JVD161" s="537"/>
      <c r="JVE161" s="537"/>
      <c r="JVF161" s="537"/>
      <c r="JVG161" s="537"/>
      <c r="JVH161" s="537"/>
      <c r="JVI161" s="537"/>
      <c r="JVJ161" s="537"/>
      <c r="JVK161" s="537"/>
      <c r="JVL161" s="537"/>
      <c r="JVM161" s="537"/>
      <c r="JVN161" s="537"/>
      <c r="JVO161" s="537"/>
      <c r="JVP161" s="537"/>
      <c r="JVQ161" s="537"/>
      <c r="JVR161" s="537"/>
      <c r="JVS161" s="537"/>
      <c r="JVT161" s="537"/>
      <c r="JVU161" s="537"/>
      <c r="JVV161" s="537"/>
      <c r="JVW161" s="537"/>
      <c r="JVX161" s="537"/>
      <c r="JVY161" s="537"/>
      <c r="JVZ161" s="537"/>
      <c r="JWA161" s="537"/>
      <c r="JWB161" s="537"/>
      <c r="JWC161" s="537"/>
      <c r="JWD161" s="537"/>
      <c r="JWE161" s="537"/>
      <c r="JWF161" s="537"/>
      <c r="JWG161" s="537"/>
      <c r="JWH161" s="537"/>
      <c r="JWI161" s="537"/>
      <c r="JWJ161" s="537"/>
      <c r="JWK161" s="537"/>
      <c r="JWL161" s="537"/>
      <c r="JWM161" s="537"/>
      <c r="JWN161" s="537"/>
      <c r="JWO161" s="537"/>
      <c r="JWP161" s="537"/>
      <c r="JWQ161" s="537"/>
      <c r="JWR161" s="537"/>
      <c r="JWS161" s="537"/>
      <c r="JWT161" s="537"/>
      <c r="JWU161" s="537"/>
      <c r="JWV161" s="537"/>
      <c r="JWW161" s="537"/>
      <c r="JWX161" s="537"/>
      <c r="JWY161" s="537"/>
      <c r="JWZ161" s="537"/>
      <c r="JXA161" s="537"/>
      <c r="JXB161" s="537"/>
      <c r="JXC161" s="537"/>
      <c r="JXD161" s="537"/>
      <c r="JXE161" s="537"/>
      <c r="JXF161" s="537"/>
      <c r="JXG161" s="537"/>
      <c r="JXH161" s="537"/>
      <c r="JXI161" s="537"/>
      <c r="JXJ161" s="537"/>
      <c r="JXK161" s="537"/>
      <c r="JXL161" s="537"/>
      <c r="JXM161" s="537"/>
      <c r="JXN161" s="537"/>
      <c r="JXO161" s="537"/>
      <c r="JXP161" s="537"/>
      <c r="JXQ161" s="537"/>
      <c r="JXR161" s="537"/>
      <c r="JXS161" s="537"/>
      <c r="JXT161" s="537"/>
      <c r="JXU161" s="537"/>
      <c r="JXV161" s="537"/>
      <c r="JXW161" s="537"/>
      <c r="JXX161" s="537"/>
      <c r="JXY161" s="537"/>
      <c r="JXZ161" s="537"/>
      <c r="JYA161" s="537"/>
      <c r="JYB161" s="537"/>
      <c r="JYC161" s="537"/>
      <c r="JYD161" s="537"/>
      <c r="JYE161" s="537"/>
      <c r="JYF161" s="537"/>
      <c r="JYG161" s="537"/>
      <c r="JYH161" s="537"/>
      <c r="JYI161" s="537"/>
      <c r="JYJ161" s="537"/>
      <c r="JYK161" s="537"/>
      <c r="JYL161" s="537"/>
      <c r="JYM161" s="537"/>
      <c r="JYN161" s="537"/>
      <c r="JYO161" s="537"/>
      <c r="JYP161" s="537"/>
      <c r="JYQ161" s="537"/>
      <c r="JYR161" s="537"/>
      <c r="JYS161" s="537"/>
      <c r="JYT161" s="537"/>
      <c r="JYU161" s="537"/>
      <c r="JYV161" s="537"/>
      <c r="JYW161" s="537"/>
      <c r="JYX161" s="537"/>
      <c r="JYY161" s="537"/>
      <c r="JYZ161" s="537"/>
      <c r="JZA161" s="537"/>
      <c r="JZB161" s="537"/>
      <c r="JZC161" s="537"/>
      <c r="JZD161" s="537"/>
      <c r="JZE161" s="537"/>
      <c r="JZF161" s="537"/>
      <c r="JZG161" s="537"/>
      <c r="JZH161" s="537"/>
      <c r="JZI161" s="537"/>
      <c r="JZJ161" s="537"/>
      <c r="JZK161" s="537"/>
      <c r="JZL161" s="537"/>
      <c r="JZM161" s="537"/>
      <c r="JZN161" s="537"/>
      <c r="JZO161" s="537"/>
      <c r="JZP161" s="537"/>
      <c r="JZQ161" s="537"/>
      <c r="JZR161" s="537"/>
      <c r="JZS161" s="537"/>
      <c r="JZT161" s="537"/>
      <c r="JZU161" s="537"/>
      <c r="JZV161" s="537"/>
      <c r="JZW161" s="537"/>
      <c r="JZX161" s="537"/>
      <c r="JZY161" s="537"/>
      <c r="JZZ161" s="537"/>
      <c r="KAA161" s="537"/>
      <c r="KAB161" s="537"/>
      <c r="KAC161" s="537"/>
      <c r="KAD161" s="537"/>
      <c r="KAE161" s="537"/>
      <c r="KAF161" s="537"/>
      <c r="KAG161" s="537"/>
      <c r="KAH161" s="537"/>
      <c r="KAI161" s="537"/>
      <c r="KAJ161" s="537"/>
      <c r="KAK161" s="537"/>
      <c r="KAL161" s="537"/>
      <c r="KAM161" s="537"/>
      <c r="KAN161" s="537"/>
      <c r="KAO161" s="537"/>
      <c r="KAP161" s="537"/>
      <c r="KAQ161" s="537"/>
      <c r="KAR161" s="537"/>
      <c r="KAS161" s="537"/>
      <c r="KAT161" s="537"/>
      <c r="KAU161" s="537"/>
      <c r="KAV161" s="537"/>
      <c r="KAW161" s="537"/>
      <c r="KAX161" s="537"/>
      <c r="KAY161" s="537"/>
      <c r="KAZ161" s="537"/>
      <c r="KBA161" s="537"/>
      <c r="KBB161" s="537"/>
      <c r="KBC161" s="537"/>
      <c r="KBD161" s="537"/>
      <c r="KBE161" s="537"/>
      <c r="KBF161" s="537"/>
      <c r="KBG161" s="537"/>
      <c r="KBH161" s="537"/>
      <c r="KBI161" s="537"/>
      <c r="KBJ161" s="537"/>
      <c r="KBK161" s="537"/>
      <c r="KBL161" s="537"/>
      <c r="KBM161" s="537"/>
      <c r="KBN161" s="537"/>
      <c r="KBO161" s="537"/>
      <c r="KBP161" s="537"/>
      <c r="KBQ161" s="537"/>
      <c r="KBR161" s="537"/>
      <c r="KBS161" s="537"/>
      <c r="KBT161" s="537"/>
      <c r="KBU161" s="537"/>
      <c r="KBV161" s="537"/>
      <c r="KBW161" s="537"/>
      <c r="KBX161" s="537"/>
      <c r="KBY161" s="537"/>
      <c r="KBZ161" s="537"/>
      <c r="KCA161" s="537"/>
      <c r="KCB161" s="537"/>
      <c r="KCC161" s="537"/>
      <c r="KCD161" s="537"/>
      <c r="KCE161" s="537"/>
      <c r="KCF161" s="537"/>
      <c r="KCG161" s="537"/>
      <c r="KCH161" s="537"/>
      <c r="KCI161" s="537"/>
      <c r="KCJ161" s="537"/>
      <c r="KCK161" s="537"/>
      <c r="KCL161" s="537"/>
      <c r="KCM161" s="537"/>
      <c r="KCN161" s="537"/>
      <c r="KCO161" s="537"/>
      <c r="KCP161" s="537"/>
      <c r="KCQ161" s="537"/>
      <c r="KCR161" s="537"/>
      <c r="KCS161" s="537"/>
      <c r="KCT161" s="537"/>
      <c r="KCU161" s="537"/>
      <c r="KCV161" s="537"/>
      <c r="KCW161" s="537"/>
      <c r="KCX161" s="537"/>
      <c r="KCY161" s="537"/>
      <c r="KCZ161" s="537"/>
      <c r="KDA161" s="537"/>
      <c r="KDB161" s="537"/>
      <c r="KDC161" s="537"/>
      <c r="KDD161" s="537"/>
      <c r="KDE161" s="537"/>
      <c r="KDF161" s="537"/>
      <c r="KDG161" s="537"/>
      <c r="KDH161" s="537"/>
      <c r="KDI161" s="537"/>
      <c r="KDJ161" s="537"/>
      <c r="KDK161" s="537"/>
      <c r="KDL161" s="537"/>
      <c r="KDM161" s="537"/>
      <c r="KDN161" s="537"/>
      <c r="KDO161" s="537"/>
      <c r="KDP161" s="537"/>
      <c r="KDQ161" s="537"/>
      <c r="KDR161" s="537"/>
      <c r="KDS161" s="537"/>
      <c r="KDT161" s="537"/>
      <c r="KDU161" s="537"/>
      <c r="KDV161" s="537"/>
      <c r="KDW161" s="537"/>
      <c r="KDX161" s="537"/>
      <c r="KDY161" s="537"/>
      <c r="KDZ161" s="537"/>
      <c r="KEA161" s="537"/>
      <c r="KEB161" s="537"/>
      <c r="KEC161" s="537"/>
      <c r="KED161" s="537"/>
      <c r="KEE161" s="537"/>
      <c r="KEF161" s="537"/>
      <c r="KEG161" s="537"/>
      <c r="KEH161" s="537"/>
      <c r="KEI161" s="537"/>
      <c r="KEJ161" s="537"/>
      <c r="KEK161" s="537"/>
      <c r="KEL161" s="537"/>
      <c r="KEM161" s="537"/>
      <c r="KEN161" s="537"/>
      <c r="KEO161" s="537"/>
      <c r="KEP161" s="537"/>
      <c r="KEQ161" s="537"/>
      <c r="KER161" s="537"/>
      <c r="KES161" s="537"/>
      <c r="KET161" s="537"/>
      <c r="KEU161" s="537"/>
      <c r="KEV161" s="537"/>
      <c r="KEW161" s="537"/>
      <c r="KEX161" s="537"/>
      <c r="KEY161" s="537"/>
      <c r="KEZ161" s="537"/>
      <c r="KFA161" s="537"/>
      <c r="KFB161" s="537"/>
      <c r="KFC161" s="537"/>
      <c r="KFD161" s="537"/>
      <c r="KFE161" s="537"/>
      <c r="KFF161" s="537"/>
      <c r="KFG161" s="537"/>
      <c r="KFH161" s="537"/>
      <c r="KFI161" s="537"/>
      <c r="KFJ161" s="537"/>
      <c r="KFK161" s="537"/>
      <c r="KFL161" s="537"/>
      <c r="KFM161" s="537"/>
      <c r="KFN161" s="537"/>
      <c r="KFO161" s="537"/>
      <c r="KFP161" s="537"/>
      <c r="KFQ161" s="537"/>
      <c r="KFR161" s="537"/>
      <c r="KFS161" s="537"/>
      <c r="KFT161" s="537"/>
      <c r="KFU161" s="537"/>
      <c r="KFV161" s="537"/>
      <c r="KFW161" s="537"/>
      <c r="KFX161" s="537"/>
      <c r="KFY161" s="537"/>
      <c r="KFZ161" s="537"/>
      <c r="KGA161" s="537"/>
      <c r="KGB161" s="537"/>
      <c r="KGC161" s="537"/>
      <c r="KGD161" s="537"/>
      <c r="KGE161" s="537"/>
      <c r="KGF161" s="537"/>
      <c r="KGG161" s="537"/>
      <c r="KGH161" s="537"/>
      <c r="KGI161" s="537"/>
      <c r="KGJ161" s="537"/>
      <c r="KGK161" s="537"/>
      <c r="KGL161" s="537"/>
      <c r="KGM161" s="537"/>
      <c r="KGN161" s="537"/>
      <c r="KGO161" s="537"/>
      <c r="KGP161" s="537"/>
      <c r="KGQ161" s="537"/>
      <c r="KGR161" s="537"/>
      <c r="KGS161" s="537"/>
      <c r="KGT161" s="537"/>
      <c r="KGU161" s="537"/>
      <c r="KGV161" s="537"/>
      <c r="KGW161" s="537"/>
      <c r="KGX161" s="537"/>
      <c r="KGY161" s="537"/>
      <c r="KGZ161" s="537"/>
      <c r="KHA161" s="537"/>
      <c r="KHB161" s="537"/>
      <c r="KHC161" s="537"/>
      <c r="KHD161" s="537"/>
      <c r="KHE161" s="537"/>
      <c r="KHF161" s="537"/>
      <c r="KHG161" s="537"/>
      <c r="KHH161" s="537"/>
      <c r="KHI161" s="537"/>
      <c r="KHJ161" s="537"/>
      <c r="KHK161" s="537"/>
      <c r="KHL161" s="537"/>
      <c r="KHM161" s="537"/>
      <c r="KHN161" s="537"/>
      <c r="KHO161" s="537"/>
      <c r="KHP161" s="537"/>
      <c r="KHQ161" s="537"/>
      <c r="KHR161" s="537"/>
      <c r="KHS161" s="537"/>
      <c r="KHT161" s="537"/>
      <c r="KHU161" s="537"/>
      <c r="KHV161" s="537"/>
      <c r="KHW161" s="537"/>
      <c r="KHX161" s="537"/>
      <c r="KHY161" s="537"/>
      <c r="KHZ161" s="537"/>
      <c r="KIA161" s="537"/>
      <c r="KIB161" s="537"/>
      <c r="KIC161" s="537"/>
      <c r="KID161" s="537"/>
      <c r="KIE161" s="537"/>
      <c r="KIF161" s="537"/>
      <c r="KIG161" s="537"/>
      <c r="KIH161" s="537"/>
      <c r="KII161" s="537"/>
      <c r="KIJ161" s="537"/>
      <c r="KIK161" s="537"/>
      <c r="KIL161" s="537"/>
      <c r="KIM161" s="537"/>
      <c r="KIN161" s="537"/>
      <c r="KIO161" s="537"/>
      <c r="KIP161" s="537"/>
      <c r="KIQ161" s="537"/>
      <c r="KIR161" s="537"/>
      <c r="KIS161" s="537"/>
      <c r="KIT161" s="537"/>
      <c r="KIU161" s="537"/>
      <c r="KIV161" s="537"/>
      <c r="KIW161" s="537"/>
      <c r="KIX161" s="537"/>
      <c r="KIY161" s="537"/>
      <c r="KIZ161" s="537"/>
      <c r="KJA161" s="537"/>
      <c r="KJB161" s="537"/>
      <c r="KJC161" s="537"/>
      <c r="KJD161" s="537"/>
      <c r="KJE161" s="537"/>
      <c r="KJF161" s="537"/>
      <c r="KJG161" s="537"/>
      <c r="KJH161" s="537"/>
      <c r="KJI161" s="537"/>
      <c r="KJJ161" s="537"/>
      <c r="KJK161" s="537"/>
      <c r="KJL161" s="537"/>
      <c r="KJM161" s="537"/>
      <c r="KJN161" s="537"/>
      <c r="KJO161" s="537"/>
      <c r="KJP161" s="537"/>
      <c r="KJQ161" s="537"/>
      <c r="KJR161" s="537"/>
      <c r="KJS161" s="537"/>
      <c r="KJT161" s="537"/>
      <c r="KJU161" s="537"/>
      <c r="KJV161" s="537"/>
      <c r="KJW161" s="537"/>
      <c r="KJX161" s="537"/>
      <c r="KJY161" s="537"/>
      <c r="KJZ161" s="537"/>
      <c r="KKA161" s="537"/>
      <c r="KKB161" s="537"/>
      <c r="KKC161" s="537"/>
      <c r="KKD161" s="537"/>
      <c r="KKE161" s="537"/>
      <c r="KKF161" s="537"/>
      <c r="KKG161" s="537"/>
      <c r="KKH161" s="537"/>
      <c r="KKI161" s="537"/>
      <c r="KKJ161" s="537"/>
      <c r="KKK161" s="537"/>
      <c r="KKL161" s="537"/>
      <c r="KKM161" s="537"/>
      <c r="KKN161" s="537"/>
      <c r="KKO161" s="537"/>
      <c r="KKP161" s="537"/>
      <c r="KKQ161" s="537"/>
      <c r="KKR161" s="537"/>
      <c r="KKS161" s="537"/>
      <c r="KKT161" s="537"/>
      <c r="KKU161" s="537"/>
      <c r="KKV161" s="537"/>
      <c r="KKW161" s="537"/>
      <c r="KKX161" s="537"/>
      <c r="KKY161" s="537"/>
      <c r="KKZ161" s="537"/>
      <c r="KLA161" s="537"/>
      <c r="KLB161" s="537"/>
      <c r="KLC161" s="537"/>
      <c r="KLD161" s="537"/>
      <c r="KLE161" s="537"/>
      <c r="KLF161" s="537"/>
      <c r="KLG161" s="537"/>
      <c r="KLH161" s="537"/>
      <c r="KLI161" s="537"/>
      <c r="KLJ161" s="537"/>
      <c r="KLK161" s="537"/>
      <c r="KLL161" s="537"/>
      <c r="KLM161" s="537"/>
      <c r="KLN161" s="537"/>
      <c r="KLO161" s="537"/>
      <c r="KLP161" s="537"/>
      <c r="KLQ161" s="537"/>
      <c r="KLR161" s="537"/>
      <c r="KLS161" s="537"/>
      <c r="KLT161" s="537"/>
      <c r="KLU161" s="537"/>
      <c r="KLV161" s="537"/>
      <c r="KLW161" s="537"/>
      <c r="KLX161" s="537"/>
      <c r="KLY161" s="537"/>
      <c r="KLZ161" s="537"/>
      <c r="KMA161" s="537"/>
      <c r="KMB161" s="537"/>
      <c r="KMC161" s="537"/>
      <c r="KMD161" s="537"/>
      <c r="KME161" s="537"/>
      <c r="KMF161" s="537"/>
      <c r="KMG161" s="537"/>
      <c r="KMH161" s="537"/>
      <c r="KMI161" s="537"/>
      <c r="KMJ161" s="537"/>
      <c r="KMK161" s="537"/>
      <c r="KML161" s="537"/>
      <c r="KMM161" s="537"/>
      <c r="KMN161" s="537"/>
      <c r="KMO161" s="537"/>
      <c r="KMP161" s="537"/>
      <c r="KMQ161" s="537"/>
      <c r="KMR161" s="537"/>
      <c r="KMS161" s="537"/>
      <c r="KMT161" s="537"/>
      <c r="KMU161" s="537"/>
      <c r="KMV161" s="537"/>
      <c r="KMW161" s="537"/>
      <c r="KMX161" s="537"/>
      <c r="KMY161" s="537"/>
      <c r="KMZ161" s="537"/>
      <c r="KNA161" s="537"/>
      <c r="KNB161" s="537"/>
      <c r="KNC161" s="537"/>
      <c r="KND161" s="537"/>
      <c r="KNE161" s="537"/>
      <c r="KNF161" s="537"/>
      <c r="KNG161" s="537"/>
      <c r="KNH161" s="537"/>
      <c r="KNI161" s="537"/>
      <c r="KNJ161" s="537"/>
      <c r="KNK161" s="537"/>
      <c r="KNL161" s="537"/>
      <c r="KNM161" s="537"/>
      <c r="KNN161" s="537"/>
      <c r="KNO161" s="537"/>
      <c r="KNP161" s="537"/>
      <c r="KNQ161" s="537"/>
      <c r="KNR161" s="537"/>
      <c r="KNS161" s="537"/>
      <c r="KNT161" s="537"/>
      <c r="KNU161" s="537"/>
      <c r="KNV161" s="537"/>
      <c r="KNW161" s="537"/>
      <c r="KNX161" s="537"/>
      <c r="KNY161" s="537"/>
      <c r="KNZ161" s="537"/>
      <c r="KOA161" s="537"/>
      <c r="KOB161" s="537"/>
      <c r="KOC161" s="537"/>
      <c r="KOD161" s="537"/>
      <c r="KOE161" s="537"/>
      <c r="KOF161" s="537"/>
      <c r="KOG161" s="537"/>
      <c r="KOH161" s="537"/>
      <c r="KOI161" s="537"/>
      <c r="KOJ161" s="537"/>
      <c r="KOK161" s="537"/>
      <c r="KOL161" s="537"/>
      <c r="KOM161" s="537"/>
      <c r="KON161" s="537"/>
      <c r="KOO161" s="537"/>
      <c r="KOP161" s="537"/>
      <c r="KOQ161" s="537"/>
      <c r="KOR161" s="537"/>
      <c r="KOS161" s="537"/>
      <c r="KOT161" s="537"/>
      <c r="KOU161" s="537"/>
      <c r="KOV161" s="537"/>
      <c r="KOW161" s="537"/>
      <c r="KOX161" s="537"/>
      <c r="KOY161" s="537"/>
      <c r="KOZ161" s="537"/>
      <c r="KPA161" s="537"/>
      <c r="KPB161" s="537"/>
      <c r="KPC161" s="537"/>
      <c r="KPD161" s="537"/>
      <c r="KPE161" s="537"/>
      <c r="KPF161" s="537"/>
      <c r="KPG161" s="537"/>
      <c r="KPH161" s="537"/>
      <c r="KPI161" s="537"/>
      <c r="KPJ161" s="537"/>
      <c r="KPK161" s="537"/>
      <c r="KPL161" s="537"/>
      <c r="KPM161" s="537"/>
      <c r="KPN161" s="537"/>
      <c r="KPO161" s="537"/>
      <c r="KPP161" s="537"/>
      <c r="KPQ161" s="537"/>
      <c r="KPR161" s="537"/>
      <c r="KPS161" s="537"/>
      <c r="KPT161" s="537"/>
      <c r="KPU161" s="537"/>
      <c r="KPV161" s="537"/>
      <c r="KPW161" s="537"/>
      <c r="KPX161" s="537"/>
      <c r="KPY161" s="537"/>
      <c r="KPZ161" s="537"/>
      <c r="KQA161" s="537"/>
      <c r="KQB161" s="537"/>
      <c r="KQC161" s="537"/>
      <c r="KQD161" s="537"/>
      <c r="KQE161" s="537"/>
      <c r="KQF161" s="537"/>
      <c r="KQG161" s="537"/>
      <c r="KQH161" s="537"/>
      <c r="KQI161" s="537"/>
      <c r="KQJ161" s="537"/>
      <c r="KQK161" s="537"/>
      <c r="KQL161" s="537"/>
      <c r="KQM161" s="537"/>
      <c r="KQN161" s="537"/>
      <c r="KQO161" s="537"/>
      <c r="KQP161" s="537"/>
      <c r="KQQ161" s="537"/>
      <c r="KQR161" s="537"/>
      <c r="KQS161" s="537"/>
      <c r="KQT161" s="537"/>
      <c r="KQU161" s="537"/>
      <c r="KQV161" s="537"/>
      <c r="KQW161" s="537"/>
      <c r="KQX161" s="537"/>
      <c r="KQY161" s="537"/>
      <c r="KQZ161" s="537"/>
      <c r="KRA161" s="537"/>
      <c r="KRB161" s="537"/>
      <c r="KRC161" s="537"/>
      <c r="KRD161" s="537"/>
      <c r="KRE161" s="537"/>
      <c r="KRF161" s="537"/>
      <c r="KRG161" s="537"/>
      <c r="KRH161" s="537"/>
      <c r="KRI161" s="537"/>
      <c r="KRJ161" s="537"/>
      <c r="KRK161" s="537"/>
      <c r="KRL161" s="537"/>
      <c r="KRM161" s="537"/>
      <c r="KRN161" s="537"/>
      <c r="KRO161" s="537"/>
      <c r="KRP161" s="537"/>
      <c r="KRQ161" s="537"/>
      <c r="KRR161" s="537"/>
      <c r="KRS161" s="537"/>
      <c r="KRT161" s="537"/>
      <c r="KRU161" s="537"/>
      <c r="KRV161" s="537"/>
      <c r="KRW161" s="537"/>
      <c r="KRX161" s="537"/>
      <c r="KRY161" s="537"/>
      <c r="KRZ161" s="537"/>
      <c r="KSA161" s="537"/>
      <c r="KSB161" s="537"/>
      <c r="KSC161" s="537"/>
      <c r="KSD161" s="537"/>
      <c r="KSE161" s="537"/>
      <c r="KSF161" s="537"/>
      <c r="KSG161" s="537"/>
      <c r="KSH161" s="537"/>
      <c r="KSI161" s="537"/>
      <c r="KSJ161" s="537"/>
      <c r="KSK161" s="537"/>
      <c r="KSL161" s="537"/>
      <c r="KSM161" s="537"/>
      <c r="KSN161" s="537"/>
      <c r="KSO161" s="537"/>
      <c r="KSP161" s="537"/>
      <c r="KSQ161" s="537"/>
      <c r="KSR161" s="537"/>
      <c r="KSS161" s="537"/>
      <c r="KST161" s="537"/>
      <c r="KSU161" s="537"/>
      <c r="KSV161" s="537"/>
      <c r="KSW161" s="537"/>
      <c r="KSX161" s="537"/>
      <c r="KSY161" s="537"/>
      <c r="KSZ161" s="537"/>
      <c r="KTA161" s="537"/>
      <c r="KTB161" s="537"/>
      <c r="KTC161" s="537"/>
      <c r="KTD161" s="537"/>
      <c r="KTE161" s="537"/>
      <c r="KTF161" s="537"/>
      <c r="KTG161" s="537"/>
      <c r="KTH161" s="537"/>
      <c r="KTI161" s="537"/>
      <c r="KTJ161" s="537"/>
      <c r="KTK161" s="537"/>
      <c r="KTL161" s="537"/>
      <c r="KTM161" s="537"/>
      <c r="KTN161" s="537"/>
      <c r="KTO161" s="537"/>
      <c r="KTP161" s="537"/>
      <c r="KTQ161" s="537"/>
      <c r="KTR161" s="537"/>
      <c r="KTS161" s="537"/>
      <c r="KTT161" s="537"/>
      <c r="KTU161" s="537"/>
      <c r="KTV161" s="537"/>
      <c r="KTW161" s="537"/>
      <c r="KTX161" s="537"/>
      <c r="KTY161" s="537"/>
      <c r="KTZ161" s="537"/>
      <c r="KUA161" s="537"/>
      <c r="KUB161" s="537"/>
      <c r="KUC161" s="537"/>
      <c r="KUD161" s="537"/>
      <c r="KUE161" s="537"/>
      <c r="KUF161" s="537"/>
      <c r="KUG161" s="537"/>
      <c r="KUH161" s="537"/>
      <c r="KUI161" s="537"/>
      <c r="KUJ161" s="537"/>
      <c r="KUK161" s="537"/>
      <c r="KUL161" s="537"/>
      <c r="KUM161" s="537"/>
      <c r="KUN161" s="537"/>
      <c r="KUO161" s="537"/>
      <c r="KUP161" s="537"/>
      <c r="KUQ161" s="537"/>
      <c r="KUR161" s="537"/>
      <c r="KUS161" s="537"/>
      <c r="KUT161" s="537"/>
      <c r="KUU161" s="537"/>
      <c r="KUV161" s="537"/>
      <c r="KUW161" s="537"/>
      <c r="KUX161" s="537"/>
      <c r="KUY161" s="537"/>
      <c r="KUZ161" s="537"/>
      <c r="KVA161" s="537"/>
      <c r="KVB161" s="537"/>
      <c r="KVC161" s="537"/>
      <c r="KVD161" s="537"/>
      <c r="KVE161" s="537"/>
      <c r="KVF161" s="537"/>
      <c r="KVG161" s="537"/>
      <c r="KVH161" s="537"/>
      <c r="KVI161" s="537"/>
      <c r="KVJ161" s="537"/>
      <c r="KVK161" s="537"/>
      <c r="KVL161" s="537"/>
      <c r="KVM161" s="537"/>
      <c r="KVN161" s="537"/>
      <c r="KVO161" s="537"/>
      <c r="KVP161" s="537"/>
      <c r="KVQ161" s="537"/>
      <c r="KVR161" s="537"/>
      <c r="KVS161" s="537"/>
      <c r="KVT161" s="537"/>
      <c r="KVU161" s="537"/>
      <c r="KVV161" s="537"/>
      <c r="KVW161" s="537"/>
      <c r="KVX161" s="537"/>
      <c r="KVY161" s="537"/>
      <c r="KVZ161" s="537"/>
      <c r="KWA161" s="537"/>
      <c r="KWB161" s="537"/>
      <c r="KWC161" s="537"/>
      <c r="KWD161" s="537"/>
      <c r="KWE161" s="537"/>
      <c r="KWF161" s="537"/>
      <c r="KWG161" s="537"/>
      <c r="KWH161" s="537"/>
      <c r="KWI161" s="537"/>
      <c r="KWJ161" s="537"/>
      <c r="KWK161" s="537"/>
      <c r="KWL161" s="537"/>
      <c r="KWM161" s="537"/>
      <c r="KWN161" s="537"/>
      <c r="KWO161" s="537"/>
      <c r="KWP161" s="537"/>
      <c r="KWQ161" s="537"/>
      <c r="KWR161" s="537"/>
      <c r="KWS161" s="537"/>
      <c r="KWT161" s="537"/>
      <c r="KWU161" s="537"/>
      <c r="KWV161" s="537"/>
      <c r="KWW161" s="537"/>
      <c r="KWX161" s="537"/>
      <c r="KWY161" s="537"/>
      <c r="KWZ161" s="537"/>
      <c r="KXA161" s="537"/>
      <c r="KXB161" s="537"/>
      <c r="KXC161" s="537"/>
      <c r="KXD161" s="537"/>
      <c r="KXE161" s="537"/>
      <c r="KXF161" s="537"/>
      <c r="KXG161" s="537"/>
      <c r="KXH161" s="537"/>
      <c r="KXI161" s="537"/>
      <c r="KXJ161" s="537"/>
      <c r="KXK161" s="537"/>
      <c r="KXL161" s="537"/>
      <c r="KXM161" s="537"/>
      <c r="KXN161" s="537"/>
      <c r="KXO161" s="537"/>
      <c r="KXP161" s="537"/>
      <c r="KXQ161" s="537"/>
      <c r="KXR161" s="537"/>
      <c r="KXS161" s="537"/>
      <c r="KXT161" s="537"/>
      <c r="KXU161" s="537"/>
      <c r="KXV161" s="537"/>
      <c r="KXW161" s="537"/>
      <c r="KXX161" s="537"/>
      <c r="KXY161" s="537"/>
      <c r="KXZ161" s="537"/>
      <c r="KYA161" s="537"/>
      <c r="KYB161" s="537"/>
      <c r="KYC161" s="537"/>
      <c r="KYD161" s="537"/>
      <c r="KYE161" s="537"/>
      <c r="KYF161" s="537"/>
      <c r="KYG161" s="537"/>
      <c r="KYH161" s="537"/>
      <c r="KYI161" s="537"/>
      <c r="KYJ161" s="537"/>
      <c r="KYK161" s="537"/>
      <c r="KYL161" s="537"/>
      <c r="KYM161" s="537"/>
      <c r="KYN161" s="537"/>
      <c r="KYO161" s="537"/>
      <c r="KYP161" s="537"/>
      <c r="KYQ161" s="537"/>
      <c r="KYR161" s="537"/>
      <c r="KYS161" s="537"/>
      <c r="KYT161" s="537"/>
      <c r="KYU161" s="537"/>
      <c r="KYV161" s="537"/>
      <c r="KYW161" s="537"/>
      <c r="KYX161" s="537"/>
      <c r="KYY161" s="537"/>
      <c r="KYZ161" s="537"/>
      <c r="KZA161" s="537"/>
      <c r="KZB161" s="537"/>
      <c r="KZC161" s="537"/>
      <c r="KZD161" s="537"/>
      <c r="KZE161" s="537"/>
      <c r="KZF161" s="537"/>
      <c r="KZG161" s="537"/>
      <c r="KZH161" s="537"/>
      <c r="KZI161" s="537"/>
      <c r="KZJ161" s="537"/>
      <c r="KZK161" s="537"/>
      <c r="KZL161" s="537"/>
      <c r="KZM161" s="537"/>
      <c r="KZN161" s="537"/>
      <c r="KZO161" s="537"/>
      <c r="KZP161" s="537"/>
      <c r="KZQ161" s="537"/>
      <c r="KZR161" s="537"/>
      <c r="KZS161" s="537"/>
      <c r="KZT161" s="537"/>
      <c r="KZU161" s="537"/>
      <c r="KZV161" s="537"/>
      <c r="KZW161" s="537"/>
      <c r="KZX161" s="537"/>
      <c r="KZY161" s="537"/>
      <c r="KZZ161" s="537"/>
      <c r="LAA161" s="537"/>
      <c r="LAB161" s="537"/>
      <c r="LAC161" s="537"/>
      <c r="LAD161" s="537"/>
      <c r="LAE161" s="537"/>
      <c r="LAF161" s="537"/>
      <c r="LAG161" s="537"/>
      <c r="LAH161" s="537"/>
      <c r="LAI161" s="537"/>
      <c r="LAJ161" s="537"/>
      <c r="LAK161" s="537"/>
      <c r="LAL161" s="537"/>
      <c r="LAM161" s="537"/>
      <c r="LAN161" s="537"/>
      <c r="LAO161" s="537"/>
      <c r="LAP161" s="537"/>
      <c r="LAQ161" s="537"/>
      <c r="LAR161" s="537"/>
      <c r="LAS161" s="537"/>
      <c r="LAT161" s="537"/>
      <c r="LAU161" s="537"/>
      <c r="LAV161" s="537"/>
      <c r="LAW161" s="537"/>
      <c r="LAX161" s="537"/>
      <c r="LAY161" s="537"/>
      <c r="LAZ161" s="537"/>
      <c r="LBA161" s="537"/>
      <c r="LBB161" s="537"/>
      <c r="LBC161" s="537"/>
      <c r="LBD161" s="537"/>
      <c r="LBE161" s="537"/>
      <c r="LBF161" s="537"/>
      <c r="LBG161" s="537"/>
      <c r="LBH161" s="537"/>
      <c r="LBI161" s="537"/>
      <c r="LBJ161" s="537"/>
      <c r="LBK161" s="537"/>
      <c r="LBL161" s="537"/>
      <c r="LBM161" s="537"/>
      <c r="LBN161" s="537"/>
      <c r="LBO161" s="537"/>
      <c r="LBP161" s="537"/>
      <c r="LBQ161" s="537"/>
      <c r="LBR161" s="537"/>
      <c r="LBS161" s="537"/>
      <c r="LBT161" s="537"/>
      <c r="LBU161" s="537"/>
      <c r="LBV161" s="537"/>
      <c r="LBW161" s="537"/>
      <c r="LBX161" s="537"/>
      <c r="LBY161" s="537"/>
      <c r="LBZ161" s="537"/>
      <c r="LCA161" s="537"/>
      <c r="LCB161" s="537"/>
      <c r="LCC161" s="537"/>
      <c r="LCD161" s="537"/>
      <c r="LCE161" s="537"/>
      <c r="LCF161" s="537"/>
      <c r="LCG161" s="537"/>
      <c r="LCH161" s="537"/>
      <c r="LCI161" s="537"/>
      <c r="LCJ161" s="537"/>
      <c r="LCK161" s="537"/>
      <c r="LCL161" s="537"/>
      <c r="LCM161" s="537"/>
      <c r="LCN161" s="537"/>
      <c r="LCO161" s="537"/>
      <c r="LCP161" s="537"/>
      <c r="LCQ161" s="537"/>
      <c r="LCR161" s="537"/>
      <c r="LCS161" s="537"/>
      <c r="LCT161" s="537"/>
      <c r="LCU161" s="537"/>
      <c r="LCV161" s="537"/>
      <c r="LCW161" s="537"/>
      <c r="LCX161" s="537"/>
      <c r="LCY161" s="537"/>
      <c r="LCZ161" s="537"/>
      <c r="LDA161" s="537"/>
      <c r="LDB161" s="537"/>
      <c r="LDC161" s="537"/>
      <c r="LDD161" s="537"/>
      <c r="LDE161" s="537"/>
      <c r="LDF161" s="537"/>
      <c r="LDG161" s="537"/>
      <c r="LDH161" s="537"/>
      <c r="LDI161" s="537"/>
      <c r="LDJ161" s="537"/>
      <c r="LDK161" s="537"/>
      <c r="LDL161" s="537"/>
      <c r="LDM161" s="537"/>
      <c r="LDN161" s="537"/>
      <c r="LDO161" s="537"/>
      <c r="LDP161" s="537"/>
      <c r="LDQ161" s="537"/>
      <c r="LDR161" s="537"/>
      <c r="LDS161" s="537"/>
      <c r="LDT161" s="537"/>
      <c r="LDU161" s="537"/>
      <c r="LDV161" s="537"/>
      <c r="LDW161" s="537"/>
      <c r="LDX161" s="537"/>
      <c r="LDY161" s="537"/>
      <c r="LDZ161" s="537"/>
      <c r="LEA161" s="537"/>
      <c r="LEB161" s="537"/>
      <c r="LEC161" s="537"/>
      <c r="LED161" s="537"/>
      <c r="LEE161" s="537"/>
      <c r="LEF161" s="537"/>
      <c r="LEG161" s="537"/>
      <c r="LEH161" s="537"/>
      <c r="LEI161" s="537"/>
      <c r="LEJ161" s="537"/>
      <c r="LEK161" s="537"/>
      <c r="LEL161" s="537"/>
      <c r="LEM161" s="537"/>
      <c r="LEN161" s="537"/>
      <c r="LEO161" s="537"/>
      <c r="LEP161" s="537"/>
      <c r="LEQ161" s="537"/>
      <c r="LER161" s="537"/>
      <c r="LES161" s="537"/>
      <c r="LET161" s="537"/>
      <c r="LEU161" s="537"/>
      <c r="LEV161" s="537"/>
      <c r="LEW161" s="537"/>
      <c r="LEX161" s="537"/>
      <c r="LEY161" s="537"/>
      <c r="LEZ161" s="537"/>
      <c r="LFA161" s="537"/>
      <c r="LFB161" s="537"/>
      <c r="LFC161" s="537"/>
      <c r="LFD161" s="537"/>
      <c r="LFE161" s="537"/>
      <c r="LFF161" s="537"/>
      <c r="LFG161" s="537"/>
      <c r="LFH161" s="537"/>
      <c r="LFI161" s="537"/>
      <c r="LFJ161" s="537"/>
      <c r="LFK161" s="537"/>
      <c r="LFL161" s="537"/>
      <c r="LFM161" s="537"/>
      <c r="LFN161" s="537"/>
      <c r="LFO161" s="537"/>
      <c r="LFP161" s="537"/>
      <c r="LFQ161" s="537"/>
      <c r="LFR161" s="537"/>
      <c r="LFS161" s="537"/>
      <c r="LFT161" s="537"/>
      <c r="LFU161" s="537"/>
      <c r="LFV161" s="537"/>
      <c r="LFW161" s="537"/>
      <c r="LFX161" s="537"/>
      <c r="LFY161" s="537"/>
      <c r="LFZ161" s="537"/>
      <c r="LGA161" s="537"/>
      <c r="LGB161" s="537"/>
      <c r="LGC161" s="537"/>
      <c r="LGD161" s="537"/>
      <c r="LGE161" s="537"/>
      <c r="LGF161" s="537"/>
      <c r="LGG161" s="537"/>
      <c r="LGH161" s="537"/>
      <c r="LGI161" s="537"/>
      <c r="LGJ161" s="537"/>
      <c r="LGK161" s="537"/>
      <c r="LGL161" s="537"/>
      <c r="LGM161" s="537"/>
      <c r="LGN161" s="537"/>
      <c r="LGO161" s="537"/>
      <c r="LGP161" s="537"/>
      <c r="LGQ161" s="537"/>
      <c r="LGR161" s="537"/>
      <c r="LGS161" s="537"/>
      <c r="LGT161" s="537"/>
      <c r="LGU161" s="537"/>
      <c r="LGV161" s="537"/>
      <c r="LGW161" s="537"/>
      <c r="LGX161" s="537"/>
      <c r="LGY161" s="537"/>
      <c r="LGZ161" s="537"/>
      <c r="LHA161" s="537"/>
      <c r="LHB161" s="537"/>
      <c r="LHC161" s="537"/>
      <c r="LHD161" s="537"/>
      <c r="LHE161" s="537"/>
      <c r="LHF161" s="537"/>
      <c r="LHG161" s="537"/>
      <c r="LHH161" s="537"/>
      <c r="LHI161" s="537"/>
      <c r="LHJ161" s="537"/>
      <c r="LHK161" s="537"/>
      <c r="LHL161" s="537"/>
      <c r="LHM161" s="537"/>
      <c r="LHN161" s="537"/>
      <c r="LHO161" s="537"/>
      <c r="LHP161" s="537"/>
      <c r="LHQ161" s="537"/>
      <c r="LHR161" s="537"/>
      <c r="LHS161" s="537"/>
      <c r="LHT161" s="537"/>
      <c r="LHU161" s="537"/>
      <c r="LHV161" s="537"/>
      <c r="LHW161" s="537"/>
      <c r="LHX161" s="537"/>
      <c r="LHY161" s="537"/>
      <c r="LHZ161" s="537"/>
      <c r="LIA161" s="537"/>
      <c r="LIB161" s="537"/>
      <c r="LIC161" s="537"/>
      <c r="LID161" s="537"/>
      <c r="LIE161" s="537"/>
      <c r="LIF161" s="537"/>
      <c r="LIG161" s="537"/>
      <c r="LIH161" s="537"/>
      <c r="LII161" s="537"/>
      <c r="LIJ161" s="537"/>
      <c r="LIK161" s="537"/>
      <c r="LIL161" s="537"/>
      <c r="LIM161" s="537"/>
      <c r="LIN161" s="537"/>
      <c r="LIO161" s="537"/>
      <c r="LIP161" s="537"/>
      <c r="LIQ161" s="537"/>
      <c r="LIR161" s="537"/>
      <c r="LIS161" s="537"/>
      <c r="LIT161" s="537"/>
      <c r="LIU161" s="537"/>
      <c r="LIV161" s="537"/>
      <c r="LIW161" s="537"/>
      <c r="LIX161" s="537"/>
      <c r="LIY161" s="537"/>
      <c r="LIZ161" s="537"/>
      <c r="LJA161" s="537"/>
      <c r="LJB161" s="537"/>
      <c r="LJC161" s="537"/>
      <c r="LJD161" s="537"/>
      <c r="LJE161" s="537"/>
      <c r="LJF161" s="537"/>
      <c r="LJG161" s="537"/>
      <c r="LJH161" s="537"/>
      <c r="LJI161" s="537"/>
      <c r="LJJ161" s="537"/>
      <c r="LJK161" s="537"/>
      <c r="LJL161" s="537"/>
      <c r="LJM161" s="537"/>
      <c r="LJN161" s="537"/>
      <c r="LJO161" s="537"/>
      <c r="LJP161" s="537"/>
      <c r="LJQ161" s="537"/>
      <c r="LJR161" s="537"/>
      <c r="LJS161" s="537"/>
      <c r="LJT161" s="537"/>
      <c r="LJU161" s="537"/>
      <c r="LJV161" s="537"/>
      <c r="LJW161" s="537"/>
      <c r="LJX161" s="537"/>
      <c r="LJY161" s="537"/>
      <c r="LJZ161" s="537"/>
      <c r="LKA161" s="537"/>
      <c r="LKB161" s="537"/>
      <c r="LKC161" s="537"/>
      <c r="LKD161" s="537"/>
      <c r="LKE161" s="537"/>
      <c r="LKF161" s="537"/>
      <c r="LKG161" s="537"/>
      <c r="LKH161" s="537"/>
      <c r="LKI161" s="537"/>
      <c r="LKJ161" s="537"/>
      <c r="LKK161" s="537"/>
      <c r="LKL161" s="537"/>
      <c r="LKM161" s="537"/>
      <c r="LKN161" s="537"/>
      <c r="LKO161" s="537"/>
      <c r="LKP161" s="537"/>
      <c r="LKQ161" s="537"/>
      <c r="LKR161" s="537"/>
      <c r="LKS161" s="537"/>
      <c r="LKT161" s="537"/>
      <c r="LKU161" s="537"/>
      <c r="LKV161" s="537"/>
      <c r="LKW161" s="537"/>
      <c r="LKX161" s="537"/>
      <c r="LKY161" s="537"/>
      <c r="LKZ161" s="537"/>
      <c r="LLA161" s="537"/>
      <c r="LLB161" s="537"/>
      <c r="LLC161" s="537"/>
      <c r="LLD161" s="537"/>
      <c r="LLE161" s="537"/>
      <c r="LLF161" s="537"/>
      <c r="LLG161" s="537"/>
      <c r="LLH161" s="537"/>
      <c r="LLI161" s="537"/>
      <c r="LLJ161" s="537"/>
      <c r="LLK161" s="537"/>
      <c r="LLL161" s="537"/>
      <c r="LLM161" s="537"/>
      <c r="LLN161" s="537"/>
      <c r="LLO161" s="537"/>
      <c r="LLP161" s="537"/>
      <c r="LLQ161" s="537"/>
      <c r="LLR161" s="537"/>
      <c r="LLS161" s="537"/>
      <c r="LLT161" s="537"/>
      <c r="LLU161" s="537"/>
      <c r="LLV161" s="537"/>
      <c r="LLW161" s="537"/>
      <c r="LLX161" s="537"/>
      <c r="LLY161" s="537"/>
      <c r="LLZ161" s="537"/>
      <c r="LMA161" s="537"/>
      <c r="LMB161" s="537"/>
      <c r="LMC161" s="537"/>
      <c r="LMD161" s="537"/>
      <c r="LME161" s="537"/>
      <c r="LMF161" s="537"/>
      <c r="LMG161" s="537"/>
      <c r="LMH161" s="537"/>
      <c r="LMI161" s="537"/>
      <c r="LMJ161" s="537"/>
      <c r="LMK161" s="537"/>
      <c r="LML161" s="537"/>
      <c r="LMM161" s="537"/>
      <c r="LMN161" s="537"/>
      <c r="LMO161" s="537"/>
      <c r="LMP161" s="537"/>
      <c r="LMQ161" s="537"/>
      <c r="LMR161" s="537"/>
      <c r="LMS161" s="537"/>
      <c r="LMT161" s="537"/>
      <c r="LMU161" s="537"/>
      <c r="LMV161" s="537"/>
      <c r="LMW161" s="537"/>
      <c r="LMX161" s="537"/>
      <c r="LMY161" s="537"/>
      <c r="LMZ161" s="537"/>
      <c r="LNA161" s="537"/>
      <c r="LNB161" s="537"/>
      <c r="LNC161" s="537"/>
      <c r="LND161" s="537"/>
      <c r="LNE161" s="537"/>
      <c r="LNF161" s="537"/>
      <c r="LNG161" s="537"/>
      <c r="LNH161" s="537"/>
      <c r="LNI161" s="537"/>
      <c r="LNJ161" s="537"/>
      <c r="LNK161" s="537"/>
      <c r="LNL161" s="537"/>
      <c r="LNM161" s="537"/>
      <c r="LNN161" s="537"/>
      <c r="LNO161" s="537"/>
      <c r="LNP161" s="537"/>
      <c r="LNQ161" s="537"/>
      <c r="LNR161" s="537"/>
      <c r="LNS161" s="537"/>
      <c r="LNT161" s="537"/>
      <c r="LNU161" s="537"/>
      <c r="LNV161" s="537"/>
      <c r="LNW161" s="537"/>
      <c r="LNX161" s="537"/>
      <c r="LNY161" s="537"/>
      <c r="LNZ161" s="537"/>
      <c r="LOA161" s="537"/>
      <c r="LOB161" s="537"/>
      <c r="LOC161" s="537"/>
      <c r="LOD161" s="537"/>
      <c r="LOE161" s="537"/>
      <c r="LOF161" s="537"/>
      <c r="LOG161" s="537"/>
      <c r="LOH161" s="537"/>
      <c r="LOI161" s="537"/>
      <c r="LOJ161" s="537"/>
      <c r="LOK161" s="537"/>
      <c r="LOL161" s="537"/>
      <c r="LOM161" s="537"/>
      <c r="LON161" s="537"/>
      <c r="LOO161" s="537"/>
      <c r="LOP161" s="537"/>
      <c r="LOQ161" s="537"/>
      <c r="LOR161" s="537"/>
      <c r="LOS161" s="537"/>
      <c r="LOT161" s="537"/>
      <c r="LOU161" s="537"/>
      <c r="LOV161" s="537"/>
      <c r="LOW161" s="537"/>
      <c r="LOX161" s="537"/>
      <c r="LOY161" s="537"/>
      <c r="LOZ161" s="537"/>
      <c r="LPA161" s="537"/>
      <c r="LPB161" s="537"/>
      <c r="LPC161" s="537"/>
      <c r="LPD161" s="537"/>
      <c r="LPE161" s="537"/>
      <c r="LPF161" s="537"/>
      <c r="LPG161" s="537"/>
      <c r="LPH161" s="537"/>
      <c r="LPI161" s="537"/>
      <c r="LPJ161" s="537"/>
      <c r="LPK161" s="537"/>
      <c r="LPL161" s="537"/>
      <c r="LPM161" s="537"/>
      <c r="LPN161" s="537"/>
      <c r="LPO161" s="537"/>
      <c r="LPP161" s="537"/>
      <c r="LPQ161" s="537"/>
      <c r="LPR161" s="537"/>
      <c r="LPS161" s="537"/>
      <c r="LPT161" s="537"/>
      <c r="LPU161" s="537"/>
      <c r="LPV161" s="537"/>
      <c r="LPW161" s="537"/>
      <c r="LPX161" s="537"/>
      <c r="LPY161" s="537"/>
      <c r="LPZ161" s="537"/>
      <c r="LQA161" s="537"/>
      <c r="LQB161" s="537"/>
      <c r="LQC161" s="537"/>
      <c r="LQD161" s="537"/>
      <c r="LQE161" s="537"/>
      <c r="LQF161" s="537"/>
      <c r="LQG161" s="537"/>
      <c r="LQH161" s="537"/>
      <c r="LQI161" s="537"/>
      <c r="LQJ161" s="537"/>
      <c r="LQK161" s="537"/>
      <c r="LQL161" s="537"/>
      <c r="LQM161" s="537"/>
      <c r="LQN161" s="537"/>
      <c r="LQO161" s="537"/>
      <c r="LQP161" s="537"/>
      <c r="LQQ161" s="537"/>
      <c r="LQR161" s="537"/>
      <c r="LQS161" s="537"/>
      <c r="LQT161" s="537"/>
      <c r="LQU161" s="537"/>
      <c r="LQV161" s="537"/>
      <c r="LQW161" s="537"/>
      <c r="LQX161" s="537"/>
      <c r="LQY161" s="537"/>
      <c r="LQZ161" s="537"/>
      <c r="LRA161" s="537"/>
      <c r="LRB161" s="537"/>
      <c r="LRC161" s="537"/>
      <c r="LRD161" s="537"/>
      <c r="LRE161" s="537"/>
      <c r="LRF161" s="537"/>
      <c r="LRG161" s="537"/>
      <c r="LRH161" s="537"/>
      <c r="LRI161" s="537"/>
      <c r="LRJ161" s="537"/>
      <c r="LRK161" s="537"/>
      <c r="LRL161" s="537"/>
      <c r="LRM161" s="537"/>
      <c r="LRN161" s="537"/>
      <c r="LRO161" s="537"/>
      <c r="LRP161" s="537"/>
      <c r="LRQ161" s="537"/>
      <c r="LRR161" s="537"/>
      <c r="LRS161" s="537"/>
      <c r="LRT161" s="537"/>
      <c r="LRU161" s="537"/>
      <c r="LRV161" s="537"/>
      <c r="LRW161" s="537"/>
      <c r="LRX161" s="537"/>
      <c r="LRY161" s="537"/>
      <c r="LRZ161" s="537"/>
      <c r="LSA161" s="537"/>
      <c r="LSB161" s="537"/>
      <c r="LSC161" s="537"/>
      <c r="LSD161" s="537"/>
      <c r="LSE161" s="537"/>
      <c r="LSF161" s="537"/>
      <c r="LSG161" s="537"/>
      <c r="LSH161" s="537"/>
      <c r="LSI161" s="537"/>
      <c r="LSJ161" s="537"/>
      <c r="LSK161" s="537"/>
      <c r="LSL161" s="537"/>
      <c r="LSM161" s="537"/>
      <c r="LSN161" s="537"/>
      <c r="LSO161" s="537"/>
      <c r="LSP161" s="537"/>
      <c r="LSQ161" s="537"/>
      <c r="LSR161" s="537"/>
      <c r="LSS161" s="537"/>
      <c r="LST161" s="537"/>
      <c r="LSU161" s="537"/>
      <c r="LSV161" s="537"/>
      <c r="LSW161" s="537"/>
      <c r="LSX161" s="537"/>
      <c r="LSY161" s="537"/>
      <c r="LSZ161" s="537"/>
      <c r="LTA161" s="537"/>
      <c r="LTB161" s="537"/>
      <c r="LTC161" s="537"/>
      <c r="LTD161" s="537"/>
      <c r="LTE161" s="537"/>
      <c r="LTF161" s="537"/>
      <c r="LTG161" s="537"/>
      <c r="LTH161" s="537"/>
      <c r="LTI161" s="537"/>
      <c r="LTJ161" s="537"/>
      <c r="LTK161" s="537"/>
      <c r="LTL161" s="537"/>
      <c r="LTM161" s="537"/>
      <c r="LTN161" s="537"/>
      <c r="LTO161" s="537"/>
      <c r="LTP161" s="537"/>
      <c r="LTQ161" s="537"/>
      <c r="LTR161" s="537"/>
      <c r="LTS161" s="537"/>
      <c r="LTT161" s="537"/>
      <c r="LTU161" s="537"/>
      <c r="LTV161" s="537"/>
      <c r="LTW161" s="537"/>
      <c r="LTX161" s="537"/>
      <c r="LTY161" s="537"/>
      <c r="LTZ161" s="537"/>
      <c r="LUA161" s="537"/>
      <c r="LUB161" s="537"/>
      <c r="LUC161" s="537"/>
      <c r="LUD161" s="537"/>
      <c r="LUE161" s="537"/>
      <c r="LUF161" s="537"/>
      <c r="LUG161" s="537"/>
      <c r="LUH161" s="537"/>
      <c r="LUI161" s="537"/>
      <c r="LUJ161" s="537"/>
      <c r="LUK161" s="537"/>
      <c r="LUL161" s="537"/>
      <c r="LUM161" s="537"/>
      <c r="LUN161" s="537"/>
      <c r="LUO161" s="537"/>
      <c r="LUP161" s="537"/>
      <c r="LUQ161" s="537"/>
      <c r="LUR161" s="537"/>
      <c r="LUS161" s="537"/>
      <c r="LUT161" s="537"/>
      <c r="LUU161" s="537"/>
      <c r="LUV161" s="537"/>
      <c r="LUW161" s="537"/>
      <c r="LUX161" s="537"/>
      <c r="LUY161" s="537"/>
      <c r="LUZ161" s="537"/>
      <c r="LVA161" s="537"/>
      <c r="LVB161" s="537"/>
      <c r="LVC161" s="537"/>
      <c r="LVD161" s="537"/>
      <c r="LVE161" s="537"/>
      <c r="LVF161" s="537"/>
      <c r="LVG161" s="537"/>
      <c r="LVH161" s="537"/>
      <c r="LVI161" s="537"/>
      <c r="LVJ161" s="537"/>
      <c r="LVK161" s="537"/>
      <c r="LVL161" s="537"/>
      <c r="LVM161" s="537"/>
      <c r="LVN161" s="537"/>
      <c r="LVO161" s="537"/>
      <c r="LVP161" s="537"/>
      <c r="LVQ161" s="537"/>
      <c r="LVR161" s="537"/>
      <c r="LVS161" s="537"/>
      <c r="LVT161" s="537"/>
      <c r="LVU161" s="537"/>
      <c r="LVV161" s="537"/>
      <c r="LVW161" s="537"/>
      <c r="LVX161" s="537"/>
      <c r="LVY161" s="537"/>
      <c r="LVZ161" s="537"/>
      <c r="LWA161" s="537"/>
      <c r="LWB161" s="537"/>
      <c r="LWC161" s="537"/>
      <c r="LWD161" s="537"/>
      <c r="LWE161" s="537"/>
      <c r="LWF161" s="537"/>
      <c r="LWG161" s="537"/>
      <c r="LWH161" s="537"/>
      <c r="LWI161" s="537"/>
      <c r="LWJ161" s="537"/>
      <c r="LWK161" s="537"/>
      <c r="LWL161" s="537"/>
      <c r="LWM161" s="537"/>
      <c r="LWN161" s="537"/>
      <c r="LWO161" s="537"/>
      <c r="LWP161" s="537"/>
      <c r="LWQ161" s="537"/>
      <c r="LWR161" s="537"/>
      <c r="LWS161" s="537"/>
      <c r="LWT161" s="537"/>
      <c r="LWU161" s="537"/>
      <c r="LWV161" s="537"/>
      <c r="LWW161" s="537"/>
      <c r="LWX161" s="537"/>
      <c r="LWY161" s="537"/>
      <c r="LWZ161" s="537"/>
      <c r="LXA161" s="537"/>
      <c r="LXB161" s="537"/>
      <c r="LXC161" s="537"/>
      <c r="LXD161" s="537"/>
      <c r="LXE161" s="537"/>
      <c r="LXF161" s="537"/>
      <c r="LXG161" s="537"/>
      <c r="LXH161" s="537"/>
      <c r="LXI161" s="537"/>
      <c r="LXJ161" s="537"/>
      <c r="LXK161" s="537"/>
      <c r="LXL161" s="537"/>
      <c r="LXM161" s="537"/>
      <c r="LXN161" s="537"/>
      <c r="LXO161" s="537"/>
      <c r="LXP161" s="537"/>
      <c r="LXQ161" s="537"/>
      <c r="LXR161" s="537"/>
      <c r="LXS161" s="537"/>
      <c r="LXT161" s="537"/>
      <c r="LXU161" s="537"/>
      <c r="LXV161" s="537"/>
      <c r="LXW161" s="537"/>
      <c r="LXX161" s="537"/>
      <c r="LXY161" s="537"/>
      <c r="LXZ161" s="537"/>
      <c r="LYA161" s="537"/>
      <c r="LYB161" s="537"/>
      <c r="LYC161" s="537"/>
      <c r="LYD161" s="537"/>
      <c r="LYE161" s="537"/>
      <c r="LYF161" s="537"/>
      <c r="LYG161" s="537"/>
      <c r="LYH161" s="537"/>
      <c r="LYI161" s="537"/>
      <c r="LYJ161" s="537"/>
      <c r="LYK161" s="537"/>
      <c r="LYL161" s="537"/>
      <c r="LYM161" s="537"/>
      <c r="LYN161" s="537"/>
      <c r="LYO161" s="537"/>
      <c r="LYP161" s="537"/>
      <c r="LYQ161" s="537"/>
      <c r="LYR161" s="537"/>
      <c r="LYS161" s="537"/>
      <c r="LYT161" s="537"/>
      <c r="LYU161" s="537"/>
      <c r="LYV161" s="537"/>
      <c r="LYW161" s="537"/>
      <c r="LYX161" s="537"/>
      <c r="LYY161" s="537"/>
      <c r="LYZ161" s="537"/>
      <c r="LZA161" s="537"/>
      <c r="LZB161" s="537"/>
      <c r="LZC161" s="537"/>
      <c r="LZD161" s="537"/>
      <c r="LZE161" s="537"/>
      <c r="LZF161" s="537"/>
      <c r="LZG161" s="537"/>
      <c r="LZH161" s="537"/>
      <c r="LZI161" s="537"/>
      <c r="LZJ161" s="537"/>
      <c r="LZK161" s="537"/>
      <c r="LZL161" s="537"/>
      <c r="LZM161" s="537"/>
      <c r="LZN161" s="537"/>
      <c r="LZO161" s="537"/>
      <c r="LZP161" s="537"/>
      <c r="LZQ161" s="537"/>
      <c r="LZR161" s="537"/>
      <c r="LZS161" s="537"/>
      <c r="LZT161" s="537"/>
      <c r="LZU161" s="537"/>
      <c r="LZV161" s="537"/>
      <c r="LZW161" s="537"/>
      <c r="LZX161" s="537"/>
      <c r="LZY161" s="537"/>
      <c r="LZZ161" s="537"/>
      <c r="MAA161" s="537"/>
      <c r="MAB161" s="537"/>
      <c r="MAC161" s="537"/>
      <c r="MAD161" s="537"/>
      <c r="MAE161" s="537"/>
      <c r="MAF161" s="537"/>
      <c r="MAG161" s="537"/>
      <c r="MAH161" s="537"/>
      <c r="MAI161" s="537"/>
      <c r="MAJ161" s="537"/>
      <c r="MAK161" s="537"/>
      <c r="MAL161" s="537"/>
      <c r="MAM161" s="537"/>
      <c r="MAN161" s="537"/>
      <c r="MAO161" s="537"/>
      <c r="MAP161" s="537"/>
      <c r="MAQ161" s="537"/>
      <c r="MAR161" s="537"/>
      <c r="MAS161" s="537"/>
      <c r="MAT161" s="537"/>
      <c r="MAU161" s="537"/>
      <c r="MAV161" s="537"/>
      <c r="MAW161" s="537"/>
      <c r="MAX161" s="537"/>
      <c r="MAY161" s="537"/>
      <c r="MAZ161" s="537"/>
      <c r="MBA161" s="537"/>
      <c r="MBB161" s="537"/>
      <c r="MBC161" s="537"/>
      <c r="MBD161" s="537"/>
      <c r="MBE161" s="537"/>
      <c r="MBF161" s="537"/>
      <c r="MBG161" s="537"/>
      <c r="MBH161" s="537"/>
      <c r="MBI161" s="537"/>
      <c r="MBJ161" s="537"/>
      <c r="MBK161" s="537"/>
      <c r="MBL161" s="537"/>
      <c r="MBM161" s="537"/>
      <c r="MBN161" s="537"/>
      <c r="MBO161" s="537"/>
      <c r="MBP161" s="537"/>
      <c r="MBQ161" s="537"/>
      <c r="MBR161" s="537"/>
      <c r="MBS161" s="537"/>
      <c r="MBT161" s="537"/>
      <c r="MBU161" s="537"/>
      <c r="MBV161" s="537"/>
      <c r="MBW161" s="537"/>
      <c r="MBX161" s="537"/>
      <c r="MBY161" s="537"/>
      <c r="MBZ161" s="537"/>
      <c r="MCA161" s="537"/>
      <c r="MCB161" s="537"/>
      <c r="MCC161" s="537"/>
      <c r="MCD161" s="537"/>
      <c r="MCE161" s="537"/>
      <c r="MCF161" s="537"/>
      <c r="MCG161" s="537"/>
      <c r="MCH161" s="537"/>
      <c r="MCI161" s="537"/>
      <c r="MCJ161" s="537"/>
      <c r="MCK161" s="537"/>
      <c r="MCL161" s="537"/>
      <c r="MCM161" s="537"/>
      <c r="MCN161" s="537"/>
      <c r="MCO161" s="537"/>
      <c r="MCP161" s="537"/>
      <c r="MCQ161" s="537"/>
      <c r="MCR161" s="537"/>
      <c r="MCS161" s="537"/>
      <c r="MCT161" s="537"/>
      <c r="MCU161" s="537"/>
      <c r="MCV161" s="537"/>
      <c r="MCW161" s="537"/>
      <c r="MCX161" s="537"/>
      <c r="MCY161" s="537"/>
      <c r="MCZ161" s="537"/>
      <c r="MDA161" s="537"/>
      <c r="MDB161" s="537"/>
      <c r="MDC161" s="537"/>
      <c r="MDD161" s="537"/>
      <c r="MDE161" s="537"/>
      <c r="MDF161" s="537"/>
      <c r="MDG161" s="537"/>
      <c r="MDH161" s="537"/>
      <c r="MDI161" s="537"/>
      <c r="MDJ161" s="537"/>
      <c r="MDK161" s="537"/>
      <c r="MDL161" s="537"/>
      <c r="MDM161" s="537"/>
      <c r="MDN161" s="537"/>
      <c r="MDO161" s="537"/>
      <c r="MDP161" s="537"/>
      <c r="MDQ161" s="537"/>
      <c r="MDR161" s="537"/>
      <c r="MDS161" s="537"/>
      <c r="MDT161" s="537"/>
      <c r="MDU161" s="537"/>
      <c r="MDV161" s="537"/>
      <c r="MDW161" s="537"/>
      <c r="MDX161" s="537"/>
      <c r="MDY161" s="537"/>
      <c r="MDZ161" s="537"/>
      <c r="MEA161" s="537"/>
      <c r="MEB161" s="537"/>
      <c r="MEC161" s="537"/>
      <c r="MED161" s="537"/>
      <c r="MEE161" s="537"/>
      <c r="MEF161" s="537"/>
      <c r="MEG161" s="537"/>
      <c r="MEH161" s="537"/>
      <c r="MEI161" s="537"/>
      <c r="MEJ161" s="537"/>
      <c r="MEK161" s="537"/>
      <c r="MEL161" s="537"/>
      <c r="MEM161" s="537"/>
      <c r="MEN161" s="537"/>
      <c r="MEO161" s="537"/>
      <c r="MEP161" s="537"/>
      <c r="MEQ161" s="537"/>
      <c r="MER161" s="537"/>
      <c r="MES161" s="537"/>
      <c r="MET161" s="537"/>
      <c r="MEU161" s="537"/>
      <c r="MEV161" s="537"/>
      <c r="MEW161" s="537"/>
      <c r="MEX161" s="537"/>
      <c r="MEY161" s="537"/>
      <c r="MEZ161" s="537"/>
      <c r="MFA161" s="537"/>
      <c r="MFB161" s="537"/>
      <c r="MFC161" s="537"/>
      <c r="MFD161" s="537"/>
      <c r="MFE161" s="537"/>
      <c r="MFF161" s="537"/>
      <c r="MFG161" s="537"/>
      <c r="MFH161" s="537"/>
      <c r="MFI161" s="537"/>
      <c r="MFJ161" s="537"/>
      <c r="MFK161" s="537"/>
      <c r="MFL161" s="537"/>
      <c r="MFM161" s="537"/>
      <c r="MFN161" s="537"/>
      <c r="MFO161" s="537"/>
      <c r="MFP161" s="537"/>
      <c r="MFQ161" s="537"/>
      <c r="MFR161" s="537"/>
      <c r="MFS161" s="537"/>
      <c r="MFT161" s="537"/>
      <c r="MFU161" s="537"/>
      <c r="MFV161" s="537"/>
      <c r="MFW161" s="537"/>
      <c r="MFX161" s="537"/>
      <c r="MFY161" s="537"/>
      <c r="MFZ161" s="537"/>
      <c r="MGA161" s="537"/>
      <c r="MGB161" s="537"/>
      <c r="MGC161" s="537"/>
      <c r="MGD161" s="537"/>
      <c r="MGE161" s="537"/>
      <c r="MGF161" s="537"/>
      <c r="MGG161" s="537"/>
      <c r="MGH161" s="537"/>
      <c r="MGI161" s="537"/>
      <c r="MGJ161" s="537"/>
      <c r="MGK161" s="537"/>
      <c r="MGL161" s="537"/>
      <c r="MGM161" s="537"/>
      <c r="MGN161" s="537"/>
      <c r="MGO161" s="537"/>
      <c r="MGP161" s="537"/>
      <c r="MGQ161" s="537"/>
      <c r="MGR161" s="537"/>
      <c r="MGS161" s="537"/>
      <c r="MGT161" s="537"/>
      <c r="MGU161" s="537"/>
      <c r="MGV161" s="537"/>
      <c r="MGW161" s="537"/>
      <c r="MGX161" s="537"/>
      <c r="MGY161" s="537"/>
      <c r="MGZ161" s="537"/>
      <c r="MHA161" s="537"/>
      <c r="MHB161" s="537"/>
      <c r="MHC161" s="537"/>
      <c r="MHD161" s="537"/>
      <c r="MHE161" s="537"/>
      <c r="MHF161" s="537"/>
      <c r="MHG161" s="537"/>
      <c r="MHH161" s="537"/>
      <c r="MHI161" s="537"/>
      <c r="MHJ161" s="537"/>
      <c r="MHK161" s="537"/>
      <c r="MHL161" s="537"/>
      <c r="MHM161" s="537"/>
      <c r="MHN161" s="537"/>
      <c r="MHO161" s="537"/>
      <c r="MHP161" s="537"/>
      <c r="MHQ161" s="537"/>
      <c r="MHR161" s="537"/>
      <c r="MHS161" s="537"/>
      <c r="MHT161" s="537"/>
      <c r="MHU161" s="537"/>
      <c r="MHV161" s="537"/>
      <c r="MHW161" s="537"/>
      <c r="MHX161" s="537"/>
      <c r="MHY161" s="537"/>
      <c r="MHZ161" s="537"/>
      <c r="MIA161" s="537"/>
      <c r="MIB161" s="537"/>
      <c r="MIC161" s="537"/>
      <c r="MID161" s="537"/>
      <c r="MIE161" s="537"/>
      <c r="MIF161" s="537"/>
      <c r="MIG161" s="537"/>
      <c r="MIH161" s="537"/>
      <c r="MII161" s="537"/>
      <c r="MIJ161" s="537"/>
      <c r="MIK161" s="537"/>
      <c r="MIL161" s="537"/>
      <c r="MIM161" s="537"/>
      <c r="MIN161" s="537"/>
      <c r="MIO161" s="537"/>
      <c r="MIP161" s="537"/>
      <c r="MIQ161" s="537"/>
      <c r="MIR161" s="537"/>
      <c r="MIS161" s="537"/>
      <c r="MIT161" s="537"/>
      <c r="MIU161" s="537"/>
      <c r="MIV161" s="537"/>
      <c r="MIW161" s="537"/>
      <c r="MIX161" s="537"/>
      <c r="MIY161" s="537"/>
      <c r="MIZ161" s="537"/>
      <c r="MJA161" s="537"/>
      <c r="MJB161" s="537"/>
      <c r="MJC161" s="537"/>
      <c r="MJD161" s="537"/>
      <c r="MJE161" s="537"/>
      <c r="MJF161" s="537"/>
      <c r="MJG161" s="537"/>
      <c r="MJH161" s="537"/>
      <c r="MJI161" s="537"/>
      <c r="MJJ161" s="537"/>
      <c r="MJK161" s="537"/>
      <c r="MJL161" s="537"/>
      <c r="MJM161" s="537"/>
      <c r="MJN161" s="537"/>
      <c r="MJO161" s="537"/>
      <c r="MJP161" s="537"/>
      <c r="MJQ161" s="537"/>
      <c r="MJR161" s="537"/>
      <c r="MJS161" s="537"/>
      <c r="MJT161" s="537"/>
      <c r="MJU161" s="537"/>
      <c r="MJV161" s="537"/>
      <c r="MJW161" s="537"/>
      <c r="MJX161" s="537"/>
      <c r="MJY161" s="537"/>
      <c r="MJZ161" s="537"/>
      <c r="MKA161" s="537"/>
      <c r="MKB161" s="537"/>
      <c r="MKC161" s="537"/>
      <c r="MKD161" s="537"/>
      <c r="MKE161" s="537"/>
      <c r="MKF161" s="537"/>
      <c r="MKG161" s="537"/>
      <c r="MKH161" s="537"/>
      <c r="MKI161" s="537"/>
      <c r="MKJ161" s="537"/>
      <c r="MKK161" s="537"/>
      <c r="MKL161" s="537"/>
      <c r="MKM161" s="537"/>
      <c r="MKN161" s="537"/>
      <c r="MKO161" s="537"/>
      <c r="MKP161" s="537"/>
      <c r="MKQ161" s="537"/>
      <c r="MKR161" s="537"/>
      <c r="MKS161" s="537"/>
      <c r="MKT161" s="537"/>
      <c r="MKU161" s="537"/>
      <c r="MKV161" s="537"/>
      <c r="MKW161" s="537"/>
      <c r="MKX161" s="537"/>
      <c r="MKY161" s="537"/>
      <c r="MKZ161" s="537"/>
      <c r="MLA161" s="537"/>
      <c r="MLB161" s="537"/>
      <c r="MLC161" s="537"/>
      <c r="MLD161" s="537"/>
      <c r="MLE161" s="537"/>
      <c r="MLF161" s="537"/>
      <c r="MLG161" s="537"/>
      <c r="MLH161" s="537"/>
      <c r="MLI161" s="537"/>
      <c r="MLJ161" s="537"/>
      <c r="MLK161" s="537"/>
      <c r="MLL161" s="537"/>
      <c r="MLM161" s="537"/>
      <c r="MLN161" s="537"/>
      <c r="MLO161" s="537"/>
      <c r="MLP161" s="537"/>
      <c r="MLQ161" s="537"/>
      <c r="MLR161" s="537"/>
      <c r="MLS161" s="537"/>
      <c r="MLT161" s="537"/>
      <c r="MLU161" s="537"/>
      <c r="MLV161" s="537"/>
      <c r="MLW161" s="537"/>
      <c r="MLX161" s="537"/>
      <c r="MLY161" s="537"/>
      <c r="MLZ161" s="537"/>
      <c r="MMA161" s="537"/>
      <c r="MMB161" s="537"/>
      <c r="MMC161" s="537"/>
      <c r="MMD161" s="537"/>
      <c r="MME161" s="537"/>
      <c r="MMF161" s="537"/>
      <c r="MMG161" s="537"/>
      <c r="MMH161" s="537"/>
      <c r="MMI161" s="537"/>
      <c r="MMJ161" s="537"/>
      <c r="MMK161" s="537"/>
      <c r="MML161" s="537"/>
      <c r="MMM161" s="537"/>
      <c r="MMN161" s="537"/>
      <c r="MMO161" s="537"/>
      <c r="MMP161" s="537"/>
      <c r="MMQ161" s="537"/>
      <c r="MMR161" s="537"/>
      <c r="MMS161" s="537"/>
      <c r="MMT161" s="537"/>
      <c r="MMU161" s="537"/>
      <c r="MMV161" s="537"/>
      <c r="MMW161" s="537"/>
      <c r="MMX161" s="537"/>
      <c r="MMY161" s="537"/>
      <c r="MMZ161" s="537"/>
      <c r="MNA161" s="537"/>
      <c r="MNB161" s="537"/>
      <c r="MNC161" s="537"/>
      <c r="MND161" s="537"/>
      <c r="MNE161" s="537"/>
      <c r="MNF161" s="537"/>
      <c r="MNG161" s="537"/>
      <c r="MNH161" s="537"/>
      <c r="MNI161" s="537"/>
      <c r="MNJ161" s="537"/>
      <c r="MNK161" s="537"/>
      <c r="MNL161" s="537"/>
      <c r="MNM161" s="537"/>
      <c r="MNN161" s="537"/>
      <c r="MNO161" s="537"/>
      <c r="MNP161" s="537"/>
      <c r="MNQ161" s="537"/>
      <c r="MNR161" s="537"/>
      <c r="MNS161" s="537"/>
      <c r="MNT161" s="537"/>
      <c r="MNU161" s="537"/>
      <c r="MNV161" s="537"/>
      <c r="MNW161" s="537"/>
      <c r="MNX161" s="537"/>
      <c r="MNY161" s="537"/>
      <c r="MNZ161" s="537"/>
      <c r="MOA161" s="537"/>
      <c r="MOB161" s="537"/>
      <c r="MOC161" s="537"/>
      <c r="MOD161" s="537"/>
      <c r="MOE161" s="537"/>
      <c r="MOF161" s="537"/>
      <c r="MOG161" s="537"/>
      <c r="MOH161" s="537"/>
      <c r="MOI161" s="537"/>
      <c r="MOJ161" s="537"/>
      <c r="MOK161" s="537"/>
      <c r="MOL161" s="537"/>
      <c r="MOM161" s="537"/>
      <c r="MON161" s="537"/>
      <c r="MOO161" s="537"/>
      <c r="MOP161" s="537"/>
      <c r="MOQ161" s="537"/>
      <c r="MOR161" s="537"/>
      <c r="MOS161" s="537"/>
      <c r="MOT161" s="537"/>
      <c r="MOU161" s="537"/>
      <c r="MOV161" s="537"/>
      <c r="MOW161" s="537"/>
      <c r="MOX161" s="537"/>
      <c r="MOY161" s="537"/>
      <c r="MOZ161" s="537"/>
      <c r="MPA161" s="537"/>
      <c r="MPB161" s="537"/>
      <c r="MPC161" s="537"/>
      <c r="MPD161" s="537"/>
      <c r="MPE161" s="537"/>
      <c r="MPF161" s="537"/>
      <c r="MPG161" s="537"/>
      <c r="MPH161" s="537"/>
      <c r="MPI161" s="537"/>
      <c r="MPJ161" s="537"/>
      <c r="MPK161" s="537"/>
      <c r="MPL161" s="537"/>
      <c r="MPM161" s="537"/>
      <c r="MPN161" s="537"/>
      <c r="MPO161" s="537"/>
      <c r="MPP161" s="537"/>
      <c r="MPQ161" s="537"/>
      <c r="MPR161" s="537"/>
      <c r="MPS161" s="537"/>
      <c r="MPT161" s="537"/>
      <c r="MPU161" s="537"/>
      <c r="MPV161" s="537"/>
      <c r="MPW161" s="537"/>
      <c r="MPX161" s="537"/>
      <c r="MPY161" s="537"/>
      <c r="MPZ161" s="537"/>
      <c r="MQA161" s="537"/>
      <c r="MQB161" s="537"/>
      <c r="MQC161" s="537"/>
      <c r="MQD161" s="537"/>
      <c r="MQE161" s="537"/>
      <c r="MQF161" s="537"/>
      <c r="MQG161" s="537"/>
      <c r="MQH161" s="537"/>
      <c r="MQI161" s="537"/>
      <c r="MQJ161" s="537"/>
      <c r="MQK161" s="537"/>
      <c r="MQL161" s="537"/>
      <c r="MQM161" s="537"/>
      <c r="MQN161" s="537"/>
      <c r="MQO161" s="537"/>
      <c r="MQP161" s="537"/>
      <c r="MQQ161" s="537"/>
      <c r="MQR161" s="537"/>
      <c r="MQS161" s="537"/>
      <c r="MQT161" s="537"/>
      <c r="MQU161" s="537"/>
      <c r="MQV161" s="537"/>
      <c r="MQW161" s="537"/>
      <c r="MQX161" s="537"/>
      <c r="MQY161" s="537"/>
      <c r="MQZ161" s="537"/>
      <c r="MRA161" s="537"/>
      <c r="MRB161" s="537"/>
      <c r="MRC161" s="537"/>
      <c r="MRD161" s="537"/>
      <c r="MRE161" s="537"/>
      <c r="MRF161" s="537"/>
      <c r="MRG161" s="537"/>
      <c r="MRH161" s="537"/>
      <c r="MRI161" s="537"/>
      <c r="MRJ161" s="537"/>
      <c r="MRK161" s="537"/>
      <c r="MRL161" s="537"/>
      <c r="MRM161" s="537"/>
      <c r="MRN161" s="537"/>
      <c r="MRO161" s="537"/>
      <c r="MRP161" s="537"/>
      <c r="MRQ161" s="537"/>
      <c r="MRR161" s="537"/>
      <c r="MRS161" s="537"/>
      <c r="MRT161" s="537"/>
      <c r="MRU161" s="537"/>
      <c r="MRV161" s="537"/>
      <c r="MRW161" s="537"/>
      <c r="MRX161" s="537"/>
      <c r="MRY161" s="537"/>
      <c r="MRZ161" s="537"/>
      <c r="MSA161" s="537"/>
      <c r="MSB161" s="537"/>
      <c r="MSC161" s="537"/>
      <c r="MSD161" s="537"/>
      <c r="MSE161" s="537"/>
      <c r="MSF161" s="537"/>
      <c r="MSG161" s="537"/>
      <c r="MSH161" s="537"/>
      <c r="MSI161" s="537"/>
      <c r="MSJ161" s="537"/>
      <c r="MSK161" s="537"/>
      <c r="MSL161" s="537"/>
      <c r="MSM161" s="537"/>
      <c r="MSN161" s="537"/>
      <c r="MSO161" s="537"/>
      <c r="MSP161" s="537"/>
      <c r="MSQ161" s="537"/>
      <c r="MSR161" s="537"/>
      <c r="MSS161" s="537"/>
      <c r="MST161" s="537"/>
      <c r="MSU161" s="537"/>
      <c r="MSV161" s="537"/>
      <c r="MSW161" s="537"/>
      <c r="MSX161" s="537"/>
      <c r="MSY161" s="537"/>
      <c r="MSZ161" s="537"/>
      <c r="MTA161" s="537"/>
      <c r="MTB161" s="537"/>
      <c r="MTC161" s="537"/>
      <c r="MTD161" s="537"/>
      <c r="MTE161" s="537"/>
      <c r="MTF161" s="537"/>
      <c r="MTG161" s="537"/>
      <c r="MTH161" s="537"/>
      <c r="MTI161" s="537"/>
      <c r="MTJ161" s="537"/>
      <c r="MTK161" s="537"/>
      <c r="MTL161" s="537"/>
      <c r="MTM161" s="537"/>
      <c r="MTN161" s="537"/>
      <c r="MTO161" s="537"/>
      <c r="MTP161" s="537"/>
      <c r="MTQ161" s="537"/>
      <c r="MTR161" s="537"/>
      <c r="MTS161" s="537"/>
      <c r="MTT161" s="537"/>
      <c r="MTU161" s="537"/>
      <c r="MTV161" s="537"/>
      <c r="MTW161" s="537"/>
      <c r="MTX161" s="537"/>
      <c r="MTY161" s="537"/>
      <c r="MTZ161" s="537"/>
      <c r="MUA161" s="537"/>
      <c r="MUB161" s="537"/>
      <c r="MUC161" s="537"/>
      <c r="MUD161" s="537"/>
      <c r="MUE161" s="537"/>
      <c r="MUF161" s="537"/>
      <c r="MUG161" s="537"/>
      <c r="MUH161" s="537"/>
      <c r="MUI161" s="537"/>
      <c r="MUJ161" s="537"/>
      <c r="MUK161" s="537"/>
      <c r="MUL161" s="537"/>
      <c r="MUM161" s="537"/>
      <c r="MUN161" s="537"/>
      <c r="MUO161" s="537"/>
      <c r="MUP161" s="537"/>
      <c r="MUQ161" s="537"/>
      <c r="MUR161" s="537"/>
      <c r="MUS161" s="537"/>
      <c r="MUT161" s="537"/>
      <c r="MUU161" s="537"/>
      <c r="MUV161" s="537"/>
      <c r="MUW161" s="537"/>
      <c r="MUX161" s="537"/>
      <c r="MUY161" s="537"/>
      <c r="MUZ161" s="537"/>
      <c r="MVA161" s="537"/>
      <c r="MVB161" s="537"/>
      <c r="MVC161" s="537"/>
      <c r="MVD161" s="537"/>
      <c r="MVE161" s="537"/>
      <c r="MVF161" s="537"/>
      <c r="MVG161" s="537"/>
      <c r="MVH161" s="537"/>
      <c r="MVI161" s="537"/>
      <c r="MVJ161" s="537"/>
      <c r="MVK161" s="537"/>
      <c r="MVL161" s="537"/>
      <c r="MVM161" s="537"/>
      <c r="MVN161" s="537"/>
      <c r="MVO161" s="537"/>
      <c r="MVP161" s="537"/>
      <c r="MVQ161" s="537"/>
      <c r="MVR161" s="537"/>
      <c r="MVS161" s="537"/>
      <c r="MVT161" s="537"/>
      <c r="MVU161" s="537"/>
      <c r="MVV161" s="537"/>
      <c r="MVW161" s="537"/>
      <c r="MVX161" s="537"/>
      <c r="MVY161" s="537"/>
      <c r="MVZ161" s="537"/>
      <c r="MWA161" s="537"/>
      <c r="MWB161" s="537"/>
      <c r="MWC161" s="537"/>
      <c r="MWD161" s="537"/>
      <c r="MWE161" s="537"/>
      <c r="MWF161" s="537"/>
      <c r="MWG161" s="537"/>
      <c r="MWH161" s="537"/>
      <c r="MWI161" s="537"/>
      <c r="MWJ161" s="537"/>
      <c r="MWK161" s="537"/>
      <c r="MWL161" s="537"/>
      <c r="MWM161" s="537"/>
      <c r="MWN161" s="537"/>
      <c r="MWO161" s="537"/>
      <c r="MWP161" s="537"/>
      <c r="MWQ161" s="537"/>
      <c r="MWR161" s="537"/>
      <c r="MWS161" s="537"/>
      <c r="MWT161" s="537"/>
      <c r="MWU161" s="537"/>
      <c r="MWV161" s="537"/>
      <c r="MWW161" s="537"/>
      <c r="MWX161" s="537"/>
      <c r="MWY161" s="537"/>
      <c r="MWZ161" s="537"/>
      <c r="MXA161" s="537"/>
      <c r="MXB161" s="537"/>
      <c r="MXC161" s="537"/>
      <c r="MXD161" s="537"/>
      <c r="MXE161" s="537"/>
      <c r="MXF161" s="537"/>
      <c r="MXG161" s="537"/>
      <c r="MXH161" s="537"/>
      <c r="MXI161" s="537"/>
      <c r="MXJ161" s="537"/>
      <c r="MXK161" s="537"/>
      <c r="MXL161" s="537"/>
      <c r="MXM161" s="537"/>
      <c r="MXN161" s="537"/>
      <c r="MXO161" s="537"/>
      <c r="MXP161" s="537"/>
      <c r="MXQ161" s="537"/>
      <c r="MXR161" s="537"/>
      <c r="MXS161" s="537"/>
      <c r="MXT161" s="537"/>
      <c r="MXU161" s="537"/>
      <c r="MXV161" s="537"/>
      <c r="MXW161" s="537"/>
      <c r="MXX161" s="537"/>
      <c r="MXY161" s="537"/>
      <c r="MXZ161" s="537"/>
      <c r="MYA161" s="537"/>
      <c r="MYB161" s="537"/>
      <c r="MYC161" s="537"/>
      <c r="MYD161" s="537"/>
      <c r="MYE161" s="537"/>
      <c r="MYF161" s="537"/>
      <c r="MYG161" s="537"/>
      <c r="MYH161" s="537"/>
      <c r="MYI161" s="537"/>
      <c r="MYJ161" s="537"/>
      <c r="MYK161" s="537"/>
      <c r="MYL161" s="537"/>
      <c r="MYM161" s="537"/>
      <c r="MYN161" s="537"/>
      <c r="MYO161" s="537"/>
      <c r="MYP161" s="537"/>
      <c r="MYQ161" s="537"/>
      <c r="MYR161" s="537"/>
      <c r="MYS161" s="537"/>
      <c r="MYT161" s="537"/>
      <c r="MYU161" s="537"/>
      <c r="MYV161" s="537"/>
      <c r="MYW161" s="537"/>
      <c r="MYX161" s="537"/>
      <c r="MYY161" s="537"/>
      <c r="MYZ161" s="537"/>
      <c r="MZA161" s="537"/>
      <c r="MZB161" s="537"/>
      <c r="MZC161" s="537"/>
      <c r="MZD161" s="537"/>
      <c r="MZE161" s="537"/>
      <c r="MZF161" s="537"/>
      <c r="MZG161" s="537"/>
      <c r="MZH161" s="537"/>
      <c r="MZI161" s="537"/>
      <c r="MZJ161" s="537"/>
      <c r="MZK161" s="537"/>
      <c r="MZL161" s="537"/>
      <c r="MZM161" s="537"/>
      <c r="MZN161" s="537"/>
      <c r="MZO161" s="537"/>
      <c r="MZP161" s="537"/>
      <c r="MZQ161" s="537"/>
      <c r="MZR161" s="537"/>
      <c r="MZS161" s="537"/>
      <c r="MZT161" s="537"/>
      <c r="MZU161" s="537"/>
      <c r="MZV161" s="537"/>
      <c r="MZW161" s="537"/>
      <c r="MZX161" s="537"/>
      <c r="MZY161" s="537"/>
      <c r="MZZ161" s="537"/>
      <c r="NAA161" s="537"/>
      <c r="NAB161" s="537"/>
      <c r="NAC161" s="537"/>
      <c r="NAD161" s="537"/>
      <c r="NAE161" s="537"/>
      <c r="NAF161" s="537"/>
      <c r="NAG161" s="537"/>
      <c r="NAH161" s="537"/>
      <c r="NAI161" s="537"/>
      <c r="NAJ161" s="537"/>
      <c r="NAK161" s="537"/>
      <c r="NAL161" s="537"/>
      <c r="NAM161" s="537"/>
      <c r="NAN161" s="537"/>
      <c r="NAO161" s="537"/>
      <c r="NAP161" s="537"/>
      <c r="NAQ161" s="537"/>
      <c r="NAR161" s="537"/>
      <c r="NAS161" s="537"/>
      <c r="NAT161" s="537"/>
      <c r="NAU161" s="537"/>
      <c r="NAV161" s="537"/>
      <c r="NAW161" s="537"/>
      <c r="NAX161" s="537"/>
      <c r="NAY161" s="537"/>
      <c r="NAZ161" s="537"/>
      <c r="NBA161" s="537"/>
      <c r="NBB161" s="537"/>
      <c r="NBC161" s="537"/>
      <c r="NBD161" s="537"/>
      <c r="NBE161" s="537"/>
      <c r="NBF161" s="537"/>
      <c r="NBG161" s="537"/>
      <c r="NBH161" s="537"/>
      <c r="NBI161" s="537"/>
      <c r="NBJ161" s="537"/>
      <c r="NBK161" s="537"/>
      <c r="NBL161" s="537"/>
      <c r="NBM161" s="537"/>
      <c r="NBN161" s="537"/>
      <c r="NBO161" s="537"/>
      <c r="NBP161" s="537"/>
      <c r="NBQ161" s="537"/>
      <c r="NBR161" s="537"/>
      <c r="NBS161" s="537"/>
      <c r="NBT161" s="537"/>
      <c r="NBU161" s="537"/>
      <c r="NBV161" s="537"/>
      <c r="NBW161" s="537"/>
      <c r="NBX161" s="537"/>
      <c r="NBY161" s="537"/>
      <c r="NBZ161" s="537"/>
      <c r="NCA161" s="537"/>
      <c r="NCB161" s="537"/>
      <c r="NCC161" s="537"/>
      <c r="NCD161" s="537"/>
      <c r="NCE161" s="537"/>
      <c r="NCF161" s="537"/>
      <c r="NCG161" s="537"/>
      <c r="NCH161" s="537"/>
      <c r="NCI161" s="537"/>
      <c r="NCJ161" s="537"/>
      <c r="NCK161" s="537"/>
      <c r="NCL161" s="537"/>
      <c r="NCM161" s="537"/>
      <c r="NCN161" s="537"/>
      <c r="NCO161" s="537"/>
      <c r="NCP161" s="537"/>
      <c r="NCQ161" s="537"/>
      <c r="NCR161" s="537"/>
      <c r="NCS161" s="537"/>
      <c r="NCT161" s="537"/>
      <c r="NCU161" s="537"/>
      <c r="NCV161" s="537"/>
      <c r="NCW161" s="537"/>
      <c r="NCX161" s="537"/>
      <c r="NCY161" s="537"/>
      <c r="NCZ161" s="537"/>
      <c r="NDA161" s="537"/>
      <c r="NDB161" s="537"/>
      <c r="NDC161" s="537"/>
      <c r="NDD161" s="537"/>
      <c r="NDE161" s="537"/>
      <c r="NDF161" s="537"/>
      <c r="NDG161" s="537"/>
      <c r="NDH161" s="537"/>
      <c r="NDI161" s="537"/>
      <c r="NDJ161" s="537"/>
      <c r="NDK161" s="537"/>
      <c r="NDL161" s="537"/>
      <c r="NDM161" s="537"/>
      <c r="NDN161" s="537"/>
      <c r="NDO161" s="537"/>
      <c r="NDP161" s="537"/>
      <c r="NDQ161" s="537"/>
      <c r="NDR161" s="537"/>
      <c r="NDS161" s="537"/>
      <c r="NDT161" s="537"/>
      <c r="NDU161" s="537"/>
      <c r="NDV161" s="537"/>
      <c r="NDW161" s="537"/>
      <c r="NDX161" s="537"/>
      <c r="NDY161" s="537"/>
      <c r="NDZ161" s="537"/>
      <c r="NEA161" s="537"/>
      <c r="NEB161" s="537"/>
      <c r="NEC161" s="537"/>
      <c r="NED161" s="537"/>
      <c r="NEE161" s="537"/>
      <c r="NEF161" s="537"/>
      <c r="NEG161" s="537"/>
      <c r="NEH161" s="537"/>
      <c r="NEI161" s="537"/>
      <c r="NEJ161" s="537"/>
      <c r="NEK161" s="537"/>
      <c r="NEL161" s="537"/>
      <c r="NEM161" s="537"/>
      <c r="NEN161" s="537"/>
      <c r="NEO161" s="537"/>
      <c r="NEP161" s="537"/>
      <c r="NEQ161" s="537"/>
      <c r="NER161" s="537"/>
      <c r="NES161" s="537"/>
      <c r="NET161" s="537"/>
      <c r="NEU161" s="537"/>
      <c r="NEV161" s="537"/>
      <c r="NEW161" s="537"/>
      <c r="NEX161" s="537"/>
      <c r="NEY161" s="537"/>
      <c r="NEZ161" s="537"/>
      <c r="NFA161" s="537"/>
      <c r="NFB161" s="537"/>
      <c r="NFC161" s="537"/>
      <c r="NFD161" s="537"/>
      <c r="NFE161" s="537"/>
      <c r="NFF161" s="537"/>
      <c r="NFG161" s="537"/>
      <c r="NFH161" s="537"/>
      <c r="NFI161" s="537"/>
      <c r="NFJ161" s="537"/>
      <c r="NFK161" s="537"/>
      <c r="NFL161" s="537"/>
      <c r="NFM161" s="537"/>
      <c r="NFN161" s="537"/>
      <c r="NFO161" s="537"/>
      <c r="NFP161" s="537"/>
      <c r="NFQ161" s="537"/>
      <c r="NFR161" s="537"/>
      <c r="NFS161" s="537"/>
      <c r="NFT161" s="537"/>
      <c r="NFU161" s="537"/>
      <c r="NFV161" s="537"/>
      <c r="NFW161" s="537"/>
      <c r="NFX161" s="537"/>
      <c r="NFY161" s="537"/>
      <c r="NFZ161" s="537"/>
      <c r="NGA161" s="537"/>
      <c r="NGB161" s="537"/>
      <c r="NGC161" s="537"/>
      <c r="NGD161" s="537"/>
      <c r="NGE161" s="537"/>
      <c r="NGF161" s="537"/>
      <c r="NGG161" s="537"/>
      <c r="NGH161" s="537"/>
      <c r="NGI161" s="537"/>
      <c r="NGJ161" s="537"/>
      <c r="NGK161" s="537"/>
      <c r="NGL161" s="537"/>
      <c r="NGM161" s="537"/>
      <c r="NGN161" s="537"/>
      <c r="NGO161" s="537"/>
      <c r="NGP161" s="537"/>
      <c r="NGQ161" s="537"/>
      <c r="NGR161" s="537"/>
      <c r="NGS161" s="537"/>
      <c r="NGT161" s="537"/>
      <c r="NGU161" s="537"/>
      <c r="NGV161" s="537"/>
      <c r="NGW161" s="537"/>
      <c r="NGX161" s="537"/>
      <c r="NGY161" s="537"/>
      <c r="NGZ161" s="537"/>
      <c r="NHA161" s="537"/>
      <c r="NHB161" s="537"/>
      <c r="NHC161" s="537"/>
      <c r="NHD161" s="537"/>
      <c r="NHE161" s="537"/>
      <c r="NHF161" s="537"/>
      <c r="NHG161" s="537"/>
      <c r="NHH161" s="537"/>
      <c r="NHI161" s="537"/>
      <c r="NHJ161" s="537"/>
      <c r="NHK161" s="537"/>
      <c r="NHL161" s="537"/>
      <c r="NHM161" s="537"/>
      <c r="NHN161" s="537"/>
      <c r="NHO161" s="537"/>
      <c r="NHP161" s="537"/>
      <c r="NHQ161" s="537"/>
      <c r="NHR161" s="537"/>
      <c r="NHS161" s="537"/>
      <c r="NHT161" s="537"/>
      <c r="NHU161" s="537"/>
      <c r="NHV161" s="537"/>
      <c r="NHW161" s="537"/>
      <c r="NHX161" s="537"/>
      <c r="NHY161" s="537"/>
      <c r="NHZ161" s="537"/>
      <c r="NIA161" s="537"/>
      <c r="NIB161" s="537"/>
      <c r="NIC161" s="537"/>
      <c r="NID161" s="537"/>
      <c r="NIE161" s="537"/>
      <c r="NIF161" s="537"/>
      <c r="NIG161" s="537"/>
      <c r="NIH161" s="537"/>
      <c r="NII161" s="537"/>
      <c r="NIJ161" s="537"/>
      <c r="NIK161" s="537"/>
      <c r="NIL161" s="537"/>
      <c r="NIM161" s="537"/>
      <c r="NIN161" s="537"/>
      <c r="NIO161" s="537"/>
      <c r="NIP161" s="537"/>
      <c r="NIQ161" s="537"/>
      <c r="NIR161" s="537"/>
      <c r="NIS161" s="537"/>
      <c r="NIT161" s="537"/>
      <c r="NIU161" s="537"/>
      <c r="NIV161" s="537"/>
      <c r="NIW161" s="537"/>
      <c r="NIX161" s="537"/>
      <c r="NIY161" s="537"/>
      <c r="NIZ161" s="537"/>
      <c r="NJA161" s="537"/>
      <c r="NJB161" s="537"/>
      <c r="NJC161" s="537"/>
      <c r="NJD161" s="537"/>
      <c r="NJE161" s="537"/>
      <c r="NJF161" s="537"/>
      <c r="NJG161" s="537"/>
      <c r="NJH161" s="537"/>
      <c r="NJI161" s="537"/>
      <c r="NJJ161" s="537"/>
      <c r="NJK161" s="537"/>
      <c r="NJL161" s="537"/>
      <c r="NJM161" s="537"/>
      <c r="NJN161" s="537"/>
      <c r="NJO161" s="537"/>
      <c r="NJP161" s="537"/>
      <c r="NJQ161" s="537"/>
      <c r="NJR161" s="537"/>
      <c r="NJS161" s="537"/>
      <c r="NJT161" s="537"/>
      <c r="NJU161" s="537"/>
      <c r="NJV161" s="537"/>
      <c r="NJW161" s="537"/>
      <c r="NJX161" s="537"/>
      <c r="NJY161" s="537"/>
      <c r="NJZ161" s="537"/>
      <c r="NKA161" s="537"/>
      <c r="NKB161" s="537"/>
      <c r="NKC161" s="537"/>
      <c r="NKD161" s="537"/>
      <c r="NKE161" s="537"/>
      <c r="NKF161" s="537"/>
      <c r="NKG161" s="537"/>
      <c r="NKH161" s="537"/>
      <c r="NKI161" s="537"/>
      <c r="NKJ161" s="537"/>
      <c r="NKK161" s="537"/>
      <c r="NKL161" s="537"/>
      <c r="NKM161" s="537"/>
      <c r="NKN161" s="537"/>
      <c r="NKO161" s="537"/>
      <c r="NKP161" s="537"/>
      <c r="NKQ161" s="537"/>
      <c r="NKR161" s="537"/>
      <c r="NKS161" s="537"/>
      <c r="NKT161" s="537"/>
      <c r="NKU161" s="537"/>
      <c r="NKV161" s="537"/>
      <c r="NKW161" s="537"/>
      <c r="NKX161" s="537"/>
      <c r="NKY161" s="537"/>
      <c r="NKZ161" s="537"/>
      <c r="NLA161" s="537"/>
      <c r="NLB161" s="537"/>
      <c r="NLC161" s="537"/>
      <c r="NLD161" s="537"/>
      <c r="NLE161" s="537"/>
      <c r="NLF161" s="537"/>
      <c r="NLG161" s="537"/>
      <c r="NLH161" s="537"/>
      <c r="NLI161" s="537"/>
      <c r="NLJ161" s="537"/>
      <c r="NLK161" s="537"/>
      <c r="NLL161" s="537"/>
      <c r="NLM161" s="537"/>
      <c r="NLN161" s="537"/>
      <c r="NLO161" s="537"/>
      <c r="NLP161" s="537"/>
      <c r="NLQ161" s="537"/>
      <c r="NLR161" s="537"/>
      <c r="NLS161" s="537"/>
      <c r="NLT161" s="537"/>
      <c r="NLU161" s="537"/>
      <c r="NLV161" s="537"/>
      <c r="NLW161" s="537"/>
      <c r="NLX161" s="537"/>
      <c r="NLY161" s="537"/>
      <c r="NLZ161" s="537"/>
      <c r="NMA161" s="537"/>
      <c r="NMB161" s="537"/>
      <c r="NMC161" s="537"/>
      <c r="NMD161" s="537"/>
      <c r="NME161" s="537"/>
      <c r="NMF161" s="537"/>
      <c r="NMG161" s="537"/>
      <c r="NMH161" s="537"/>
      <c r="NMI161" s="537"/>
      <c r="NMJ161" s="537"/>
      <c r="NMK161" s="537"/>
      <c r="NML161" s="537"/>
      <c r="NMM161" s="537"/>
      <c r="NMN161" s="537"/>
      <c r="NMO161" s="537"/>
      <c r="NMP161" s="537"/>
      <c r="NMQ161" s="537"/>
      <c r="NMR161" s="537"/>
      <c r="NMS161" s="537"/>
      <c r="NMT161" s="537"/>
      <c r="NMU161" s="537"/>
      <c r="NMV161" s="537"/>
      <c r="NMW161" s="537"/>
      <c r="NMX161" s="537"/>
      <c r="NMY161" s="537"/>
      <c r="NMZ161" s="537"/>
      <c r="NNA161" s="537"/>
      <c r="NNB161" s="537"/>
      <c r="NNC161" s="537"/>
      <c r="NND161" s="537"/>
      <c r="NNE161" s="537"/>
      <c r="NNF161" s="537"/>
      <c r="NNG161" s="537"/>
      <c r="NNH161" s="537"/>
      <c r="NNI161" s="537"/>
      <c r="NNJ161" s="537"/>
      <c r="NNK161" s="537"/>
      <c r="NNL161" s="537"/>
      <c r="NNM161" s="537"/>
      <c r="NNN161" s="537"/>
      <c r="NNO161" s="537"/>
      <c r="NNP161" s="537"/>
      <c r="NNQ161" s="537"/>
      <c r="NNR161" s="537"/>
      <c r="NNS161" s="537"/>
      <c r="NNT161" s="537"/>
      <c r="NNU161" s="537"/>
      <c r="NNV161" s="537"/>
      <c r="NNW161" s="537"/>
      <c r="NNX161" s="537"/>
      <c r="NNY161" s="537"/>
      <c r="NNZ161" s="537"/>
      <c r="NOA161" s="537"/>
      <c r="NOB161" s="537"/>
      <c r="NOC161" s="537"/>
      <c r="NOD161" s="537"/>
      <c r="NOE161" s="537"/>
      <c r="NOF161" s="537"/>
      <c r="NOG161" s="537"/>
      <c r="NOH161" s="537"/>
      <c r="NOI161" s="537"/>
      <c r="NOJ161" s="537"/>
      <c r="NOK161" s="537"/>
      <c r="NOL161" s="537"/>
      <c r="NOM161" s="537"/>
      <c r="NON161" s="537"/>
      <c r="NOO161" s="537"/>
      <c r="NOP161" s="537"/>
      <c r="NOQ161" s="537"/>
      <c r="NOR161" s="537"/>
      <c r="NOS161" s="537"/>
      <c r="NOT161" s="537"/>
      <c r="NOU161" s="537"/>
      <c r="NOV161" s="537"/>
      <c r="NOW161" s="537"/>
      <c r="NOX161" s="537"/>
      <c r="NOY161" s="537"/>
      <c r="NOZ161" s="537"/>
      <c r="NPA161" s="537"/>
      <c r="NPB161" s="537"/>
      <c r="NPC161" s="537"/>
      <c r="NPD161" s="537"/>
      <c r="NPE161" s="537"/>
      <c r="NPF161" s="537"/>
      <c r="NPG161" s="537"/>
      <c r="NPH161" s="537"/>
      <c r="NPI161" s="537"/>
      <c r="NPJ161" s="537"/>
      <c r="NPK161" s="537"/>
      <c r="NPL161" s="537"/>
      <c r="NPM161" s="537"/>
      <c r="NPN161" s="537"/>
      <c r="NPO161" s="537"/>
      <c r="NPP161" s="537"/>
      <c r="NPQ161" s="537"/>
      <c r="NPR161" s="537"/>
      <c r="NPS161" s="537"/>
      <c r="NPT161" s="537"/>
      <c r="NPU161" s="537"/>
      <c r="NPV161" s="537"/>
      <c r="NPW161" s="537"/>
      <c r="NPX161" s="537"/>
      <c r="NPY161" s="537"/>
      <c r="NPZ161" s="537"/>
      <c r="NQA161" s="537"/>
      <c r="NQB161" s="537"/>
      <c r="NQC161" s="537"/>
      <c r="NQD161" s="537"/>
      <c r="NQE161" s="537"/>
      <c r="NQF161" s="537"/>
      <c r="NQG161" s="537"/>
      <c r="NQH161" s="537"/>
      <c r="NQI161" s="537"/>
      <c r="NQJ161" s="537"/>
      <c r="NQK161" s="537"/>
      <c r="NQL161" s="537"/>
      <c r="NQM161" s="537"/>
      <c r="NQN161" s="537"/>
      <c r="NQO161" s="537"/>
      <c r="NQP161" s="537"/>
      <c r="NQQ161" s="537"/>
      <c r="NQR161" s="537"/>
      <c r="NQS161" s="537"/>
      <c r="NQT161" s="537"/>
      <c r="NQU161" s="537"/>
      <c r="NQV161" s="537"/>
      <c r="NQW161" s="537"/>
      <c r="NQX161" s="537"/>
      <c r="NQY161" s="537"/>
      <c r="NQZ161" s="537"/>
      <c r="NRA161" s="537"/>
      <c r="NRB161" s="537"/>
      <c r="NRC161" s="537"/>
      <c r="NRD161" s="537"/>
      <c r="NRE161" s="537"/>
      <c r="NRF161" s="537"/>
      <c r="NRG161" s="537"/>
      <c r="NRH161" s="537"/>
      <c r="NRI161" s="537"/>
      <c r="NRJ161" s="537"/>
      <c r="NRK161" s="537"/>
      <c r="NRL161" s="537"/>
      <c r="NRM161" s="537"/>
      <c r="NRN161" s="537"/>
      <c r="NRO161" s="537"/>
      <c r="NRP161" s="537"/>
      <c r="NRQ161" s="537"/>
      <c r="NRR161" s="537"/>
      <c r="NRS161" s="537"/>
      <c r="NRT161" s="537"/>
      <c r="NRU161" s="537"/>
      <c r="NRV161" s="537"/>
      <c r="NRW161" s="537"/>
      <c r="NRX161" s="537"/>
      <c r="NRY161" s="537"/>
      <c r="NRZ161" s="537"/>
      <c r="NSA161" s="537"/>
      <c r="NSB161" s="537"/>
      <c r="NSC161" s="537"/>
      <c r="NSD161" s="537"/>
      <c r="NSE161" s="537"/>
      <c r="NSF161" s="537"/>
      <c r="NSG161" s="537"/>
      <c r="NSH161" s="537"/>
      <c r="NSI161" s="537"/>
      <c r="NSJ161" s="537"/>
      <c r="NSK161" s="537"/>
      <c r="NSL161" s="537"/>
      <c r="NSM161" s="537"/>
      <c r="NSN161" s="537"/>
      <c r="NSO161" s="537"/>
      <c r="NSP161" s="537"/>
      <c r="NSQ161" s="537"/>
      <c r="NSR161" s="537"/>
      <c r="NSS161" s="537"/>
      <c r="NST161" s="537"/>
      <c r="NSU161" s="537"/>
      <c r="NSV161" s="537"/>
      <c r="NSW161" s="537"/>
      <c r="NSX161" s="537"/>
      <c r="NSY161" s="537"/>
      <c r="NSZ161" s="537"/>
      <c r="NTA161" s="537"/>
      <c r="NTB161" s="537"/>
      <c r="NTC161" s="537"/>
      <c r="NTD161" s="537"/>
      <c r="NTE161" s="537"/>
      <c r="NTF161" s="537"/>
      <c r="NTG161" s="537"/>
      <c r="NTH161" s="537"/>
      <c r="NTI161" s="537"/>
      <c r="NTJ161" s="537"/>
      <c r="NTK161" s="537"/>
      <c r="NTL161" s="537"/>
      <c r="NTM161" s="537"/>
      <c r="NTN161" s="537"/>
      <c r="NTO161" s="537"/>
      <c r="NTP161" s="537"/>
      <c r="NTQ161" s="537"/>
      <c r="NTR161" s="537"/>
      <c r="NTS161" s="537"/>
      <c r="NTT161" s="537"/>
      <c r="NTU161" s="537"/>
      <c r="NTV161" s="537"/>
      <c r="NTW161" s="537"/>
      <c r="NTX161" s="537"/>
      <c r="NTY161" s="537"/>
      <c r="NTZ161" s="537"/>
      <c r="NUA161" s="537"/>
      <c r="NUB161" s="537"/>
      <c r="NUC161" s="537"/>
      <c r="NUD161" s="537"/>
      <c r="NUE161" s="537"/>
      <c r="NUF161" s="537"/>
      <c r="NUG161" s="537"/>
      <c r="NUH161" s="537"/>
      <c r="NUI161" s="537"/>
      <c r="NUJ161" s="537"/>
      <c r="NUK161" s="537"/>
      <c r="NUL161" s="537"/>
      <c r="NUM161" s="537"/>
      <c r="NUN161" s="537"/>
      <c r="NUO161" s="537"/>
      <c r="NUP161" s="537"/>
      <c r="NUQ161" s="537"/>
      <c r="NUR161" s="537"/>
      <c r="NUS161" s="537"/>
      <c r="NUT161" s="537"/>
      <c r="NUU161" s="537"/>
      <c r="NUV161" s="537"/>
      <c r="NUW161" s="537"/>
      <c r="NUX161" s="537"/>
      <c r="NUY161" s="537"/>
      <c r="NUZ161" s="537"/>
      <c r="NVA161" s="537"/>
      <c r="NVB161" s="537"/>
      <c r="NVC161" s="537"/>
      <c r="NVD161" s="537"/>
      <c r="NVE161" s="537"/>
      <c r="NVF161" s="537"/>
      <c r="NVG161" s="537"/>
      <c r="NVH161" s="537"/>
      <c r="NVI161" s="537"/>
      <c r="NVJ161" s="537"/>
      <c r="NVK161" s="537"/>
      <c r="NVL161" s="537"/>
      <c r="NVM161" s="537"/>
      <c r="NVN161" s="537"/>
      <c r="NVO161" s="537"/>
      <c r="NVP161" s="537"/>
      <c r="NVQ161" s="537"/>
      <c r="NVR161" s="537"/>
      <c r="NVS161" s="537"/>
      <c r="NVT161" s="537"/>
      <c r="NVU161" s="537"/>
      <c r="NVV161" s="537"/>
      <c r="NVW161" s="537"/>
      <c r="NVX161" s="537"/>
      <c r="NVY161" s="537"/>
      <c r="NVZ161" s="537"/>
      <c r="NWA161" s="537"/>
      <c r="NWB161" s="537"/>
      <c r="NWC161" s="537"/>
      <c r="NWD161" s="537"/>
      <c r="NWE161" s="537"/>
      <c r="NWF161" s="537"/>
      <c r="NWG161" s="537"/>
      <c r="NWH161" s="537"/>
      <c r="NWI161" s="537"/>
      <c r="NWJ161" s="537"/>
      <c r="NWK161" s="537"/>
      <c r="NWL161" s="537"/>
      <c r="NWM161" s="537"/>
      <c r="NWN161" s="537"/>
      <c r="NWO161" s="537"/>
      <c r="NWP161" s="537"/>
      <c r="NWQ161" s="537"/>
      <c r="NWR161" s="537"/>
      <c r="NWS161" s="537"/>
      <c r="NWT161" s="537"/>
      <c r="NWU161" s="537"/>
      <c r="NWV161" s="537"/>
      <c r="NWW161" s="537"/>
      <c r="NWX161" s="537"/>
      <c r="NWY161" s="537"/>
      <c r="NWZ161" s="537"/>
      <c r="NXA161" s="537"/>
      <c r="NXB161" s="537"/>
      <c r="NXC161" s="537"/>
      <c r="NXD161" s="537"/>
      <c r="NXE161" s="537"/>
      <c r="NXF161" s="537"/>
      <c r="NXG161" s="537"/>
      <c r="NXH161" s="537"/>
      <c r="NXI161" s="537"/>
      <c r="NXJ161" s="537"/>
      <c r="NXK161" s="537"/>
      <c r="NXL161" s="537"/>
      <c r="NXM161" s="537"/>
      <c r="NXN161" s="537"/>
      <c r="NXO161" s="537"/>
      <c r="NXP161" s="537"/>
      <c r="NXQ161" s="537"/>
      <c r="NXR161" s="537"/>
      <c r="NXS161" s="537"/>
      <c r="NXT161" s="537"/>
      <c r="NXU161" s="537"/>
      <c r="NXV161" s="537"/>
      <c r="NXW161" s="537"/>
      <c r="NXX161" s="537"/>
      <c r="NXY161" s="537"/>
      <c r="NXZ161" s="537"/>
      <c r="NYA161" s="537"/>
      <c r="NYB161" s="537"/>
      <c r="NYC161" s="537"/>
      <c r="NYD161" s="537"/>
      <c r="NYE161" s="537"/>
      <c r="NYF161" s="537"/>
      <c r="NYG161" s="537"/>
      <c r="NYH161" s="537"/>
      <c r="NYI161" s="537"/>
      <c r="NYJ161" s="537"/>
      <c r="NYK161" s="537"/>
      <c r="NYL161" s="537"/>
      <c r="NYM161" s="537"/>
      <c r="NYN161" s="537"/>
      <c r="NYO161" s="537"/>
      <c r="NYP161" s="537"/>
      <c r="NYQ161" s="537"/>
      <c r="NYR161" s="537"/>
      <c r="NYS161" s="537"/>
      <c r="NYT161" s="537"/>
      <c r="NYU161" s="537"/>
      <c r="NYV161" s="537"/>
      <c r="NYW161" s="537"/>
      <c r="NYX161" s="537"/>
      <c r="NYY161" s="537"/>
      <c r="NYZ161" s="537"/>
      <c r="NZA161" s="537"/>
      <c r="NZB161" s="537"/>
      <c r="NZC161" s="537"/>
      <c r="NZD161" s="537"/>
      <c r="NZE161" s="537"/>
      <c r="NZF161" s="537"/>
      <c r="NZG161" s="537"/>
      <c r="NZH161" s="537"/>
      <c r="NZI161" s="537"/>
      <c r="NZJ161" s="537"/>
      <c r="NZK161" s="537"/>
      <c r="NZL161" s="537"/>
      <c r="NZM161" s="537"/>
      <c r="NZN161" s="537"/>
      <c r="NZO161" s="537"/>
      <c r="NZP161" s="537"/>
      <c r="NZQ161" s="537"/>
      <c r="NZR161" s="537"/>
      <c r="NZS161" s="537"/>
      <c r="NZT161" s="537"/>
      <c r="NZU161" s="537"/>
      <c r="NZV161" s="537"/>
      <c r="NZW161" s="537"/>
      <c r="NZX161" s="537"/>
      <c r="NZY161" s="537"/>
      <c r="NZZ161" s="537"/>
      <c r="OAA161" s="537"/>
      <c r="OAB161" s="537"/>
      <c r="OAC161" s="537"/>
      <c r="OAD161" s="537"/>
      <c r="OAE161" s="537"/>
      <c r="OAF161" s="537"/>
      <c r="OAG161" s="537"/>
      <c r="OAH161" s="537"/>
      <c r="OAI161" s="537"/>
      <c r="OAJ161" s="537"/>
      <c r="OAK161" s="537"/>
      <c r="OAL161" s="537"/>
      <c r="OAM161" s="537"/>
      <c r="OAN161" s="537"/>
      <c r="OAO161" s="537"/>
      <c r="OAP161" s="537"/>
      <c r="OAQ161" s="537"/>
      <c r="OAR161" s="537"/>
      <c r="OAS161" s="537"/>
      <c r="OAT161" s="537"/>
      <c r="OAU161" s="537"/>
      <c r="OAV161" s="537"/>
      <c r="OAW161" s="537"/>
      <c r="OAX161" s="537"/>
      <c r="OAY161" s="537"/>
      <c r="OAZ161" s="537"/>
      <c r="OBA161" s="537"/>
      <c r="OBB161" s="537"/>
      <c r="OBC161" s="537"/>
      <c r="OBD161" s="537"/>
      <c r="OBE161" s="537"/>
      <c r="OBF161" s="537"/>
      <c r="OBG161" s="537"/>
      <c r="OBH161" s="537"/>
      <c r="OBI161" s="537"/>
      <c r="OBJ161" s="537"/>
      <c r="OBK161" s="537"/>
      <c r="OBL161" s="537"/>
      <c r="OBM161" s="537"/>
      <c r="OBN161" s="537"/>
      <c r="OBO161" s="537"/>
      <c r="OBP161" s="537"/>
      <c r="OBQ161" s="537"/>
      <c r="OBR161" s="537"/>
      <c r="OBS161" s="537"/>
      <c r="OBT161" s="537"/>
      <c r="OBU161" s="537"/>
      <c r="OBV161" s="537"/>
      <c r="OBW161" s="537"/>
      <c r="OBX161" s="537"/>
      <c r="OBY161" s="537"/>
      <c r="OBZ161" s="537"/>
      <c r="OCA161" s="537"/>
      <c r="OCB161" s="537"/>
      <c r="OCC161" s="537"/>
      <c r="OCD161" s="537"/>
      <c r="OCE161" s="537"/>
      <c r="OCF161" s="537"/>
      <c r="OCG161" s="537"/>
      <c r="OCH161" s="537"/>
      <c r="OCI161" s="537"/>
      <c r="OCJ161" s="537"/>
      <c r="OCK161" s="537"/>
      <c r="OCL161" s="537"/>
      <c r="OCM161" s="537"/>
      <c r="OCN161" s="537"/>
      <c r="OCO161" s="537"/>
      <c r="OCP161" s="537"/>
      <c r="OCQ161" s="537"/>
      <c r="OCR161" s="537"/>
      <c r="OCS161" s="537"/>
      <c r="OCT161" s="537"/>
      <c r="OCU161" s="537"/>
      <c r="OCV161" s="537"/>
      <c r="OCW161" s="537"/>
      <c r="OCX161" s="537"/>
      <c r="OCY161" s="537"/>
      <c r="OCZ161" s="537"/>
      <c r="ODA161" s="537"/>
      <c r="ODB161" s="537"/>
      <c r="ODC161" s="537"/>
      <c r="ODD161" s="537"/>
      <c r="ODE161" s="537"/>
      <c r="ODF161" s="537"/>
      <c r="ODG161" s="537"/>
      <c r="ODH161" s="537"/>
      <c r="ODI161" s="537"/>
      <c r="ODJ161" s="537"/>
      <c r="ODK161" s="537"/>
      <c r="ODL161" s="537"/>
      <c r="ODM161" s="537"/>
      <c r="ODN161" s="537"/>
      <c r="ODO161" s="537"/>
      <c r="ODP161" s="537"/>
      <c r="ODQ161" s="537"/>
      <c r="ODR161" s="537"/>
      <c r="ODS161" s="537"/>
      <c r="ODT161" s="537"/>
      <c r="ODU161" s="537"/>
      <c r="ODV161" s="537"/>
      <c r="ODW161" s="537"/>
      <c r="ODX161" s="537"/>
      <c r="ODY161" s="537"/>
      <c r="ODZ161" s="537"/>
      <c r="OEA161" s="537"/>
      <c r="OEB161" s="537"/>
      <c r="OEC161" s="537"/>
      <c r="OED161" s="537"/>
      <c r="OEE161" s="537"/>
      <c r="OEF161" s="537"/>
      <c r="OEG161" s="537"/>
      <c r="OEH161" s="537"/>
      <c r="OEI161" s="537"/>
      <c r="OEJ161" s="537"/>
      <c r="OEK161" s="537"/>
      <c r="OEL161" s="537"/>
      <c r="OEM161" s="537"/>
      <c r="OEN161" s="537"/>
      <c r="OEO161" s="537"/>
      <c r="OEP161" s="537"/>
      <c r="OEQ161" s="537"/>
      <c r="OER161" s="537"/>
      <c r="OES161" s="537"/>
      <c r="OET161" s="537"/>
      <c r="OEU161" s="537"/>
      <c r="OEV161" s="537"/>
      <c r="OEW161" s="537"/>
      <c r="OEX161" s="537"/>
      <c r="OEY161" s="537"/>
      <c r="OEZ161" s="537"/>
      <c r="OFA161" s="537"/>
      <c r="OFB161" s="537"/>
      <c r="OFC161" s="537"/>
      <c r="OFD161" s="537"/>
      <c r="OFE161" s="537"/>
      <c r="OFF161" s="537"/>
      <c r="OFG161" s="537"/>
      <c r="OFH161" s="537"/>
      <c r="OFI161" s="537"/>
      <c r="OFJ161" s="537"/>
      <c r="OFK161" s="537"/>
      <c r="OFL161" s="537"/>
      <c r="OFM161" s="537"/>
      <c r="OFN161" s="537"/>
      <c r="OFO161" s="537"/>
      <c r="OFP161" s="537"/>
      <c r="OFQ161" s="537"/>
      <c r="OFR161" s="537"/>
      <c r="OFS161" s="537"/>
      <c r="OFT161" s="537"/>
      <c r="OFU161" s="537"/>
      <c r="OFV161" s="537"/>
      <c r="OFW161" s="537"/>
      <c r="OFX161" s="537"/>
      <c r="OFY161" s="537"/>
      <c r="OFZ161" s="537"/>
      <c r="OGA161" s="537"/>
      <c r="OGB161" s="537"/>
      <c r="OGC161" s="537"/>
      <c r="OGD161" s="537"/>
      <c r="OGE161" s="537"/>
      <c r="OGF161" s="537"/>
      <c r="OGG161" s="537"/>
      <c r="OGH161" s="537"/>
      <c r="OGI161" s="537"/>
      <c r="OGJ161" s="537"/>
      <c r="OGK161" s="537"/>
      <c r="OGL161" s="537"/>
      <c r="OGM161" s="537"/>
      <c r="OGN161" s="537"/>
      <c r="OGO161" s="537"/>
      <c r="OGP161" s="537"/>
      <c r="OGQ161" s="537"/>
      <c r="OGR161" s="537"/>
      <c r="OGS161" s="537"/>
      <c r="OGT161" s="537"/>
      <c r="OGU161" s="537"/>
      <c r="OGV161" s="537"/>
      <c r="OGW161" s="537"/>
      <c r="OGX161" s="537"/>
      <c r="OGY161" s="537"/>
      <c r="OGZ161" s="537"/>
      <c r="OHA161" s="537"/>
      <c r="OHB161" s="537"/>
      <c r="OHC161" s="537"/>
      <c r="OHD161" s="537"/>
      <c r="OHE161" s="537"/>
      <c r="OHF161" s="537"/>
      <c r="OHG161" s="537"/>
      <c r="OHH161" s="537"/>
      <c r="OHI161" s="537"/>
      <c r="OHJ161" s="537"/>
      <c r="OHK161" s="537"/>
      <c r="OHL161" s="537"/>
      <c r="OHM161" s="537"/>
      <c r="OHN161" s="537"/>
      <c r="OHO161" s="537"/>
      <c r="OHP161" s="537"/>
      <c r="OHQ161" s="537"/>
      <c r="OHR161" s="537"/>
      <c r="OHS161" s="537"/>
      <c r="OHT161" s="537"/>
      <c r="OHU161" s="537"/>
      <c r="OHV161" s="537"/>
      <c r="OHW161" s="537"/>
      <c r="OHX161" s="537"/>
      <c r="OHY161" s="537"/>
      <c r="OHZ161" s="537"/>
      <c r="OIA161" s="537"/>
      <c r="OIB161" s="537"/>
      <c r="OIC161" s="537"/>
      <c r="OID161" s="537"/>
      <c r="OIE161" s="537"/>
      <c r="OIF161" s="537"/>
      <c r="OIG161" s="537"/>
      <c r="OIH161" s="537"/>
      <c r="OII161" s="537"/>
      <c r="OIJ161" s="537"/>
      <c r="OIK161" s="537"/>
      <c r="OIL161" s="537"/>
      <c r="OIM161" s="537"/>
      <c r="OIN161" s="537"/>
      <c r="OIO161" s="537"/>
      <c r="OIP161" s="537"/>
      <c r="OIQ161" s="537"/>
      <c r="OIR161" s="537"/>
      <c r="OIS161" s="537"/>
      <c r="OIT161" s="537"/>
      <c r="OIU161" s="537"/>
      <c r="OIV161" s="537"/>
      <c r="OIW161" s="537"/>
      <c r="OIX161" s="537"/>
      <c r="OIY161" s="537"/>
      <c r="OIZ161" s="537"/>
      <c r="OJA161" s="537"/>
      <c r="OJB161" s="537"/>
      <c r="OJC161" s="537"/>
      <c r="OJD161" s="537"/>
      <c r="OJE161" s="537"/>
      <c r="OJF161" s="537"/>
      <c r="OJG161" s="537"/>
      <c r="OJH161" s="537"/>
      <c r="OJI161" s="537"/>
      <c r="OJJ161" s="537"/>
      <c r="OJK161" s="537"/>
      <c r="OJL161" s="537"/>
      <c r="OJM161" s="537"/>
      <c r="OJN161" s="537"/>
      <c r="OJO161" s="537"/>
      <c r="OJP161" s="537"/>
      <c r="OJQ161" s="537"/>
      <c r="OJR161" s="537"/>
      <c r="OJS161" s="537"/>
      <c r="OJT161" s="537"/>
      <c r="OJU161" s="537"/>
      <c r="OJV161" s="537"/>
      <c r="OJW161" s="537"/>
      <c r="OJX161" s="537"/>
      <c r="OJY161" s="537"/>
      <c r="OJZ161" s="537"/>
      <c r="OKA161" s="537"/>
      <c r="OKB161" s="537"/>
      <c r="OKC161" s="537"/>
      <c r="OKD161" s="537"/>
      <c r="OKE161" s="537"/>
      <c r="OKF161" s="537"/>
      <c r="OKG161" s="537"/>
      <c r="OKH161" s="537"/>
      <c r="OKI161" s="537"/>
      <c r="OKJ161" s="537"/>
      <c r="OKK161" s="537"/>
      <c r="OKL161" s="537"/>
      <c r="OKM161" s="537"/>
      <c r="OKN161" s="537"/>
      <c r="OKO161" s="537"/>
      <c r="OKP161" s="537"/>
      <c r="OKQ161" s="537"/>
      <c r="OKR161" s="537"/>
      <c r="OKS161" s="537"/>
      <c r="OKT161" s="537"/>
      <c r="OKU161" s="537"/>
      <c r="OKV161" s="537"/>
      <c r="OKW161" s="537"/>
      <c r="OKX161" s="537"/>
      <c r="OKY161" s="537"/>
      <c r="OKZ161" s="537"/>
      <c r="OLA161" s="537"/>
      <c r="OLB161" s="537"/>
      <c r="OLC161" s="537"/>
      <c r="OLD161" s="537"/>
      <c r="OLE161" s="537"/>
      <c r="OLF161" s="537"/>
      <c r="OLG161" s="537"/>
      <c r="OLH161" s="537"/>
      <c r="OLI161" s="537"/>
      <c r="OLJ161" s="537"/>
      <c r="OLK161" s="537"/>
      <c r="OLL161" s="537"/>
      <c r="OLM161" s="537"/>
      <c r="OLN161" s="537"/>
      <c r="OLO161" s="537"/>
      <c r="OLP161" s="537"/>
      <c r="OLQ161" s="537"/>
      <c r="OLR161" s="537"/>
      <c r="OLS161" s="537"/>
      <c r="OLT161" s="537"/>
      <c r="OLU161" s="537"/>
      <c r="OLV161" s="537"/>
      <c r="OLW161" s="537"/>
      <c r="OLX161" s="537"/>
      <c r="OLY161" s="537"/>
      <c r="OLZ161" s="537"/>
      <c r="OMA161" s="537"/>
      <c r="OMB161" s="537"/>
      <c r="OMC161" s="537"/>
      <c r="OMD161" s="537"/>
      <c r="OME161" s="537"/>
      <c r="OMF161" s="537"/>
      <c r="OMG161" s="537"/>
      <c r="OMH161" s="537"/>
      <c r="OMI161" s="537"/>
      <c r="OMJ161" s="537"/>
      <c r="OMK161" s="537"/>
      <c r="OML161" s="537"/>
      <c r="OMM161" s="537"/>
      <c r="OMN161" s="537"/>
      <c r="OMO161" s="537"/>
      <c r="OMP161" s="537"/>
      <c r="OMQ161" s="537"/>
      <c r="OMR161" s="537"/>
      <c r="OMS161" s="537"/>
      <c r="OMT161" s="537"/>
      <c r="OMU161" s="537"/>
      <c r="OMV161" s="537"/>
      <c r="OMW161" s="537"/>
      <c r="OMX161" s="537"/>
      <c r="OMY161" s="537"/>
      <c r="OMZ161" s="537"/>
      <c r="ONA161" s="537"/>
      <c r="ONB161" s="537"/>
      <c r="ONC161" s="537"/>
      <c r="OND161" s="537"/>
      <c r="ONE161" s="537"/>
      <c r="ONF161" s="537"/>
      <c r="ONG161" s="537"/>
      <c r="ONH161" s="537"/>
      <c r="ONI161" s="537"/>
      <c r="ONJ161" s="537"/>
      <c r="ONK161" s="537"/>
      <c r="ONL161" s="537"/>
      <c r="ONM161" s="537"/>
      <c r="ONN161" s="537"/>
      <c r="ONO161" s="537"/>
      <c r="ONP161" s="537"/>
      <c r="ONQ161" s="537"/>
      <c r="ONR161" s="537"/>
      <c r="ONS161" s="537"/>
      <c r="ONT161" s="537"/>
      <c r="ONU161" s="537"/>
      <c r="ONV161" s="537"/>
      <c r="ONW161" s="537"/>
      <c r="ONX161" s="537"/>
      <c r="ONY161" s="537"/>
      <c r="ONZ161" s="537"/>
      <c r="OOA161" s="537"/>
      <c r="OOB161" s="537"/>
      <c r="OOC161" s="537"/>
      <c r="OOD161" s="537"/>
      <c r="OOE161" s="537"/>
      <c r="OOF161" s="537"/>
      <c r="OOG161" s="537"/>
      <c r="OOH161" s="537"/>
      <c r="OOI161" s="537"/>
      <c r="OOJ161" s="537"/>
      <c r="OOK161" s="537"/>
      <c r="OOL161" s="537"/>
      <c r="OOM161" s="537"/>
      <c r="OON161" s="537"/>
      <c r="OOO161" s="537"/>
      <c r="OOP161" s="537"/>
      <c r="OOQ161" s="537"/>
      <c r="OOR161" s="537"/>
      <c r="OOS161" s="537"/>
      <c r="OOT161" s="537"/>
      <c r="OOU161" s="537"/>
      <c r="OOV161" s="537"/>
      <c r="OOW161" s="537"/>
      <c r="OOX161" s="537"/>
      <c r="OOY161" s="537"/>
      <c r="OOZ161" s="537"/>
      <c r="OPA161" s="537"/>
      <c r="OPB161" s="537"/>
      <c r="OPC161" s="537"/>
      <c r="OPD161" s="537"/>
      <c r="OPE161" s="537"/>
      <c r="OPF161" s="537"/>
      <c r="OPG161" s="537"/>
      <c r="OPH161" s="537"/>
      <c r="OPI161" s="537"/>
      <c r="OPJ161" s="537"/>
      <c r="OPK161" s="537"/>
      <c r="OPL161" s="537"/>
      <c r="OPM161" s="537"/>
      <c r="OPN161" s="537"/>
      <c r="OPO161" s="537"/>
      <c r="OPP161" s="537"/>
      <c r="OPQ161" s="537"/>
      <c r="OPR161" s="537"/>
      <c r="OPS161" s="537"/>
      <c r="OPT161" s="537"/>
      <c r="OPU161" s="537"/>
      <c r="OPV161" s="537"/>
      <c r="OPW161" s="537"/>
      <c r="OPX161" s="537"/>
      <c r="OPY161" s="537"/>
      <c r="OPZ161" s="537"/>
      <c r="OQA161" s="537"/>
      <c r="OQB161" s="537"/>
      <c r="OQC161" s="537"/>
      <c r="OQD161" s="537"/>
      <c r="OQE161" s="537"/>
      <c r="OQF161" s="537"/>
      <c r="OQG161" s="537"/>
      <c r="OQH161" s="537"/>
      <c r="OQI161" s="537"/>
      <c r="OQJ161" s="537"/>
      <c r="OQK161" s="537"/>
      <c r="OQL161" s="537"/>
      <c r="OQM161" s="537"/>
      <c r="OQN161" s="537"/>
      <c r="OQO161" s="537"/>
      <c r="OQP161" s="537"/>
      <c r="OQQ161" s="537"/>
      <c r="OQR161" s="537"/>
      <c r="OQS161" s="537"/>
      <c r="OQT161" s="537"/>
      <c r="OQU161" s="537"/>
      <c r="OQV161" s="537"/>
      <c r="OQW161" s="537"/>
      <c r="OQX161" s="537"/>
      <c r="OQY161" s="537"/>
      <c r="OQZ161" s="537"/>
      <c r="ORA161" s="537"/>
      <c r="ORB161" s="537"/>
      <c r="ORC161" s="537"/>
      <c r="ORD161" s="537"/>
      <c r="ORE161" s="537"/>
      <c r="ORF161" s="537"/>
      <c r="ORG161" s="537"/>
      <c r="ORH161" s="537"/>
      <c r="ORI161" s="537"/>
      <c r="ORJ161" s="537"/>
      <c r="ORK161" s="537"/>
      <c r="ORL161" s="537"/>
      <c r="ORM161" s="537"/>
      <c r="ORN161" s="537"/>
      <c r="ORO161" s="537"/>
      <c r="ORP161" s="537"/>
      <c r="ORQ161" s="537"/>
      <c r="ORR161" s="537"/>
      <c r="ORS161" s="537"/>
      <c r="ORT161" s="537"/>
      <c r="ORU161" s="537"/>
      <c r="ORV161" s="537"/>
      <c r="ORW161" s="537"/>
      <c r="ORX161" s="537"/>
      <c r="ORY161" s="537"/>
      <c r="ORZ161" s="537"/>
      <c r="OSA161" s="537"/>
      <c r="OSB161" s="537"/>
      <c r="OSC161" s="537"/>
      <c r="OSD161" s="537"/>
      <c r="OSE161" s="537"/>
      <c r="OSF161" s="537"/>
      <c r="OSG161" s="537"/>
      <c r="OSH161" s="537"/>
      <c r="OSI161" s="537"/>
      <c r="OSJ161" s="537"/>
      <c r="OSK161" s="537"/>
      <c r="OSL161" s="537"/>
      <c r="OSM161" s="537"/>
      <c r="OSN161" s="537"/>
      <c r="OSO161" s="537"/>
      <c r="OSP161" s="537"/>
      <c r="OSQ161" s="537"/>
      <c r="OSR161" s="537"/>
      <c r="OSS161" s="537"/>
      <c r="OST161" s="537"/>
      <c r="OSU161" s="537"/>
      <c r="OSV161" s="537"/>
      <c r="OSW161" s="537"/>
      <c r="OSX161" s="537"/>
      <c r="OSY161" s="537"/>
      <c r="OSZ161" s="537"/>
      <c r="OTA161" s="537"/>
      <c r="OTB161" s="537"/>
      <c r="OTC161" s="537"/>
      <c r="OTD161" s="537"/>
      <c r="OTE161" s="537"/>
      <c r="OTF161" s="537"/>
      <c r="OTG161" s="537"/>
      <c r="OTH161" s="537"/>
      <c r="OTI161" s="537"/>
      <c r="OTJ161" s="537"/>
      <c r="OTK161" s="537"/>
      <c r="OTL161" s="537"/>
      <c r="OTM161" s="537"/>
      <c r="OTN161" s="537"/>
      <c r="OTO161" s="537"/>
      <c r="OTP161" s="537"/>
      <c r="OTQ161" s="537"/>
      <c r="OTR161" s="537"/>
      <c r="OTS161" s="537"/>
      <c r="OTT161" s="537"/>
      <c r="OTU161" s="537"/>
      <c r="OTV161" s="537"/>
      <c r="OTW161" s="537"/>
      <c r="OTX161" s="537"/>
      <c r="OTY161" s="537"/>
      <c r="OTZ161" s="537"/>
      <c r="OUA161" s="537"/>
      <c r="OUB161" s="537"/>
      <c r="OUC161" s="537"/>
      <c r="OUD161" s="537"/>
      <c r="OUE161" s="537"/>
      <c r="OUF161" s="537"/>
      <c r="OUG161" s="537"/>
      <c r="OUH161" s="537"/>
      <c r="OUI161" s="537"/>
      <c r="OUJ161" s="537"/>
      <c r="OUK161" s="537"/>
      <c r="OUL161" s="537"/>
      <c r="OUM161" s="537"/>
      <c r="OUN161" s="537"/>
      <c r="OUO161" s="537"/>
      <c r="OUP161" s="537"/>
      <c r="OUQ161" s="537"/>
      <c r="OUR161" s="537"/>
      <c r="OUS161" s="537"/>
      <c r="OUT161" s="537"/>
      <c r="OUU161" s="537"/>
      <c r="OUV161" s="537"/>
      <c r="OUW161" s="537"/>
      <c r="OUX161" s="537"/>
      <c r="OUY161" s="537"/>
      <c r="OUZ161" s="537"/>
      <c r="OVA161" s="537"/>
      <c r="OVB161" s="537"/>
      <c r="OVC161" s="537"/>
      <c r="OVD161" s="537"/>
      <c r="OVE161" s="537"/>
      <c r="OVF161" s="537"/>
      <c r="OVG161" s="537"/>
      <c r="OVH161" s="537"/>
      <c r="OVI161" s="537"/>
      <c r="OVJ161" s="537"/>
      <c r="OVK161" s="537"/>
      <c r="OVL161" s="537"/>
      <c r="OVM161" s="537"/>
      <c r="OVN161" s="537"/>
      <c r="OVO161" s="537"/>
      <c r="OVP161" s="537"/>
      <c r="OVQ161" s="537"/>
      <c r="OVR161" s="537"/>
      <c r="OVS161" s="537"/>
      <c r="OVT161" s="537"/>
      <c r="OVU161" s="537"/>
      <c r="OVV161" s="537"/>
      <c r="OVW161" s="537"/>
      <c r="OVX161" s="537"/>
      <c r="OVY161" s="537"/>
      <c r="OVZ161" s="537"/>
      <c r="OWA161" s="537"/>
      <c r="OWB161" s="537"/>
      <c r="OWC161" s="537"/>
      <c r="OWD161" s="537"/>
      <c r="OWE161" s="537"/>
      <c r="OWF161" s="537"/>
      <c r="OWG161" s="537"/>
      <c r="OWH161" s="537"/>
      <c r="OWI161" s="537"/>
      <c r="OWJ161" s="537"/>
      <c r="OWK161" s="537"/>
      <c r="OWL161" s="537"/>
      <c r="OWM161" s="537"/>
      <c r="OWN161" s="537"/>
      <c r="OWO161" s="537"/>
      <c r="OWP161" s="537"/>
      <c r="OWQ161" s="537"/>
      <c r="OWR161" s="537"/>
      <c r="OWS161" s="537"/>
      <c r="OWT161" s="537"/>
      <c r="OWU161" s="537"/>
      <c r="OWV161" s="537"/>
      <c r="OWW161" s="537"/>
      <c r="OWX161" s="537"/>
      <c r="OWY161" s="537"/>
      <c r="OWZ161" s="537"/>
      <c r="OXA161" s="537"/>
      <c r="OXB161" s="537"/>
      <c r="OXC161" s="537"/>
      <c r="OXD161" s="537"/>
      <c r="OXE161" s="537"/>
      <c r="OXF161" s="537"/>
      <c r="OXG161" s="537"/>
      <c r="OXH161" s="537"/>
      <c r="OXI161" s="537"/>
      <c r="OXJ161" s="537"/>
      <c r="OXK161" s="537"/>
      <c r="OXL161" s="537"/>
      <c r="OXM161" s="537"/>
      <c r="OXN161" s="537"/>
      <c r="OXO161" s="537"/>
      <c r="OXP161" s="537"/>
      <c r="OXQ161" s="537"/>
      <c r="OXR161" s="537"/>
      <c r="OXS161" s="537"/>
      <c r="OXT161" s="537"/>
      <c r="OXU161" s="537"/>
      <c r="OXV161" s="537"/>
      <c r="OXW161" s="537"/>
      <c r="OXX161" s="537"/>
      <c r="OXY161" s="537"/>
      <c r="OXZ161" s="537"/>
      <c r="OYA161" s="537"/>
      <c r="OYB161" s="537"/>
      <c r="OYC161" s="537"/>
      <c r="OYD161" s="537"/>
      <c r="OYE161" s="537"/>
      <c r="OYF161" s="537"/>
      <c r="OYG161" s="537"/>
      <c r="OYH161" s="537"/>
      <c r="OYI161" s="537"/>
      <c r="OYJ161" s="537"/>
      <c r="OYK161" s="537"/>
      <c r="OYL161" s="537"/>
      <c r="OYM161" s="537"/>
      <c r="OYN161" s="537"/>
      <c r="OYO161" s="537"/>
      <c r="OYP161" s="537"/>
      <c r="OYQ161" s="537"/>
      <c r="OYR161" s="537"/>
      <c r="OYS161" s="537"/>
      <c r="OYT161" s="537"/>
      <c r="OYU161" s="537"/>
      <c r="OYV161" s="537"/>
      <c r="OYW161" s="537"/>
      <c r="OYX161" s="537"/>
      <c r="OYY161" s="537"/>
      <c r="OYZ161" s="537"/>
      <c r="OZA161" s="537"/>
      <c r="OZB161" s="537"/>
      <c r="OZC161" s="537"/>
      <c r="OZD161" s="537"/>
      <c r="OZE161" s="537"/>
      <c r="OZF161" s="537"/>
      <c r="OZG161" s="537"/>
      <c r="OZH161" s="537"/>
      <c r="OZI161" s="537"/>
      <c r="OZJ161" s="537"/>
      <c r="OZK161" s="537"/>
      <c r="OZL161" s="537"/>
      <c r="OZM161" s="537"/>
      <c r="OZN161" s="537"/>
      <c r="OZO161" s="537"/>
      <c r="OZP161" s="537"/>
      <c r="OZQ161" s="537"/>
      <c r="OZR161" s="537"/>
      <c r="OZS161" s="537"/>
      <c r="OZT161" s="537"/>
      <c r="OZU161" s="537"/>
      <c r="OZV161" s="537"/>
      <c r="OZW161" s="537"/>
      <c r="OZX161" s="537"/>
      <c r="OZY161" s="537"/>
      <c r="OZZ161" s="537"/>
      <c r="PAA161" s="537"/>
      <c r="PAB161" s="537"/>
      <c r="PAC161" s="537"/>
      <c r="PAD161" s="537"/>
      <c r="PAE161" s="537"/>
      <c r="PAF161" s="537"/>
      <c r="PAG161" s="537"/>
      <c r="PAH161" s="537"/>
      <c r="PAI161" s="537"/>
      <c r="PAJ161" s="537"/>
      <c r="PAK161" s="537"/>
      <c r="PAL161" s="537"/>
      <c r="PAM161" s="537"/>
      <c r="PAN161" s="537"/>
      <c r="PAO161" s="537"/>
      <c r="PAP161" s="537"/>
      <c r="PAQ161" s="537"/>
      <c r="PAR161" s="537"/>
      <c r="PAS161" s="537"/>
      <c r="PAT161" s="537"/>
      <c r="PAU161" s="537"/>
      <c r="PAV161" s="537"/>
      <c r="PAW161" s="537"/>
      <c r="PAX161" s="537"/>
      <c r="PAY161" s="537"/>
      <c r="PAZ161" s="537"/>
      <c r="PBA161" s="537"/>
      <c r="PBB161" s="537"/>
      <c r="PBC161" s="537"/>
      <c r="PBD161" s="537"/>
      <c r="PBE161" s="537"/>
      <c r="PBF161" s="537"/>
      <c r="PBG161" s="537"/>
      <c r="PBH161" s="537"/>
      <c r="PBI161" s="537"/>
      <c r="PBJ161" s="537"/>
      <c r="PBK161" s="537"/>
      <c r="PBL161" s="537"/>
      <c r="PBM161" s="537"/>
      <c r="PBN161" s="537"/>
      <c r="PBO161" s="537"/>
      <c r="PBP161" s="537"/>
      <c r="PBQ161" s="537"/>
      <c r="PBR161" s="537"/>
      <c r="PBS161" s="537"/>
      <c r="PBT161" s="537"/>
      <c r="PBU161" s="537"/>
      <c r="PBV161" s="537"/>
      <c r="PBW161" s="537"/>
      <c r="PBX161" s="537"/>
      <c r="PBY161" s="537"/>
      <c r="PBZ161" s="537"/>
      <c r="PCA161" s="537"/>
      <c r="PCB161" s="537"/>
      <c r="PCC161" s="537"/>
      <c r="PCD161" s="537"/>
      <c r="PCE161" s="537"/>
      <c r="PCF161" s="537"/>
      <c r="PCG161" s="537"/>
      <c r="PCH161" s="537"/>
      <c r="PCI161" s="537"/>
      <c r="PCJ161" s="537"/>
      <c r="PCK161" s="537"/>
      <c r="PCL161" s="537"/>
      <c r="PCM161" s="537"/>
      <c r="PCN161" s="537"/>
      <c r="PCO161" s="537"/>
      <c r="PCP161" s="537"/>
      <c r="PCQ161" s="537"/>
      <c r="PCR161" s="537"/>
      <c r="PCS161" s="537"/>
      <c r="PCT161" s="537"/>
      <c r="PCU161" s="537"/>
      <c r="PCV161" s="537"/>
      <c r="PCW161" s="537"/>
      <c r="PCX161" s="537"/>
      <c r="PCY161" s="537"/>
      <c r="PCZ161" s="537"/>
      <c r="PDA161" s="537"/>
      <c r="PDB161" s="537"/>
      <c r="PDC161" s="537"/>
      <c r="PDD161" s="537"/>
      <c r="PDE161" s="537"/>
      <c r="PDF161" s="537"/>
      <c r="PDG161" s="537"/>
      <c r="PDH161" s="537"/>
      <c r="PDI161" s="537"/>
      <c r="PDJ161" s="537"/>
      <c r="PDK161" s="537"/>
      <c r="PDL161" s="537"/>
      <c r="PDM161" s="537"/>
      <c r="PDN161" s="537"/>
      <c r="PDO161" s="537"/>
      <c r="PDP161" s="537"/>
      <c r="PDQ161" s="537"/>
      <c r="PDR161" s="537"/>
      <c r="PDS161" s="537"/>
      <c r="PDT161" s="537"/>
      <c r="PDU161" s="537"/>
      <c r="PDV161" s="537"/>
      <c r="PDW161" s="537"/>
      <c r="PDX161" s="537"/>
      <c r="PDY161" s="537"/>
      <c r="PDZ161" s="537"/>
      <c r="PEA161" s="537"/>
      <c r="PEB161" s="537"/>
      <c r="PEC161" s="537"/>
      <c r="PED161" s="537"/>
      <c r="PEE161" s="537"/>
      <c r="PEF161" s="537"/>
      <c r="PEG161" s="537"/>
      <c r="PEH161" s="537"/>
      <c r="PEI161" s="537"/>
      <c r="PEJ161" s="537"/>
      <c r="PEK161" s="537"/>
      <c r="PEL161" s="537"/>
      <c r="PEM161" s="537"/>
      <c r="PEN161" s="537"/>
      <c r="PEO161" s="537"/>
      <c r="PEP161" s="537"/>
      <c r="PEQ161" s="537"/>
      <c r="PER161" s="537"/>
      <c r="PES161" s="537"/>
      <c r="PET161" s="537"/>
      <c r="PEU161" s="537"/>
      <c r="PEV161" s="537"/>
      <c r="PEW161" s="537"/>
      <c r="PEX161" s="537"/>
      <c r="PEY161" s="537"/>
      <c r="PEZ161" s="537"/>
      <c r="PFA161" s="537"/>
      <c r="PFB161" s="537"/>
      <c r="PFC161" s="537"/>
      <c r="PFD161" s="537"/>
      <c r="PFE161" s="537"/>
      <c r="PFF161" s="537"/>
      <c r="PFG161" s="537"/>
      <c r="PFH161" s="537"/>
      <c r="PFI161" s="537"/>
      <c r="PFJ161" s="537"/>
      <c r="PFK161" s="537"/>
      <c r="PFL161" s="537"/>
      <c r="PFM161" s="537"/>
      <c r="PFN161" s="537"/>
      <c r="PFO161" s="537"/>
      <c r="PFP161" s="537"/>
      <c r="PFQ161" s="537"/>
      <c r="PFR161" s="537"/>
      <c r="PFS161" s="537"/>
      <c r="PFT161" s="537"/>
      <c r="PFU161" s="537"/>
      <c r="PFV161" s="537"/>
      <c r="PFW161" s="537"/>
      <c r="PFX161" s="537"/>
      <c r="PFY161" s="537"/>
      <c r="PFZ161" s="537"/>
      <c r="PGA161" s="537"/>
      <c r="PGB161" s="537"/>
      <c r="PGC161" s="537"/>
      <c r="PGD161" s="537"/>
      <c r="PGE161" s="537"/>
      <c r="PGF161" s="537"/>
      <c r="PGG161" s="537"/>
      <c r="PGH161" s="537"/>
      <c r="PGI161" s="537"/>
      <c r="PGJ161" s="537"/>
      <c r="PGK161" s="537"/>
      <c r="PGL161" s="537"/>
      <c r="PGM161" s="537"/>
      <c r="PGN161" s="537"/>
      <c r="PGO161" s="537"/>
      <c r="PGP161" s="537"/>
      <c r="PGQ161" s="537"/>
      <c r="PGR161" s="537"/>
      <c r="PGS161" s="537"/>
      <c r="PGT161" s="537"/>
      <c r="PGU161" s="537"/>
      <c r="PGV161" s="537"/>
      <c r="PGW161" s="537"/>
      <c r="PGX161" s="537"/>
      <c r="PGY161" s="537"/>
      <c r="PGZ161" s="537"/>
      <c r="PHA161" s="537"/>
      <c r="PHB161" s="537"/>
      <c r="PHC161" s="537"/>
      <c r="PHD161" s="537"/>
      <c r="PHE161" s="537"/>
      <c r="PHF161" s="537"/>
      <c r="PHG161" s="537"/>
      <c r="PHH161" s="537"/>
      <c r="PHI161" s="537"/>
      <c r="PHJ161" s="537"/>
      <c r="PHK161" s="537"/>
      <c r="PHL161" s="537"/>
      <c r="PHM161" s="537"/>
      <c r="PHN161" s="537"/>
      <c r="PHO161" s="537"/>
      <c r="PHP161" s="537"/>
      <c r="PHQ161" s="537"/>
      <c r="PHR161" s="537"/>
      <c r="PHS161" s="537"/>
      <c r="PHT161" s="537"/>
      <c r="PHU161" s="537"/>
      <c r="PHV161" s="537"/>
      <c r="PHW161" s="537"/>
      <c r="PHX161" s="537"/>
      <c r="PHY161" s="537"/>
      <c r="PHZ161" s="537"/>
      <c r="PIA161" s="537"/>
      <c r="PIB161" s="537"/>
      <c r="PIC161" s="537"/>
      <c r="PID161" s="537"/>
      <c r="PIE161" s="537"/>
      <c r="PIF161" s="537"/>
      <c r="PIG161" s="537"/>
      <c r="PIH161" s="537"/>
      <c r="PII161" s="537"/>
      <c r="PIJ161" s="537"/>
      <c r="PIK161" s="537"/>
      <c r="PIL161" s="537"/>
      <c r="PIM161" s="537"/>
      <c r="PIN161" s="537"/>
      <c r="PIO161" s="537"/>
      <c r="PIP161" s="537"/>
      <c r="PIQ161" s="537"/>
      <c r="PIR161" s="537"/>
      <c r="PIS161" s="537"/>
      <c r="PIT161" s="537"/>
      <c r="PIU161" s="537"/>
      <c r="PIV161" s="537"/>
      <c r="PIW161" s="537"/>
      <c r="PIX161" s="537"/>
      <c r="PIY161" s="537"/>
      <c r="PIZ161" s="537"/>
      <c r="PJA161" s="537"/>
      <c r="PJB161" s="537"/>
      <c r="PJC161" s="537"/>
      <c r="PJD161" s="537"/>
      <c r="PJE161" s="537"/>
      <c r="PJF161" s="537"/>
      <c r="PJG161" s="537"/>
      <c r="PJH161" s="537"/>
      <c r="PJI161" s="537"/>
      <c r="PJJ161" s="537"/>
      <c r="PJK161" s="537"/>
      <c r="PJL161" s="537"/>
      <c r="PJM161" s="537"/>
      <c r="PJN161" s="537"/>
      <c r="PJO161" s="537"/>
      <c r="PJP161" s="537"/>
      <c r="PJQ161" s="537"/>
      <c r="PJR161" s="537"/>
      <c r="PJS161" s="537"/>
      <c r="PJT161" s="537"/>
      <c r="PJU161" s="537"/>
      <c r="PJV161" s="537"/>
      <c r="PJW161" s="537"/>
      <c r="PJX161" s="537"/>
      <c r="PJY161" s="537"/>
      <c r="PJZ161" s="537"/>
      <c r="PKA161" s="537"/>
      <c r="PKB161" s="537"/>
      <c r="PKC161" s="537"/>
      <c r="PKD161" s="537"/>
      <c r="PKE161" s="537"/>
      <c r="PKF161" s="537"/>
      <c r="PKG161" s="537"/>
      <c r="PKH161" s="537"/>
      <c r="PKI161" s="537"/>
      <c r="PKJ161" s="537"/>
      <c r="PKK161" s="537"/>
      <c r="PKL161" s="537"/>
      <c r="PKM161" s="537"/>
      <c r="PKN161" s="537"/>
      <c r="PKO161" s="537"/>
      <c r="PKP161" s="537"/>
      <c r="PKQ161" s="537"/>
      <c r="PKR161" s="537"/>
      <c r="PKS161" s="537"/>
      <c r="PKT161" s="537"/>
      <c r="PKU161" s="537"/>
      <c r="PKV161" s="537"/>
      <c r="PKW161" s="537"/>
      <c r="PKX161" s="537"/>
      <c r="PKY161" s="537"/>
      <c r="PKZ161" s="537"/>
      <c r="PLA161" s="537"/>
      <c r="PLB161" s="537"/>
      <c r="PLC161" s="537"/>
      <c r="PLD161" s="537"/>
      <c r="PLE161" s="537"/>
      <c r="PLF161" s="537"/>
      <c r="PLG161" s="537"/>
      <c r="PLH161" s="537"/>
      <c r="PLI161" s="537"/>
      <c r="PLJ161" s="537"/>
      <c r="PLK161" s="537"/>
      <c r="PLL161" s="537"/>
      <c r="PLM161" s="537"/>
      <c r="PLN161" s="537"/>
      <c r="PLO161" s="537"/>
      <c r="PLP161" s="537"/>
      <c r="PLQ161" s="537"/>
      <c r="PLR161" s="537"/>
      <c r="PLS161" s="537"/>
      <c r="PLT161" s="537"/>
      <c r="PLU161" s="537"/>
      <c r="PLV161" s="537"/>
      <c r="PLW161" s="537"/>
      <c r="PLX161" s="537"/>
      <c r="PLY161" s="537"/>
      <c r="PLZ161" s="537"/>
      <c r="PMA161" s="537"/>
      <c r="PMB161" s="537"/>
      <c r="PMC161" s="537"/>
      <c r="PMD161" s="537"/>
      <c r="PME161" s="537"/>
      <c r="PMF161" s="537"/>
      <c r="PMG161" s="537"/>
      <c r="PMH161" s="537"/>
      <c r="PMI161" s="537"/>
      <c r="PMJ161" s="537"/>
      <c r="PMK161" s="537"/>
      <c r="PML161" s="537"/>
      <c r="PMM161" s="537"/>
      <c r="PMN161" s="537"/>
      <c r="PMO161" s="537"/>
      <c r="PMP161" s="537"/>
      <c r="PMQ161" s="537"/>
      <c r="PMR161" s="537"/>
      <c r="PMS161" s="537"/>
      <c r="PMT161" s="537"/>
      <c r="PMU161" s="537"/>
      <c r="PMV161" s="537"/>
      <c r="PMW161" s="537"/>
      <c r="PMX161" s="537"/>
      <c r="PMY161" s="537"/>
      <c r="PMZ161" s="537"/>
      <c r="PNA161" s="537"/>
      <c r="PNB161" s="537"/>
      <c r="PNC161" s="537"/>
      <c r="PND161" s="537"/>
      <c r="PNE161" s="537"/>
      <c r="PNF161" s="537"/>
      <c r="PNG161" s="537"/>
      <c r="PNH161" s="537"/>
      <c r="PNI161" s="537"/>
      <c r="PNJ161" s="537"/>
      <c r="PNK161" s="537"/>
      <c r="PNL161" s="537"/>
      <c r="PNM161" s="537"/>
      <c r="PNN161" s="537"/>
      <c r="PNO161" s="537"/>
      <c r="PNP161" s="537"/>
      <c r="PNQ161" s="537"/>
      <c r="PNR161" s="537"/>
      <c r="PNS161" s="537"/>
      <c r="PNT161" s="537"/>
      <c r="PNU161" s="537"/>
      <c r="PNV161" s="537"/>
      <c r="PNW161" s="537"/>
      <c r="PNX161" s="537"/>
      <c r="PNY161" s="537"/>
      <c r="PNZ161" s="537"/>
      <c r="POA161" s="537"/>
      <c r="POB161" s="537"/>
      <c r="POC161" s="537"/>
      <c r="POD161" s="537"/>
      <c r="POE161" s="537"/>
      <c r="POF161" s="537"/>
      <c r="POG161" s="537"/>
      <c r="POH161" s="537"/>
      <c r="POI161" s="537"/>
      <c r="POJ161" s="537"/>
      <c r="POK161" s="537"/>
      <c r="POL161" s="537"/>
      <c r="POM161" s="537"/>
      <c r="PON161" s="537"/>
      <c r="POO161" s="537"/>
      <c r="POP161" s="537"/>
      <c r="POQ161" s="537"/>
      <c r="POR161" s="537"/>
      <c r="POS161" s="537"/>
      <c r="POT161" s="537"/>
      <c r="POU161" s="537"/>
      <c r="POV161" s="537"/>
      <c r="POW161" s="537"/>
      <c r="POX161" s="537"/>
      <c r="POY161" s="537"/>
      <c r="POZ161" s="537"/>
      <c r="PPA161" s="537"/>
      <c r="PPB161" s="537"/>
      <c r="PPC161" s="537"/>
      <c r="PPD161" s="537"/>
      <c r="PPE161" s="537"/>
      <c r="PPF161" s="537"/>
      <c r="PPG161" s="537"/>
      <c r="PPH161" s="537"/>
      <c r="PPI161" s="537"/>
      <c r="PPJ161" s="537"/>
      <c r="PPK161" s="537"/>
      <c r="PPL161" s="537"/>
      <c r="PPM161" s="537"/>
      <c r="PPN161" s="537"/>
      <c r="PPO161" s="537"/>
      <c r="PPP161" s="537"/>
      <c r="PPQ161" s="537"/>
      <c r="PPR161" s="537"/>
      <c r="PPS161" s="537"/>
      <c r="PPT161" s="537"/>
      <c r="PPU161" s="537"/>
      <c r="PPV161" s="537"/>
      <c r="PPW161" s="537"/>
      <c r="PPX161" s="537"/>
      <c r="PPY161" s="537"/>
      <c r="PPZ161" s="537"/>
      <c r="PQA161" s="537"/>
      <c r="PQB161" s="537"/>
      <c r="PQC161" s="537"/>
      <c r="PQD161" s="537"/>
      <c r="PQE161" s="537"/>
      <c r="PQF161" s="537"/>
      <c r="PQG161" s="537"/>
      <c r="PQH161" s="537"/>
      <c r="PQI161" s="537"/>
      <c r="PQJ161" s="537"/>
      <c r="PQK161" s="537"/>
      <c r="PQL161" s="537"/>
      <c r="PQM161" s="537"/>
      <c r="PQN161" s="537"/>
      <c r="PQO161" s="537"/>
      <c r="PQP161" s="537"/>
      <c r="PQQ161" s="537"/>
      <c r="PQR161" s="537"/>
      <c r="PQS161" s="537"/>
      <c r="PQT161" s="537"/>
      <c r="PQU161" s="537"/>
      <c r="PQV161" s="537"/>
      <c r="PQW161" s="537"/>
      <c r="PQX161" s="537"/>
      <c r="PQY161" s="537"/>
      <c r="PQZ161" s="537"/>
      <c r="PRA161" s="537"/>
      <c r="PRB161" s="537"/>
      <c r="PRC161" s="537"/>
      <c r="PRD161" s="537"/>
      <c r="PRE161" s="537"/>
      <c r="PRF161" s="537"/>
      <c r="PRG161" s="537"/>
      <c r="PRH161" s="537"/>
      <c r="PRI161" s="537"/>
      <c r="PRJ161" s="537"/>
      <c r="PRK161" s="537"/>
      <c r="PRL161" s="537"/>
      <c r="PRM161" s="537"/>
      <c r="PRN161" s="537"/>
      <c r="PRO161" s="537"/>
      <c r="PRP161" s="537"/>
      <c r="PRQ161" s="537"/>
      <c r="PRR161" s="537"/>
      <c r="PRS161" s="537"/>
      <c r="PRT161" s="537"/>
      <c r="PRU161" s="537"/>
      <c r="PRV161" s="537"/>
      <c r="PRW161" s="537"/>
      <c r="PRX161" s="537"/>
      <c r="PRY161" s="537"/>
      <c r="PRZ161" s="537"/>
      <c r="PSA161" s="537"/>
      <c r="PSB161" s="537"/>
      <c r="PSC161" s="537"/>
      <c r="PSD161" s="537"/>
      <c r="PSE161" s="537"/>
      <c r="PSF161" s="537"/>
      <c r="PSG161" s="537"/>
      <c r="PSH161" s="537"/>
      <c r="PSI161" s="537"/>
      <c r="PSJ161" s="537"/>
      <c r="PSK161" s="537"/>
      <c r="PSL161" s="537"/>
      <c r="PSM161" s="537"/>
      <c r="PSN161" s="537"/>
      <c r="PSO161" s="537"/>
      <c r="PSP161" s="537"/>
      <c r="PSQ161" s="537"/>
      <c r="PSR161" s="537"/>
      <c r="PSS161" s="537"/>
      <c r="PST161" s="537"/>
      <c r="PSU161" s="537"/>
      <c r="PSV161" s="537"/>
      <c r="PSW161" s="537"/>
      <c r="PSX161" s="537"/>
      <c r="PSY161" s="537"/>
      <c r="PSZ161" s="537"/>
      <c r="PTA161" s="537"/>
      <c r="PTB161" s="537"/>
      <c r="PTC161" s="537"/>
      <c r="PTD161" s="537"/>
      <c r="PTE161" s="537"/>
      <c r="PTF161" s="537"/>
      <c r="PTG161" s="537"/>
      <c r="PTH161" s="537"/>
      <c r="PTI161" s="537"/>
      <c r="PTJ161" s="537"/>
      <c r="PTK161" s="537"/>
      <c r="PTL161" s="537"/>
      <c r="PTM161" s="537"/>
      <c r="PTN161" s="537"/>
      <c r="PTO161" s="537"/>
      <c r="PTP161" s="537"/>
      <c r="PTQ161" s="537"/>
      <c r="PTR161" s="537"/>
      <c r="PTS161" s="537"/>
      <c r="PTT161" s="537"/>
      <c r="PTU161" s="537"/>
      <c r="PTV161" s="537"/>
      <c r="PTW161" s="537"/>
      <c r="PTX161" s="537"/>
      <c r="PTY161" s="537"/>
      <c r="PTZ161" s="537"/>
      <c r="PUA161" s="537"/>
      <c r="PUB161" s="537"/>
      <c r="PUC161" s="537"/>
      <c r="PUD161" s="537"/>
      <c r="PUE161" s="537"/>
      <c r="PUF161" s="537"/>
      <c r="PUG161" s="537"/>
      <c r="PUH161" s="537"/>
      <c r="PUI161" s="537"/>
      <c r="PUJ161" s="537"/>
      <c r="PUK161" s="537"/>
      <c r="PUL161" s="537"/>
      <c r="PUM161" s="537"/>
      <c r="PUN161" s="537"/>
      <c r="PUO161" s="537"/>
      <c r="PUP161" s="537"/>
      <c r="PUQ161" s="537"/>
      <c r="PUR161" s="537"/>
      <c r="PUS161" s="537"/>
      <c r="PUT161" s="537"/>
      <c r="PUU161" s="537"/>
      <c r="PUV161" s="537"/>
      <c r="PUW161" s="537"/>
      <c r="PUX161" s="537"/>
      <c r="PUY161" s="537"/>
      <c r="PUZ161" s="537"/>
      <c r="PVA161" s="537"/>
      <c r="PVB161" s="537"/>
      <c r="PVC161" s="537"/>
      <c r="PVD161" s="537"/>
      <c r="PVE161" s="537"/>
      <c r="PVF161" s="537"/>
      <c r="PVG161" s="537"/>
      <c r="PVH161" s="537"/>
      <c r="PVI161" s="537"/>
      <c r="PVJ161" s="537"/>
      <c r="PVK161" s="537"/>
      <c r="PVL161" s="537"/>
      <c r="PVM161" s="537"/>
      <c r="PVN161" s="537"/>
      <c r="PVO161" s="537"/>
      <c r="PVP161" s="537"/>
      <c r="PVQ161" s="537"/>
      <c r="PVR161" s="537"/>
      <c r="PVS161" s="537"/>
      <c r="PVT161" s="537"/>
      <c r="PVU161" s="537"/>
      <c r="PVV161" s="537"/>
      <c r="PVW161" s="537"/>
      <c r="PVX161" s="537"/>
      <c r="PVY161" s="537"/>
      <c r="PVZ161" s="537"/>
      <c r="PWA161" s="537"/>
      <c r="PWB161" s="537"/>
      <c r="PWC161" s="537"/>
      <c r="PWD161" s="537"/>
      <c r="PWE161" s="537"/>
      <c r="PWF161" s="537"/>
      <c r="PWG161" s="537"/>
      <c r="PWH161" s="537"/>
      <c r="PWI161" s="537"/>
      <c r="PWJ161" s="537"/>
      <c r="PWK161" s="537"/>
      <c r="PWL161" s="537"/>
      <c r="PWM161" s="537"/>
      <c r="PWN161" s="537"/>
      <c r="PWO161" s="537"/>
      <c r="PWP161" s="537"/>
      <c r="PWQ161" s="537"/>
      <c r="PWR161" s="537"/>
      <c r="PWS161" s="537"/>
      <c r="PWT161" s="537"/>
      <c r="PWU161" s="537"/>
      <c r="PWV161" s="537"/>
      <c r="PWW161" s="537"/>
      <c r="PWX161" s="537"/>
      <c r="PWY161" s="537"/>
      <c r="PWZ161" s="537"/>
      <c r="PXA161" s="537"/>
      <c r="PXB161" s="537"/>
      <c r="PXC161" s="537"/>
      <c r="PXD161" s="537"/>
      <c r="PXE161" s="537"/>
      <c r="PXF161" s="537"/>
      <c r="PXG161" s="537"/>
      <c r="PXH161" s="537"/>
      <c r="PXI161" s="537"/>
      <c r="PXJ161" s="537"/>
      <c r="PXK161" s="537"/>
      <c r="PXL161" s="537"/>
      <c r="PXM161" s="537"/>
      <c r="PXN161" s="537"/>
      <c r="PXO161" s="537"/>
      <c r="PXP161" s="537"/>
      <c r="PXQ161" s="537"/>
      <c r="PXR161" s="537"/>
      <c r="PXS161" s="537"/>
      <c r="PXT161" s="537"/>
      <c r="PXU161" s="537"/>
      <c r="PXV161" s="537"/>
      <c r="PXW161" s="537"/>
      <c r="PXX161" s="537"/>
      <c r="PXY161" s="537"/>
      <c r="PXZ161" s="537"/>
      <c r="PYA161" s="537"/>
      <c r="PYB161" s="537"/>
      <c r="PYC161" s="537"/>
      <c r="PYD161" s="537"/>
      <c r="PYE161" s="537"/>
      <c r="PYF161" s="537"/>
      <c r="PYG161" s="537"/>
      <c r="PYH161" s="537"/>
      <c r="PYI161" s="537"/>
      <c r="PYJ161" s="537"/>
      <c r="PYK161" s="537"/>
      <c r="PYL161" s="537"/>
      <c r="PYM161" s="537"/>
      <c r="PYN161" s="537"/>
      <c r="PYO161" s="537"/>
      <c r="PYP161" s="537"/>
      <c r="PYQ161" s="537"/>
      <c r="PYR161" s="537"/>
      <c r="PYS161" s="537"/>
      <c r="PYT161" s="537"/>
      <c r="PYU161" s="537"/>
      <c r="PYV161" s="537"/>
      <c r="PYW161" s="537"/>
      <c r="PYX161" s="537"/>
      <c r="PYY161" s="537"/>
      <c r="PYZ161" s="537"/>
      <c r="PZA161" s="537"/>
      <c r="PZB161" s="537"/>
      <c r="PZC161" s="537"/>
      <c r="PZD161" s="537"/>
      <c r="PZE161" s="537"/>
      <c r="PZF161" s="537"/>
      <c r="PZG161" s="537"/>
      <c r="PZH161" s="537"/>
      <c r="PZI161" s="537"/>
      <c r="PZJ161" s="537"/>
      <c r="PZK161" s="537"/>
      <c r="PZL161" s="537"/>
      <c r="PZM161" s="537"/>
      <c r="PZN161" s="537"/>
      <c r="PZO161" s="537"/>
      <c r="PZP161" s="537"/>
      <c r="PZQ161" s="537"/>
      <c r="PZR161" s="537"/>
      <c r="PZS161" s="537"/>
      <c r="PZT161" s="537"/>
      <c r="PZU161" s="537"/>
      <c r="PZV161" s="537"/>
      <c r="PZW161" s="537"/>
      <c r="PZX161" s="537"/>
      <c r="PZY161" s="537"/>
      <c r="PZZ161" s="537"/>
      <c r="QAA161" s="537"/>
      <c r="QAB161" s="537"/>
      <c r="QAC161" s="537"/>
      <c r="QAD161" s="537"/>
      <c r="QAE161" s="537"/>
      <c r="QAF161" s="537"/>
      <c r="QAG161" s="537"/>
      <c r="QAH161" s="537"/>
      <c r="QAI161" s="537"/>
      <c r="QAJ161" s="537"/>
      <c r="QAK161" s="537"/>
      <c r="QAL161" s="537"/>
      <c r="QAM161" s="537"/>
      <c r="QAN161" s="537"/>
      <c r="QAO161" s="537"/>
      <c r="QAP161" s="537"/>
      <c r="QAQ161" s="537"/>
      <c r="QAR161" s="537"/>
      <c r="QAS161" s="537"/>
      <c r="QAT161" s="537"/>
      <c r="QAU161" s="537"/>
      <c r="QAV161" s="537"/>
      <c r="QAW161" s="537"/>
      <c r="QAX161" s="537"/>
      <c r="QAY161" s="537"/>
      <c r="QAZ161" s="537"/>
      <c r="QBA161" s="537"/>
      <c r="QBB161" s="537"/>
      <c r="QBC161" s="537"/>
      <c r="QBD161" s="537"/>
      <c r="QBE161" s="537"/>
      <c r="QBF161" s="537"/>
      <c r="QBG161" s="537"/>
      <c r="QBH161" s="537"/>
      <c r="QBI161" s="537"/>
      <c r="QBJ161" s="537"/>
      <c r="QBK161" s="537"/>
      <c r="QBL161" s="537"/>
      <c r="QBM161" s="537"/>
      <c r="QBN161" s="537"/>
      <c r="QBO161" s="537"/>
      <c r="QBP161" s="537"/>
      <c r="QBQ161" s="537"/>
      <c r="QBR161" s="537"/>
      <c r="QBS161" s="537"/>
      <c r="QBT161" s="537"/>
      <c r="QBU161" s="537"/>
      <c r="QBV161" s="537"/>
      <c r="QBW161" s="537"/>
      <c r="QBX161" s="537"/>
      <c r="QBY161" s="537"/>
      <c r="QBZ161" s="537"/>
      <c r="QCA161" s="537"/>
      <c r="QCB161" s="537"/>
      <c r="QCC161" s="537"/>
      <c r="QCD161" s="537"/>
      <c r="QCE161" s="537"/>
      <c r="QCF161" s="537"/>
      <c r="QCG161" s="537"/>
      <c r="QCH161" s="537"/>
      <c r="QCI161" s="537"/>
      <c r="QCJ161" s="537"/>
      <c r="QCK161" s="537"/>
      <c r="QCL161" s="537"/>
      <c r="QCM161" s="537"/>
      <c r="QCN161" s="537"/>
      <c r="QCO161" s="537"/>
      <c r="QCP161" s="537"/>
      <c r="QCQ161" s="537"/>
      <c r="QCR161" s="537"/>
      <c r="QCS161" s="537"/>
      <c r="QCT161" s="537"/>
      <c r="QCU161" s="537"/>
      <c r="QCV161" s="537"/>
      <c r="QCW161" s="537"/>
      <c r="QCX161" s="537"/>
      <c r="QCY161" s="537"/>
      <c r="QCZ161" s="537"/>
      <c r="QDA161" s="537"/>
      <c r="QDB161" s="537"/>
      <c r="QDC161" s="537"/>
      <c r="QDD161" s="537"/>
      <c r="QDE161" s="537"/>
      <c r="QDF161" s="537"/>
      <c r="QDG161" s="537"/>
      <c r="QDH161" s="537"/>
      <c r="QDI161" s="537"/>
      <c r="QDJ161" s="537"/>
      <c r="QDK161" s="537"/>
      <c r="QDL161" s="537"/>
      <c r="QDM161" s="537"/>
      <c r="QDN161" s="537"/>
      <c r="QDO161" s="537"/>
      <c r="QDP161" s="537"/>
      <c r="QDQ161" s="537"/>
      <c r="QDR161" s="537"/>
      <c r="QDS161" s="537"/>
      <c r="QDT161" s="537"/>
      <c r="QDU161" s="537"/>
      <c r="QDV161" s="537"/>
      <c r="QDW161" s="537"/>
      <c r="QDX161" s="537"/>
      <c r="QDY161" s="537"/>
      <c r="QDZ161" s="537"/>
      <c r="QEA161" s="537"/>
      <c r="QEB161" s="537"/>
      <c r="QEC161" s="537"/>
      <c r="QED161" s="537"/>
      <c r="QEE161" s="537"/>
      <c r="QEF161" s="537"/>
      <c r="QEG161" s="537"/>
      <c r="QEH161" s="537"/>
      <c r="QEI161" s="537"/>
      <c r="QEJ161" s="537"/>
      <c r="QEK161" s="537"/>
      <c r="QEL161" s="537"/>
      <c r="QEM161" s="537"/>
      <c r="QEN161" s="537"/>
      <c r="QEO161" s="537"/>
      <c r="QEP161" s="537"/>
      <c r="QEQ161" s="537"/>
      <c r="QER161" s="537"/>
      <c r="QES161" s="537"/>
      <c r="QET161" s="537"/>
      <c r="QEU161" s="537"/>
      <c r="QEV161" s="537"/>
      <c r="QEW161" s="537"/>
      <c r="QEX161" s="537"/>
      <c r="QEY161" s="537"/>
      <c r="QEZ161" s="537"/>
      <c r="QFA161" s="537"/>
      <c r="QFB161" s="537"/>
      <c r="QFC161" s="537"/>
      <c r="QFD161" s="537"/>
      <c r="QFE161" s="537"/>
      <c r="QFF161" s="537"/>
      <c r="QFG161" s="537"/>
      <c r="QFH161" s="537"/>
      <c r="QFI161" s="537"/>
      <c r="QFJ161" s="537"/>
      <c r="QFK161" s="537"/>
      <c r="QFL161" s="537"/>
      <c r="QFM161" s="537"/>
      <c r="QFN161" s="537"/>
      <c r="QFO161" s="537"/>
      <c r="QFP161" s="537"/>
      <c r="QFQ161" s="537"/>
      <c r="QFR161" s="537"/>
      <c r="QFS161" s="537"/>
      <c r="QFT161" s="537"/>
      <c r="QFU161" s="537"/>
      <c r="QFV161" s="537"/>
      <c r="QFW161" s="537"/>
      <c r="QFX161" s="537"/>
      <c r="QFY161" s="537"/>
      <c r="QFZ161" s="537"/>
      <c r="QGA161" s="537"/>
      <c r="QGB161" s="537"/>
      <c r="QGC161" s="537"/>
      <c r="QGD161" s="537"/>
      <c r="QGE161" s="537"/>
      <c r="QGF161" s="537"/>
      <c r="QGG161" s="537"/>
      <c r="QGH161" s="537"/>
      <c r="QGI161" s="537"/>
      <c r="QGJ161" s="537"/>
      <c r="QGK161" s="537"/>
      <c r="QGL161" s="537"/>
      <c r="QGM161" s="537"/>
      <c r="QGN161" s="537"/>
      <c r="QGO161" s="537"/>
      <c r="QGP161" s="537"/>
      <c r="QGQ161" s="537"/>
      <c r="QGR161" s="537"/>
      <c r="QGS161" s="537"/>
      <c r="QGT161" s="537"/>
      <c r="QGU161" s="537"/>
      <c r="QGV161" s="537"/>
      <c r="QGW161" s="537"/>
      <c r="QGX161" s="537"/>
      <c r="QGY161" s="537"/>
      <c r="QGZ161" s="537"/>
      <c r="QHA161" s="537"/>
      <c r="QHB161" s="537"/>
      <c r="QHC161" s="537"/>
      <c r="QHD161" s="537"/>
      <c r="QHE161" s="537"/>
      <c r="QHF161" s="537"/>
      <c r="QHG161" s="537"/>
      <c r="QHH161" s="537"/>
      <c r="QHI161" s="537"/>
      <c r="QHJ161" s="537"/>
      <c r="QHK161" s="537"/>
      <c r="QHL161" s="537"/>
      <c r="QHM161" s="537"/>
      <c r="QHN161" s="537"/>
      <c r="QHO161" s="537"/>
      <c r="QHP161" s="537"/>
      <c r="QHQ161" s="537"/>
      <c r="QHR161" s="537"/>
      <c r="QHS161" s="537"/>
      <c r="QHT161" s="537"/>
      <c r="QHU161" s="537"/>
      <c r="QHV161" s="537"/>
      <c r="QHW161" s="537"/>
      <c r="QHX161" s="537"/>
      <c r="QHY161" s="537"/>
      <c r="QHZ161" s="537"/>
      <c r="QIA161" s="537"/>
      <c r="QIB161" s="537"/>
      <c r="QIC161" s="537"/>
      <c r="QID161" s="537"/>
      <c r="QIE161" s="537"/>
      <c r="QIF161" s="537"/>
      <c r="QIG161" s="537"/>
      <c r="QIH161" s="537"/>
      <c r="QII161" s="537"/>
      <c r="QIJ161" s="537"/>
      <c r="QIK161" s="537"/>
      <c r="QIL161" s="537"/>
      <c r="QIM161" s="537"/>
      <c r="QIN161" s="537"/>
      <c r="QIO161" s="537"/>
      <c r="QIP161" s="537"/>
      <c r="QIQ161" s="537"/>
      <c r="QIR161" s="537"/>
      <c r="QIS161" s="537"/>
      <c r="QIT161" s="537"/>
      <c r="QIU161" s="537"/>
      <c r="QIV161" s="537"/>
      <c r="QIW161" s="537"/>
      <c r="QIX161" s="537"/>
      <c r="QIY161" s="537"/>
      <c r="QIZ161" s="537"/>
      <c r="QJA161" s="537"/>
      <c r="QJB161" s="537"/>
      <c r="QJC161" s="537"/>
      <c r="QJD161" s="537"/>
      <c r="QJE161" s="537"/>
      <c r="QJF161" s="537"/>
      <c r="QJG161" s="537"/>
      <c r="QJH161" s="537"/>
      <c r="QJI161" s="537"/>
      <c r="QJJ161" s="537"/>
      <c r="QJK161" s="537"/>
      <c r="QJL161" s="537"/>
      <c r="QJM161" s="537"/>
      <c r="QJN161" s="537"/>
      <c r="QJO161" s="537"/>
      <c r="QJP161" s="537"/>
      <c r="QJQ161" s="537"/>
      <c r="QJR161" s="537"/>
      <c r="QJS161" s="537"/>
      <c r="QJT161" s="537"/>
      <c r="QJU161" s="537"/>
      <c r="QJV161" s="537"/>
      <c r="QJW161" s="537"/>
      <c r="QJX161" s="537"/>
      <c r="QJY161" s="537"/>
      <c r="QJZ161" s="537"/>
      <c r="QKA161" s="537"/>
      <c r="QKB161" s="537"/>
      <c r="QKC161" s="537"/>
      <c r="QKD161" s="537"/>
      <c r="QKE161" s="537"/>
      <c r="QKF161" s="537"/>
      <c r="QKG161" s="537"/>
      <c r="QKH161" s="537"/>
      <c r="QKI161" s="537"/>
      <c r="QKJ161" s="537"/>
      <c r="QKK161" s="537"/>
      <c r="QKL161" s="537"/>
      <c r="QKM161" s="537"/>
      <c r="QKN161" s="537"/>
      <c r="QKO161" s="537"/>
      <c r="QKP161" s="537"/>
      <c r="QKQ161" s="537"/>
      <c r="QKR161" s="537"/>
      <c r="QKS161" s="537"/>
      <c r="QKT161" s="537"/>
      <c r="QKU161" s="537"/>
      <c r="QKV161" s="537"/>
      <c r="QKW161" s="537"/>
      <c r="QKX161" s="537"/>
      <c r="QKY161" s="537"/>
      <c r="QKZ161" s="537"/>
      <c r="QLA161" s="537"/>
      <c r="QLB161" s="537"/>
      <c r="QLC161" s="537"/>
      <c r="QLD161" s="537"/>
      <c r="QLE161" s="537"/>
      <c r="QLF161" s="537"/>
      <c r="QLG161" s="537"/>
      <c r="QLH161" s="537"/>
      <c r="QLI161" s="537"/>
      <c r="QLJ161" s="537"/>
      <c r="QLK161" s="537"/>
      <c r="QLL161" s="537"/>
      <c r="QLM161" s="537"/>
      <c r="QLN161" s="537"/>
      <c r="QLO161" s="537"/>
      <c r="QLP161" s="537"/>
      <c r="QLQ161" s="537"/>
      <c r="QLR161" s="537"/>
      <c r="QLS161" s="537"/>
      <c r="QLT161" s="537"/>
      <c r="QLU161" s="537"/>
      <c r="QLV161" s="537"/>
      <c r="QLW161" s="537"/>
      <c r="QLX161" s="537"/>
      <c r="QLY161" s="537"/>
      <c r="QLZ161" s="537"/>
      <c r="QMA161" s="537"/>
      <c r="QMB161" s="537"/>
      <c r="QMC161" s="537"/>
      <c r="QMD161" s="537"/>
      <c r="QME161" s="537"/>
      <c r="QMF161" s="537"/>
      <c r="QMG161" s="537"/>
      <c r="QMH161" s="537"/>
      <c r="QMI161" s="537"/>
      <c r="QMJ161" s="537"/>
      <c r="QMK161" s="537"/>
      <c r="QML161" s="537"/>
      <c r="QMM161" s="537"/>
      <c r="QMN161" s="537"/>
      <c r="QMO161" s="537"/>
      <c r="QMP161" s="537"/>
      <c r="QMQ161" s="537"/>
      <c r="QMR161" s="537"/>
      <c r="QMS161" s="537"/>
      <c r="QMT161" s="537"/>
      <c r="QMU161" s="537"/>
      <c r="QMV161" s="537"/>
      <c r="QMW161" s="537"/>
      <c r="QMX161" s="537"/>
      <c r="QMY161" s="537"/>
      <c r="QMZ161" s="537"/>
      <c r="QNA161" s="537"/>
      <c r="QNB161" s="537"/>
      <c r="QNC161" s="537"/>
      <c r="QND161" s="537"/>
      <c r="QNE161" s="537"/>
      <c r="QNF161" s="537"/>
      <c r="QNG161" s="537"/>
      <c r="QNH161" s="537"/>
      <c r="QNI161" s="537"/>
      <c r="QNJ161" s="537"/>
      <c r="QNK161" s="537"/>
      <c r="QNL161" s="537"/>
      <c r="QNM161" s="537"/>
      <c r="QNN161" s="537"/>
      <c r="QNO161" s="537"/>
      <c r="QNP161" s="537"/>
      <c r="QNQ161" s="537"/>
      <c r="QNR161" s="537"/>
      <c r="QNS161" s="537"/>
      <c r="QNT161" s="537"/>
      <c r="QNU161" s="537"/>
      <c r="QNV161" s="537"/>
      <c r="QNW161" s="537"/>
      <c r="QNX161" s="537"/>
      <c r="QNY161" s="537"/>
      <c r="QNZ161" s="537"/>
      <c r="QOA161" s="537"/>
      <c r="QOB161" s="537"/>
      <c r="QOC161" s="537"/>
      <c r="QOD161" s="537"/>
      <c r="QOE161" s="537"/>
      <c r="QOF161" s="537"/>
      <c r="QOG161" s="537"/>
      <c r="QOH161" s="537"/>
      <c r="QOI161" s="537"/>
      <c r="QOJ161" s="537"/>
      <c r="QOK161" s="537"/>
      <c r="QOL161" s="537"/>
      <c r="QOM161" s="537"/>
      <c r="QON161" s="537"/>
      <c r="QOO161" s="537"/>
      <c r="QOP161" s="537"/>
      <c r="QOQ161" s="537"/>
      <c r="QOR161" s="537"/>
      <c r="QOS161" s="537"/>
      <c r="QOT161" s="537"/>
      <c r="QOU161" s="537"/>
      <c r="QOV161" s="537"/>
      <c r="QOW161" s="537"/>
      <c r="QOX161" s="537"/>
      <c r="QOY161" s="537"/>
      <c r="QOZ161" s="537"/>
      <c r="QPA161" s="537"/>
      <c r="QPB161" s="537"/>
      <c r="QPC161" s="537"/>
      <c r="QPD161" s="537"/>
      <c r="QPE161" s="537"/>
      <c r="QPF161" s="537"/>
      <c r="QPG161" s="537"/>
      <c r="QPH161" s="537"/>
      <c r="QPI161" s="537"/>
      <c r="QPJ161" s="537"/>
      <c r="QPK161" s="537"/>
      <c r="QPL161" s="537"/>
      <c r="QPM161" s="537"/>
      <c r="QPN161" s="537"/>
      <c r="QPO161" s="537"/>
      <c r="QPP161" s="537"/>
      <c r="QPQ161" s="537"/>
      <c r="QPR161" s="537"/>
      <c r="QPS161" s="537"/>
      <c r="QPT161" s="537"/>
      <c r="QPU161" s="537"/>
      <c r="QPV161" s="537"/>
      <c r="QPW161" s="537"/>
      <c r="QPX161" s="537"/>
      <c r="QPY161" s="537"/>
      <c r="QPZ161" s="537"/>
      <c r="QQA161" s="537"/>
      <c r="QQB161" s="537"/>
      <c r="QQC161" s="537"/>
      <c r="QQD161" s="537"/>
      <c r="QQE161" s="537"/>
      <c r="QQF161" s="537"/>
      <c r="QQG161" s="537"/>
      <c r="QQH161" s="537"/>
      <c r="QQI161" s="537"/>
      <c r="QQJ161" s="537"/>
      <c r="QQK161" s="537"/>
      <c r="QQL161" s="537"/>
      <c r="QQM161" s="537"/>
      <c r="QQN161" s="537"/>
      <c r="QQO161" s="537"/>
      <c r="QQP161" s="537"/>
      <c r="QQQ161" s="537"/>
      <c r="QQR161" s="537"/>
      <c r="QQS161" s="537"/>
      <c r="QQT161" s="537"/>
      <c r="QQU161" s="537"/>
      <c r="QQV161" s="537"/>
      <c r="QQW161" s="537"/>
      <c r="QQX161" s="537"/>
      <c r="QQY161" s="537"/>
      <c r="QQZ161" s="537"/>
      <c r="QRA161" s="537"/>
      <c r="QRB161" s="537"/>
      <c r="QRC161" s="537"/>
      <c r="QRD161" s="537"/>
      <c r="QRE161" s="537"/>
      <c r="QRF161" s="537"/>
      <c r="QRG161" s="537"/>
      <c r="QRH161" s="537"/>
      <c r="QRI161" s="537"/>
      <c r="QRJ161" s="537"/>
      <c r="QRK161" s="537"/>
      <c r="QRL161" s="537"/>
      <c r="QRM161" s="537"/>
      <c r="QRN161" s="537"/>
      <c r="QRO161" s="537"/>
      <c r="QRP161" s="537"/>
      <c r="QRQ161" s="537"/>
      <c r="QRR161" s="537"/>
      <c r="QRS161" s="537"/>
      <c r="QRT161" s="537"/>
      <c r="QRU161" s="537"/>
      <c r="QRV161" s="537"/>
      <c r="QRW161" s="537"/>
      <c r="QRX161" s="537"/>
      <c r="QRY161" s="537"/>
      <c r="QRZ161" s="537"/>
      <c r="QSA161" s="537"/>
      <c r="QSB161" s="537"/>
      <c r="QSC161" s="537"/>
      <c r="QSD161" s="537"/>
      <c r="QSE161" s="537"/>
      <c r="QSF161" s="537"/>
      <c r="QSG161" s="537"/>
      <c r="QSH161" s="537"/>
      <c r="QSI161" s="537"/>
      <c r="QSJ161" s="537"/>
      <c r="QSK161" s="537"/>
      <c r="QSL161" s="537"/>
      <c r="QSM161" s="537"/>
      <c r="QSN161" s="537"/>
      <c r="QSO161" s="537"/>
      <c r="QSP161" s="537"/>
      <c r="QSQ161" s="537"/>
      <c r="QSR161" s="537"/>
      <c r="QSS161" s="537"/>
      <c r="QST161" s="537"/>
      <c r="QSU161" s="537"/>
      <c r="QSV161" s="537"/>
      <c r="QSW161" s="537"/>
      <c r="QSX161" s="537"/>
      <c r="QSY161" s="537"/>
      <c r="QSZ161" s="537"/>
      <c r="QTA161" s="537"/>
      <c r="QTB161" s="537"/>
      <c r="QTC161" s="537"/>
      <c r="QTD161" s="537"/>
      <c r="QTE161" s="537"/>
      <c r="QTF161" s="537"/>
      <c r="QTG161" s="537"/>
      <c r="QTH161" s="537"/>
      <c r="QTI161" s="537"/>
      <c r="QTJ161" s="537"/>
      <c r="QTK161" s="537"/>
      <c r="QTL161" s="537"/>
      <c r="QTM161" s="537"/>
      <c r="QTN161" s="537"/>
      <c r="QTO161" s="537"/>
      <c r="QTP161" s="537"/>
      <c r="QTQ161" s="537"/>
      <c r="QTR161" s="537"/>
      <c r="QTS161" s="537"/>
      <c r="QTT161" s="537"/>
      <c r="QTU161" s="537"/>
      <c r="QTV161" s="537"/>
      <c r="QTW161" s="537"/>
      <c r="QTX161" s="537"/>
      <c r="QTY161" s="537"/>
      <c r="QTZ161" s="537"/>
      <c r="QUA161" s="537"/>
      <c r="QUB161" s="537"/>
      <c r="QUC161" s="537"/>
      <c r="QUD161" s="537"/>
      <c r="QUE161" s="537"/>
      <c r="QUF161" s="537"/>
      <c r="QUG161" s="537"/>
      <c r="QUH161" s="537"/>
      <c r="QUI161" s="537"/>
      <c r="QUJ161" s="537"/>
      <c r="QUK161" s="537"/>
      <c r="QUL161" s="537"/>
      <c r="QUM161" s="537"/>
      <c r="QUN161" s="537"/>
      <c r="QUO161" s="537"/>
      <c r="QUP161" s="537"/>
      <c r="QUQ161" s="537"/>
      <c r="QUR161" s="537"/>
      <c r="QUS161" s="537"/>
      <c r="QUT161" s="537"/>
      <c r="QUU161" s="537"/>
      <c r="QUV161" s="537"/>
      <c r="QUW161" s="537"/>
      <c r="QUX161" s="537"/>
      <c r="QUY161" s="537"/>
      <c r="QUZ161" s="537"/>
      <c r="QVA161" s="537"/>
      <c r="QVB161" s="537"/>
      <c r="QVC161" s="537"/>
      <c r="QVD161" s="537"/>
      <c r="QVE161" s="537"/>
      <c r="QVF161" s="537"/>
      <c r="QVG161" s="537"/>
      <c r="QVH161" s="537"/>
      <c r="QVI161" s="537"/>
      <c r="QVJ161" s="537"/>
      <c r="QVK161" s="537"/>
      <c r="QVL161" s="537"/>
      <c r="QVM161" s="537"/>
      <c r="QVN161" s="537"/>
      <c r="QVO161" s="537"/>
      <c r="QVP161" s="537"/>
      <c r="QVQ161" s="537"/>
      <c r="QVR161" s="537"/>
      <c r="QVS161" s="537"/>
      <c r="QVT161" s="537"/>
      <c r="QVU161" s="537"/>
      <c r="QVV161" s="537"/>
      <c r="QVW161" s="537"/>
      <c r="QVX161" s="537"/>
      <c r="QVY161" s="537"/>
      <c r="QVZ161" s="537"/>
      <c r="QWA161" s="537"/>
      <c r="QWB161" s="537"/>
      <c r="QWC161" s="537"/>
      <c r="QWD161" s="537"/>
      <c r="QWE161" s="537"/>
      <c r="QWF161" s="537"/>
      <c r="QWG161" s="537"/>
      <c r="QWH161" s="537"/>
      <c r="QWI161" s="537"/>
      <c r="QWJ161" s="537"/>
      <c r="QWK161" s="537"/>
      <c r="QWL161" s="537"/>
      <c r="QWM161" s="537"/>
      <c r="QWN161" s="537"/>
      <c r="QWO161" s="537"/>
      <c r="QWP161" s="537"/>
      <c r="QWQ161" s="537"/>
      <c r="QWR161" s="537"/>
      <c r="QWS161" s="537"/>
      <c r="QWT161" s="537"/>
      <c r="QWU161" s="537"/>
      <c r="QWV161" s="537"/>
      <c r="QWW161" s="537"/>
      <c r="QWX161" s="537"/>
      <c r="QWY161" s="537"/>
      <c r="QWZ161" s="537"/>
      <c r="QXA161" s="537"/>
      <c r="QXB161" s="537"/>
      <c r="QXC161" s="537"/>
      <c r="QXD161" s="537"/>
      <c r="QXE161" s="537"/>
      <c r="QXF161" s="537"/>
      <c r="QXG161" s="537"/>
      <c r="QXH161" s="537"/>
      <c r="QXI161" s="537"/>
      <c r="QXJ161" s="537"/>
      <c r="QXK161" s="537"/>
      <c r="QXL161" s="537"/>
      <c r="QXM161" s="537"/>
      <c r="QXN161" s="537"/>
      <c r="QXO161" s="537"/>
      <c r="QXP161" s="537"/>
      <c r="QXQ161" s="537"/>
      <c r="QXR161" s="537"/>
      <c r="QXS161" s="537"/>
      <c r="QXT161" s="537"/>
      <c r="QXU161" s="537"/>
      <c r="QXV161" s="537"/>
      <c r="QXW161" s="537"/>
      <c r="QXX161" s="537"/>
      <c r="QXY161" s="537"/>
      <c r="QXZ161" s="537"/>
      <c r="QYA161" s="537"/>
      <c r="QYB161" s="537"/>
      <c r="QYC161" s="537"/>
      <c r="QYD161" s="537"/>
      <c r="QYE161" s="537"/>
      <c r="QYF161" s="537"/>
      <c r="QYG161" s="537"/>
      <c r="QYH161" s="537"/>
      <c r="QYI161" s="537"/>
      <c r="QYJ161" s="537"/>
      <c r="QYK161" s="537"/>
      <c r="QYL161" s="537"/>
      <c r="QYM161" s="537"/>
      <c r="QYN161" s="537"/>
      <c r="QYO161" s="537"/>
      <c r="QYP161" s="537"/>
      <c r="QYQ161" s="537"/>
      <c r="QYR161" s="537"/>
      <c r="QYS161" s="537"/>
      <c r="QYT161" s="537"/>
      <c r="QYU161" s="537"/>
      <c r="QYV161" s="537"/>
      <c r="QYW161" s="537"/>
      <c r="QYX161" s="537"/>
      <c r="QYY161" s="537"/>
      <c r="QYZ161" s="537"/>
      <c r="QZA161" s="537"/>
      <c r="QZB161" s="537"/>
      <c r="QZC161" s="537"/>
      <c r="QZD161" s="537"/>
      <c r="QZE161" s="537"/>
      <c r="QZF161" s="537"/>
      <c r="QZG161" s="537"/>
      <c r="QZH161" s="537"/>
      <c r="QZI161" s="537"/>
      <c r="QZJ161" s="537"/>
      <c r="QZK161" s="537"/>
      <c r="QZL161" s="537"/>
      <c r="QZM161" s="537"/>
      <c r="QZN161" s="537"/>
      <c r="QZO161" s="537"/>
      <c r="QZP161" s="537"/>
      <c r="QZQ161" s="537"/>
      <c r="QZR161" s="537"/>
      <c r="QZS161" s="537"/>
      <c r="QZT161" s="537"/>
      <c r="QZU161" s="537"/>
      <c r="QZV161" s="537"/>
      <c r="QZW161" s="537"/>
      <c r="QZX161" s="537"/>
      <c r="QZY161" s="537"/>
      <c r="QZZ161" s="537"/>
      <c r="RAA161" s="537"/>
      <c r="RAB161" s="537"/>
      <c r="RAC161" s="537"/>
      <c r="RAD161" s="537"/>
      <c r="RAE161" s="537"/>
      <c r="RAF161" s="537"/>
      <c r="RAG161" s="537"/>
      <c r="RAH161" s="537"/>
      <c r="RAI161" s="537"/>
      <c r="RAJ161" s="537"/>
      <c r="RAK161" s="537"/>
      <c r="RAL161" s="537"/>
      <c r="RAM161" s="537"/>
      <c r="RAN161" s="537"/>
      <c r="RAO161" s="537"/>
      <c r="RAP161" s="537"/>
      <c r="RAQ161" s="537"/>
      <c r="RAR161" s="537"/>
      <c r="RAS161" s="537"/>
      <c r="RAT161" s="537"/>
      <c r="RAU161" s="537"/>
      <c r="RAV161" s="537"/>
      <c r="RAW161" s="537"/>
      <c r="RAX161" s="537"/>
      <c r="RAY161" s="537"/>
      <c r="RAZ161" s="537"/>
      <c r="RBA161" s="537"/>
      <c r="RBB161" s="537"/>
      <c r="RBC161" s="537"/>
      <c r="RBD161" s="537"/>
      <c r="RBE161" s="537"/>
      <c r="RBF161" s="537"/>
      <c r="RBG161" s="537"/>
      <c r="RBH161" s="537"/>
      <c r="RBI161" s="537"/>
      <c r="RBJ161" s="537"/>
      <c r="RBK161" s="537"/>
      <c r="RBL161" s="537"/>
      <c r="RBM161" s="537"/>
      <c r="RBN161" s="537"/>
      <c r="RBO161" s="537"/>
      <c r="RBP161" s="537"/>
      <c r="RBQ161" s="537"/>
      <c r="RBR161" s="537"/>
      <c r="RBS161" s="537"/>
      <c r="RBT161" s="537"/>
      <c r="RBU161" s="537"/>
      <c r="RBV161" s="537"/>
      <c r="RBW161" s="537"/>
      <c r="RBX161" s="537"/>
      <c r="RBY161" s="537"/>
      <c r="RBZ161" s="537"/>
      <c r="RCA161" s="537"/>
      <c r="RCB161" s="537"/>
      <c r="RCC161" s="537"/>
      <c r="RCD161" s="537"/>
      <c r="RCE161" s="537"/>
      <c r="RCF161" s="537"/>
      <c r="RCG161" s="537"/>
      <c r="RCH161" s="537"/>
      <c r="RCI161" s="537"/>
      <c r="RCJ161" s="537"/>
      <c r="RCK161" s="537"/>
      <c r="RCL161" s="537"/>
      <c r="RCM161" s="537"/>
      <c r="RCN161" s="537"/>
      <c r="RCO161" s="537"/>
      <c r="RCP161" s="537"/>
      <c r="RCQ161" s="537"/>
      <c r="RCR161" s="537"/>
      <c r="RCS161" s="537"/>
      <c r="RCT161" s="537"/>
      <c r="RCU161" s="537"/>
      <c r="RCV161" s="537"/>
      <c r="RCW161" s="537"/>
      <c r="RCX161" s="537"/>
      <c r="RCY161" s="537"/>
      <c r="RCZ161" s="537"/>
      <c r="RDA161" s="537"/>
      <c r="RDB161" s="537"/>
      <c r="RDC161" s="537"/>
      <c r="RDD161" s="537"/>
      <c r="RDE161" s="537"/>
      <c r="RDF161" s="537"/>
      <c r="RDG161" s="537"/>
      <c r="RDH161" s="537"/>
      <c r="RDI161" s="537"/>
      <c r="RDJ161" s="537"/>
      <c r="RDK161" s="537"/>
      <c r="RDL161" s="537"/>
      <c r="RDM161" s="537"/>
      <c r="RDN161" s="537"/>
      <c r="RDO161" s="537"/>
      <c r="RDP161" s="537"/>
      <c r="RDQ161" s="537"/>
      <c r="RDR161" s="537"/>
      <c r="RDS161" s="537"/>
      <c r="RDT161" s="537"/>
      <c r="RDU161" s="537"/>
      <c r="RDV161" s="537"/>
      <c r="RDW161" s="537"/>
      <c r="RDX161" s="537"/>
      <c r="RDY161" s="537"/>
      <c r="RDZ161" s="537"/>
      <c r="REA161" s="537"/>
      <c r="REB161" s="537"/>
      <c r="REC161" s="537"/>
      <c r="RED161" s="537"/>
      <c r="REE161" s="537"/>
      <c r="REF161" s="537"/>
      <c r="REG161" s="537"/>
      <c r="REH161" s="537"/>
      <c r="REI161" s="537"/>
      <c r="REJ161" s="537"/>
      <c r="REK161" s="537"/>
      <c r="REL161" s="537"/>
      <c r="REM161" s="537"/>
      <c r="REN161" s="537"/>
      <c r="REO161" s="537"/>
      <c r="REP161" s="537"/>
      <c r="REQ161" s="537"/>
      <c r="RER161" s="537"/>
      <c r="RES161" s="537"/>
      <c r="RET161" s="537"/>
      <c r="REU161" s="537"/>
      <c r="REV161" s="537"/>
      <c r="REW161" s="537"/>
      <c r="REX161" s="537"/>
      <c r="REY161" s="537"/>
      <c r="REZ161" s="537"/>
      <c r="RFA161" s="537"/>
      <c r="RFB161" s="537"/>
      <c r="RFC161" s="537"/>
      <c r="RFD161" s="537"/>
      <c r="RFE161" s="537"/>
      <c r="RFF161" s="537"/>
      <c r="RFG161" s="537"/>
      <c r="RFH161" s="537"/>
      <c r="RFI161" s="537"/>
      <c r="RFJ161" s="537"/>
      <c r="RFK161" s="537"/>
      <c r="RFL161" s="537"/>
      <c r="RFM161" s="537"/>
      <c r="RFN161" s="537"/>
      <c r="RFO161" s="537"/>
      <c r="RFP161" s="537"/>
      <c r="RFQ161" s="537"/>
      <c r="RFR161" s="537"/>
      <c r="RFS161" s="537"/>
      <c r="RFT161" s="537"/>
      <c r="RFU161" s="537"/>
      <c r="RFV161" s="537"/>
      <c r="RFW161" s="537"/>
      <c r="RFX161" s="537"/>
      <c r="RFY161" s="537"/>
      <c r="RFZ161" s="537"/>
      <c r="RGA161" s="537"/>
      <c r="RGB161" s="537"/>
      <c r="RGC161" s="537"/>
      <c r="RGD161" s="537"/>
      <c r="RGE161" s="537"/>
      <c r="RGF161" s="537"/>
      <c r="RGG161" s="537"/>
      <c r="RGH161" s="537"/>
      <c r="RGI161" s="537"/>
      <c r="RGJ161" s="537"/>
      <c r="RGK161" s="537"/>
      <c r="RGL161" s="537"/>
      <c r="RGM161" s="537"/>
      <c r="RGN161" s="537"/>
      <c r="RGO161" s="537"/>
      <c r="RGP161" s="537"/>
      <c r="RGQ161" s="537"/>
      <c r="RGR161" s="537"/>
      <c r="RGS161" s="537"/>
      <c r="RGT161" s="537"/>
      <c r="RGU161" s="537"/>
      <c r="RGV161" s="537"/>
      <c r="RGW161" s="537"/>
      <c r="RGX161" s="537"/>
      <c r="RGY161" s="537"/>
      <c r="RGZ161" s="537"/>
      <c r="RHA161" s="537"/>
      <c r="RHB161" s="537"/>
      <c r="RHC161" s="537"/>
      <c r="RHD161" s="537"/>
      <c r="RHE161" s="537"/>
      <c r="RHF161" s="537"/>
      <c r="RHG161" s="537"/>
      <c r="RHH161" s="537"/>
      <c r="RHI161" s="537"/>
      <c r="RHJ161" s="537"/>
      <c r="RHK161" s="537"/>
      <c r="RHL161" s="537"/>
      <c r="RHM161" s="537"/>
      <c r="RHN161" s="537"/>
      <c r="RHO161" s="537"/>
      <c r="RHP161" s="537"/>
      <c r="RHQ161" s="537"/>
      <c r="RHR161" s="537"/>
      <c r="RHS161" s="537"/>
      <c r="RHT161" s="537"/>
      <c r="RHU161" s="537"/>
      <c r="RHV161" s="537"/>
      <c r="RHW161" s="537"/>
      <c r="RHX161" s="537"/>
      <c r="RHY161" s="537"/>
      <c r="RHZ161" s="537"/>
      <c r="RIA161" s="537"/>
      <c r="RIB161" s="537"/>
      <c r="RIC161" s="537"/>
      <c r="RID161" s="537"/>
      <c r="RIE161" s="537"/>
      <c r="RIF161" s="537"/>
      <c r="RIG161" s="537"/>
      <c r="RIH161" s="537"/>
      <c r="RII161" s="537"/>
      <c r="RIJ161" s="537"/>
      <c r="RIK161" s="537"/>
      <c r="RIL161" s="537"/>
      <c r="RIM161" s="537"/>
      <c r="RIN161" s="537"/>
      <c r="RIO161" s="537"/>
      <c r="RIP161" s="537"/>
      <c r="RIQ161" s="537"/>
      <c r="RIR161" s="537"/>
      <c r="RIS161" s="537"/>
      <c r="RIT161" s="537"/>
      <c r="RIU161" s="537"/>
      <c r="RIV161" s="537"/>
      <c r="RIW161" s="537"/>
      <c r="RIX161" s="537"/>
      <c r="RIY161" s="537"/>
      <c r="RIZ161" s="537"/>
      <c r="RJA161" s="537"/>
      <c r="RJB161" s="537"/>
      <c r="RJC161" s="537"/>
      <c r="RJD161" s="537"/>
      <c r="RJE161" s="537"/>
      <c r="RJF161" s="537"/>
      <c r="RJG161" s="537"/>
      <c r="RJH161" s="537"/>
      <c r="RJI161" s="537"/>
      <c r="RJJ161" s="537"/>
      <c r="RJK161" s="537"/>
      <c r="RJL161" s="537"/>
      <c r="RJM161" s="537"/>
      <c r="RJN161" s="537"/>
      <c r="RJO161" s="537"/>
      <c r="RJP161" s="537"/>
      <c r="RJQ161" s="537"/>
      <c r="RJR161" s="537"/>
      <c r="RJS161" s="537"/>
      <c r="RJT161" s="537"/>
      <c r="RJU161" s="537"/>
      <c r="RJV161" s="537"/>
      <c r="RJW161" s="537"/>
      <c r="RJX161" s="537"/>
      <c r="RJY161" s="537"/>
      <c r="RJZ161" s="537"/>
      <c r="RKA161" s="537"/>
      <c r="RKB161" s="537"/>
      <c r="RKC161" s="537"/>
      <c r="RKD161" s="537"/>
      <c r="RKE161" s="537"/>
      <c r="RKF161" s="537"/>
      <c r="RKG161" s="537"/>
      <c r="RKH161" s="537"/>
      <c r="RKI161" s="537"/>
      <c r="RKJ161" s="537"/>
      <c r="RKK161" s="537"/>
      <c r="RKL161" s="537"/>
      <c r="RKM161" s="537"/>
      <c r="RKN161" s="537"/>
      <c r="RKO161" s="537"/>
      <c r="RKP161" s="537"/>
      <c r="RKQ161" s="537"/>
      <c r="RKR161" s="537"/>
      <c r="RKS161" s="537"/>
      <c r="RKT161" s="537"/>
      <c r="RKU161" s="537"/>
      <c r="RKV161" s="537"/>
      <c r="RKW161" s="537"/>
      <c r="RKX161" s="537"/>
      <c r="RKY161" s="537"/>
      <c r="RKZ161" s="537"/>
      <c r="RLA161" s="537"/>
      <c r="RLB161" s="537"/>
      <c r="RLC161" s="537"/>
      <c r="RLD161" s="537"/>
      <c r="RLE161" s="537"/>
      <c r="RLF161" s="537"/>
      <c r="RLG161" s="537"/>
      <c r="RLH161" s="537"/>
      <c r="RLI161" s="537"/>
      <c r="RLJ161" s="537"/>
      <c r="RLK161" s="537"/>
      <c r="RLL161" s="537"/>
      <c r="RLM161" s="537"/>
      <c r="RLN161" s="537"/>
      <c r="RLO161" s="537"/>
      <c r="RLP161" s="537"/>
      <c r="RLQ161" s="537"/>
      <c r="RLR161" s="537"/>
      <c r="RLS161" s="537"/>
      <c r="RLT161" s="537"/>
      <c r="RLU161" s="537"/>
      <c r="RLV161" s="537"/>
      <c r="RLW161" s="537"/>
      <c r="RLX161" s="537"/>
      <c r="RLY161" s="537"/>
      <c r="RLZ161" s="537"/>
      <c r="RMA161" s="537"/>
      <c r="RMB161" s="537"/>
      <c r="RMC161" s="537"/>
      <c r="RMD161" s="537"/>
      <c r="RME161" s="537"/>
      <c r="RMF161" s="537"/>
      <c r="RMG161" s="537"/>
      <c r="RMH161" s="537"/>
      <c r="RMI161" s="537"/>
      <c r="RMJ161" s="537"/>
      <c r="RMK161" s="537"/>
      <c r="RML161" s="537"/>
      <c r="RMM161" s="537"/>
      <c r="RMN161" s="537"/>
      <c r="RMO161" s="537"/>
      <c r="RMP161" s="537"/>
      <c r="RMQ161" s="537"/>
      <c r="RMR161" s="537"/>
      <c r="RMS161" s="537"/>
      <c r="RMT161" s="537"/>
      <c r="RMU161" s="537"/>
      <c r="RMV161" s="537"/>
      <c r="RMW161" s="537"/>
      <c r="RMX161" s="537"/>
      <c r="RMY161" s="537"/>
      <c r="RMZ161" s="537"/>
      <c r="RNA161" s="537"/>
      <c r="RNB161" s="537"/>
      <c r="RNC161" s="537"/>
      <c r="RND161" s="537"/>
      <c r="RNE161" s="537"/>
      <c r="RNF161" s="537"/>
      <c r="RNG161" s="537"/>
      <c r="RNH161" s="537"/>
      <c r="RNI161" s="537"/>
      <c r="RNJ161" s="537"/>
      <c r="RNK161" s="537"/>
      <c r="RNL161" s="537"/>
      <c r="RNM161" s="537"/>
      <c r="RNN161" s="537"/>
      <c r="RNO161" s="537"/>
      <c r="RNP161" s="537"/>
      <c r="RNQ161" s="537"/>
      <c r="RNR161" s="537"/>
      <c r="RNS161" s="537"/>
      <c r="RNT161" s="537"/>
      <c r="RNU161" s="537"/>
      <c r="RNV161" s="537"/>
      <c r="RNW161" s="537"/>
      <c r="RNX161" s="537"/>
      <c r="RNY161" s="537"/>
      <c r="RNZ161" s="537"/>
      <c r="ROA161" s="537"/>
      <c r="ROB161" s="537"/>
      <c r="ROC161" s="537"/>
      <c r="ROD161" s="537"/>
      <c r="ROE161" s="537"/>
      <c r="ROF161" s="537"/>
      <c r="ROG161" s="537"/>
      <c r="ROH161" s="537"/>
      <c r="ROI161" s="537"/>
      <c r="ROJ161" s="537"/>
      <c r="ROK161" s="537"/>
      <c r="ROL161" s="537"/>
      <c r="ROM161" s="537"/>
      <c r="RON161" s="537"/>
      <c r="ROO161" s="537"/>
      <c r="ROP161" s="537"/>
      <c r="ROQ161" s="537"/>
      <c r="ROR161" s="537"/>
      <c r="ROS161" s="537"/>
      <c r="ROT161" s="537"/>
      <c r="ROU161" s="537"/>
      <c r="ROV161" s="537"/>
      <c r="ROW161" s="537"/>
      <c r="ROX161" s="537"/>
      <c r="ROY161" s="537"/>
      <c r="ROZ161" s="537"/>
      <c r="RPA161" s="537"/>
      <c r="RPB161" s="537"/>
      <c r="RPC161" s="537"/>
      <c r="RPD161" s="537"/>
      <c r="RPE161" s="537"/>
      <c r="RPF161" s="537"/>
      <c r="RPG161" s="537"/>
      <c r="RPH161" s="537"/>
      <c r="RPI161" s="537"/>
      <c r="RPJ161" s="537"/>
      <c r="RPK161" s="537"/>
      <c r="RPL161" s="537"/>
      <c r="RPM161" s="537"/>
      <c r="RPN161" s="537"/>
      <c r="RPO161" s="537"/>
      <c r="RPP161" s="537"/>
      <c r="RPQ161" s="537"/>
      <c r="RPR161" s="537"/>
      <c r="RPS161" s="537"/>
      <c r="RPT161" s="537"/>
      <c r="RPU161" s="537"/>
      <c r="RPV161" s="537"/>
      <c r="RPW161" s="537"/>
      <c r="RPX161" s="537"/>
      <c r="RPY161" s="537"/>
      <c r="RPZ161" s="537"/>
      <c r="RQA161" s="537"/>
      <c r="RQB161" s="537"/>
      <c r="RQC161" s="537"/>
      <c r="RQD161" s="537"/>
      <c r="RQE161" s="537"/>
      <c r="RQF161" s="537"/>
      <c r="RQG161" s="537"/>
      <c r="RQH161" s="537"/>
      <c r="RQI161" s="537"/>
      <c r="RQJ161" s="537"/>
      <c r="RQK161" s="537"/>
      <c r="RQL161" s="537"/>
      <c r="RQM161" s="537"/>
      <c r="RQN161" s="537"/>
      <c r="RQO161" s="537"/>
      <c r="RQP161" s="537"/>
      <c r="RQQ161" s="537"/>
      <c r="RQR161" s="537"/>
      <c r="RQS161" s="537"/>
      <c r="RQT161" s="537"/>
      <c r="RQU161" s="537"/>
      <c r="RQV161" s="537"/>
      <c r="RQW161" s="537"/>
      <c r="RQX161" s="537"/>
      <c r="RQY161" s="537"/>
      <c r="RQZ161" s="537"/>
      <c r="RRA161" s="537"/>
      <c r="RRB161" s="537"/>
      <c r="RRC161" s="537"/>
      <c r="RRD161" s="537"/>
      <c r="RRE161" s="537"/>
      <c r="RRF161" s="537"/>
      <c r="RRG161" s="537"/>
      <c r="RRH161" s="537"/>
      <c r="RRI161" s="537"/>
      <c r="RRJ161" s="537"/>
      <c r="RRK161" s="537"/>
      <c r="RRL161" s="537"/>
      <c r="RRM161" s="537"/>
      <c r="RRN161" s="537"/>
      <c r="RRO161" s="537"/>
      <c r="RRP161" s="537"/>
      <c r="RRQ161" s="537"/>
      <c r="RRR161" s="537"/>
      <c r="RRS161" s="537"/>
      <c r="RRT161" s="537"/>
      <c r="RRU161" s="537"/>
      <c r="RRV161" s="537"/>
      <c r="RRW161" s="537"/>
      <c r="RRX161" s="537"/>
      <c r="RRY161" s="537"/>
      <c r="RRZ161" s="537"/>
      <c r="RSA161" s="537"/>
      <c r="RSB161" s="537"/>
      <c r="RSC161" s="537"/>
      <c r="RSD161" s="537"/>
      <c r="RSE161" s="537"/>
      <c r="RSF161" s="537"/>
      <c r="RSG161" s="537"/>
      <c r="RSH161" s="537"/>
      <c r="RSI161" s="537"/>
      <c r="RSJ161" s="537"/>
      <c r="RSK161" s="537"/>
      <c r="RSL161" s="537"/>
      <c r="RSM161" s="537"/>
      <c r="RSN161" s="537"/>
      <c r="RSO161" s="537"/>
      <c r="RSP161" s="537"/>
      <c r="RSQ161" s="537"/>
      <c r="RSR161" s="537"/>
      <c r="RSS161" s="537"/>
      <c r="RST161" s="537"/>
      <c r="RSU161" s="537"/>
      <c r="RSV161" s="537"/>
      <c r="RSW161" s="537"/>
      <c r="RSX161" s="537"/>
      <c r="RSY161" s="537"/>
      <c r="RSZ161" s="537"/>
      <c r="RTA161" s="537"/>
      <c r="RTB161" s="537"/>
      <c r="RTC161" s="537"/>
      <c r="RTD161" s="537"/>
      <c r="RTE161" s="537"/>
      <c r="RTF161" s="537"/>
      <c r="RTG161" s="537"/>
      <c r="RTH161" s="537"/>
      <c r="RTI161" s="537"/>
      <c r="RTJ161" s="537"/>
      <c r="RTK161" s="537"/>
      <c r="RTL161" s="537"/>
      <c r="RTM161" s="537"/>
      <c r="RTN161" s="537"/>
      <c r="RTO161" s="537"/>
      <c r="RTP161" s="537"/>
      <c r="RTQ161" s="537"/>
      <c r="RTR161" s="537"/>
      <c r="RTS161" s="537"/>
      <c r="RTT161" s="537"/>
      <c r="RTU161" s="537"/>
      <c r="RTV161" s="537"/>
      <c r="RTW161" s="537"/>
      <c r="RTX161" s="537"/>
      <c r="RTY161" s="537"/>
      <c r="RTZ161" s="537"/>
      <c r="RUA161" s="537"/>
      <c r="RUB161" s="537"/>
      <c r="RUC161" s="537"/>
      <c r="RUD161" s="537"/>
      <c r="RUE161" s="537"/>
      <c r="RUF161" s="537"/>
      <c r="RUG161" s="537"/>
      <c r="RUH161" s="537"/>
      <c r="RUI161" s="537"/>
      <c r="RUJ161" s="537"/>
      <c r="RUK161" s="537"/>
      <c r="RUL161" s="537"/>
      <c r="RUM161" s="537"/>
      <c r="RUN161" s="537"/>
      <c r="RUO161" s="537"/>
      <c r="RUP161" s="537"/>
      <c r="RUQ161" s="537"/>
      <c r="RUR161" s="537"/>
      <c r="RUS161" s="537"/>
      <c r="RUT161" s="537"/>
      <c r="RUU161" s="537"/>
      <c r="RUV161" s="537"/>
      <c r="RUW161" s="537"/>
      <c r="RUX161" s="537"/>
      <c r="RUY161" s="537"/>
      <c r="RUZ161" s="537"/>
      <c r="RVA161" s="537"/>
      <c r="RVB161" s="537"/>
      <c r="RVC161" s="537"/>
      <c r="RVD161" s="537"/>
      <c r="RVE161" s="537"/>
      <c r="RVF161" s="537"/>
      <c r="RVG161" s="537"/>
      <c r="RVH161" s="537"/>
      <c r="RVI161" s="537"/>
      <c r="RVJ161" s="537"/>
      <c r="RVK161" s="537"/>
      <c r="RVL161" s="537"/>
      <c r="RVM161" s="537"/>
      <c r="RVN161" s="537"/>
      <c r="RVO161" s="537"/>
      <c r="RVP161" s="537"/>
      <c r="RVQ161" s="537"/>
      <c r="RVR161" s="537"/>
      <c r="RVS161" s="537"/>
      <c r="RVT161" s="537"/>
      <c r="RVU161" s="537"/>
      <c r="RVV161" s="537"/>
      <c r="RVW161" s="537"/>
      <c r="RVX161" s="537"/>
      <c r="RVY161" s="537"/>
      <c r="RVZ161" s="537"/>
      <c r="RWA161" s="537"/>
      <c r="RWB161" s="537"/>
      <c r="RWC161" s="537"/>
      <c r="RWD161" s="537"/>
      <c r="RWE161" s="537"/>
      <c r="RWF161" s="537"/>
      <c r="RWG161" s="537"/>
      <c r="RWH161" s="537"/>
      <c r="RWI161" s="537"/>
      <c r="RWJ161" s="537"/>
      <c r="RWK161" s="537"/>
      <c r="RWL161" s="537"/>
      <c r="RWM161" s="537"/>
      <c r="RWN161" s="537"/>
      <c r="RWO161" s="537"/>
      <c r="RWP161" s="537"/>
      <c r="RWQ161" s="537"/>
      <c r="RWR161" s="537"/>
      <c r="RWS161" s="537"/>
      <c r="RWT161" s="537"/>
      <c r="RWU161" s="537"/>
      <c r="RWV161" s="537"/>
      <c r="RWW161" s="537"/>
      <c r="RWX161" s="537"/>
      <c r="RWY161" s="537"/>
      <c r="RWZ161" s="537"/>
      <c r="RXA161" s="537"/>
      <c r="RXB161" s="537"/>
      <c r="RXC161" s="537"/>
      <c r="RXD161" s="537"/>
      <c r="RXE161" s="537"/>
      <c r="RXF161" s="537"/>
      <c r="RXG161" s="537"/>
      <c r="RXH161" s="537"/>
      <c r="RXI161" s="537"/>
      <c r="RXJ161" s="537"/>
      <c r="RXK161" s="537"/>
      <c r="RXL161" s="537"/>
      <c r="RXM161" s="537"/>
      <c r="RXN161" s="537"/>
      <c r="RXO161" s="537"/>
      <c r="RXP161" s="537"/>
      <c r="RXQ161" s="537"/>
      <c r="RXR161" s="537"/>
      <c r="RXS161" s="537"/>
      <c r="RXT161" s="537"/>
      <c r="RXU161" s="537"/>
      <c r="RXV161" s="537"/>
      <c r="RXW161" s="537"/>
      <c r="RXX161" s="537"/>
      <c r="RXY161" s="537"/>
      <c r="RXZ161" s="537"/>
      <c r="RYA161" s="537"/>
      <c r="RYB161" s="537"/>
      <c r="RYC161" s="537"/>
      <c r="RYD161" s="537"/>
      <c r="RYE161" s="537"/>
      <c r="RYF161" s="537"/>
      <c r="RYG161" s="537"/>
      <c r="RYH161" s="537"/>
      <c r="RYI161" s="537"/>
      <c r="RYJ161" s="537"/>
      <c r="RYK161" s="537"/>
      <c r="RYL161" s="537"/>
      <c r="RYM161" s="537"/>
      <c r="RYN161" s="537"/>
      <c r="RYO161" s="537"/>
      <c r="RYP161" s="537"/>
      <c r="RYQ161" s="537"/>
      <c r="RYR161" s="537"/>
      <c r="RYS161" s="537"/>
      <c r="RYT161" s="537"/>
      <c r="RYU161" s="537"/>
      <c r="RYV161" s="537"/>
      <c r="RYW161" s="537"/>
      <c r="RYX161" s="537"/>
      <c r="RYY161" s="537"/>
      <c r="RYZ161" s="537"/>
      <c r="RZA161" s="537"/>
      <c r="RZB161" s="537"/>
      <c r="RZC161" s="537"/>
      <c r="RZD161" s="537"/>
      <c r="RZE161" s="537"/>
      <c r="RZF161" s="537"/>
      <c r="RZG161" s="537"/>
      <c r="RZH161" s="537"/>
      <c r="RZI161" s="537"/>
      <c r="RZJ161" s="537"/>
      <c r="RZK161" s="537"/>
      <c r="RZL161" s="537"/>
      <c r="RZM161" s="537"/>
      <c r="RZN161" s="537"/>
      <c r="RZO161" s="537"/>
      <c r="RZP161" s="537"/>
      <c r="RZQ161" s="537"/>
      <c r="RZR161" s="537"/>
      <c r="RZS161" s="537"/>
      <c r="RZT161" s="537"/>
      <c r="RZU161" s="537"/>
      <c r="RZV161" s="537"/>
      <c r="RZW161" s="537"/>
      <c r="RZX161" s="537"/>
      <c r="RZY161" s="537"/>
      <c r="RZZ161" s="537"/>
      <c r="SAA161" s="537"/>
      <c r="SAB161" s="537"/>
      <c r="SAC161" s="537"/>
      <c r="SAD161" s="537"/>
      <c r="SAE161" s="537"/>
      <c r="SAF161" s="537"/>
      <c r="SAG161" s="537"/>
      <c r="SAH161" s="537"/>
      <c r="SAI161" s="537"/>
      <c r="SAJ161" s="537"/>
      <c r="SAK161" s="537"/>
      <c r="SAL161" s="537"/>
      <c r="SAM161" s="537"/>
      <c r="SAN161" s="537"/>
      <c r="SAO161" s="537"/>
      <c r="SAP161" s="537"/>
      <c r="SAQ161" s="537"/>
      <c r="SAR161" s="537"/>
      <c r="SAS161" s="537"/>
      <c r="SAT161" s="537"/>
      <c r="SAU161" s="537"/>
      <c r="SAV161" s="537"/>
      <c r="SAW161" s="537"/>
      <c r="SAX161" s="537"/>
      <c r="SAY161" s="537"/>
      <c r="SAZ161" s="537"/>
      <c r="SBA161" s="537"/>
      <c r="SBB161" s="537"/>
      <c r="SBC161" s="537"/>
      <c r="SBD161" s="537"/>
      <c r="SBE161" s="537"/>
      <c r="SBF161" s="537"/>
      <c r="SBG161" s="537"/>
      <c r="SBH161" s="537"/>
      <c r="SBI161" s="537"/>
      <c r="SBJ161" s="537"/>
      <c r="SBK161" s="537"/>
      <c r="SBL161" s="537"/>
      <c r="SBM161" s="537"/>
      <c r="SBN161" s="537"/>
      <c r="SBO161" s="537"/>
      <c r="SBP161" s="537"/>
      <c r="SBQ161" s="537"/>
      <c r="SBR161" s="537"/>
      <c r="SBS161" s="537"/>
      <c r="SBT161" s="537"/>
      <c r="SBU161" s="537"/>
      <c r="SBV161" s="537"/>
      <c r="SBW161" s="537"/>
      <c r="SBX161" s="537"/>
      <c r="SBY161" s="537"/>
      <c r="SBZ161" s="537"/>
      <c r="SCA161" s="537"/>
      <c r="SCB161" s="537"/>
      <c r="SCC161" s="537"/>
      <c r="SCD161" s="537"/>
      <c r="SCE161" s="537"/>
      <c r="SCF161" s="537"/>
      <c r="SCG161" s="537"/>
      <c r="SCH161" s="537"/>
      <c r="SCI161" s="537"/>
      <c r="SCJ161" s="537"/>
      <c r="SCK161" s="537"/>
      <c r="SCL161" s="537"/>
      <c r="SCM161" s="537"/>
      <c r="SCN161" s="537"/>
      <c r="SCO161" s="537"/>
      <c r="SCP161" s="537"/>
      <c r="SCQ161" s="537"/>
      <c r="SCR161" s="537"/>
      <c r="SCS161" s="537"/>
      <c r="SCT161" s="537"/>
      <c r="SCU161" s="537"/>
      <c r="SCV161" s="537"/>
      <c r="SCW161" s="537"/>
      <c r="SCX161" s="537"/>
      <c r="SCY161" s="537"/>
      <c r="SCZ161" s="537"/>
      <c r="SDA161" s="537"/>
      <c r="SDB161" s="537"/>
      <c r="SDC161" s="537"/>
      <c r="SDD161" s="537"/>
      <c r="SDE161" s="537"/>
      <c r="SDF161" s="537"/>
      <c r="SDG161" s="537"/>
      <c r="SDH161" s="537"/>
      <c r="SDI161" s="537"/>
      <c r="SDJ161" s="537"/>
      <c r="SDK161" s="537"/>
      <c r="SDL161" s="537"/>
      <c r="SDM161" s="537"/>
      <c r="SDN161" s="537"/>
      <c r="SDO161" s="537"/>
      <c r="SDP161" s="537"/>
      <c r="SDQ161" s="537"/>
      <c r="SDR161" s="537"/>
      <c r="SDS161" s="537"/>
      <c r="SDT161" s="537"/>
      <c r="SDU161" s="537"/>
      <c r="SDV161" s="537"/>
      <c r="SDW161" s="537"/>
      <c r="SDX161" s="537"/>
      <c r="SDY161" s="537"/>
      <c r="SDZ161" s="537"/>
      <c r="SEA161" s="537"/>
      <c r="SEB161" s="537"/>
      <c r="SEC161" s="537"/>
      <c r="SED161" s="537"/>
      <c r="SEE161" s="537"/>
      <c r="SEF161" s="537"/>
      <c r="SEG161" s="537"/>
      <c r="SEH161" s="537"/>
      <c r="SEI161" s="537"/>
      <c r="SEJ161" s="537"/>
      <c r="SEK161" s="537"/>
      <c r="SEL161" s="537"/>
      <c r="SEM161" s="537"/>
      <c r="SEN161" s="537"/>
      <c r="SEO161" s="537"/>
      <c r="SEP161" s="537"/>
      <c r="SEQ161" s="537"/>
      <c r="SER161" s="537"/>
      <c r="SES161" s="537"/>
      <c r="SET161" s="537"/>
      <c r="SEU161" s="537"/>
      <c r="SEV161" s="537"/>
      <c r="SEW161" s="537"/>
      <c r="SEX161" s="537"/>
      <c r="SEY161" s="537"/>
      <c r="SEZ161" s="537"/>
      <c r="SFA161" s="537"/>
      <c r="SFB161" s="537"/>
      <c r="SFC161" s="537"/>
      <c r="SFD161" s="537"/>
      <c r="SFE161" s="537"/>
      <c r="SFF161" s="537"/>
      <c r="SFG161" s="537"/>
      <c r="SFH161" s="537"/>
      <c r="SFI161" s="537"/>
      <c r="SFJ161" s="537"/>
      <c r="SFK161" s="537"/>
      <c r="SFL161" s="537"/>
      <c r="SFM161" s="537"/>
      <c r="SFN161" s="537"/>
      <c r="SFO161" s="537"/>
      <c r="SFP161" s="537"/>
      <c r="SFQ161" s="537"/>
      <c r="SFR161" s="537"/>
      <c r="SFS161" s="537"/>
      <c r="SFT161" s="537"/>
      <c r="SFU161" s="537"/>
      <c r="SFV161" s="537"/>
      <c r="SFW161" s="537"/>
      <c r="SFX161" s="537"/>
      <c r="SFY161" s="537"/>
      <c r="SFZ161" s="537"/>
      <c r="SGA161" s="537"/>
      <c r="SGB161" s="537"/>
      <c r="SGC161" s="537"/>
      <c r="SGD161" s="537"/>
      <c r="SGE161" s="537"/>
      <c r="SGF161" s="537"/>
      <c r="SGG161" s="537"/>
      <c r="SGH161" s="537"/>
      <c r="SGI161" s="537"/>
      <c r="SGJ161" s="537"/>
      <c r="SGK161" s="537"/>
      <c r="SGL161" s="537"/>
      <c r="SGM161" s="537"/>
      <c r="SGN161" s="537"/>
      <c r="SGO161" s="537"/>
      <c r="SGP161" s="537"/>
      <c r="SGQ161" s="537"/>
      <c r="SGR161" s="537"/>
      <c r="SGS161" s="537"/>
      <c r="SGT161" s="537"/>
      <c r="SGU161" s="537"/>
      <c r="SGV161" s="537"/>
      <c r="SGW161" s="537"/>
      <c r="SGX161" s="537"/>
      <c r="SGY161" s="537"/>
      <c r="SGZ161" s="537"/>
      <c r="SHA161" s="537"/>
      <c r="SHB161" s="537"/>
      <c r="SHC161" s="537"/>
      <c r="SHD161" s="537"/>
      <c r="SHE161" s="537"/>
      <c r="SHF161" s="537"/>
      <c r="SHG161" s="537"/>
      <c r="SHH161" s="537"/>
      <c r="SHI161" s="537"/>
      <c r="SHJ161" s="537"/>
      <c r="SHK161" s="537"/>
      <c r="SHL161" s="537"/>
      <c r="SHM161" s="537"/>
      <c r="SHN161" s="537"/>
      <c r="SHO161" s="537"/>
      <c r="SHP161" s="537"/>
      <c r="SHQ161" s="537"/>
      <c r="SHR161" s="537"/>
      <c r="SHS161" s="537"/>
      <c r="SHT161" s="537"/>
      <c r="SHU161" s="537"/>
      <c r="SHV161" s="537"/>
      <c r="SHW161" s="537"/>
      <c r="SHX161" s="537"/>
      <c r="SHY161" s="537"/>
      <c r="SHZ161" s="537"/>
      <c r="SIA161" s="537"/>
      <c r="SIB161" s="537"/>
      <c r="SIC161" s="537"/>
      <c r="SID161" s="537"/>
      <c r="SIE161" s="537"/>
      <c r="SIF161" s="537"/>
      <c r="SIG161" s="537"/>
      <c r="SIH161" s="537"/>
      <c r="SII161" s="537"/>
      <c r="SIJ161" s="537"/>
      <c r="SIK161" s="537"/>
      <c r="SIL161" s="537"/>
      <c r="SIM161" s="537"/>
      <c r="SIN161" s="537"/>
      <c r="SIO161" s="537"/>
      <c r="SIP161" s="537"/>
      <c r="SIQ161" s="537"/>
      <c r="SIR161" s="537"/>
      <c r="SIS161" s="537"/>
      <c r="SIT161" s="537"/>
      <c r="SIU161" s="537"/>
      <c r="SIV161" s="537"/>
      <c r="SIW161" s="537"/>
      <c r="SIX161" s="537"/>
      <c r="SIY161" s="537"/>
      <c r="SIZ161" s="537"/>
      <c r="SJA161" s="537"/>
      <c r="SJB161" s="537"/>
      <c r="SJC161" s="537"/>
      <c r="SJD161" s="537"/>
      <c r="SJE161" s="537"/>
      <c r="SJF161" s="537"/>
      <c r="SJG161" s="537"/>
      <c r="SJH161" s="537"/>
      <c r="SJI161" s="537"/>
      <c r="SJJ161" s="537"/>
      <c r="SJK161" s="537"/>
      <c r="SJL161" s="537"/>
      <c r="SJM161" s="537"/>
      <c r="SJN161" s="537"/>
      <c r="SJO161" s="537"/>
      <c r="SJP161" s="537"/>
      <c r="SJQ161" s="537"/>
      <c r="SJR161" s="537"/>
      <c r="SJS161" s="537"/>
      <c r="SJT161" s="537"/>
      <c r="SJU161" s="537"/>
      <c r="SJV161" s="537"/>
      <c r="SJW161" s="537"/>
      <c r="SJX161" s="537"/>
      <c r="SJY161" s="537"/>
      <c r="SJZ161" s="537"/>
      <c r="SKA161" s="537"/>
      <c r="SKB161" s="537"/>
      <c r="SKC161" s="537"/>
      <c r="SKD161" s="537"/>
      <c r="SKE161" s="537"/>
      <c r="SKF161" s="537"/>
      <c r="SKG161" s="537"/>
      <c r="SKH161" s="537"/>
      <c r="SKI161" s="537"/>
      <c r="SKJ161" s="537"/>
      <c r="SKK161" s="537"/>
      <c r="SKL161" s="537"/>
      <c r="SKM161" s="537"/>
      <c r="SKN161" s="537"/>
      <c r="SKO161" s="537"/>
      <c r="SKP161" s="537"/>
      <c r="SKQ161" s="537"/>
      <c r="SKR161" s="537"/>
      <c r="SKS161" s="537"/>
      <c r="SKT161" s="537"/>
      <c r="SKU161" s="537"/>
      <c r="SKV161" s="537"/>
      <c r="SKW161" s="537"/>
      <c r="SKX161" s="537"/>
      <c r="SKY161" s="537"/>
      <c r="SKZ161" s="537"/>
      <c r="SLA161" s="537"/>
      <c r="SLB161" s="537"/>
      <c r="SLC161" s="537"/>
      <c r="SLD161" s="537"/>
      <c r="SLE161" s="537"/>
      <c r="SLF161" s="537"/>
      <c r="SLG161" s="537"/>
      <c r="SLH161" s="537"/>
      <c r="SLI161" s="537"/>
      <c r="SLJ161" s="537"/>
      <c r="SLK161" s="537"/>
      <c r="SLL161" s="537"/>
      <c r="SLM161" s="537"/>
      <c r="SLN161" s="537"/>
      <c r="SLO161" s="537"/>
      <c r="SLP161" s="537"/>
      <c r="SLQ161" s="537"/>
      <c r="SLR161" s="537"/>
      <c r="SLS161" s="537"/>
      <c r="SLT161" s="537"/>
      <c r="SLU161" s="537"/>
      <c r="SLV161" s="537"/>
      <c r="SLW161" s="537"/>
      <c r="SLX161" s="537"/>
      <c r="SLY161" s="537"/>
      <c r="SLZ161" s="537"/>
      <c r="SMA161" s="537"/>
      <c r="SMB161" s="537"/>
      <c r="SMC161" s="537"/>
      <c r="SMD161" s="537"/>
      <c r="SME161" s="537"/>
      <c r="SMF161" s="537"/>
      <c r="SMG161" s="537"/>
      <c r="SMH161" s="537"/>
      <c r="SMI161" s="537"/>
      <c r="SMJ161" s="537"/>
      <c r="SMK161" s="537"/>
      <c r="SML161" s="537"/>
      <c r="SMM161" s="537"/>
      <c r="SMN161" s="537"/>
      <c r="SMO161" s="537"/>
      <c r="SMP161" s="537"/>
      <c r="SMQ161" s="537"/>
      <c r="SMR161" s="537"/>
      <c r="SMS161" s="537"/>
      <c r="SMT161" s="537"/>
      <c r="SMU161" s="537"/>
      <c r="SMV161" s="537"/>
      <c r="SMW161" s="537"/>
      <c r="SMX161" s="537"/>
      <c r="SMY161" s="537"/>
      <c r="SMZ161" s="537"/>
      <c r="SNA161" s="537"/>
      <c r="SNB161" s="537"/>
      <c r="SNC161" s="537"/>
      <c r="SND161" s="537"/>
      <c r="SNE161" s="537"/>
      <c r="SNF161" s="537"/>
      <c r="SNG161" s="537"/>
      <c r="SNH161" s="537"/>
      <c r="SNI161" s="537"/>
      <c r="SNJ161" s="537"/>
      <c r="SNK161" s="537"/>
      <c r="SNL161" s="537"/>
      <c r="SNM161" s="537"/>
      <c r="SNN161" s="537"/>
      <c r="SNO161" s="537"/>
      <c r="SNP161" s="537"/>
      <c r="SNQ161" s="537"/>
      <c r="SNR161" s="537"/>
      <c r="SNS161" s="537"/>
      <c r="SNT161" s="537"/>
      <c r="SNU161" s="537"/>
      <c r="SNV161" s="537"/>
      <c r="SNW161" s="537"/>
      <c r="SNX161" s="537"/>
      <c r="SNY161" s="537"/>
      <c r="SNZ161" s="537"/>
      <c r="SOA161" s="537"/>
      <c r="SOB161" s="537"/>
      <c r="SOC161" s="537"/>
      <c r="SOD161" s="537"/>
      <c r="SOE161" s="537"/>
      <c r="SOF161" s="537"/>
      <c r="SOG161" s="537"/>
      <c r="SOH161" s="537"/>
      <c r="SOI161" s="537"/>
      <c r="SOJ161" s="537"/>
      <c r="SOK161" s="537"/>
      <c r="SOL161" s="537"/>
      <c r="SOM161" s="537"/>
      <c r="SON161" s="537"/>
      <c r="SOO161" s="537"/>
      <c r="SOP161" s="537"/>
      <c r="SOQ161" s="537"/>
      <c r="SOR161" s="537"/>
      <c r="SOS161" s="537"/>
      <c r="SOT161" s="537"/>
      <c r="SOU161" s="537"/>
      <c r="SOV161" s="537"/>
      <c r="SOW161" s="537"/>
      <c r="SOX161" s="537"/>
      <c r="SOY161" s="537"/>
      <c r="SOZ161" s="537"/>
      <c r="SPA161" s="537"/>
      <c r="SPB161" s="537"/>
      <c r="SPC161" s="537"/>
      <c r="SPD161" s="537"/>
      <c r="SPE161" s="537"/>
      <c r="SPF161" s="537"/>
      <c r="SPG161" s="537"/>
      <c r="SPH161" s="537"/>
      <c r="SPI161" s="537"/>
      <c r="SPJ161" s="537"/>
      <c r="SPK161" s="537"/>
      <c r="SPL161" s="537"/>
      <c r="SPM161" s="537"/>
      <c r="SPN161" s="537"/>
      <c r="SPO161" s="537"/>
      <c r="SPP161" s="537"/>
      <c r="SPQ161" s="537"/>
      <c r="SPR161" s="537"/>
      <c r="SPS161" s="537"/>
      <c r="SPT161" s="537"/>
      <c r="SPU161" s="537"/>
      <c r="SPV161" s="537"/>
      <c r="SPW161" s="537"/>
      <c r="SPX161" s="537"/>
      <c r="SPY161" s="537"/>
      <c r="SPZ161" s="537"/>
      <c r="SQA161" s="537"/>
      <c r="SQB161" s="537"/>
      <c r="SQC161" s="537"/>
      <c r="SQD161" s="537"/>
      <c r="SQE161" s="537"/>
      <c r="SQF161" s="537"/>
      <c r="SQG161" s="537"/>
      <c r="SQH161" s="537"/>
      <c r="SQI161" s="537"/>
      <c r="SQJ161" s="537"/>
      <c r="SQK161" s="537"/>
      <c r="SQL161" s="537"/>
      <c r="SQM161" s="537"/>
      <c r="SQN161" s="537"/>
      <c r="SQO161" s="537"/>
      <c r="SQP161" s="537"/>
      <c r="SQQ161" s="537"/>
      <c r="SQR161" s="537"/>
      <c r="SQS161" s="537"/>
      <c r="SQT161" s="537"/>
      <c r="SQU161" s="537"/>
      <c r="SQV161" s="537"/>
      <c r="SQW161" s="537"/>
      <c r="SQX161" s="537"/>
      <c r="SQY161" s="537"/>
      <c r="SQZ161" s="537"/>
      <c r="SRA161" s="537"/>
      <c r="SRB161" s="537"/>
      <c r="SRC161" s="537"/>
      <c r="SRD161" s="537"/>
      <c r="SRE161" s="537"/>
      <c r="SRF161" s="537"/>
      <c r="SRG161" s="537"/>
      <c r="SRH161" s="537"/>
      <c r="SRI161" s="537"/>
      <c r="SRJ161" s="537"/>
      <c r="SRK161" s="537"/>
      <c r="SRL161" s="537"/>
      <c r="SRM161" s="537"/>
      <c r="SRN161" s="537"/>
      <c r="SRO161" s="537"/>
      <c r="SRP161" s="537"/>
      <c r="SRQ161" s="537"/>
      <c r="SRR161" s="537"/>
      <c r="SRS161" s="537"/>
      <c r="SRT161" s="537"/>
      <c r="SRU161" s="537"/>
      <c r="SRV161" s="537"/>
      <c r="SRW161" s="537"/>
      <c r="SRX161" s="537"/>
      <c r="SRY161" s="537"/>
      <c r="SRZ161" s="537"/>
      <c r="SSA161" s="537"/>
      <c r="SSB161" s="537"/>
      <c r="SSC161" s="537"/>
      <c r="SSD161" s="537"/>
      <c r="SSE161" s="537"/>
      <c r="SSF161" s="537"/>
      <c r="SSG161" s="537"/>
      <c r="SSH161" s="537"/>
      <c r="SSI161" s="537"/>
      <c r="SSJ161" s="537"/>
      <c r="SSK161" s="537"/>
      <c r="SSL161" s="537"/>
      <c r="SSM161" s="537"/>
      <c r="SSN161" s="537"/>
      <c r="SSO161" s="537"/>
      <c r="SSP161" s="537"/>
      <c r="SSQ161" s="537"/>
      <c r="SSR161" s="537"/>
      <c r="SSS161" s="537"/>
      <c r="SST161" s="537"/>
      <c r="SSU161" s="537"/>
      <c r="SSV161" s="537"/>
      <c r="SSW161" s="537"/>
      <c r="SSX161" s="537"/>
      <c r="SSY161" s="537"/>
      <c r="SSZ161" s="537"/>
      <c r="STA161" s="537"/>
      <c r="STB161" s="537"/>
      <c r="STC161" s="537"/>
      <c r="STD161" s="537"/>
      <c r="STE161" s="537"/>
      <c r="STF161" s="537"/>
      <c r="STG161" s="537"/>
      <c r="STH161" s="537"/>
      <c r="STI161" s="537"/>
      <c r="STJ161" s="537"/>
      <c r="STK161" s="537"/>
      <c r="STL161" s="537"/>
      <c r="STM161" s="537"/>
      <c r="STN161" s="537"/>
      <c r="STO161" s="537"/>
      <c r="STP161" s="537"/>
      <c r="STQ161" s="537"/>
      <c r="STR161" s="537"/>
      <c r="STS161" s="537"/>
      <c r="STT161" s="537"/>
      <c r="STU161" s="537"/>
      <c r="STV161" s="537"/>
      <c r="STW161" s="537"/>
      <c r="STX161" s="537"/>
      <c r="STY161" s="537"/>
      <c r="STZ161" s="537"/>
      <c r="SUA161" s="537"/>
      <c r="SUB161" s="537"/>
      <c r="SUC161" s="537"/>
      <c r="SUD161" s="537"/>
      <c r="SUE161" s="537"/>
      <c r="SUF161" s="537"/>
      <c r="SUG161" s="537"/>
      <c r="SUH161" s="537"/>
      <c r="SUI161" s="537"/>
      <c r="SUJ161" s="537"/>
      <c r="SUK161" s="537"/>
      <c r="SUL161" s="537"/>
      <c r="SUM161" s="537"/>
      <c r="SUN161" s="537"/>
      <c r="SUO161" s="537"/>
      <c r="SUP161" s="537"/>
      <c r="SUQ161" s="537"/>
      <c r="SUR161" s="537"/>
      <c r="SUS161" s="537"/>
      <c r="SUT161" s="537"/>
      <c r="SUU161" s="537"/>
      <c r="SUV161" s="537"/>
      <c r="SUW161" s="537"/>
      <c r="SUX161" s="537"/>
      <c r="SUY161" s="537"/>
      <c r="SUZ161" s="537"/>
      <c r="SVA161" s="537"/>
      <c r="SVB161" s="537"/>
      <c r="SVC161" s="537"/>
      <c r="SVD161" s="537"/>
      <c r="SVE161" s="537"/>
      <c r="SVF161" s="537"/>
      <c r="SVG161" s="537"/>
      <c r="SVH161" s="537"/>
      <c r="SVI161" s="537"/>
      <c r="SVJ161" s="537"/>
      <c r="SVK161" s="537"/>
      <c r="SVL161" s="537"/>
      <c r="SVM161" s="537"/>
      <c r="SVN161" s="537"/>
      <c r="SVO161" s="537"/>
      <c r="SVP161" s="537"/>
      <c r="SVQ161" s="537"/>
      <c r="SVR161" s="537"/>
      <c r="SVS161" s="537"/>
      <c r="SVT161" s="537"/>
      <c r="SVU161" s="537"/>
      <c r="SVV161" s="537"/>
      <c r="SVW161" s="537"/>
      <c r="SVX161" s="537"/>
      <c r="SVY161" s="537"/>
      <c r="SVZ161" s="537"/>
      <c r="SWA161" s="537"/>
      <c r="SWB161" s="537"/>
      <c r="SWC161" s="537"/>
      <c r="SWD161" s="537"/>
      <c r="SWE161" s="537"/>
      <c r="SWF161" s="537"/>
      <c r="SWG161" s="537"/>
      <c r="SWH161" s="537"/>
      <c r="SWI161" s="537"/>
      <c r="SWJ161" s="537"/>
      <c r="SWK161" s="537"/>
      <c r="SWL161" s="537"/>
      <c r="SWM161" s="537"/>
      <c r="SWN161" s="537"/>
      <c r="SWO161" s="537"/>
      <c r="SWP161" s="537"/>
      <c r="SWQ161" s="537"/>
      <c r="SWR161" s="537"/>
      <c r="SWS161" s="537"/>
      <c r="SWT161" s="537"/>
      <c r="SWU161" s="537"/>
      <c r="SWV161" s="537"/>
      <c r="SWW161" s="537"/>
      <c r="SWX161" s="537"/>
      <c r="SWY161" s="537"/>
      <c r="SWZ161" s="537"/>
      <c r="SXA161" s="537"/>
      <c r="SXB161" s="537"/>
      <c r="SXC161" s="537"/>
      <c r="SXD161" s="537"/>
      <c r="SXE161" s="537"/>
      <c r="SXF161" s="537"/>
      <c r="SXG161" s="537"/>
      <c r="SXH161" s="537"/>
      <c r="SXI161" s="537"/>
      <c r="SXJ161" s="537"/>
      <c r="SXK161" s="537"/>
      <c r="SXL161" s="537"/>
      <c r="SXM161" s="537"/>
      <c r="SXN161" s="537"/>
      <c r="SXO161" s="537"/>
      <c r="SXP161" s="537"/>
      <c r="SXQ161" s="537"/>
      <c r="SXR161" s="537"/>
      <c r="SXS161" s="537"/>
      <c r="SXT161" s="537"/>
      <c r="SXU161" s="537"/>
      <c r="SXV161" s="537"/>
      <c r="SXW161" s="537"/>
      <c r="SXX161" s="537"/>
      <c r="SXY161" s="537"/>
      <c r="SXZ161" s="537"/>
      <c r="SYA161" s="537"/>
      <c r="SYB161" s="537"/>
      <c r="SYC161" s="537"/>
      <c r="SYD161" s="537"/>
      <c r="SYE161" s="537"/>
      <c r="SYF161" s="537"/>
      <c r="SYG161" s="537"/>
      <c r="SYH161" s="537"/>
      <c r="SYI161" s="537"/>
      <c r="SYJ161" s="537"/>
      <c r="SYK161" s="537"/>
      <c r="SYL161" s="537"/>
      <c r="SYM161" s="537"/>
      <c r="SYN161" s="537"/>
      <c r="SYO161" s="537"/>
      <c r="SYP161" s="537"/>
      <c r="SYQ161" s="537"/>
      <c r="SYR161" s="537"/>
      <c r="SYS161" s="537"/>
      <c r="SYT161" s="537"/>
      <c r="SYU161" s="537"/>
      <c r="SYV161" s="537"/>
      <c r="SYW161" s="537"/>
      <c r="SYX161" s="537"/>
      <c r="SYY161" s="537"/>
      <c r="SYZ161" s="537"/>
      <c r="SZA161" s="537"/>
      <c r="SZB161" s="537"/>
      <c r="SZC161" s="537"/>
      <c r="SZD161" s="537"/>
      <c r="SZE161" s="537"/>
      <c r="SZF161" s="537"/>
      <c r="SZG161" s="537"/>
      <c r="SZH161" s="537"/>
      <c r="SZI161" s="537"/>
      <c r="SZJ161" s="537"/>
      <c r="SZK161" s="537"/>
      <c r="SZL161" s="537"/>
      <c r="SZM161" s="537"/>
      <c r="SZN161" s="537"/>
      <c r="SZO161" s="537"/>
      <c r="SZP161" s="537"/>
      <c r="SZQ161" s="537"/>
      <c r="SZR161" s="537"/>
      <c r="SZS161" s="537"/>
      <c r="SZT161" s="537"/>
      <c r="SZU161" s="537"/>
      <c r="SZV161" s="537"/>
      <c r="SZW161" s="537"/>
      <c r="SZX161" s="537"/>
      <c r="SZY161" s="537"/>
      <c r="SZZ161" s="537"/>
      <c r="TAA161" s="537"/>
      <c r="TAB161" s="537"/>
      <c r="TAC161" s="537"/>
      <c r="TAD161" s="537"/>
      <c r="TAE161" s="537"/>
      <c r="TAF161" s="537"/>
      <c r="TAG161" s="537"/>
      <c r="TAH161" s="537"/>
      <c r="TAI161" s="537"/>
      <c r="TAJ161" s="537"/>
      <c r="TAK161" s="537"/>
      <c r="TAL161" s="537"/>
      <c r="TAM161" s="537"/>
      <c r="TAN161" s="537"/>
      <c r="TAO161" s="537"/>
      <c r="TAP161" s="537"/>
      <c r="TAQ161" s="537"/>
      <c r="TAR161" s="537"/>
      <c r="TAS161" s="537"/>
      <c r="TAT161" s="537"/>
      <c r="TAU161" s="537"/>
      <c r="TAV161" s="537"/>
      <c r="TAW161" s="537"/>
      <c r="TAX161" s="537"/>
      <c r="TAY161" s="537"/>
      <c r="TAZ161" s="537"/>
      <c r="TBA161" s="537"/>
      <c r="TBB161" s="537"/>
      <c r="TBC161" s="537"/>
      <c r="TBD161" s="537"/>
      <c r="TBE161" s="537"/>
      <c r="TBF161" s="537"/>
      <c r="TBG161" s="537"/>
      <c r="TBH161" s="537"/>
      <c r="TBI161" s="537"/>
      <c r="TBJ161" s="537"/>
      <c r="TBK161" s="537"/>
      <c r="TBL161" s="537"/>
      <c r="TBM161" s="537"/>
      <c r="TBN161" s="537"/>
      <c r="TBO161" s="537"/>
      <c r="TBP161" s="537"/>
      <c r="TBQ161" s="537"/>
      <c r="TBR161" s="537"/>
      <c r="TBS161" s="537"/>
      <c r="TBT161" s="537"/>
      <c r="TBU161" s="537"/>
      <c r="TBV161" s="537"/>
      <c r="TBW161" s="537"/>
      <c r="TBX161" s="537"/>
      <c r="TBY161" s="537"/>
      <c r="TBZ161" s="537"/>
      <c r="TCA161" s="537"/>
      <c r="TCB161" s="537"/>
      <c r="TCC161" s="537"/>
      <c r="TCD161" s="537"/>
      <c r="TCE161" s="537"/>
      <c r="TCF161" s="537"/>
      <c r="TCG161" s="537"/>
      <c r="TCH161" s="537"/>
      <c r="TCI161" s="537"/>
      <c r="TCJ161" s="537"/>
      <c r="TCK161" s="537"/>
      <c r="TCL161" s="537"/>
      <c r="TCM161" s="537"/>
      <c r="TCN161" s="537"/>
      <c r="TCO161" s="537"/>
      <c r="TCP161" s="537"/>
      <c r="TCQ161" s="537"/>
      <c r="TCR161" s="537"/>
      <c r="TCS161" s="537"/>
      <c r="TCT161" s="537"/>
      <c r="TCU161" s="537"/>
      <c r="TCV161" s="537"/>
      <c r="TCW161" s="537"/>
      <c r="TCX161" s="537"/>
      <c r="TCY161" s="537"/>
      <c r="TCZ161" s="537"/>
      <c r="TDA161" s="537"/>
      <c r="TDB161" s="537"/>
      <c r="TDC161" s="537"/>
      <c r="TDD161" s="537"/>
      <c r="TDE161" s="537"/>
      <c r="TDF161" s="537"/>
      <c r="TDG161" s="537"/>
      <c r="TDH161" s="537"/>
      <c r="TDI161" s="537"/>
      <c r="TDJ161" s="537"/>
      <c r="TDK161" s="537"/>
      <c r="TDL161" s="537"/>
      <c r="TDM161" s="537"/>
      <c r="TDN161" s="537"/>
      <c r="TDO161" s="537"/>
      <c r="TDP161" s="537"/>
      <c r="TDQ161" s="537"/>
      <c r="TDR161" s="537"/>
      <c r="TDS161" s="537"/>
      <c r="TDT161" s="537"/>
      <c r="TDU161" s="537"/>
      <c r="TDV161" s="537"/>
      <c r="TDW161" s="537"/>
      <c r="TDX161" s="537"/>
      <c r="TDY161" s="537"/>
      <c r="TDZ161" s="537"/>
      <c r="TEA161" s="537"/>
      <c r="TEB161" s="537"/>
      <c r="TEC161" s="537"/>
      <c r="TED161" s="537"/>
      <c r="TEE161" s="537"/>
      <c r="TEF161" s="537"/>
      <c r="TEG161" s="537"/>
      <c r="TEH161" s="537"/>
      <c r="TEI161" s="537"/>
      <c r="TEJ161" s="537"/>
      <c r="TEK161" s="537"/>
      <c r="TEL161" s="537"/>
      <c r="TEM161" s="537"/>
      <c r="TEN161" s="537"/>
      <c r="TEO161" s="537"/>
      <c r="TEP161" s="537"/>
      <c r="TEQ161" s="537"/>
      <c r="TER161" s="537"/>
      <c r="TES161" s="537"/>
      <c r="TET161" s="537"/>
      <c r="TEU161" s="537"/>
      <c r="TEV161" s="537"/>
      <c r="TEW161" s="537"/>
      <c r="TEX161" s="537"/>
      <c r="TEY161" s="537"/>
      <c r="TEZ161" s="537"/>
      <c r="TFA161" s="537"/>
      <c r="TFB161" s="537"/>
      <c r="TFC161" s="537"/>
      <c r="TFD161" s="537"/>
      <c r="TFE161" s="537"/>
      <c r="TFF161" s="537"/>
      <c r="TFG161" s="537"/>
      <c r="TFH161" s="537"/>
      <c r="TFI161" s="537"/>
      <c r="TFJ161" s="537"/>
      <c r="TFK161" s="537"/>
      <c r="TFL161" s="537"/>
      <c r="TFM161" s="537"/>
      <c r="TFN161" s="537"/>
      <c r="TFO161" s="537"/>
      <c r="TFP161" s="537"/>
      <c r="TFQ161" s="537"/>
      <c r="TFR161" s="537"/>
      <c r="TFS161" s="537"/>
      <c r="TFT161" s="537"/>
      <c r="TFU161" s="537"/>
      <c r="TFV161" s="537"/>
      <c r="TFW161" s="537"/>
      <c r="TFX161" s="537"/>
      <c r="TFY161" s="537"/>
      <c r="TFZ161" s="537"/>
      <c r="TGA161" s="537"/>
      <c r="TGB161" s="537"/>
      <c r="TGC161" s="537"/>
      <c r="TGD161" s="537"/>
      <c r="TGE161" s="537"/>
      <c r="TGF161" s="537"/>
      <c r="TGG161" s="537"/>
      <c r="TGH161" s="537"/>
      <c r="TGI161" s="537"/>
      <c r="TGJ161" s="537"/>
      <c r="TGK161" s="537"/>
      <c r="TGL161" s="537"/>
      <c r="TGM161" s="537"/>
      <c r="TGN161" s="537"/>
      <c r="TGO161" s="537"/>
      <c r="TGP161" s="537"/>
      <c r="TGQ161" s="537"/>
      <c r="TGR161" s="537"/>
      <c r="TGS161" s="537"/>
      <c r="TGT161" s="537"/>
      <c r="TGU161" s="537"/>
      <c r="TGV161" s="537"/>
      <c r="TGW161" s="537"/>
      <c r="TGX161" s="537"/>
      <c r="TGY161" s="537"/>
      <c r="TGZ161" s="537"/>
      <c r="THA161" s="537"/>
      <c r="THB161" s="537"/>
      <c r="THC161" s="537"/>
      <c r="THD161" s="537"/>
      <c r="THE161" s="537"/>
      <c r="THF161" s="537"/>
      <c r="THG161" s="537"/>
      <c r="THH161" s="537"/>
      <c r="THI161" s="537"/>
      <c r="THJ161" s="537"/>
      <c r="THK161" s="537"/>
      <c r="THL161" s="537"/>
      <c r="THM161" s="537"/>
      <c r="THN161" s="537"/>
      <c r="THO161" s="537"/>
      <c r="THP161" s="537"/>
      <c r="THQ161" s="537"/>
      <c r="THR161" s="537"/>
      <c r="THS161" s="537"/>
      <c r="THT161" s="537"/>
      <c r="THU161" s="537"/>
      <c r="THV161" s="537"/>
      <c r="THW161" s="537"/>
      <c r="THX161" s="537"/>
      <c r="THY161" s="537"/>
      <c r="THZ161" s="537"/>
      <c r="TIA161" s="537"/>
      <c r="TIB161" s="537"/>
      <c r="TIC161" s="537"/>
      <c r="TID161" s="537"/>
      <c r="TIE161" s="537"/>
      <c r="TIF161" s="537"/>
      <c r="TIG161" s="537"/>
      <c r="TIH161" s="537"/>
      <c r="TII161" s="537"/>
      <c r="TIJ161" s="537"/>
      <c r="TIK161" s="537"/>
      <c r="TIL161" s="537"/>
      <c r="TIM161" s="537"/>
      <c r="TIN161" s="537"/>
      <c r="TIO161" s="537"/>
      <c r="TIP161" s="537"/>
      <c r="TIQ161" s="537"/>
      <c r="TIR161" s="537"/>
      <c r="TIS161" s="537"/>
      <c r="TIT161" s="537"/>
      <c r="TIU161" s="537"/>
      <c r="TIV161" s="537"/>
      <c r="TIW161" s="537"/>
      <c r="TIX161" s="537"/>
      <c r="TIY161" s="537"/>
      <c r="TIZ161" s="537"/>
      <c r="TJA161" s="537"/>
      <c r="TJB161" s="537"/>
      <c r="TJC161" s="537"/>
      <c r="TJD161" s="537"/>
      <c r="TJE161" s="537"/>
      <c r="TJF161" s="537"/>
      <c r="TJG161" s="537"/>
      <c r="TJH161" s="537"/>
      <c r="TJI161" s="537"/>
      <c r="TJJ161" s="537"/>
      <c r="TJK161" s="537"/>
      <c r="TJL161" s="537"/>
      <c r="TJM161" s="537"/>
      <c r="TJN161" s="537"/>
      <c r="TJO161" s="537"/>
      <c r="TJP161" s="537"/>
      <c r="TJQ161" s="537"/>
      <c r="TJR161" s="537"/>
      <c r="TJS161" s="537"/>
      <c r="TJT161" s="537"/>
      <c r="TJU161" s="537"/>
      <c r="TJV161" s="537"/>
      <c r="TJW161" s="537"/>
      <c r="TJX161" s="537"/>
      <c r="TJY161" s="537"/>
      <c r="TJZ161" s="537"/>
      <c r="TKA161" s="537"/>
      <c r="TKB161" s="537"/>
      <c r="TKC161" s="537"/>
      <c r="TKD161" s="537"/>
      <c r="TKE161" s="537"/>
      <c r="TKF161" s="537"/>
      <c r="TKG161" s="537"/>
      <c r="TKH161" s="537"/>
      <c r="TKI161" s="537"/>
      <c r="TKJ161" s="537"/>
      <c r="TKK161" s="537"/>
      <c r="TKL161" s="537"/>
      <c r="TKM161" s="537"/>
      <c r="TKN161" s="537"/>
      <c r="TKO161" s="537"/>
      <c r="TKP161" s="537"/>
      <c r="TKQ161" s="537"/>
      <c r="TKR161" s="537"/>
      <c r="TKS161" s="537"/>
      <c r="TKT161" s="537"/>
      <c r="TKU161" s="537"/>
      <c r="TKV161" s="537"/>
      <c r="TKW161" s="537"/>
      <c r="TKX161" s="537"/>
      <c r="TKY161" s="537"/>
      <c r="TKZ161" s="537"/>
      <c r="TLA161" s="537"/>
      <c r="TLB161" s="537"/>
      <c r="TLC161" s="537"/>
      <c r="TLD161" s="537"/>
      <c r="TLE161" s="537"/>
      <c r="TLF161" s="537"/>
      <c r="TLG161" s="537"/>
      <c r="TLH161" s="537"/>
      <c r="TLI161" s="537"/>
      <c r="TLJ161" s="537"/>
      <c r="TLK161" s="537"/>
      <c r="TLL161" s="537"/>
      <c r="TLM161" s="537"/>
      <c r="TLN161" s="537"/>
      <c r="TLO161" s="537"/>
      <c r="TLP161" s="537"/>
      <c r="TLQ161" s="537"/>
      <c r="TLR161" s="537"/>
      <c r="TLS161" s="537"/>
      <c r="TLT161" s="537"/>
      <c r="TLU161" s="537"/>
      <c r="TLV161" s="537"/>
      <c r="TLW161" s="537"/>
      <c r="TLX161" s="537"/>
      <c r="TLY161" s="537"/>
      <c r="TLZ161" s="537"/>
      <c r="TMA161" s="537"/>
      <c r="TMB161" s="537"/>
      <c r="TMC161" s="537"/>
      <c r="TMD161" s="537"/>
      <c r="TME161" s="537"/>
      <c r="TMF161" s="537"/>
      <c r="TMG161" s="537"/>
      <c r="TMH161" s="537"/>
      <c r="TMI161" s="537"/>
      <c r="TMJ161" s="537"/>
      <c r="TMK161" s="537"/>
      <c r="TML161" s="537"/>
      <c r="TMM161" s="537"/>
      <c r="TMN161" s="537"/>
      <c r="TMO161" s="537"/>
      <c r="TMP161" s="537"/>
      <c r="TMQ161" s="537"/>
      <c r="TMR161" s="537"/>
      <c r="TMS161" s="537"/>
      <c r="TMT161" s="537"/>
      <c r="TMU161" s="537"/>
      <c r="TMV161" s="537"/>
      <c r="TMW161" s="537"/>
      <c r="TMX161" s="537"/>
      <c r="TMY161" s="537"/>
      <c r="TMZ161" s="537"/>
      <c r="TNA161" s="537"/>
      <c r="TNB161" s="537"/>
      <c r="TNC161" s="537"/>
      <c r="TND161" s="537"/>
      <c r="TNE161" s="537"/>
      <c r="TNF161" s="537"/>
      <c r="TNG161" s="537"/>
      <c r="TNH161" s="537"/>
      <c r="TNI161" s="537"/>
      <c r="TNJ161" s="537"/>
      <c r="TNK161" s="537"/>
      <c r="TNL161" s="537"/>
      <c r="TNM161" s="537"/>
      <c r="TNN161" s="537"/>
      <c r="TNO161" s="537"/>
      <c r="TNP161" s="537"/>
      <c r="TNQ161" s="537"/>
      <c r="TNR161" s="537"/>
      <c r="TNS161" s="537"/>
      <c r="TNT161" s="537"/>
      <c r="TNU161" s="537"/>
      <c r="TNV161" s="537"/>
      <c r="TNW161" s="537"/>
      <c r="TNX161" s="537"/>
      <c r="TNY161" s="537"/>
      <c r="TNZ161" s="537"/>
      <c r="TOA161" s="537"/>
      <c r="TOB161" s="537"/>
      <c r="TOC161" s="537"/>
      <c r="TOD161" s="537"/>
      <c r="TOE161" s="537"/>
      <c r="TOF161" s="537"/>
      <c r="TOG161" s="537"/>
      <c r="TOH161" s="537"/>
      <c r="TOI161" s="537"/>
      <c r="TOJ161" s="537"/>
      <c r="TOK161" s="537"/>
      <c r="TOL161" s="537"/>
      <c r="TOM161" s="537"/>
      <c r="TON161" s="537"/>
      <c r="TOO161" s="537"/>
      <c r="TOP161" s="537"/>
      <c r="TOQ161" s="537"/>
      <c r="TOR161" s="537"/>
      <c r="TOS161" s="537"/>
      <c r="TOT161" s="537"/>
      <c r="TOU161" s="537"/>
      <c r="TOV161" s="537"/>
      <c r="TOW161" s="537"/>
      <c r="TOX161" s="537"/>
      <c r="TOY161" s="537"/>
      <c r="TOZ161" s="537"/>
      <c r="TPA161" s="537"/>
      <c r="TPB161" s="537"/>
      <c r="TPC161" s="537"/>
      <c r="TPD161" s="537"/>
      <c r="TPE161" s="537"/>
      <c r="TPF161" s="537"/>
      <c r="TPG161" s="537"/>
      <c r="TPH161" s="537"/>
      <c r="TPI161" s="537"/>
      <c r="TPJ161" s="537"/>
      <c r="TPK161" s="537"/>
      <c r="TPL161" s="537"/>
      <c r="TPM161" s="537"/>
      <c r="TPN161" s="537"/>
      <c r="TPO161" s="537"/>
      <c r="TPP161" s="537"/>
      <c r="TPQ161" s="537"/>
      <c r="TPR161" s="537"/>
      <c r="TPS161" s="537"/>
      <c r="TPT161" s="537"/>
      <c r="TPU161" s="537"/>
      <c r="TPV161" s="537"/>
      <c r="TPW161" s="537"/>
      <c r="TPX161" s="537"/>
      <c r="TPY161" s="537"/>
      <c r="TPZ161" s="537"/>
      <c r="TQA161" s="537"/>
      <c r="TQB161" s="537"/>
      <c r="TQC161" s="537"/>
      <c r="TQD161" s="537"/>
      <c r="TQE161" s="537"/>
      <c r="TQF161" s="537"/>
      <c r="TQG161" s="537"/>
      <c r="TQH161" s="537"/>
      <c r="TQI161" s="537"/>
      <c r="TQJ161" s="537"/>
      <c r="TQK161" s="537"/>
      <c r="TQL161" s="537"/>
      <c r="TQM161" s="537"/>
      <c r="TQN161" s="537"/>
      <c r="TQO161" s="537"/>
      <c r="TQP161" s="537"/>
      <c r="TQQ161" s="537"/>
      <c r="TQR161" s="537"/>
      <c r="TQS161" s="537"/>
      <c r="TQT161" s="537"/>
      <c r="TQU161" s="537"/>
      <c r="TQV161" s="537"/>
      <c r="TQW161" s="537"/>
      <c r="TQX161" s="537"/>
      <c r="TQY161" s="537"/>
      <c r="TQZ161" s="537"/>
      <c r="TRA161" s="537"/>
      <c r="TRB161" s="537"/>
      <c r="TRC161" s="537"/>
      <c r="TRD161" s="537"/>
      <c r="TRE161" s="537"/>
      <c r="TRF161" s="537"/>
      <c r="TRG161" s="537"/>
      <c r="TRH161" s="537"/>
      <c r="TRI161" s="537"/>
      <c r="TRJ161" s="537"/>
      <c r="TRK161" s="537"/>
      <c r="TRL161" s="537"/>
      <c r="TRM161" s="537"/>
      <c r="TRN161" s="537"/>
      <c r="TRO161" s="537"/>
      <c r="TRP161" s="537"/>
      <c r="TRQ161" s="537"/>
      <c r="TRR161" s="537"/>
      <c r="TRS161" s="537"/>
      <c r="TRT161" s="537"/>
      <c r="TRU161" s="537"/>
      <c r="TRV161" s="537"/>
      <c r="TRW161" s="537"/>
      <c r="TRX161" s="537"/>
      <c r="TRY161" s="537"/>
      <c r="TRZ161" s="537"/>
      <c r="TSA161" s="537"/>
      <c r="TSB161" s="537"/>
      <c r="TSC161" s="537"/>
      <c r="TSD161" s="537"/>
      <c r="TSE161" s="537"/>
      <c r="TSF161" s="537"/>
      <c r="TSG161" s="537"/>
      <c r="TSH161" s="537"/>
      <c r="TSI161" s="537"/>
      <c r="TSJ161" s="537"/>
      <c r="TSK161" s="537"/>
      <c r="TSL161" s="537"/>
      <c r="TSM161" s="537"/>
      <c r="TSN161" s="537"/>
      <c r="TSO161" s="537"/>
      <c r="TSP161" s="537"/>
      <c r="TSQ161" s="537"/>
      <c r="TSR161" s="537"/>
      <c r="TSS161" s="537"/>
      <c r="TST161" s="537"/>
      <c r="TSU161" s="537"/>
      <c r="TSV161" s="537"/>
      <c r="TSW161" s="537"/>
      <c r="TSX161" s="537"/>
      <c r="TSY161" s="537"/>
      <c r="TSZ161" s="537"/>
      <c r="TTA161" s="537"/>
      <c r="TTB161" s="537"/>
      <c r="TTC161" s="537"/>
      <c r="TTD161" s="537"/>
      <c r="TTE161" s="537"/>
      <c r="TTF161" s="537"/>
      <c r="TTG161" s="537"/>
      <c r="TTH161" s="537"/>
      <c r="TTI161" s="537"/>
      <c r="TTJ161" s="537"/>
      <c r="TTK161" s="537"/>
      <c r="TTL161" s="537"/>
      <c r="TTM161" s="537"/>
      <c r="TTN161" s="537"/>
      <c r="TTO161" s="537"/>
      <c r="TTP161" s="537"/>
      <c r="TTQ161" s="537"/>
      <c r="TTR161" s="537"/>
      <c r="TTS161" s="537"/>
      <c r="TTT161" s="537"/>
      <c r="TTU161" s="537"/>
      <c r="TTV161" s="537"/>
      <c r="TTW161" s="537"/>
      <c r="TTX161" s="537"/>
      <c r="TTY161" s="537"/>
      <c r="TTZ161" s="537"/>
      <c r="TUA161" s="537"/>
      <c r="TUB161" s="537"/>
      <c r="TUC161" s="537"/>
      <c r="TUD161" s="537"/>
      <c r="TUE161" s="537"/>
      <c r="TUF161" s="537"/>
      <c r="TUG161" s="537"/>
      <c r="TUH161" s="537"/>
      <c r="TUI161" s="537"/>
      <c r="TUJ161" s="537"/>
      <c r="TUK161" s="537"/>
      <c r="TUL161" s="537"/>
      <c r="TUM161" s="537"/>
      <c r="TUN161" s="537"/>
      <c r="TUO161" s="537"/>
      <c r="TUP161" s="537"/>
      <c r="TUQ161" s="537"/>
      <c r="TUR161" s="537"/>
      <c r="TUS161" s="537"/>
      <c r="TUT161" s="537"/>
      <c r="TUU161" s="537"/>
      <c r="TUV161" s="537"/>
      <c r="TUW161" s="537"/>
      <c r="TUX161" s="537"/>
      <c r="TUY161" s="537"/>
      <c r="TUZ161" s="537"/>
      <c r="TVA161" s="537"/>
      <c r="TVB161" s="537"/>
      <c r="TVC161" s="537"/>
      <c r="TVD161" s="537"/>
      <c r="TVE161" s="537"/>
      <c r="TVF161" s="537"/>
      <c r="TVG161" s="537"/>
      <c r="TVH161" s="537"/>
      <c r="TVI161" s="537"/>
      <c r="TVJ161" s="537"/>
      <c r="TVK161" s="537"/>
      <c r="TVL161" s="537"/>
      <c r="TVM161" s="537"/>
      <c r="TVN161" s="537"/>
      <c r="TVO161" s="537"/>
      <c r="TVP161" s="537"/>
      <c r="TVQ161" s="537"/>
      <c r="TVR161" s="537"/>
      <c r="TVS161" s="537"/>
      <c r="TVT161" s="537"/>
      <c r="TVU161" s="537"/>
      <c r="TVV161" s="537"/>
      <c r="TVW161" s="537"/>
      <c r="TVX161" s="537"/>
      <c r="TVY161" s="537"/>
      <c r="TVZ161" s="537"/>
      <c r="TWA161" s="537"/>
      <c r="TWB161" s="537"/>
      <c r="TWC161" s="537"/>
      <c r="TWD161" s="537"/>
      <c r="TWE161" s="537"/>
      <c r="TWF161" s="537"/>
      <c r="TWG161" s="537"/>
      <c r="TWH161" s="537"/>
      <c r="TWI161" s="537"/>
      <c r="TWJ161" s="537"/>
      <c r="TWK161" s="537"/>
      <c r="TWL161" s="537"/>
      <c r="TWM161" s="537"/>
      <c r="TWN161" s="537"/>
      <c r="TWO161" s="537"/>
      <c r="TWP161" s="537"/>
      <c r="TWQ161" s="537"/>
      <c r="TWR161" s="537"/>
      <c r="TWS161" s="537"/>
      <c r="TWT161" s="537"/>
      <c r="TWU161" s="537"/>
      <c r="TWV161" s="537"/>
      <c r="TWW161" s="537"/>
      <c r="TWX161" s="537"/>
      <c r="TWY161" s="537"/>
      <c r="TWZ161" s="537"/>
      <c r="TXA161" s="537"/>
      <c r="TXB161" s="537"/>
      <c r="TXC161" s="537"/>
      <c r="TXD161" s="537"/>
      <c r="TXE161" s="537"/>
      <c r="TXF161" s="537"/>
      <c r="TXG161" s="537"/>
      <c r="TXH161" s="537"/>
      <c r="TXI161" s="537"/>
      <c r="TXJ161" s="537"/>
      <c r="TXK161" s="537"/>
      <c r="TXL161" s="537"/>
      <c r="TXM161" s="537"/>
      <c r="TXN161" s="537"/>
      <c r="TXO161" s="537"/>
      <c r="TXP161" s="537"/>
      <c r="TXQ161" s="537"/>
      <c r="TXR161" s="537"/>
      <c r="TXS161" s="537"/>
      <c r="TXT161" s="537"/>
      <c r="TXU161" s="537"/>
      <c r="TXV161" s="537"/>
      <c r="TXW161" s="537"/>
      <c r="TXX161" s="537"/>
      <c r="TXY161" s="537"/>
      <c r="TXZ161" s="537"/>
      <c r="TYA161" s="537"/>
      <c r="TYB161" s="537"/>
      <c r="TYC161" s="537"/>
      <c r="TYD161" s="537"/>
      <c r="TYE161" s="537"/>
      <c r="TYF161" s="537"/>
      <c r="TYG161" s="537"/>
      <c r="TYH161" s="537"/>
      <c r="TYI161" s="537"/>
      <c r="TYJ161" s="537"/>
      <c r="TYK161" s="537"/>
      <c r="TYL161" s="537"/>
      <c r="TYM161" s="537"/>
      <c r="TYN161" s="537"/>
      <c r="TYO161" s="537"/>
      <c r="TYP161" s="537"/>
      <c r="TYQ161" s="537"/>
      <c r="TYR161" s="537"/>
      <c r="TYS161" s="537"/>
      <c r="TYT161" s="537"/>
      <c r="TYU161" s="537"/>
      <c r="TYV161" s="537"/>
      <c r="TYW161" s="537"/>
      <c r="TYX161" s="537"/>
      <c r="TYY161" s="537"/>
      <c r="TYZ161" s="537"/>
      <c r="TZA161" s="537"/>
      <c r="TZB161" s="537"/>
      <c r="TZC161" s="537"/>
      <c r="TZD161" s="537"/>
      <c r="TZE161" s="537"/>
      <c r="TZF161" s="537"/>
      <c r="TZG161" s="537"/>
      <c r="TZH161" s="537"/>
      <c r="TZI161" s="537"/>
      <c r="TZJ161" s="537"/>
      <c r="TZK161" s="537"/>
      <c r="TZL161" s="537"/>
      <c r="TZM161" s="537"/>
      <c r="TZN161" s="537"/>
      <c r="TZO161" s="537"/>
      <c r="TZP161" s="537"/>
      <c r="TZQ161" s="537"/>
      <c r="TZR161" s="537"/>
      <c r="TZS161" s="537"/>
      <c r="TZT161" s="537"/>
      <c r="TZU161" s="537"/>
      <c r="TZV161" s="537"/>
      <c r="TZW161" s="537"/>
      <c r="TZX161" s="537"/>
      <c r="TZY161" s="537"/>
      <c r="TZZ161" s="537"/>
      <c r="UAA161" s="537"/>
      <c r="UAB161" s="537"/>
      <c r="UAC161" s="537"/>
      <c r="UAD161" s="537"/>
      <c r="UAE161" s="537"/>
      <c r="UAF161" s="537"/>
      <c r="UAG161" s="537"/>
      <c r="UAH161" s="537"/>
      <c r="UAI161" s="537"/>
      <c r="UAJ161" s="537"/>
      <c r="UAK161" s="537"/>
      <c r="UAL161" s="537"/>
      <c r="UAM161" s="537"/>
      <c r="UAN161" s="537"/>
      <c r="UAO161" s="537"/>
      <c r="UAP161" s="537"/>
      <c r="UAQ161" s="537"/>
      <c r="UAR161" s="537"/>
      <c r="UAS161" s="537"/>
      <c r="UAT161" s="537"/>
      <c r="UAU161" s="537"/>
      <c r="UAV161" s="537"/>
      <c r="UAW161" s="537"/>
      <c r="UAX161" s="537"/>
      <c r="UAY161" s="537"/>
      <c r="UAZ161" s="537"/>
      <c r="UBA161" s="537"/>
      <c r="UBB161" s="537"/>
      <c r="UBC161" s="537"/>
      <c r="UBD161" s="537"/>
      <c r="UBE161" s="537"/>
      <c r="UBF161" s="537"/>
      <c r="UBG161" s="537"/>
      <c r="UBH161" s="537"/>
      <c r="UBI161" s="537"/>
      <c r="UBJ161" s="537"/>
      <c r="UBK161" s="537"/>
      <c r="UBL161" s="537"/>
      <c r="UBM161" s="537"/>
      <c r="UBN161" s="537"/>
      <c r="UBO161" s="537"/>
      <c r="UBP161" s="537"/>
      <c r="UBQ161" s="537"/>
      <c r="UBR161" s="537"/>
      <c r="UBS161" s="537"/>
      <c r="UBT161" s="537"/>
      <c r="UBU161" s="537"/>
      <c r="UBV161" s="537"/>
      <c r="UBW161" s="537"/>
      <c r="UBX161" s="537"/>
      <c r="UBY161" s="537"/>
      <c r="UBZ161" s="537"/>
      <c r="UCA161" s="537"/>
      <c r="UCB161" s="537"/>
      <c r="UCC161" s="537"/>
      <c r="UCD161" s="537"/>
      <c r="UCE161" s="537"/>
      <c r="UCF161" s="537"/>
      <c r="UCG161" s="537"/>
      <c r="UCH161" s="537"/>
      <c r="UCI161" s="537"/>
      <c r="UCJ161" s="537"/>
      <c r="UCK161" s="537"/>
      <c r="UCL161" s="537"/>
      <c r="UCM161" s="537"/>
      <c r="UCN161" s="537"/>
      <c r="UCO161" s="537"/>
      <c r="UCP161" s="537"/>
      <c r="UCQ161" s="537"/>
      <c r="UCR161" s="537"/>
      <c r="UCS161" s="537"/>
      <c r="UCT161" s="537"/>
      <c r="UCU161" s="537"/>
      <c r="UCV161" s="537"/>
      <c r="UCW161" s="537"/>
      <c r="UCX161" s="537"/>
      <c r="UCY161" s="537"/>
      <c r="UCZ161" s="537"/>
      <c r="UDA161" s="537"/>
      <c r="UDB161" s="537"/>
      <c r="UDC161" s="537"/>
      <c r="UDD161" s="537"/>
      <c r="UDE161" s="537"/>
      <c r="UDF161" s="537"/>
      <c r="UDG161" s="537"/>
      <c r="UDH161" s="537"/>
      <c r="UDI161" s="537"/>
      <c r="UDJ161" s="537"/>
      <c r="UDK161" s="537"/>
      <c r="UDL161" s="537"/>
      <c r="UDM161" s="537"/>
      <c r="UDN161" s="537"/>
      <c r="UDO161" s="537"/>
      <c r="UDP161" s="537"/>
      <c r="UDQ161" s="537"/>
      <c r="UDR161" s="537"/>
      <c r="UDS161" s="537"/>
      <c r="UDT161" s="537"/>
      <c r="UDU161" s="537"/>
      <c r="UDV161" s="537"/>
      <c r="UDW161" s="537"/>
      <c r="UDX161" s="537"/>
      <c r="UDY161" s="537"/>
      <c r="UDZ161" s="537"/>
      <c r="UEA161" s="537"/>
      <c r="UEB161" s="537"/>
      <c r="UEC161" s="537"/>
      <c r="UED161" s="537"/>
      <c r="UEE161" s="537"/>
      <c r="UEF161" s="537"/>
      <c r="UEG161" s="537"/>
      <c r="UEH161" s="537"/>
      <c r="UEI161" s="537"/>
      <c r="UEJ161" s="537"/>
      <c r="UEK161" s="537"/>
      <c r="UEL161" s="537"/>
      <c r="UEM161" s="537"/>
      <c r="UEN161" s="537"/>
      <c r="UEO161" s="537"/>
      <c r="UEP161" s="537"/>
      <c r="UEQ161" s="537"/>
      <c r="UER161" s="537"/>
      <c r="UES161" s="537"/>
      <c r="UET161" s="537"/>
      <c r="UEU161" s="537"/>
      <c r="UEV161" s="537"/>
      <c r="UEW161" s="537"/>
      <c r="UEX161" s="537"/>
      <c r="UEY161" s="537"/>
      <c r="UEZ161" s="537"/>
      <c r="UFA161" s="537"/>
      <c r="UFB161" s="537"/>
      <c r="UFC161" s="537"/>
      <c r="UFD161" s="537"/>
      <c r="UFE161" s="537"/>
      <c r="UFF161" s="537"/>
      <c r="UFG161" s="537"/>
      <c r="UFH161" s="537"/>
      <c r="UFI161" s="537"/>
      <c r="UFJ161" s="537"/>
      <c r="UFK161" s="537"/>
      <c r="UFL161" s="537"/>
      <c r="UFM161" s="537"/>
      <c r="UFN161" s="537"/>
      <c r="UFO161" s="537"/>
      <c r="UFP161" s="537"/>
      <c r="UFQ161" s="537"/>
      <c r="UFR161" s="537"/>
      <c r="UFS161" s="537"/>
      <c r="UFT161" s="537"/>
      <c r="UFU161" s="537"/>
      <c r="UFV161" s="537"/>
      <c r="UFW161" s="537"/>
      <c r="UFX161" s="537"/>
      <c r="UFY161" s="537"/>
      <c r="UFZ161" s="537"/>
      <c r="UGA161" s="537"/>
      <c r="UGB161" s="537"/>
      <c r="UGC161" s="537"/>
      <c r="UGD161" s="537"/>
      <c r="UGE161" s="537"/>
      <c r="UGF161" s="537"/>
      <c r="UGG161" s="537"/>
      <c r="UGH161" s="537"/>
      <c r="UGI161" s="537"/>
      <c r="UGJ161" s="537"/>
      <c r="UGK161" s="537"/>
      <c r="UGL161" s="537"/>
      <c r="UGM161" s="537"/>
      <c r="UGN161" s="537"/>
      <c r="UGO161" s="537"/>
      <c r="UGP161" s="537"/>
      <c r="UGQ161" s="537"/>
      <c r="UGR161" s="537"/>
      <c r="UGS161" s="537"/>
      <c r="UGT161" s="537"/>
      <c r="UGU161" s="537"/>
      <c r="UGV161" s="537"/>
      <c r="UGW161" s="537"/>
      <c r="UGX161" s="537"/>
      <c r="UGY161" s="537"/>
      <c r="UGZ161" s="537"/>
      <c r="UHA161" s="537"/>
      <c r="UHB161" s="537"/>
      <c r="UHC161" s="537"/>
      <c r="UHD161" s="537"/>
      <c r="UHE161" s="537"/>
      <c r="UHF161" s="537"/>
      <c r="UHG161" s="537"/>
      <c r="UHH161" s="537"/>
      <c r="UHI161" s="537"/>
      <c r="UHJ161" s="537"/>
      <c r="UHK161" s="537"/>
      <c r="UHL161" s="537"/>
      <c r="UHM161" s="537"/>
      <c r="UHN161" s="537"/>
      <c r="UHO161" s="537"/>
      <c r="UHP161" s="537"/>
      <c r="UHQ161" s="537"/>
      <c r="UHR161" s="537"/>
      <c r="UHS161" s="537"/>
      <c r="UHT161" s="537"/>
      <c r="UHU161" s="537"/>
      <c r="UHV161" s="537"/>
      <c r="UHW161" s="537"/>
      <c r="UHX161" s="537"/>
      <c r="UHY161" s="537"/>
      <c r="UHZ161" s="537"/>
      <c r="UIA161" s="537"/>
      <c r="UIB161" s="537"/>
      <c r="UIC161" s="537"/>
      <c r="UID161" s="537"/>
      <c r="UIE161" s="537"/>
      <c r="UIF161" s="537"/>
      <c r="UIG161" s="537"/>
      <c r="UIH161" s="537"/>
      <c r="UII161" s="537"/>
      <c r="UIJ161" s="537"/>
      <c r="UIK161" s="537"/>
      <c r="UIL161" s="537"/>
      <c r="UIM161" s="537"/>
      <c r="UIN161" s="537"/>
      <c r="UIO161" s="537"/>
      <c r="UIP161" s="537"/>
      <c r="UIQ161" s="537"/>
      <c r="UIR161" s="537"/>
      <c r="UIS161" s="537"/>
      <c r="UIT161" s="537"/>
      <c r="UIU161" s="537"/>
      <c r="UIV161" s="537"/>
      <c r="UIW161" s="537"/>
      <c r="UIX161" s="537"/>
      <c r="UIY161" s="537"/>
      <c r="UIZ161" s="537"/>
      <c r="UJA161" s="537"/>
      <c r="UJB161" s="537"/>
      <c r="UJC161" s="537"/>
      <c r="UJD161" s="537"/>
      <c r="UJE161" s="537"/>
      <c r="UJF161" s="537"/>
      <c r="UJG161" s="537"/>
      <c r="UJH161" s="537"/>
      <c r="UJI161" s="537"/>
      <c r="UJJ161" s="537"/>
      <c r="UJK161" s="537"/>
      <c r="UJL161" s="537"/>
      <c r="UJM161" s="537"/>
      <c r="UJN161" s="537"/>
      <c r="UJO161" s="537"/>
      <c r="UJP161" s="537"/>
      <c r="UJQ161" s="537"/>
      <c r="UJR161" s="537"/>
      <c r="UJS161" s="537"/>
      <c r="UJT161" s="537"/>
      <c r="UJU161" s="537"/>
      <c r="UJV161" s="537"/>
      <c r="UJW161" s="537"/>
      <c r="UJX161" s="537"/>
      <c r="UJY161" s="537"/>
      <c r="UJZ161" s="537"/>
      <c r="UKA161" s="537"/>
      <c r="UKB161" s="537"/>
      <c r="UKC161" s="537"/>
      <c r="UKD161" s="537"/>
      <c r="UKE161" s="537"/>
      <c r="UKF161" s="537"/>
      <c r="UKG161" s="537"/>
      <c r="UKH161" s="537"/>
      <c r="UKI161" s="537"/>
      <c r="UKJ161" s="537"/>
      <c r="UKK161" s="537"/>
      <c r="UKL161" s="537"/>
      <c r="UKM161" s="537"/>
      <c r="UKN161" s="537"/>
      <c r="UKO161" s="537"/>
      <c r="UKP161" s="537"/>
      <c r="UKQ161" s="537"/>
      <c r="UKR161" s="537"/>
      <c r="UKS161" s="537"/>
      <c r="UKT161" s="537"/>
      <c r="UKU161" s="537"/>
      <c r="UKV161" s="537"/>
      <c r="UKW161" s="537"/>
      <c r="UKX161" s="537"/>
      <c r="UKY161" s="537"/>
      <c r="UKZ161" s="537"/>
      <c r="ULA161" s="537"/>
      <c r="ULB161" s="537"/>
      <c r="ULC161" s="537"/>
      <c r="ULD161" s="537"/>
      <c r="ULE161" s="537"/>
      <c r="ULF161" s="537"/>
      <c r="ULG161" s="537"/>
      <c r="ULH161" s="537"/>
      <c r="ULI161" s="537"/>
      <c r="ULJ161" s="537"/>
      <c r="ULK161" s="537"/>
      <c r="ULL161" s="537"/>
      <c r="ULM161" s="537"/>
      <c r="ULN161" s="537"/>
      <c r="ULO161" s="537"/>
      <c r="ULP161" s="537"/>
      <c r="ULQ161" s="537"/>
      <c r="ULR161" s="537"/>
      <c r="ULS161" s="537"/>
      <c r="ULT161" s="537"/>
      <c r="ULU161" s="537"/>
      <c r="ULV161" s="537"/>
      <c r="ULW161" s="537"/>
      <c r="ULX161" s="537"/>
      <c r="ULY161" s="537"/>
      <c r="ULZ161" s="537"/>
      <c r="UMA161" s="537"/>
      <c r="UMB161" s="537"/>
      <c r="UMC161" s="537"/>
      <c r="UMD161" s="537"/>
      <c r="UME161" s="537"/>
      <c r="UMF161" s="537"/>
      <c r="UMG161" s="537"/>
      <c r="UMH161" s="537"/>
      <c r="UMI161" s="537"/>
      <c r="UMJ161" s="537"/>
      <c r="UMK161" s="537"/>
      <c r="UML161" s="537"/>
      <c r="UMM161" s="537"/>
      <c r="UMN161" s="537"/>
      <c r="UMO161" s="537"/>
      <c r="UMP161" s="537"/>
      <c r="UMQ161" s="537"/>
      <c r="UMR161" s="537"/>
      <c r="UMS161" s="537"/>
      <c r="UMT161" s="537"/>
      <c r="UMU161" s="537"/>
      <c r="UMV161" s="537"/>
      <c r="UMW161" s="537"/>
      <c r="UMX161" s="537"/>
      <c r="UMY161" s="537"/>
      <c r="UMZ161" s="537"/>
      <c r="UNA161" s="537"/>
      <c r="UNB161" s="537"/>
      <c r="UNC161" s="537"/>
      <c r="UND161" s="537"/>
      <c r="UNE161" s="537"/>
      <c r="UNF161" s="537"/>
      <c r="UNG161" s="537"/>
      <c r="UNH161" s="537"/>
      <c r="UNI161" s="537"/>
      <c r="UNJ161" s="537"/>
      <c r="UNK161" s="537"/>
      <c r="UNL161" s="537"/>
      <c r="UNM161" s="537"/>
      <c r="UNN161" s="537"/>
      <c r="UNO161" s="537"/>
      <c r="UNP161" s="537"/>
      <c r="UNQ161" s="537"/>
      <c r="UNR161" s="537"/>
      <c r="UNS161" s="537"/>
      <c r="UNT161" s="537"/>
      <c r="UNU161" s="537"/>
      <c r="UNV161" s="537"/>
      <c r="UNW161" s="537"/>
      <c r="UNX161" s="537"/>
      <c r="UNY161" s="537"/>
      <c r="UNZ161" s="537"/>
      <c r="UOA161" s="537"/>
      <c r="UOB161" s="537"/>
      <c r="UOC161" s="537"/>
      <c r="UOD161" s="537"/>
      <c r="UOE161" s="537"/>
      <c r="UOF161" s="537"/>
      <c r="UOG161" s="537"/>
      <c r="UOH161" s="537"/>
      <c r="UOI161" s="537"/>
      <c r="UOJ161" s="537"/>
      <c r="UOK161" s="537"/>
      <c r="UOL161" s="537"/>
      <c r="UOM161" s="537"/>
      <c r="UON161" s="537"/>
      <c r="UOO161" s="537"/>
      <c r="UOP161" s="537"/>
      <c r="UOQ161" s="537"/>
      <c r="UOR161" s="537"/>
      <c r="UOS161" s="537"/>
      <c r="UOT161" s="537"/>
      <c r="UOU161" s="537"/>
      <c r="UOV161" s="537"/>
      <c r="UOW161" s="537"/>
      <c r="UOX161" s="537"/>
      <c r="UOY161" s="537"/>
      <c r="UOZ161" s="537"/>
      <c r="UPA161" s="537"/>
      <c r="UPB161" s="537"/>
      <c r="UPC161" s="537"/>
      <c r="UPD161" s="537"/>
      <c r="UPE161" s="537"/>
      <c r="UPF161" s="537"/>
      <c r="UPG161" s="537"/>
      <c r="UPH161" s="537"/>
      <c r="UPI161" s="537"/>
      <c r="UPJ161" s="537"/>
      <c r="UPK161" s="537"/>
      <c r="UPL161" s="537"/>
      <c r="UPM161" s="537"/>
      <c r="UPN161" s="537"/>
      <c r="UPO161" s="537"/>
      <c r="UPP161" s="537"/>
      <c r="UPQ161" s="537"/>
      <c r="UPR161" s="537"/>
      <c r="UPS161" s="537"/>
      <c r="UPT161" s="537"/>
      <c r="UPU161" s="537"/>
      <c r="UPV161" s="537"/>
      <c r="UPW161" s="537"/>
      <c r="UPX161" s="537"/>
      <c r="UPY161" s="537"/>
      <c r="UPZ161" s="537"/>
      <c r="UQA161" s="537"/>
      <c r="UQB161" s="537"/>
      <c r="UQC161" s="537"/>
      <c r="UQD161" s="537"/>
      <c r="UQE161" s="537"/>
      <c r="UQF161" s="537"/>
      <c r="UQG161" s="537"/>
      <c r="UQH161" s="537"/>
      <c r="UQI161" s="537"/>
      <c r="UQJ161" s="537"/>
      <c r="UQK161" s="537"/>
      <c r="UQL161" s="537"/>
      <c r="UQM161" s="537"/>
      <c r="UQN161" s="537"/>
      <c r="UQO161" s="537"/>
      <c r="UQP161" s="537"/>
      <c r="UQQ161" s="537"/>
      <c r="UQR161" s="537"/>
      <c r="UQS161" s="537"/>
      <c r="UQT161" s="537"/>
      <c r="UQU161" s="537"/>
      <c r="UQV161" s="537"/>
      <c r="UQW161" s="537"/>
      <c r="UQX161" s="537"/>
      <c r="UQY161" s="537"/>
      <c r="UQZ161" s="537"/>
      <c r="URA161" s="537"/>
      <c r="URB161" s="537"/>
      <c r="URC161" s="537"/>
      <c r="URD161" s="537"/>
      <c r="URE161" s="537"/>
      <c r="URF161" s="537"/>
      <c r="URG161" s="537"/>
      <c r="URH161" s="537"/>
      <c r="URI161" s="537"/>
      <c r="URJ161" s="537"/>
      <c r="URK161" s="537"/>
      <c r="URL161" s="537"/>
      <c r="URM161" s="537"/>
      <c r="URN161" s="537"/>
      <c r="URO161" s="537"/>
      <c r="URP161" s="537"/>
      <c r="URQ161" s="537"/>
      <c r="URR161" s="537"/>
      <c r="URS161" s="537"/>
      <c r="URT161" s="537"/>
      <c r="URU161" s="537"/>
      <c r="URV161" s="537"/>
      <c r="URW161" s="537"/>
      <c r="URX161" s="537"/>
      <c r="URY161" s="537"/>
      <c r="URZ161" s="537"/>
      <c r="USA161" s="537"/>
      <c r="USB161" s="537"/>
      <c r="USC161" s="537"/>
      <c r="USD161" s="537"/>
      <c r="USE161" s="537"/>
      <c r="USF161" s="537"/>
      <c r="USG161" s="537"/>
      <c r="USH161" s="537"/>
      <c r="USI161" s="537"/>
      <c r="USJ161" s="537"/>
      <c r="USK161" s="537"/>
      <c r="USL161" s="537"/>
      <c r="USM161" s="537"/>
      <c r="USN161" s="537"/>
      <c r="USO161" s="537"/>
      <c r="USP161" s="537"/>
      <c r="USQ161" s="537"/>
      <c r="USR161" s="537"/>
      <c r="USS161" s="537"/>
      <c r="UST161" s="537"/>
      <c r="USU161" s="537"/>
      <c r="USV161" s="537"/>
      <c r="USW161" s="537"/>
      <c r="USX161" s="537"/>
      <c r="USY161" s="537"/>
      <c r="USZ161" s="537"/>
      <c r="UTA161" s="537"/>
      <c r="UTB161" s="537"/>
      <c r="UTC161" s="537"/>
      <c r="UTD161" s="537"/>
      <c r="UTE161" s="537"/>
      <c r="UTF161" s="537"/>
      <c r="UTG161" s="537"/>
      <c r="UTH161" s="537"/>
      <c r="UTI161" s="537"/>
      <c r="UTJ161" s="537"/>
      <c r="UTK161" s="537"/>
      <c r="UTL161" s="537"/>
      <c r="UTM161" s="537"/>
      <c r="UTN161" s="537"/>
      <c r="UTO161" s="537"/>
      <c r="UTP161" s="537"/>
      <c r="UTQ161" s="537"/>
      <c r="UTR161" s="537"/>
      <c r="UTS161" s="537"/>
      <c r="UTT161" s="537"/>
      <c r="UTU161" s="537"/>
      <c r="UTV161" s="537"/>
      <c r="UTW161" s="537"/>
      <c r="UTX161" s="537"/>
      <c r="UTY161" s="537"/>
      <c r="UTZ161" s="537"/>
      <c r="UUA161" s="537"/>
      <c r="UUB161" s="537"/>
      <c r="UUC161" s="537"/>
      <c r="UUD161" s="537"/>
      <c r="UUE161" s="537"/>
      <c r="UUF161" s="537"/>
      <c r="UUG161" s="537"/>
      <c r="UUH161" s="537"/>
      <c r="UUI161" s="537"/>
      <c r="UUJ161" s="537"/>
      <c r="UUK161" s="537"/>
      <c r="UUL161" s="537"/>
      <c r="UUM161" s="537"/>
      <c r="UUN161" s="537"/>
      <c r="UUO161" s="537"/>
      <c r="UUP161" s="537"/>
      <c r="UUQ161" s="537"/>
      <c r="UUR161" s="537"/>
      <c r="UUS161" s="537"/>
      <c r="UUT161" s="537"/>
      <c r="UUU161" s="537"/>
      <c r="UUV161" s="537"/>
      <c r="UUW161" s="537"/>
      <c r="UUX161" s="537"/>
      <c r="UUY161" s="537"/>
      <c r="UUZ161" s="537"/>
      <c r="UVA161" s="537"/>
      <c r="UVB161" s="537"/>
      <c r="UVC161" s="537"/>
      <c r="UVD161" s="537"/>
      <c r="UVE161" s="537"/>
      <c r="UVF161" s="537"/>
      <c r="UVG161" s="537"/>
      <c r="UVH161" s="537"/>
      <c r="UVI161" s="537"/>
      <c r="UVJ161" s="537"/>
      <c r="UVK161" s="537"/>
      <c r="UVL161" s="537"/>
      <c r="UVM161" s="537"/>
      <c r="UVN161" s="537"/>
      <c r="UVO161" s="537"/>
      <c r="UVP161" s="537"/>
      <c r="UVQ161" s="537"/>
      <c r="UVR161" s="537"/>
      <c r="UVS161" s="537"/>
      <c r="UVT161" s="537"/>
      <c r="UVU161" s="537"/>
      <c r="UVV161" s="537"/>
      <c r="UVW161" s="537"/>
      <c r="UVX161" s="537"/>
      <c r="UVY161" s="537"/>
      <c r="UVZ161" s="537"/>
      <c r="UWA161" s="537"/>
      <c r="UWB161" s="537"/>
      <c r="UWC161" s="537"/>
      <c r="UWD161" s="537"/>
      <c r="UWE161" s="537"/>
      <c r="UWF161" s="537"/>
      <c r="UWG161" s="537"/>
      <c r="UWH161" s="537"/>
      <c r="UWI161" s="537"/>
      <c r="UWJ161" s="537"/>
      <c r="UWK161" s="537"/>
      <c r="UWL161" s="537"/>
      <c r="UWM161" s="537"/>
      <c r="UWN161" s="537"/>
      <c r="UWO161" s="537"/>
      <c r="UWP161" s="537"/>
      <c r="UWQ161" s="537"/>
      <c r="UWR161" s="537"/>
      <c r="UWS161" s="537"/>
      <c r="UWT161" s="537"/>
      <c r="UWU161" s="537"/>
      <c r="UWV161" s="537"/>
      <c r="UWW161" s="537"/>
      <c r="UWX161" s="537"/>
      <c r="UWY161" s="537"/>
      <c r="UWZ161" s="537"/>
      <c r="UXA161" s="537"/>
      <c r="UXB161" s="537"/>
      <c r="UXC161" s="537"/>
      <c r="UXD161" s="537"/>
      <c r="UXE161" s="537"/>
      <c r="UXF161" s="537"/>
      <c r="UXG161" s="537"/>
      <c r="UXH161" s="537"/>
      <c r="UXI161" s="537"/>
      <c r="UXJ161" s="537"/>
      <c r="UXK161" s="537"/>
      <c r="UXL161" s="537"/>
      <c r="UXM161" s="537"/>
      <c r="UXN161" s="537"/>
      <c r="UXO161" s="537"/>
      <c r="UXP161" s="537"/>
      <c r="UXQ161" s="537"/>
      <c r="UXR161" s="537"/>
      <c r="UXS161" s="537"/>
      <c r="UXT161" s="537"/>
      <c r="UXU161" s="537"/>
      <c r="UXV161" s="537"/>
      <c r="UXW161" s="537"/>
      <c r="UXX161" s="537"/>
      <c r="UXY161" s="537"/>
      <c r="UXZ161" s="537"/>
      <c r="UYA161" s="537"/>
      <c r="UYB161" s="537"/>
      <c r="UYC161" s="537"/>
      <c r="UYD161" s="537"/>
      <c r="UYE161" s="537"/>
      <c r="UYF161" s="537"/>
      <c r="UYG161" s="537"/>
      <c r="UYH161" s="537"/>
      <c r="UYI161" s="537"/>
      <c r="UYJ161" s="537"/>
      <c r="UYK161" s="537"/>
      <c r="UYL161" s="537"/>
      <c r="UYM161" s="537"/>
      <c r="UYN161" s="537"/>
      <c r="UYO161" s="537"/>
      <c r="UYP161" s="537"/>
      <c r="UYQ161" s="537"/>
      <c r="UYR161" s="537"/>
      <c r="UYS161" s="537"/>
      <c r="UYT161" s="537"/>
      <c r="UYU161" s="537"/>
      <c r="UYV161" s="537"/>
      <c r="UYW161" s="537"/>
      <c r="UYX161" s="537"/>
      <c r="UYY161" s="537"/>
      <c r="UYZ161" s="537"/>
      <c r="UZA161" s="537"/>
      <c r="UZB161" s="537"/>
      <c r="UZC161" s="537"/>
      <c r="UZD161" s="537"/>
      <c r="UZE161" s="537"/>
      <c r="UZF161" s="537"/>
      <c r="UZG161" s="537"/>
      <c r="UZH161" s="537"/>
      <c r="UZI161" s="537"/>
      <c r="UZJ161" s="537"/>
      <c r="UZK161" s="537"/>
      <c r="UZL161" s="537"/>
      <c r="UZM161" s="537"/>
      <c r="UZN161" s="537"/>
      <c r="UZO161" s="537"/>
      <c r="UZP161" s="537"/>
      <c r="UZQ161" s="537"/>
      <c r="UZR161" s="537"/>
      <c r="UZS161" s="537"/>
      <c r="UZT161" s="537"/>
      <c r="UZU161" s="537"/>
      <c r="UZV161" s="537"/>
      <c r="UZW161" s="537"/>
      <c r="UZX161" s="537"/>
      <c r="UZY161" s="537"/>
      <c r="UZZ161" s="537"/>
      <c r="VAA161" s="537"/>
      <c r="VAB161" s="537"/>
      <c r="VAC161" s="537"/>
      <c r="VAD161" s="537"/>
      <c r="VAE161" s="537"/>
      <c r="VAF161" s="537"/>
      <c r="VAG161" s="537"/>
      <c r="VAH161" s="537"/>
      <c r="VAI161" s="537"/>
      <c r="VAJ161" s="537"/>
      <c r="VAK161" s="537"/>
      <c r="VAL161" s="537"/>
      <c r="VAM161" s="537"/>
      <c r="VAN161" s="537"/>
      <c r="VAO161" s="537"/>
      <c r="VAP161" s="537"/>
      <c r="VAQ161" s="537"/>
      <c r="VAR161" s="537"/>
      <c r="VAS161" s="537"/>
      <c r="VAT161" s="537"/>
      <c r="VAU161" s="537"/>
      <c r="VAV161" s="537"/>
      <c r="VAW161" s="537"/>
      <c r="VAX161" s="537"/>
      <c r="VAY161" s="537"/>
      <c r="VAZ161" s="537"/>
      <c r="VBA161" s="537"/>
      <c r="VBB161" s="537"/>
      <c r="VBC161" s="537"/>
      <c r="VBD161" s="537"/>
      <c r="VBE161" s="537"/>
      <c r="VBF161" s="537"/>
      <c r="VBG161" s="537"/>
      <c r="VBH161" s="537"/>
      <c r="VBI161" s="537"/>
      <c r="VBJ161" s="537"/>
      <c r="VBK161" s="537"/>
      <c r="VBL161" s="537"/>
      <c r="VBM161" s="537"/>
      <c r="VBN161" s="537"/>
      <c r="VBO161" s="537"/>
      <c r="VBP161" s="537"/>
      <c r="VBQ161" s="537"/>
      <c r="VBR161" s="537"/>
      <c r="VBS161" s="537"/>
      <c r="VBT161" s="537"/>
      <c r="VBU161" s="537"/>
      <c r="VBV161" s="537"/>
      <c r="VBW161" s="537"/>
      <c r="VBX161" s="537"/>
      <c r="VBY161" s="537"/>
      <c r="VBZ161" s="537"/>
      <c r="VCA161" s="537"/>
      <c r="VCB161" s="537"/>
      <c r="VCC161" s="537"/>
      <c r="VCD161" s="537"/>
      <c r="VCE161" s="537"/>
      <c r="VCF161" s="537"/>
      <c r="VCG161" s="537"/>
      <c r="VCH161" s="537"/>
      <c r="VCI161" s="537"/>
      <c r="VCJ161" s="537"/>
      <c r="VCK161" s="537"/>
      <c r="VCL161" s="537"/>
      <c r="VCM161" s="537"/>
      <c r="VCN161" s="537"/>
      <c r="VCO161" s="537"/>
      <c r="VCP161" s="537"/>
      <c r="VCQ161" s="537"/>
      <c r="VCR161" s="537"/>
      <c r="VCS161" s="537"/>
      <c r="VCT161" s="537"/>
      <c r="VCU161" s="537"/>
      <c r="VCV161" s="537"/>
      <c r="VCW161" s="537"/>
      <c r="VCX161" s="537"/>
      <c r="VCY161" s="537"/>
      <c r="VCZ161" s="537"/>
      <c r="VDA161" s="537"/>
      <c r="VDB161" s="537"/>
      <c r="VDC161" s="537"/>
      <c r="VDD161" s="537"/>
      <c r="VDE161" s="537"/>
      <c r="VDF161" s="537"/>
      <c r="VDG161" s="537"/>
      <c r="VDH161" s="537"/>
      <c r="VDI161" s="537"/>
      <c r="VDJ161" s="537"/>
      <c r="VDK161" s="537"/>
      <c r="VDL161" s="537"/>
      <c r="VDM161" s="537"/>
      <c r="VDN161" s="537"/>
      <c r="VDO161" s="537"/>
      <c r="VDP161" s="537"/>
      <c r="VDQ161" s="537"/>
      <c r="VDR161" s="537"/>
      <c r="VDS161" s="537"/>
      <c r="VDT161" s="537"/>
      <c r="VDU161" s="537"/>
      <c r="VDV161" s="537"/>
      <c r="VDW161" s="537"/>
      <c r="VDX161" s="537"/>
      <c r="VDY161" s="537"/>
      <c r="VDZ161" s="537"/>
      <c r="VEA161" s="537"/>
      <c r="VEB161" s="537"/>
      <c r="VEC161" s="537"/>
      <c r="VED161" s="537"/>
      <c r="VEE161" s="537"/>
      <c r="VEF161" s="537"/>
      <c r="VEG161" s="537"/>
      <c r="VEH161" s="537"/>
      <c r="VEI161" s="537"/>
      <c r="VEJ161" s="537"/>
      <c r="VEK161" s="537"/>
      <c r="VEL161" s="537"/>
      <c r="VEM161" s="537"/>
      <c r="VEN161" s="537"/>
      <c r="VEO161" s="537"/>
      <c r="VEP161" s="537"/>
      <c r="VEQ161" s="537"/>
      <c r="VER161" s="537"/>
      <c r="VES161" s="537"/>
      <c r="VET161" s="537"/>
      <c r="VEU161" s="537"/>
      <c r="VEV161" s="537"/>
      <c r="VEW161" s="537"/>
      <c r="VEX161" s="537"/>
      <c r="VEY161" s="537"/>
      <c r="VEZ161" s="537"/>
      <c r="VFA161" s="537"/>
      <c r="VFB161" s="537"/>
      <c r="VFC161" s="537"/>
      <c r="VFD161" s="537"/>
      <c r="VFE161" s="537"/>
      <c r="VFF161" s="537"/>
      <c r="VFG161" s="537"/>
      <c r="VFH161" s="537"/>
      <c r="VFI161" s="537"/>
      <c r="VFJ161" s="537"/>
      <c r="VFK161" s="537"/>
      <c r="VFL161" s="537"/>
      <c r="VFM161" s="537"/>
      <c r="VFN161" s="537"/>
      <c r="VFO161" s="537"/>
      <c r="VFP161" s="537"/>
      <c r="VFQ161" s="537"/>
      <c r="VFR161" s="537"/>
      <c r="VFS161" s="537"/>
      <c r="VFT161" s="537"/>
      <c r="VFU161" s="537"/>
      <c r="VFV161" s="537"/>
      <c r="VFW161" s="537"/>
      <c r="VFX161" s="537"/>
      <c r="VFY161" s="537"/>
      <c r="VFZ161" s="537"/>
      <c r="VGA161" s="537"/>
      <c r="VGB161" s="537"/>
      <c r="VGC161" s="537"/>
      <c r="VGD161" s="537"/>
      <c r="VGE161" s="537"/>
      <c r="VGF161" s="537"/>
      <c r="VGG161" s="537"/>
      <c r="VGH161" s="537"/>
      <c r="VGI161" s="537"/>
      <c r="VGJ161" s="537"/>
      <c r="VGK161" s="537"/>
      <c r="VGL161" s="537"/>
      <c r="VGM161" s="537"/>
      <c r="VGN161" s="537"/>
      <c r="VGO161" s="537"/>
      <c r="VGP161" s="537"/>
      <c r="VGQ161" s="537"/>
      <c r="VGR161" s="537"/>
      <c r="VGS161" s="537"/>
      <c r="VGT161" s="537"/>
      <c r="VGU161" s="537"/>
      <c r="VGV161" s="537"/>
      <c r="VGW161" s="537"/>
      <c r="VGX161" s="537"/>
      <c r="VGY161" s="537"/>
      <c r="VGZ161" s="537"/>
      <c r="VHA161" s="537"/>
      <c r="VHB161" s="537"/>
      <c r="VHC161" s="537"/>
      <c r="VHD161" s="537"/>
      <c r="VHE161" s="537"/>
      <c r="VHF161" s="537"/>
      <c r="VHG161" s="537"/>
      <c r="VHH161" s="537"/>
      <c r="VHI161" s="537"/>
      <c r="VHJ161" s="537"/>
      <c r="VHK161" s="537"/>
      <c r="VHL161" s="537"/>
      <c r="VHM161" s="537"/>
      <c r="VHN161" s="537"/>
      <c r="VHO161" s="537"/>
      <c r="VHP161" s="537"/>
      <c r="VHQ161" s="537"/>
      <c r="VHR161" s="537"/>
      <c r="VHS161" s="537"/>
      <c r="VHT161" s="537"/>
      <c r="VHU161" s="537"/>
      <c r="VHV161" s="537"/>
      <c r="VHW161" s="537"/>
      <c r="VHX161" s="537"/>
      <c r="VHY161" s="537"/>
      <c r="VHZ161" s="537"/>
      <c r="VIA161" s="537"/>
      <c r="VIB161" s="537"/>
      <c r="VIC161" s="537"/>
      <c r="VID161" s="537"/>
      <c r="VIE161" s="537"/>
      <c r="VIF161" s="537"/>
      <c r="VIG161" s="537"/>
      <c r="VIH161" s="537"/>
      <c r="VII161" s="537"/>
      <c r="VIJ161" s="537"/>
      <c r="VIK161" s="537"/>
      <c r="VIL161" s="537"/>
      <c r="VIM161" s="537"/>
      <c r="VIN161" s="537"/>
      <c r="VIO161" s="537"/>
      <c r="VIP161" s="537"/>
      <c r="VIQ161" s="537"/>
      <c r="VIR161" s="537"/>
      <c r="VIS161" s="537"/>
      <c r="VIT161" s="537"/>
      <c r="VIU161" s="537"/>
      <c r="VIV161" s="537"/>
      <c r="VIW161" s="537"/>
      <c r="VIX161" s="537"/>
      <c r="VIY161" s="537"/>
      <c r="VIZ161" s="537"/>
      <c r="VJA161" s="537"/>
      <c r="VJB161" s="537"/>
      <c r="VJC161" s="537"/>
      <c r="VJD161" s="537"/>
      <c r="VJE161" s="537"/>
      <c r="VJF161" s="537"/>
      <c r="VJG161" s="537"/>
      <c r="VJH161" s="537"/>
      <c r="VJI161" s="537"/>
      <c r="VJJ161" s="537"/>
      <c r="VJK161" s="537"/>
      <c r="VJL161" s="537"/>
      <c r="VJM161" s="537"/>
      <c r="VJN161" s="537"/>
      <c r="VJO161" s="537"/>
      <c r="VJP161" s="537"/>
      <c r="VJQ161" s="537"/>
      <c r="VJR161" s="537"/>
      <c r="VJS161" s="537"/>
      <c r="VJT161" s="537"/>
      <c r="VJU161" s="537"/>
      <c r="VJV161" s="537"/>
      <c r="VJW161" s="537"/>
      <c r="VJX161" s="537"/>
      <c r="VJY161" s="537"/>
      <c r="VJZ161" s="537"/>
      <c r="VKA161" s="537"/>
      <c r="VKB161" s="537"/>
      <c r="VKC161" s="537"/>
      <c r="VKD161" s="537"/>
      <c r="VKE161" s="537"/>
      <c r="VKF161" s="537"/>
      <c r="VKG161" s="537"/>
      <c r="VKH161" s="537"/>
      <c r="VKI161" s="537"/>
      <c r="VKJ161" s="537"/>
      <c r="VKK161" s="537"/>
      <c r="VKL161" s="537"/>
      <c r="VKM161" s="537"/>
      <c r="VKN161" s="537"/>
      <c r="VKO161" s="537"/>
      <c r="VKP161" s="537"/>
      <c r="VKQ161" s="537"/>
      <c r="VKR161" s="537"/>
      <c r="VKS161" s="537"/>
      <c r="VKT161" s="537"/>
      <c r="VKU161" s="537"/>
      <c r="VKV161" s="537"/>
      <c r="VKW161" s="537"/>
      <c r="VKX161" s="537"/>
      <c r="VKY161" s="537"/>
      <c r="VKZ161" s="537"/>
      <c r="VLA161" s="537"/>
      <c r="VLB161" s="537"/>
      <c r="VLC161" s="537"/>
      <c r="VLD161" s="537"/>
      <c r="VLE161" s="537"/>
      <c r="VLF161" s="537"/>
      <c r="VLG161" s="537"/>
      <c r="VLH161" s="537"/>
      <c r="VLI161" s="537"/>
      <c r="VLJ161" s="537"/>
      <c r="VLK161" s="537"/>
      <c r="VLL161" s="537"/>
      <c r="VLM161" s="537"/>
      <c r="VLN161" s="537"/>
      <c r="VLO161" s="537"/>
      <c r="VLP161" s="537"/>
      <c r="VLQ161" s="537"/>
      <c r="VLR161" s="537"/>
      <c r="VLS161" s="537"/>
      <c r="VLT161" s="537"/>
      <c r="VLU161" s="537"/>
      <c r="VLV161" s="537"/>
      <c r="VLW161" s="537"/>
      <c r="VLX161" s="537"/>
      <c r="VLY161" s="537"/>
      <c r="VLZ161" s="537"/>
      <c r="VMA161" s="537"/>
      <c r="VMB161" s="537"/>
      <c r="VMC161" s="537"/>
      <c r="VMD161" s="537"/>
      <c r="VME161" s="537"/>
      <c r="VMF161" s="537"/>
      <c r="VMG161" s="537"/>
      <c r="VMH161" s="537"/>
      <c r="VMI161" s="537"/>
      <c r="VMJ161" s="537"/>
      <c r="VMK161" s="537"/>
      <c r="VML161" s="537"/>
      <c r="VMM161" s="537"/>
      <c r="VMN161" s="537"/>
      <c r="VMO161" s="537"/>
      <c r="VMP161" s="537"/>
      <c r="VMQ161" s="537"/>
      <c r="VMR161" s="537"/>
      <c r="VMS161" s="537"/>
      <c r="VMT161" s="537"/>
      <c r="VMU161" s="537"/>
      <c r="VMV161" s="537"/>
      <c r="VMW161" s="537"/>
      <c r="VMX161" s="537"/>
      <c r="VMY161" s="537"/>
      <c r="VMZ161" s="537"/>
      <c r="VNA161" s="537"/>
      <c r="VNB161" s="537"/>
      <c r="VNC161" s="537"/>
      <c r="VND161" s="537"/>
      <c r="VNE161" s="537"/>
      <c r="VNF161" s="537"/>
      <c r="VNG161" s="537"/>
      <c r="VNH161" s="537"/>
      <c r="VNI161" s="537"/>
      <c r="VNJ161" s="537"/>
      <c r="VNK161" s="537"/>
      <c r="VNL161" s="537"/>
      <c r="VNM161" s="537"/>
      <c r="VNN161" s="537"/>
      <c r="VNO161" s="537"/>
      <c r="VNP161" s="537"/>
      <c r="VNQ161" s="537"/>
      <c r="VNR161" s="537"/>
      <c r="VNS161" s="537"/>
      <c r="VNT161" s="537"/>
      <c r="VNU161" s="537"/>
      <c r="VNV161" s="537"/>
      <c r="VNW161" s="537"/>
      <c r="VNX161" s="537"/>
      <c r="VNY161" s="537"/>
      <c r="VNZ161" s="537"/>
      <c r="VOA161" s="537"/>
      <c r="VOB161" s="537"/>
      <c r="VOC161" s="537"/>
      <c r="VOD161" s="537"/>
      <c r="VOE161" s="537"/>
      <c r="VOF161" s="537"/>
      <c r="VOG161" s="537"/>
      <c r="VOH161" s="537"/>
      <c r="VOI161" s="537"/>
      <c r="VOJ161" s="537"/>
      <c r="VOK161" s="537"/>
      <c r="VOL161" s="537"/>
      <c r="VOM161" s="537"/>
      <c r="VON161" s="537"/>
      <c r="VOO161" s="537"/>
      <c r="VOP161" s="537"/>
      <c r="VOQ161" s="537"/>
      <c r="VOR161" s="537"/>
      <c r="VOS161" s="537"/>
      <c r="VOT161" s="537"/>
      <c r="VOU161" s="537"/>
      <c r="VOV161" s="537"/>
      <c r="VOW161" s="537"/>
      <c r="VOX161" s="537"/>
      <c r="VOY161" s="537"/>
      <c r="VOZ161" s="537"/>
      <c r="VPA161" s="537"/>
      <c r="VPB161" s="537"/>
      <c r="VPC161" s="537"/>
      <c r="VPD161" s="537"/>
      <c r="VPE161" s="537"/>
      <c r="VPF161" s="537"/>
      <c r="VPG161" s="537"/>
      <c r="VPH161" s="537"/>
      <c r="VPI161" s="537"/>
      <c r="VPJ161" s="537"/>
      <c r="VPK161" s="537"/>
      <c r="VPL161" s="537"/>
      <c r="VPM161" s="537"/>
      <c r="VPN161" s="537"/>
      <c r="VPO161" s="537"/>
      <c r="VPP161" s="537"/>
      <c r="VPQ161" s="537"/>
      <c r="VPR161" s="537"/>
      <c r="VPS161" s="537"/>
      <c r="VPT161" s="537"/>
      <c r="VPU161" s="537"/>
      <c r="VPV161" s="537"/>
      <c r="VPW161" s="537"/>
      <c r="VPX161" s="537"/>
      <c r="VPY161" s="537"/>
      <c r="VPZ161" s="537"/>
      <c r="VQA161" s="537"/>
      <c r="VQB161" s="537"/>
      <c r="VQC161" s="537"/>
      <c r="VQD161" s="537"/>
      <c r="VQE161" s="537"/>
      <c r="VQF161" s="537"/>
      <c r="VQG161" s="537"/>
      <c r="VQH161" s="537"/>
      <c r="VQI161" s="537"/>
      <c r="VQJ161" s="537"/>
      <c r="VQK161" s="537"/>
      <c r="VQL161" s="537"/>
      <c r="VQM161" s="537"/>
      <c r="VQN161" s="537"/>
      <c r="VQO161" s="537"/>
      <c r="VQP161" s="537"/>
      <c r="VQQ161" s="537"/>
      <c r="VQR161" s="537"/>
      <c r="VQS161" s="537"/>
      <c r="VQT161" s="537"/>
      <c r="VQU161" s="537"/>
      <c r="VQV161" s="537"/>
      <c r="VQW161" s="537"/>
      <c r="VQX161" s="537"/>
      <c r="VQY161" s="537"/>
      <c r="VQZ161" s="537"/>
      <c r="VRA161" s="537"/>
      <c r="VRB161" s="537"/>
      <c r="VRC161" s="537"/>
      <c r="VRD161" s="537"/>
      <c r="VRE161" s="537"/>
      <c r="VRF161" s="537"/>
      <c r="VRG161" s="537"/>
      <c r="VRH161" s="537"/>
      <c r="VRI161" s="537"/>
      <c r="VRJ161" s="537"/>
      <c r="VRK161" s="537"/>
      <c r="VRL161" s="537"/>
      <c r="VRM161" s="537"/>
      <c r="VRN161" s="537"/>
      <c r="VRO161" s="537"/>
      <c r="VRP161" s="537"/>
      <c r="VRQ161" s="537"/>
      <c r="VRR161" s="537"/>
      <c r="VRS161" s="537"/>
      <c r="VRT161" s="537"/>
      <c r="VRU161" s="537"/>
      <c r="VRV161" s="537"/>
      <c r="VRW161" s="537"/>
      <c r="VRX161" s="537"/>
      <c r="VRY161" s="537"/>
      <c r="VRZ161" s="537"/>
      <c r="VSA161" s="537"/>
      <c r="VSB161" s="537"/>
      <c r="VSC161" s="537"/>
      <c r="VSD161" s="537"/>
      <c r="VSE161" s="537"/>
      <c r="VSF161" s="537"/>
      <c r="VSG161" s="537"/>
      <c r="VSH161" s="537"/>
      <c r="VSI161" s="537"/>
      <c r="VSJ161" s="537"/>
      <c r="VSK161" s="537"/>
      <c r="VSL161" s="537"/>
      <c r="VSM161" s="537"/>
      <c r="VSN161" s="537"/>
      <c r="VSO161" s="537"/>
      <c r="VSP161" s="537"/>
      <c r="VSQ161" s="537"/>
      <c r="VSR161" s="537"/>
      <c r="VSS161" s="537"/>
      <c r="VST161" s="537"/>
      <c r="VSU161" s="537"/>
      <c r="VSV161" s="537"/>
      <c r="VSW161" s="537"/>
      <c r="VSX161" s="537"/>
      <c r="VSY161" s="537"/>
      <c r="VSZ161" s="537"/>
      <c r="VTA161" s="537"/>
      <c r="VTB161" s="537"/>
      <c r="VTC161" s="537"/>
      <c r="VTD161" s="537"/>
      <c r="VTE161" s="537"/>
      <c r="VTF161" s="537"/>
      <c r="VTG161" s="537"/>
      <c r="VTH161" s="537"/>
      <c r="VTI161" s="537"/>
      <c r="VTJ161" s="537"/>
      <c r="VTK161" s="537"/>
      <c r="VTL161" s="537"/>
      <c r="VTM161" s="537"/>
      <c r="VTN161" s="537"/>
      <c r="VTO161" s="537"/>
      <c r="VTP161" s="537"/>
      <c r="VTQ161" s="537"/>
      <c r="VTR161" s="537"/>
      <c r="VTS161" s="537"/>
      <c r="VTT161" s="537"/>
      <c r="VTU161" s="537"/>
      <c r="VTV161" s="537"/>
      <c r="VTW161" s="537"/>
      <c r="VTX161" s="537"/>
      <c r="VTY161" s="537"/>
      <c r="VTZ161" s="537"/>
      <c r="VUA161" s="537"/>
      <c r="VUB161" s="537"/>
      <c r="VUC161" s="537"/>
      <c r="VUD161" s="537"/>
      <c r="VUE161" s="537"/>
      <c r="VUF161" s="537"/>
      <c r="VUG161" s="537"/>
      <c r="VUH161" s="537"/>
      <c r="VUI161" s="537"/>
      <c r="VUJ161" s="537"/>
      <c r="VUK161" s="537"/>
      <c r="VUL161" s="537"/>
      <c r="VUM161" s="537"/>
      <c r="VUN161" s="537"/>
      <c r="VUO161" s="537"/>
      <c r="VUP161" s="537"/>
      <c r="VUQ161" s="537"/>
      <c r="VUR161" s="537"/>
      <c r="VUS161" s="537"/>
      <c r="VUT161" s="537"/>
      <c r="VUU161" s="537"/>
      <c r="VUV161" s="537"/>
      <c r="VUW161" s="537"/>
      <c r="VUX161" s="537"/>
      <c r="VUY161" s="537"/>
      <c r="VUZ161" s="537"/>
      <c r="VVA161" s="537"/>
      <c r="VVB161" s="537"/>
      <c r="VVC161" s="537"/>
      <c r="VVD161" s="537"/>
      <c r="VVE161" s="537"/>
      <c r="VVF161" s="537"/>
      <c r="VVG161" s="537"/>
      <c r="VVH161" s="537"/>
      <c r="VVI161" s="537"/>
      <c r="VVJ161" s="537"/>
      <c r="VVK161" s="537"/>
      <c r="VVL161" s="537"/>
      <c r="VVM161" s="537"/>
      <c r="VVN161" s="537"/>
      <c r="VVO161" s="537"/>
      <c r="VVP161" s="537"/>
      <c r="VVQ161" s="537"/>
      <c r="VVR161" s="537"/>
      <c r="VVS161" s="537"/>
      <c r="VVT161" s="537"/>
      <c r="VVU161" s="537"/>
      <c r="VVV161" s="537"/>
      <c r="VVW161" s="537"/>
      <c r="VVX161" s="537"/>
      <c r="VVY161" s="537"/>
      <c r="VVZ161" s="537"/>
      <c r="VWA161" s="537"/>
      <c r="VWB161" s="537"/>
      <c r="VWC161" s="537"/>
      <c r="VWD161" s="537"/>
      <c r="VWE161" s="537"/>
      <c r="VWF161" s="537"/>
      <c r="VWG161" s="537"/>
      <c r="VWH161" s="537"/>
      <c r="VWI161" s="537"/>
      <c r="VWJ161" s="537"/>
      <c r="VWK161" s="537"/>
      <c r="VWL161" s="537"/>
      <c r="VWM161" s="537"/>
      <c r="VWN161" s="537"/>
      <c r="VWO161" s="537"/>
      <c r="VWP161" s="537"/>
      <c r="VWQ161" s="537"/>
      <c r="VWR161" s="537"/>
      <c r="VWS161" s="537"/>
      <c r="VWT161" s="537"/>
      <c r="VWU161" s="537"/>
      <c r="VWV161" s="537"/>
      <c r="VWW161" s="537"/>
      <c r="VWX161" s="537"/>
      <c r="VWY161" s="537"/>
      <c r="VWZ161" s="537"/>
      <c r="VXA161" s="537"/>
      <c r="VXB161" s="537"/>
      <c r="VXC161" s="537"/>
      <c r="VXD161" s="537"/>
      <c r="VXE161" s="537"/>
      <c r="VXF161" s="537"/>
      <c r="VXG161" s="537"/>
      <c r="VXH161" s="537"/>
      <c r="VXI161" s="537"/>
      <c r="VXJ161" s="537"/>
      <c r="VXK161" s="537"/>
      <c r="VXL161" s="537"/>
      <c r="VXM161" s="537"/>
      <c r="VXN161" s="537"/>
      <c r="VXO161" s="537"/>
      <c r="VXP161" s="537"/>
      <c r="VXQ161" s="537"/>
      <c r="VXR161" s="537"/>
      <c r="VXS161" s="537"/>
      <c r="VXT161" s="537"/>
      <c r="VXU161" s="537"/>
      <c r="VXV161" s="537"/>
      <c r="VXW161" s="537"/>
      <c r="VXX161" s="537"/>
      <c r="VXY161" s="537"/>
      <c r="VXZ161" s="537"/>
      <c r="VYA161" s="537"/>
      <c r="VYB161" s="537"/>
      <c r="VYC161" s="537"/>
      <c r="VYD161" s="537"/>
      <c r="VYE161" s="537"/>
      <c r="VYF161" s="537"/>
      <c r="VYG161" s="537"/>
      <c r="VYH161" s="537"/>
      <c r="VYI161" s="537"/>
      <c r="VYJ161" s="537"/>
      <c r="VYK161" s="537"/>
      <c r="VYL161" s="537"/>
      <c r="VYM161" s="537"/>
      <c r="VYN161" s="537"/>
      <c r="VYO161" s="537"/>
      <c r="VYP161" s="537"/>
      <c r="VYQ161" s="537"/>
      <c r="VYR161" s="537"/>
      <c r="VYS161" s="537"/>
      <c r="VYT161" s="537"/>
      <c r="VYU161" s="537"/>
      <c r="VYV161" s="537"/>
      <c r="VYW161" s="537"/>
      <c r="VYX161" s="537"/>
      <c r="VYY161" s="537"/>
      <c r="VYZ161" s="537"/>
      <c r="VZA161" s="537"/>
      <c r="VZB161" s="537"/>
      <c r="VZC161" s="537"/>
      <c r="VZD161" s="537"/>
      <c r="VZE161" s="537"/>
      <c r="VZF161" s="537"/>
      <c r="VZG161" s="537"/>
      <c r="VZH161" s="537"/>
      <c r="VZI161" s="537"/>
      <c r="VZJ161" s="537"/>
      <c r="VZK161" s="537"/>
      <c r="VZL161" s="537"/>
      <c r="VZM161" s="537"/>
      <c r="VZN161" s="537"/>
      <c r="VZO161" s="537"/>
      <c r="VZP161" s="537"/>
      <c r="VZQ161" s="537"/>
      <c r="VZR161" s="537"/>
      <c r="VZS161" s="537"/>
      <c r="VZT161" s="537"/>
      <c r="VZU161" s="537"/>
      <c r="VZV161" s="537"/>
      <c r="VZW161" s="537"/>
      <c r="VZX161" s="537"/>
      <c r="VZY161" s="537"/>
      <c r="VZZ161" s="537"/>
      <c r="WAA161" s="537"/>
      <c r="WAB161" s="537"/>
      <c r="WAC161" s="537"/>
      <c r="WAD161" s="537"/>
      <c r="WAE161" s="537"/>
      <c r="WAF161" s="537"/>
      <c r="WAG161" s="537"/>
      <c r="WAH161" s="537"/>
      <c r="WAI161" s="537"/>
      <c r="WAJ161" s="537"/>
      <c r="WAK161" s="537"/>
      <c r="WAL161" s="537"/>
      <c r="WAM161" s="537"/>
      <c r="WAN161" s="537"/>
      <c r="WAO161" s="537"/>
      <c r="WAP161" s="537"/>
      <c r="WAQ161" s="537"/>
      <c r="WAR161" s="537"/>
      <c r="WAS161" s="537"/>
      <c r="WAT161" s="537"/>
      <c r="WAU161" s="537"/>
      <c r="WAV161" s="537"/>
      <c r="WAW161" s="537"/>
      <c r="WAX161" s="537"/>
      <c r="WAY161" s="537"/>
      <c r="WAZ161" s="537"/>
      <c r="WBA161" s="537"/>
      <c r="WBB161" s="537"/>
      <c r="WBC161" s="537"/>
      <c r="WBD161" s="537"/>
      <c r="WBE161" s="537"/>
      <c r="WBF161" s="537"/>
      <c r="WBG161" s="537"/>
      <c r="WBH161" s="537"/>
      <c r="WBI161" s="537"/>
      <c r="WBJ161" s="537"/>
      <c r="WBK161" s="537"/>
      <c r="WBL161" s="537"/>
      <c r="WBM161" s="537"/>
      <c r="WBN161" s="537"/>
      <c r="WBO161" s="537"/>
      <c r="WBP161" s="537"/>
      <c r="WBQ161" s="537"/>
      <c r="WBR161" s="537"/>
      <c r="WBS161" s="537"/>
      <c r="WBT161" s="537"/>
      <c r="WBU161" s="537"/>
      <c r="WBV161" s="537"/>
      <c r="WBW161" s="537"/>
      <c r="WBX161" s="537"/>
      <c r="WBY161" s="537"/>
      <c r="WBZ161" s="537"/>
      <c r="WCA161" s="537"/>
      <c r="WCB161" s="537"/>
      <c r="WCC161" s="537"/>
      <c r="WCD161" s="537"/>
      <c r="WCE161" s="537"/>
      <c r="WCF161" s="537"/>
      <c r="WCG161" s="537"/>
      <c r="WCH161" s="537"/>
      <c r="WCI161" s="537"/>
      <c r="WCJ161" s="537"/>
      <c r="WCK161" s="537"/>
      <c r="WCL161" s="537"/>
      <c r="WCM161" s="537"/>
      <c r="WCN161" s="537"/>
      <c r="WCO161" s="537"/>
      <c r="WCP161" s="537"/>
      <c r="WCQ161" s="537"/>
      <c r="WCR161" s="537"/>
      <c r="WCS161" s="537"/>
      <c r="WCT161" s="537"/>
      <c r="WCU161" s="537"/>
      <c r="WCV161" s="537"/>
      <c r="WCW161" s="537"/>
      <c r="WCX161" s="537"/>
      <c r="WCY161" s="537"/>
      <c r="WCZ161" s="537"/>
      <c r="WDA161" s="537"/>
      <c r="WDB161" s="537"/>
      <c r="WDC161" s="537"/>
      <c r="WDD161" s="537"/>
      <c r="WDE161" s="537"/>
      <c r="WDF161" s="537"/>
      <c r="WDG161" s="537"/>
      <c r="WDH161" s="537"/>
      <c r="WDI161" s="537"/>
      <c r="WDJ161" s="537"/>
      <c r="WDK161" s="537"/>
      <c r="WDL161" s="537"/>
      <c r="WDM161" s="537"/>
      <c r="WDN161" s="537"/>
      <c r="WDO161" s="537"/>
      <c r="WDP161" s="537"/>
      <c r="WDQ161" s="537"/>
      <c r="WDR161" s="537"/>
      <c r="WDS161" s="537"/>
      <c r="WDT161" s="537"/>
      <c r="WDU161" s="537"/>
      <c r="WDV161" s="537"/>
      <c r="WDW161" s="537"/>
      <c r="WDX161" s="537"/>
      <c r="WDY161" s="537"/>
      <c r="WDZ161" s="537"/>
      <c r="WEA161" s="537"/>
      <c r="WEB161" s="537"/>
      <c r="WEC161" s="537"/>
      <c r="WED161" s="537"/>
      <c r="WEE161" s="537"/>
      <c r="WEF161" s="537"/>
      <c r="WEG161" s="537"/>
      <c r="WEH161" s="537"/>
      <c r="WEI161" s="537"/>
      <c r="WEJ161" s="537"/>
      <c r="WEK161" s="537"/>
      <c r="WEL161" s="537"/>
      <c r="WEM161" s="537"/>
      <c r="WEN161" s="537"/>
      <c r="WEO161" s="537"/>
      <c r="WEP161" s="537"/>
      <c r="WEQ161" s="537"/>
      <c r="WER161" s="537"/>
      <c r="WES161" s="537"/>
      <c r="WET161" s="537"/>
      <c r="WEU161" s="537"/>
      <c r="WEV161" s="537"/>
      <c r="WEW161" s="537"/>
      <c r="WEX161" s="537"/>
      <c r="WEY161" s="537"/>
      <c r="WEZ161" s="537"/>
      <c r="WFA161" s="537"/>
      <c r="WFB161" s="537"/>
      <c r="WFC161" s="537"/>
      <c r="WFD161" s="537"/>
      <c r="WFE161" s="537"/>
      <c r="WFF161" s="537"/>
      <c r="WFG161" s="537"/>
      <c r="WFH161" s="537"/>
      <c r="WFI161" s="537"/>
      <c r="WFJ161" s="537"/>
      <c r="WFK161" s="537"/>
      <c r="WFL161" s="537"/>
      <c r="WFM161" s="537"/>
      <c r="WFN161" s="537"/>
      <c r="WFO161" s="537"/>
      <c r="WFP161" s="537"/>
      <c r="WFQ161" s="537"/>
      <c r="WFR161" s="537"/>
      <c r="WFS161" s="537"/>
      <c r="WFT161" s="537"/>
      <c r="WFU161" s="537"/>
      <c r="WFV161" s="537"/>
      <c r="WFW161" s="537"/>
      <c r="WFX161" s="537"/>
      <c r="WFY161" s="537"/>
      <c r="WFZ161" s="537"/>
      <c r="WGA161" s="537"/>
      <c r="WGB161" s="537"/>
      <c r="WGC161" s="537"/>
      <c r="WGD161" s="537"/>
      <c r="WGE161" s="537"/>
      <c r="WGF161" s="537"/>
      <c r="WGG161" s="537"/>
      <c r="WGH161" s="537"/>
      <c r="WGI161" s="537"/>
      <c r="WGJ161" s="537"/>
      <c r="WGK161" s="537"/>
      <c r="WGL161" s="537"/>
      <c r="WGM161" s="537"/>
      <c r="WGN161" s="537"/>
      <c r="WGO161" s="537"/>
      <c r="WGP161" s="537"/>
      <c r="WGQ161" s="537"/>
      <c r="WGR161" s="537"/>
      <c r="WGS161" s="537"/>
      <c r="WGT161" s="537"/>
      <c r="WGU161" s="537"/>
      <c r="WGV161" s="537"/>
      <c r="WGW161" s="537"/>
      <c r="WGX161" s="537"/>
      <c r="WGY161" s="537"/>
      <c r="WGZ161" s="537"/>
      <c r="WHA161" s="537"/>
      <c r="WHB161" s="537"/>
      <c r="WHC161" s="537"/>
      <c r="WHD161" s="537"/>
      <c r="WHE161" s="537"/>
      <c r="WHF161" s="537"/>
      <c r="WHG161" s="537"/>
      <c r="WHH161" s="537"/>
      <c r="WHI161" s="537"/>
      <c r="WHJ161" s="537"/>
      <c r="WHK161" s="537"/>
      <c r="WHL161" s="537"/>
      <c r="WHM161" s="537"/>
      <c r="WHN161" s="537"/>
      <c r="WHO161" s="537"/>
      <c r="WHP161" s="537"/>
      <c r="WHQ161" s="537"/>
      <c r="WHR161" s="537"/>
      <c r="WHS161" s="537"/>
      <c r="WHT161" s="537"/>
      <c r="WHU161" s="537"/>
      <c r="WHV161" s="537"/>
      <c r="WHW161" s="537"/>
      <c r="WHX161" s="537"/>
      <c r="WHY161" s="537"/>
      <c r="WHZ161" s="537"/>
      <c r="WIA161" s="537"/>
      <c r="WIB161" s="537"/>
      <c r="WIC161" s="537"/>
      <c r="WID161" s="537"/>
      <c r="WIE161" s="537"/>
      <c r="WIF161" s="537"/>
      <c r="WIG161" s="537"/>
      <c r="WIH161" s="537"/>
      <c r="WII161" s="537"/>
      <c r="WIJ161" s="537"/>
      <c r="WIK161" s="537"/>
      <c r="WIL161" s="537"/>
      <c r="WIM161" s="537"/>
      <c r="WIN161" s="537"/>
      <c r="WIO161" s="537"/>
      <c r="WIP161" s="537"/>
      <c r="WIQ161" s="537"/>
      <c r="WIR161" s="537"/>
      <c r="WIS161" s="537"/>
      <c r="WIT161" s="537"/>
      <c r="WIU161" s="537"/>
      <c r="WIV161" s="537"/>
      <c r="WIW161" s="537"/>
      <c r="WIX161" s="537"/>
      <c r="WIY161" s="537"/>
      <c r="WIZ161" s="537"/>
      <c r="WJA161" s="537"/>
      <c r="WJB161" s="537"/>
      <c r="WJC161" s="537"/>
      <c r="WJD161" s="537"/>
      <c r="WJE161" s="537"/>
      <c r="WJF161" s="537"/>
      <c r="WJG161" s="537"/>
      <c r="WJH161" s="537"/>
      <c r="WJI161" s="537"/>
      <c r="WJJ161" s="537"/>
      <c r="WJK161" s="537"/>
      <c r="WJL161" s="537"/>
      <c r="WJM161" s="537"/>
      <c r="WJN161" s="537"/>
      <c r="WJO161" s="537"/>
      <c r="WJP161" s="537"/>
      <c r="WJQ161" s="537"/>
      <c r="WJR161" s="537"/>
      <c r="WJS161" s="537"/>
      <c r="WJT161" s="537"/>
      <c r="WJU161" s="537"/>
      <c r="WJV161" s="537"/>
      <c r="WJW161" s="537"/>
      <c r="WJX161" s="537"/>
      <c r="WJY161" s="537"/>
      <c r="WJZ161" s="537"/>
      <c r="WKA161" s="537"/>
      <c r="WKB161" s="537"/>
      <c r="WKC161" s="537"/>
      <c r="WKD161" s="537"/>
      <c r="WKE161" s="537"/>
      <c r="WKF161" s="537"/>
      <c r="WKG161" s="537"/>
      <c r="WKH161" s="537"/>
      <c r="WKI161" s="537"/>
      <c r="WKJ161" s="537"/>
      <c r="WKK161" s="537"/>
      <c r="WKL161" s="537"/>
      <c r="WKM161" s="537"/>
      <c r="WKN161" s="537"/>
      <c r="WKO161" s="537"/>
      <c r="WKP161" s="537"/>
      <c r="WKQ161" s="537"/>
      <c r="WKR161" s="537"/>
      <c r="WKS161" s="537"/>
      <c r="WKT161" s="537"/>
      <c r="WKU161" s="537"/>
      <c r="WKV161" s="537"/>
      <c r="WKW161" s="537"/>
      <c r="WKX161" s="537"/>
      <c r="WKY161" s="537"/>
      <c r="WKZ161" s="537"/>
      <c r="WLA161" s="537"/>
      <c r="WLB161" s="537"/>
      <c r="WLC161" s="537"/>
      <c r="WLD161" s="537"/>
      <c r="WLE161" s="537"/>
      <c r="WLF161" s="537"/>
      <c r="WLG161" s="537"/>
      <c r="WLH161" s="537"/>
      <c r="WLI161" s="537"/>
      <c r="WLJ161" s="537"/>
      <c r="WLK161" s="537"/>
      <c r="WLL161" s="537"/>
      <c r="WLM161" s="537"/>
      <c r="WLN161" s="537"/>
      <c r="WLO161" s="537"/>
      <c r="WLP161" s="537"/>
      <c r="WLQ161" s="537"/>
      <c r="WLR161" s="537"/>
      <c r="WLS161" s="537"/>
      <c r="WLT161" s="537"/>
      <c r="WLU161" s="537"/>
      <c r="WLV161" s="537"/>
      <c r="WLW161" s="537"/>
      <c r="WLX161" s="537"/>
      <c r="WLY161" s="537"/>
      <c r="WLZ161" s="537"/>
      <c r="WMA161" s="537"/>
      <c r="WMB161" s="537"/>
      <c r="WMC161" s="537"/>
      <c r="WMD161" s="537"/>
      <c r="WME161" s="537"/>
      <c r="WMF161" s="537"/>
      <c r="WMG161" s="537"/>
      <c r="WMH161" s="537"/>
      <c r="WMI161" s="537"/>
      <c r="WMJ161" s="537"/>
      <c r="WMK161" s="537"/>
      <c r="WML161" s="537"/>
      <c r="WMM161" s="537"/>
      <c r="WMN161" s="537"/>
      <c r="WMO161" s="537"/>
      <c r="WMP161" s="537"/>
      <c r="WMQ161" s="537"/>
      <c r="WMR161" s="537"/>
      <c r="WMS161" s="537"/>
      <c r="WMT161" s="537"/>
      <c r="WMU161" s="537"/>
      <c r="WMV161" s="537"/>
      <c r="WMW161" s="537"/>
      <c r="WMX161" s="537"/>
      <c r="WMY161" s="537"/>
      <c r="WMZ161" s="537"/>
      <c r="WNA161" s="537"/>
      <c r="WNB161" s="537"/>
      <c r="WNC161" s="537"/>
      <c r="WND161" s="537"/>
      <c r="WNE161" s="537"/>
      <c r="WNF161" s="537"/>
      <c r="WNG161" s="537"/>
      <c r="WNH161" s="537"/>
      <c r="WNI161" s="537"/>
      <c r="WNJ161" s="537"/>
      <c r="WNK161" s="537"/>
      <c r="WNL161" s="537"/>
      <c r="WNM161" s="537"/>
      <c r="WNN161" s="537"/>
      <c r="WNO161" s="537"/>
      <c r="WNP161" s="537"/>
      <c r="WNQ161" s="537"/>
      <c r="WNR161" s="537"/>
      <c r="WNS161" s="537"/>
      <c r="WNT161" s="537"/>
      <c r="WNU161" s="537"/>
      <c r="WNV161" s="537"/>
      <c r="WNW161" s="537"/>
      <c r="WNX161" s="537"/>
      <c r="WNY161" s="537"/>
      <c r="WNZ161" s="537"/>
      <c r="WOA161" s="537"/>
      <c r="WOB161" s="537"/>
      <c r="WOC161" s="537"/>
      <c r="WOD161" s="537"/>
      <c r="WOE161" s="537"/>
      <c r="WOF161" s="537"/>
      <c r="WOG161" s="537"/>
      <c r="WOH161" s="537"/>
      <c r="WOI161" s="537"/>
      <c r="WOJ161" s="537"/>
      <c r="WOK161" s="537"/>
      <c r="WOL161" s="537"/>
      <c r="WOM161" s="537"/>
      <c r="WON161" s="537"/>
      <c r="WOO161" s="537"/>
      <c r="WOP161" s="537"/>
      <c r="WOQ161" s="537"/>
      <c r="WOR161" s="537"/>
      <c r="WOS161" s="537"/>
      <c r="WOT161" s="537"/>
      <c r="WOU161" s="537"/>
      <c r="WOV161" s="537"/>
      <c r="WOW161" s="537"/>
      <c r="WOX161" s="537"/>
      <c r="WOY161" s="537"/>
      <c r="WOZ161" s="537"/>
      <c r="WPA161" s="537"/>
      <c r="WPB161" s="537"/>
      <c r="WPC161" s="537"/>
      <c r="WPD161" s="537"/>
      <c r="WPE161" s="537"/>
      <c r="WPF161" s="537"/>
      <c r="WPG161" s="537"/>
      <c r="WPH161" s="537"/>
      <c r="WPI161" s="537"/>
      <c r="WPJ161" s="537"/>
      <c r="WPK161" s="537"/>
      <c r="WPL161" s="537"/>
      <c r="WPM161" s="537"/>
      <c r="WPN161" s="537"/>
      <c r="WPO161" s="537"/>
      <c r="WPP161" s="537"/>
      <c r="WPQ161" s="537"/>
      <c r="WPR161" s="537"/>
      <c r="WPS161" s="537"/>
      <c r="WPT161" s="537"/>
      <c r="WPU161" s="537"/>
      <c r="WPV161" s="537"/>
      <c r="WPW161" s="537"/>
      <c r="WPX161" s="537"/>
      <c r="WPY161" s="537"/>
      <c r="WPZ161" s="537"/>
      <c r="WQA161" s="537"/>
      <c r="WQB161" s="537"/>
      <c r="WQC161" s="537"/>
      <c r="WQD161" s="537"/>
      <c r="WQE161" s="537"/>
      <c r="WQF161" s="537"/>
      <c r="WQG161" s="537"/>
      <c r="WQH161" s="537"/>
      <c r="WQI161" s="537"/>
      <c r="WQJ161" s="537"/>
      <c r="WQK161" s="537"/>
      <c r="WQL161" s="537"/>
      <c r="WQM161" s="537"/>
      <c r="WQN161" s="537"/>
      <c r="WQO161" s="537"/>
      <c r="WQP161" s="537"/>
      <c r="WQQ161" s="537"/>
      <c r="WQR161" s="537"/>
      <c r="WQS161" s="537"/>
      <c r="WQT161" s="537"/>
      <c r="WQU161" s="537"/>
      <c r="WQV161" s="537"/>
      <c r="WQW161" s="537"/>
      <c r="WQX161" s="537"/>
      <c r="WQY161" s="537"/>
      <c r="WQZ161" s="537"/>
      <c r="WRA161" s="537"/>
      <c r="WRB161" s="537"/>
      <c r="WRC161" s="537"/>
      <c r="WRD161" s="537"/>
      <c r="WRE161" s="537"/>
      <c r="WRF161" s="537"/>
      <c r="WRG161" s="537"/>
      <c r="WRH161" s="537"/>
      <c r="WRI161" s="537"/>
      <c r="WRJ161" s="537"/>
      <c r="WRK161" s="537"/>
      <c r="WRL161" s="537"/>
      <c r="WRM161" s="537"/>
      <c r="WRN161" s="537"/>
      <c r="WRO161" s="537"/>
      <c r="WRP161" s="537"/>
      <c r="WRQ161" s="537"/>
      <c r="WRR161" s="537"/>
      <c r="WRS161" s="537"/>
      <c r="WRT161" s="537"/>
      <c r="WRU161" s="537"/>
      <c r="WRV161" s="537"/>
      <c r="WRW161" s="537"/>
      <c r="WRX161" s="537"/>
      <c r="WRY161" s="537"/>
      <c r="WRZ161" s="537"/>
      <c r="WSA161" s="537"/>
      <c r="WSB161" s="537"/>
      <c r="WSC161" s="537"/>
      <c r="WSD161" s="537"/>
      <c r="WSE161" s="537"/>
      <c r="WSF161" s="537"/>
      <c r="WSG161" s="537"/>
      <c r="WSH161" s="537"/>
      <c r="WSI161" s="537"/>
      <c r="WSJ161" s="537"/>
      <c r="WSK161" s="537"/>
      <c r="WSL161" s="537"/>
      <c r="WSM161" s="537"/>
      <c r="WSN161" s="537"/>
      <c r="WSO161" s="537"/>
      <c r="WSP161" s="537"/>
      <c r="WSQ161" s="537"/>
      <c r="WSR161" s="537"/>
      <c r="WSS161" s="537"/>
      <c r="WST161" s="537"/>
      <c r="WSU161" s="537"/>
      <c r="WSV161" s="537"/>
      <c r="WSW161" s="537"/>
      <c r="WSX161" s="537"/>
      <c r="WSY161" s="537"/>
      <c r="WSZ161" s="537"/>
      <c r="WTA161" s="537"/>
      <c r="WTB161" s="537"/>
      <c r="WTC161" s="537"/>
      <c r="WTD161" s="537"/>
      <c r="WTE161" s="537"/>
      <c r="WTF161" s="537"/>
      <c r="WTG161" s="537"/>
      <c r="WTH161" s="537"/>
      <c r="WTI161" s="537"/>
      <c r="WTJ161" s="537"/>
      <c r="WTK161" s="537"/>
      <c r="WTL161" s="537"/>
      <c r="WTM161" s="537"/>
      <c r="WTN161" s="537"/>
      <c r="WTO161" s="537"/>
      <c r="WTP161" s="537"/>
      <c r="WTQ161" s="537"/>
      <c r="WTR161" s="537"/>
      <c r="WTS161" s="537"/>
      <c r="WTT161" s="537"/>
      <c r="WTU161" s="537"/>
      <c r="WTV161" s="537"/>
      <c r="WTW161" s="537"/>
      <c r="WTX161" s="537"/>
      <c r="WTY161" s="537"/>
      <c r="WTZ161" s="537"/>
      <c r="WUA161" s="537"/>
      <c r="WUB161" s="537"/>
      <c r="WUC161" s="537"/>
      <c r="WUD161" s="537"/>
      <c r="WUE161" s="537"/>
      <c r="WUF161" s="537"/>
      <c r="WUG161" s="537"/>
      <c r="WUH161" s="537"/>
      <c r="WUI161" s="537"/>
      <c r="WUJ161" s="537"/>
      <c r="WUK161" s="537"/>
      <c r="WUL161" s="537"/>
      <c r="WUM161" s="537"/>
      <c r="WUN161" s="537"/>
      <c r="WUO161" s="537"/>
      <c r="WUP161" s="537"/>
      <c r="WUQ161" s="537"/>
      <c r="WUR161" s="537"/>
      <c r="WUS161" s="537"/>
      <c r="WUT161" s="537"/>
      <c r="WUU161" s="537"/>
      <c r="WUV161" s="537"/>
      <c r="WUW161" s="537"/>
      <c r="WUX161" s="537"/>
      <c r="WUY161" s="537"/>
      <c r="WUZ161" s="537"/>
      <c r="WVA161" s="537"/>
      <c r="WVB161" s="537"/>
      <c r="WVC161" s="537"/>
      <c r="WVD161" s="537"/>
      <c r="WVE161" s="537"/>
      <c r="WVF161" s="537"/>
      <c r="WVG161" s="537"/>
      <c r="WVH161" s="537"/>
      <c r="WVI161" s="537"/>
      <c r="WVJ161" s="537"/>
      <c r="WVK161" s="537"/>
      <c r="WVL161" s="537"/>
      <c r="WVM161" s="537"/>
      <c r="WVN161" s="537"/>
      <c r="WVO161" s="537"/>
      <c r="WVP161" s="537"/>
      <c r="WVQ161" s="537"/>
      <c r="WVR161" s="537"/>
      <c r="WVS161" s="537"/>
      <c r="WVT161" s="537"/>
      <c r="WVU161" s="537"/>
      <c r="WVV161" s="537"/>
      <c r="WVW161" s="537"/>
      <c r="WVX161" s="537"/>
      <c r="WVY161" s="537"/>
      <c r="WVZ161" s="537"/>
      <c r="WWA161" s="537"/>
      <c r="WWB161" s="537"/>
      <c r="WWC161" s="537"/>
      <c r="WWD161" s="537"/>
      <c r="WWE161" s="537"/>
      <c r="WWF161" s="537"/>
      <c r="WWG161" s="537"/>
      <c r="WWH161" s="537"/>
      <c r="WWI161" s="537"/>
      <c r="WWJ161" s="537"/>
      <c r="WWK161" s="537"/>
      <c r="WWL161" s="537"/>
      <c r="WWM161" s="537"/>
      <c r="WWN161" s="537"/>
      <c r="WWO161" s="537"/>
      <c r="WWP161" s="537"/>
      <c r="WWQ161" s="537"/>
      <c r="WWR161" s="537"/>
      <c r="WWS161" s="537"/>
      <c r="WWT161" s="537"/>
      <c r="WWU161" s="537"/>
      <c r="WWV161" s="537"/>
      <c r="WWW161" s="537"/>
      <c r="WWX161" s="537"/>
      <c r="WWY161" s="537"/>
      <c r="WWZ161" s="537"/>
      <c r="WXA161" s="537"/>
      <c r="WXB161" s="537"/>
      <c r="WXC161" s="537"/>
      <c r="WXD161" s="537"/>
      <c r="WXE161" s="537"/>
      <c r="WXF161" s="537"/>
      <c r="WXG161" s="537"/>
      <c r="WXH161" s="537"/>
      <c r="WXI161" s="537"/>
      <c r="WXJ161" s="537"/>
      <c r="WXK161" s="537"/>
      <c r="WXL161" s="537"/>
      <c r="WXM161" s="537"/>
      <c r="WXN161" s="537"/>
      <c r="WXO161" s="537"/>
      <c r="WXP161" s="537"/>
      <c r="WXQ161" s="537"/>
      <c r="WXR161" s="537"/>
      <c r="WXS161" s="537"/>
      <c r="WXT161" s="537"/>
      <c r="WXU161" s="537"/>
      <c r="WXV161" s="537"/>
      <c r="WXW161" s="537"/>
      <c r="WXX161" s="537"/>
      <c r="WXY161" s="537"/>
      <c r="WXZ161" s="537"/>
      <c r="WYA161" s="537"/>
      <c r="WYB161" s="537"/>
      <c r="WYC161" s="537"/>
      <c r="WYD161" s="537"/>
      <c r="WYE161" s="537"/>
      <c r="WYF161" s="537"/>
      <c r="WYG161" s="537"/>
      <c r="WYH161" s="537"/>
      <c r="WYI161" s="537"/>
      <c r="WYJ161" s="537"/>
      <c r="WYK161" s="537"/>
      <c r="WYL161" s="537"/>
      <c r="WYM161" s="537"/>
      <c r="WYN161" s="537"/>
      <c r="WYO161" s="537"/>
      <c r="WYP161" s="537"/>
      <c r="WYQ161" s="537"/>
      <c r="WYR161" s="537"/>
      <c r="WYS161" s="537"/>
      <c r="WYT161" s="537"/>
      <c r="WYU161" s="537"/>
      <c r="WYV161" s="537"/>
      <c r="WYW161" s="537"/>
      <c r="WYX161" s="537"/>
      <c r="WYY161" s="537"/>
      <c r="WYZ161" s="537"/>
      <c r="WZA161" s="537"/>
      <c r="WZB161" s="537"/>
      <c r="WZC161" s="537"/>
      <c r="WZD161" s="537"/>
      <c r="WZE161" s="537"/>
      <c r="WZF161" s="537"/>
      <c r="WZG161" s="537"/>
      <c r="WZH161" s="537"/>
      <c r="WZI161" s="537"/>
      <c r="WZJ161" s="537"/>
      <c r="WZK161" s="537"/>
      <c r="WZL161" s="537"/>
      <c r="WZM161" s="537"/>
      <c r="WZN161" s="537"/>
      <c r="WZO161" s="537"/>
      <c r="WZP161" s="537"/>
      <c r="WZQ161" s="537"/>
      <c r="WZR161" s="537"/>
      <c r="WZS161" s="537"/>
      <c r="WZT161" s="537"/>
      <c r="WZU161" s="537"/>
      <c r="WZV161" s="537"/>
      <c r="WZW161" s="537"/>
      <c r="WZX161" s="537"/>
      <c r="WZY161" s="537"/>
      <c r="WZZ161" s="537"/>
      <c r="XAA161" s="537"/>
      <c r="XAB161" s="537"/>
      <c r="XAC161" s="537"/>
      <c r="XAD161" s="537"/>
      <c r="XAE161" s="537"/>
      <c r="XAF161" s="537"/>
      <c r="XAG161" s="537"/>
      <c r="XAH161" s="537"/>
      <c r="XAI161" s="537"/>
      <c r="XAJ161" s="537"/>
      <c r="XAK161" s="537"/>
      <c r="XAL161" s="537"/>
      <c r="XAM161" s="537"/>
      <c r="XAN161" s="537"/>
      <c r="XAO161" s="537"/>
      <c r="XAP161" s="537"/>
      <c r="XAQ161" s="537"/>
      <c r="XAR161" s="537"/>
      <c r="XAS161" s="537"/>
      <c r="XAT161" s="537"/>
      <c r="XAU161" s="537"/>
      <c r="XAV161" s="537"/>
      <c r="XAW161" s="537"/>
      <c r="XAX161" s="537"/>
      <c r="XAY161" s="537"/>
      <c r="XAZ161" s="537"/>
      <c r="XBA161" s="537"/>
      <c r="XBB161" s="537"/>
      <c r="XBC161" s="537"/>
      <c r="XBD161" s="537"/>
      <c r="XBE161" s="537"/>
      <c r="XBF161" s="537"/>
      <c r="XBG161" s="537"/>
      <c r="XBH161" s="537"/>
      <c r="XBI161" s="537"/>
      <c r="XBJ161" s="537"/>
      <c r="XBK161" s="537"/>
      <c r="XBL161" s="537"/>
      <c r="XBM161" s="537"/>
      <c r="XBN161" s="537"/>
      <c r="XBO161" s="537"/>
      <c r="XBP161" s="537"/>
      <c r="XBQ161" s="537"/>
      <c r="XBR161" s="537"/>
      <c r="XBS161" s="537"/>
      <c r="XBT161" s="537"/>
      <c r="XBU161" s="537"/>
      <c r="XBV161" s="537"/>
      <c r="XBW161" s="537"/>
      <c r="XBX161" s="537"/>
      <c r="XBY161" s="537"/>
      <c r="XBZ161" s="537"/>
      <c r="XCA161" s="537"/>
      <c r="XCB161" s="537"/>
      <c r="XCC161" s="537"/>
      <c r="XCD161" s="537"/>
      <c r="XCE161" s="537"/>
      <c r="XCF161" s="537"/>
      <c r="XCG161" s="537"/>
      <c r="XCH161" s="537"/>
      <c r="XCI161" s="537"/>
      <c r="XCJ161" s="537"/>
      <c r="XCK161" s="537"/>
      <c r="XCL161" s="537"/>
      <c r="XCM161" s="537"/>
      <c r="XCN161" s="537"/>
      <c r="XCO161" s="537"/>
      <c r="XCP161" s="537"/>
      <c r="XCQ161" s="537"/>
      <c r="XCR161" s="537"/>
      <c r="XCS161" s="537"/>
      <c r="XCT161" s="537"/>
      <c r="XCU161" s="537"/>
      <c r="XCV161" s="537"/>
      <c r="XCW161" s="537"/>
      <c r="XCX161" s="537"/>
      <c r="XCY161" s="537"/>
      <c r="XCZ161" s="537"/>
      <c r="XDA161" s="537"/>
      <c r="XDB161" s="537"/>
      <c r="XDC161" s="537"/>
      <c r="XDD161" s="537"/>
      <c r="XDE161" s="537"/>
      <c r="XDF161" s="537"/>
      <c r="XDG161" s="537"/>
      <c r="XDH161" s="537"/>
      <c r="XDI161" s="537"/>
      <c r="XDJ161" s="537"/>
      <c r="XDK161" s="537"/>
      <c r="XDL161" s="537"/>
      <c r="XDM161" s="537"/>
      <c r="XDN161" s="537"/>
      <c r="XDO161" s="537"/>
      <c r="XDP161" s="537"/>
      <c r="XDQ161" s="537"/>
      <c r="XDR161" s="537"/>
      <c r="XDS161" s="537"/>
      <c r="XDT161" s="537"/>
      <c r="XDU161" s="537"/>
      <c r="XDV161" s="537"/>
      <c r="XDW161" s="537"/>
      <c r="XDX161" s="537"/>
      <c r="XDY161" s="537"/>
      <c r="XDZ161" s="537"/>
      <c r="XEA161" s="537"/>
      <c r="XEB161" s="537"/>
      <c r="XEC161" s="537"/>
      <c r="XED161" s="537"/>
      <c r="XEE161" s="537"/>
      <c r="XEF161" s="537"/>
      <c r="XEG161" s="537"/>
      <c r="XEH161" s="537"/>
      <c r="XEI161" s="537"/>
      <c r="XEJ161" s="537"/>
      <c r="XEK161" s="537"/>
      <c r="XEL161" s="537"/>
      <c r="XEM161" s="537"/>
      <c r="XEN161" s="537"/>
      <c r="XEO161" s="537"/>
      <c r="XEP161" s="537"/>
      <c r="XEQ161" s="537"/>
      <c r="XER161" s="537"/>
      <c r="XES161" s="537"/>
      <c r="XET161" s="537"/>
      <c r="XEU161" s="537"/>
      <c r="XEV161" s="537"/>
      <c r="XEW161" s="537"/>
      <c r="XEX161" s="537"/>
      <c r="XEY161" s="537"/>
      <c r="XEZ161" s="537"/>
      <c r="XFA161" s="537"/>
      <c r="XFB161" s="537"/>
      <c r="XFC161" s="537"/>
      <c r="XFD161" s="537"/>
    </row>
    <row r="162" spans="1:16384">
      <c r="A162" s="279">
        <v>42736</v>
      </c>
      <c r="B162" s="26">
        <v>54.506</v>
      </c>
      <c r="C162" s="26">
        <v>35.97</v>
      </c>
      <c r="D162" s="26">
        <v>137.76</v>
      </c>
      <c r="E162" s="26">
        <v>31.535</v>
      </c>
      <c r="F162" s="26">
        <v>54.841000000000001</v>
      </c>
      <c r="G162" s="26">
        <v>42.148000000000003</v>
      </c>
      <c r="H162" s="26">
        <v>54.951999999999998</v>
      </c>
      <c r="I162" s="26">
        <v>37.67</v>
      </c>
      <c r="J162" s="26">
        <v>42.249000000000002</v>
      </c>
      <c r="K162" s="26">
        <v>43.396000000000001</v>
      </c>
      <c r="L162" s="26">
        <v>64.543000000000006</v>
      </c>
      <c r="M162" s="26">
        <v>52.923000000000002</v>
      </c>
      <c r="N162" s="26">
        <v>54.7</v>
      </c>
      <c r="O162" s="26">
        <v>38.380000000000003</v>
      </c>
      <c r="P162" s="26">
        <v>50.03</v>
      </c>
      <c r="Q162" s="26">
        <v>20.882000000000001</v>
      </c>
      <c r="R162" s="26">
        <v>55.402999999999999</v>
      </c>
      <c r="S162" s="26">
        <v>10.215999999999999</v>
      </c>
      <c r="T162" s="26">
        <v>10.215999999999999</v>
      </c>
      <c r="U162" s="26">
        <v>51.307000000000002</v>
      </c>
      <c r="V162" s="26">
        <v>58.792999999999999</v>
      </c>
      <c r="W162" s="26">
        <v>33.524999999999999</v>
      </c>
      <c r="X162" s="26">
        <v>56.393999999999998</v>
      </c>
      <c r="Y162" s="26">
        <v>45.243000000000002</v>
      </c>
      <c r="Z162" s="26">
        <v>51.517000000000003</v>
      </c>
      <c r="AA162" s="26">
        <v>27.414000000000001</v>
      </c>
      <c r="AB162" s="26">
        <v>49.973999999999997</v>
      </c>
      <c r="AC162" s="26">
        <v>31.286999999999999</v>
      </c>
      <c r="AD162" s="26">
        <v>31.876999999999999</v>
      </c>
      <c r="AE162" s="26">
        <v>66.706000000000003</v>
      </c>
      <c r="AF162" s="26">
        <v>49.606000000000002</v>
      </c>
      <c r="AG162" s="26">
        <v>55.633000000000003</v>
      </c>
      <c r="AH162" s="26">
        <v>49.963000000000001</v>
      </c>
      <c r="AI162" s="26">
        <v>42.831000000000003</v>
      </c>
      <c r="AJ162" s="26">
        <v>49.951000000000001</v>
      </c>
      <c r="AK162" s="26">
        <v>42.097000000000001</v>
      </c>
      <c r="AL162" s="26">
        <v>34.564999999999998</v>
      </c>
      <c r="AM162" s="26">
        <v>55.186</v>
      </c>
      <c r="AN162" s="26">
        <v>67.23</v>
      </c>
      <c r="AO162" s="26">
        <v>21.873999999999999</v>
      </c>
      <c r="AP162" s="26">
        <v>33.4</v>
      </c>
      <c r="AQ162" s="26">
        <v>54.731000000000002</v>
      </c>
      <c r="AR162" s="26">
        <v>55.999000000000002</v>
      </c>
      <c r="AS162" s="26">
        <v>43.418999999999997</v>
      </c>
      <c r="AT162" s="26">
        <v>13.898999999999999</v>
      </c>
      <c r="AU162" s="26">
        <v>41.332999999999998</v>
      </c>
      <c r="AV162" s="26">
        <v>20.568000000000001</v>
      </c>
      <c r="AW162" s="26">
        <v>42.134999999999998</v>
      </c>
      <c r="AX162" s="26">
        <v>28.402000000000001</v>
      </c>
      <c r="AY162" s="26">
        <v>40.591000000000001</v>
      </c>
      <c r="AZ162" s="26">
        <v>41.731999999999999</v>
      </c>
      <c r="BA162" s="26">
        <v>41.344000000000001</v>
      </c>
      <c r="BB162" s="26">
        <v>54.768000000000001</v>
      </c>
      <c r="BC162" s="26">
        <v>41.037999999999997</v>
      </c>
      <c r="BD162" s="26">
        <v>54.96</v>
      </c>
      <c r="BE162" s="26">
        <v>26.571999999999999</v>
      </c>
      <c r="BF162" s="26">
        <v>31.707999999999998</v>
      </c>
      <c r="BG162" s="26">
        <v>43.396000000000001</v>
      </c>
      <c r="BH162" s="26">
        <v>43.436999999999998</v>
      </c>
      <c r="BI162" s="26">
        <v>54.81</v>
      </c>
      <c r="BJ162" s="26">
        <v>42.231999999999999</v>
      </c>
      <c r="BK162" s="26">
        <v>55.582000000000001</v>
      </c>
      <c r="BL162" s="26">
        <v>20.521999999999998</v>
      </c>
      <c r="BM162" s="26">
        <v>52.966000000000001</v>
      </c>
      <c r="BN162" s="26">
        <v>67.682000000000002</v>
      </c>
      <c r="BO162" s="26">
        <v>55.290999999999997</v>
      </c>
      <c r="BP162" s="26">
        <v>34.094000000000001</v>
      </c>
      <c r="BQ162" s="26">
        <v>54.84</v>
      </c>
      <c r="BR162" s="26">
        <v>42.148000000000003</v>
      </c>
      <c r="BS162" s="26">
        <v>57.264000000000003</v>
      </c>
      <c r="BT162" s="26">
        <v>54.765999999999998</v>
      </c>
      <c r="BU162" s="26">
        <v>33.957999999999998</v>
      </c>
      <c r="BV162" s="26">
        <v>55.622</v>
      </c>
      <c r="BW162" s="26">
        <v>55.893999999999998</v>
      </c>
      <c r="BX162" s="26">
        <v>31.707999999999998</v>
      </c>
      <c r="BY162" s="26">
        <v>54.7</v>
      </c>
      <c r="BZ162" s="26">
        <v>51.344000000000001</v>
      </c>
      <c r="CA162" s="26">
        <v>41.49</v>
      </c>
      <c r="CB162" s="26">
        <v>20.882000000000001</v>
      </c>
      <c r="CC162" s="26">
        <v>45.915999999999997</v>
      </c>
      <c r="CD162" s="26">
        <v>41.222999999999999</v>
      </c>
      <c r="CE162" s="26">
        <v>27.414000000000001</v>
      </c>
      <c r="CF162" s="26">
        <v>67.218999999999994</v>
      </c>
      <c r="CG162" s="26">
        <v>55.148000000000003</v>
      </c>
      <c r="CH162" s="26">
        <v>43.688000000000002</v>
      </c>
      <c r="CI162" s="26">
        <v>54.954000000000001</v>
      </c>
      <c r="CJ162" s="26">
        <v>31.710999999999999</v>
      </c>
      <c r="CK162" s="26">
        <v>54.968000000000004</v>
      </c>
      <c r="CL162" s="26">
        <v>49.954000000000001</v>
      </c>
      <c r="CM162" s="26">
        <v>10.326000000000001</v>
      </c>
      <c r="CN162" s="26">
        <v>52.966000000000001</v>
      </c>
      <c r="CO162" s="26">
        <v>55.256999999999998</v>
      </c>
      <c r="CP162" s="26">
        <v>31.707999999999998</v>
      </c>
      <c r="CQ162" s="26">
        <v>50.018000000000001</v>
      </c>
      <c r="CR162" s="26">
        <v>10.192</v>
      </c>
      <c r="CS162" s="26">
        <v>31.706</v>
      </c>
      <c r="CT162" s="26">
        <v>42.765000000000001</v>
      </c>
      <c r="CU162" s="26">
        <v>31.707999999999998</v>
      </c>
      <c r="CV162" s="26">
        <v>41.652000000000001</v>
      </c>
      <c r="CW162" s="26">
        <v>32.259</v>
      </c>
      <c r="CX162" s="26">
        <v>46.521999999999998</v>
      </c>
      <c r="CY162" s="61"/>
      <c r="CZ162" s="537"/>
      <c r="DA162" s="61"/>
    </row>
    <row r="163" spans="1:16384">
      <c r="A163" s="279">
        <v>42767</v>
      </c>
      <c r="B163" s="26">
        <v>55.6</v>
      </c>
      <c r="C163" s="26">
        <v>41.311</v>
      </c>
      <c r="D163" s="26">
        <v>124.57</v>
      </c>
      <c r="E163" s="26">
        <v>32.033000000000001</v>
      </c>
      <c r="F163" s="26">
        <v>55.48</v>
      </c>
      <c r="G163" s="26">
        <v>54.401000000000003</v>
      </c>
      <c r="H163" s="26">
        <v>59.601999999999997</v>
      </c>
      <c r="I163" s="26">
        <v>32.917000000000002</v>
      </c>
      <c r="J163" s="26">
        <v>31.963999999999999</v>
      </c>
      <c r="K163" s="26">
        <v>55.6</v>
      </c>
      <c r="L163" s="26">
        <v>68.144000000000005</v>
      </c>
      <c r="M163" s="26">
        <v>57.915999999999997</v>
      </c>
      <c r="N163" s="26">
        <v>61.353999999999999</v>
      </c>
      <c r="O163" s="26">
        <v>27.992000000000001</v>
      </c>
      <c r="P163" s="26">
        <v>57.633000000000003</v>
      </c>
      <c r="Q163" s="26">
        <v>3.3904999999999998</v>
      </c>
      <c r="R163" s="26">
        <v>64.307000000000002</v>
      </c>
      <c r="S163" s="26">
        <v>16.966999999999999</v>
      </c>
      <c r="T163" s="26">
        <v>17.106000000000002</v>
      </c>
      <c r="U163" s="26">
        <v>55.478000000000002</v>
      </c>
      <c r="V163" s="26">
        <v>59.798999999999999</v>
      </c>
      <c r="W163" s="26">
        <v>40.969000000000001</v>
      </c>
      <c r="X163" s="26">
        <v>61.353999999999999</v>
      </c>
      <c r="Y163" s="26">
        <v>48.317</v>
      </c>
      <c r="Z163" s="26">
        <v>63.283999999999999</v>
      </c>
      <c r="AA163" s="26">
        <v>31.344000000000001</v>
      </c>
      <c r="AB163" s="26">
        <v>57.655999999999999</v>
      </c>
      <c r="AC163" s="26">
        <v>30.33</v>
      </c>
      <c r="AD163" s="26">
        <v>31.146999999999998</v>
      </c>
      <c r="AE163" s="26">
        <v>64.432000000000002</v>
      </c>
      <c r="AF163" s="26">
        <v>57.326999999999998</v>
      </c>
      <c r="AG163" s="26">
        <v>49.265000000000001</v>
      </c>
      <c r="AH163" s="26">
        <v>48.548000000000002</v>
      </c>
      <c r="AI163" s="26">
        <v>44.563000000000002</v>
      </c>
      <c r="AJ163" s="26">
        <v>57.658999999999999</v>
      </c>
      <c r="AK163" s="26">
        <v>40.969000000000001</v>
      </c>
      <c r="AL163" s="26">
        <v>42.668999999999997</v>
      </c>
      <c r="AM163" s="26">
        <v>64.41</v>
      </c>
      <c r="AN163" s="26">
        <v>98.097999999999999</v>
      </c>
      <c r="AO163" s="26">
        <v>31.163</v>
      </c>
      <c r="AP163" s="26">
        <v>42.707000000000001</v>
      </c>
      <c r="AQ163" s="26">
        <v>56.616</v>
      </c>
      <c r="AR163" s="26">
        <v>64.325000000000003</v>
      </c>
      <c r="AS163" s="26">
        <v>42.765000000000001</v>
      </c>
      <c r="AT163" s="26">
        <v>26.652999999999999</v>
      </c>
      <c r="AU163" s="26">
        <v>42.765000000000001</v>
      </c>
      <c r="AV163" s="26">
        <v>25.69</v>
      </c>
      <c r="AW163" s="26">
        <v>44.295999999999999</v>
      </c>
      <c r="AX163" s="26">
        <v>26.978999999999999</v>
      </c>
      <c r="AY163" s="26">
        <v>35.97</v>
      </c>
      <c r="AZ163" s="26">
        <v>43.320999999999998</v>
      </c>
      <c r="BA163" s="26">
        <v>52.923000000000002</v>
      </c>
      <c r="BB163" s="26">
        <v>59.798999999999999</v>
      </c>
      <c r="BC163" s="26">
        <v>42.048999999999999</v>
      </c>
      <c r="BD163" s="26">
        <v>55.6</v>
      </c>
      <c r="BE163" s="26">
        <v>26.021999999999998</v>
      </c>
      <c r="BF163" s="26">
        <v>40.686</v>
      </c>
      <c r="BG163" s="26">
        <v>45.393999999999998</v>
      </c>
      <c r="BH163" s="26">
        <v>55.478000000000002</v>
      </c>
      <c r="BI163" s="26">
        <v>64.498000000000005</v>
      </c>
      <c r="BJ163" s="26">
        <v>42.887999999999998</v>
      </c>
      <c r="BK163" s="26">
        <v>59.350999999999999</v>
      </c>
      <c r="BL163" s="26">
        <v>27.026</v>
      </c>
      <c r="BM163" s="26">
        <v>59.798999999999999</v>
      </c>
      <c r="BN163" s="26">
        <v>101.97</v>
      </c>
      <c r="BO163" s="26">
        <v>89.055999999999997</v>
      </c>
      <c r="BP163" s="26">
        <v>45.704000000000001</v>
      </c>
      <c r="BQ163" s="26">
        <v>60.177</v>
      </c>
      <c r="BR163" s="26">
        <v>45.488999999999997</v>
      </c>
      <c r="BS163" s="26">
        <v>59.798999999999999</v>
      </c>
      <c r="BT163" s="26">
        <v>59.805999999999997</v>
      </c>
      <c r="BU163" s="26">
        <v>40.671999999999997</v>
      </c>
      <c r="BV163" s="26">
        <v>61.353999999999999</v>
      </c>
      <c r="BW163" s="26">
        <v>58.393999999999998</v>
      </c>
      <c r="BX163" s="26">
        <v>31.36</v>
      </c>
      <c r="BY163" s="26">
        <v>58.256999999999998</v>
      </c>
      <c r="BZ163" s="26">
        <v>60.445</v>
      </c>
      <c r="CA163" s="26">
        <v>43.402000000000001</v>
      </c>
      <c r="CB163" s="26">
        <v>17.132000000000001</v>
      </c>
      <c r="CC163" s="26">
        <v>32.698</v>
      </c>
      <c r="CD163" s="26">
        <v>49.030999999999999</v>
      </c>
      <c r="CE163" s="26">
        <v>31.085999999999999</v>
      </c>
      <c r="CF163" s="26">
        <v>68.263000000000005</v>
      </c>
      <c r="CG163" s="26">
        <v>64.346999999999994</v>
      </c>
      <c r="CH163" s="26">
        <v>55.6</v>
      </c>
      <c r="CI163" s="26">
        <v>64.926000000000002</v>
      </c>
      <c r="CJ163" s="26">
        <v>30.706</v>
      </c>
      <c r="CK163" s="26">
        <v>59.798999999999999</v>
      </c>
      <c r="CL163" s="26">
        <v>59.798999999999999</v>
      </c>
      <c r="CM163" s="26">
        <v>16.36</v>
      </c>
      <c r="CN163" s="26">
        <v>47.558</v>
      </c>
      <c r="CO163" s="26">
        <v>64.325000000000003</v>
      </c>
      <c r="CP163" s="26">
        <v>46.613999999999997</v>
      </c>
      <c r="CQ163" s="26">
        <v>58.15</v>
      </c>
      <c r="CR163" s="26">
        <v>3.64</v>
      </c>
      <c r="CS163" s="26">
        <v>43.134999999999998</v>
      </c>
      <c r="CT163" s="26">
        <v>44.414999999999999</v>
      </c>
      <c r="CU163" s="26">
        <v>40.569000000000003</v>
      </c>
      <c r="CV163" s="26">
        <v>43.494999999999997</v>
      </c>
      <c r="CW163" s="26">
        <v>43.320999999999998</v>
      </c>
      <c r="CX163" s="26">
        <v>50.947000000000003</v>
      </c>
      <c r="CY163" s="61"/>
      <c r="CZ163" s="537"/>
      <c r="DA163" s="61"/>
    </row>
    <row r="164" spans="1:16384">
      <c r="A164" s="279">
        <v>42795</v>
      </c>
      <c r="B164" s="26">
        <v>61.353999999999999</v>
      </c>
      <c r="C164" s="26">
        <v>44.625</v>
      </c>
      <c r="D164" s="26">
        <v>54.436</v>
      </c>
      <c r="E164" s="26">
        <v>40.875999999999998</v>
      </c>
      <c r="F164" s="26">
        <v>59.579000000000001</v>
      </c>
      <c r="G164" s="26">
        <v>56.125</v>
      </c>
      <c r="H164" s="26">
        <v>64.789000000000001</v>
      </c>
      <c r="I164" s="26">
        <v>48.423000000000002</v>
      </c>
      <c r="J164" s="26">
        <v>39.47</v>
      </c>
      <c r="K164" s="26">
        <v>63.283999999999999</v>
      </c>
      <c r="L164" s="26">
        <v>64.144000000000005</v>
      </c>
      <c r="M164" s="26">
        <v>58.692999999999998</v>
      </c>
      <c r="N164" s="26">
        <v>56.125</v>
      </c>
      <c r="O164" s="26">
        <v>27.792000000000002</v>
      </c>
      <c r="P164" s="26">
        <v>55.656999999999996</v>
      </c>
      <c r="Q164" s="26">
        <v>3.677</v>
      </c>
      <c r="R164" s="26">
        <v>64.789000000000001</v>
      </c>
      <c r="S164" s="26">
        <v>15.826000000000001</v>
      </c>
      <c r="T164" s="26">
        <v>24.782</v>
      </c>
      <c r="U164" s="26">
        <v>56.125</v>
      </c>
      <c r="V164" s="26">
        <v>55.478000000000002</v>
      </c>
      <c r="W164" s="26">
        <v>40.959000000000003</v>
      </c>
      <c r="X164" s="26">
        <v>43.701000000000001</v>
      </c>
      <c r="Y164" s="26">
        <v>60.386000000000003</v>
      </c>
      <c r="Z164" s="26">
        <v>56.210999999999999</v>
      </c>
      <c r="AA164" s="26">
        <v>44.45</v>
      </c>
      <c r="AB164" s="26">
        <v>40.834000000000003</v>
      </c>
      <c r="AC164" s="26">
        <v>32.463999999999999</v>
      </c>
      <c r="AD164" s="26">
        <v>43.457000000000001</v>
      </c>
      <c r="AE164" s="26">
        <v>64.173000000000002</v>
      </c>
      <c r="AF164" s="26">
        <v>54.875</v>
      </c>
      <c r="AG164" s="26">
        <v>60.386000000000003</v>
      </c>
      <c r="AH164" s="26">
        <v>37.134</v>
      </c>
      <c r="AI164" s="26">
        <v>52.923000000000002</v>
      </c>
      <c r="AJ164" s="26">
        <v>46.033999999999999</v>
      </c>
      <c r="AK164" s="26">
        <v>40.412999999999997</v>
      </c>
      <c r="AL164" s="26">
        <v>63.283999999999999</v>
      </c>
      <c r="AM164" s="26">
        <v>64.789000000000001</v>
      </c>
      <c r="AN164" s="26">
        <v>64.789000000000001</v>
      </c>
      <c r="AO164" s="26">
        <v>41.72</v>
      </c>
      <c r="AP164" s="26">
        <v>55.478000000000002</v>
      </c>
      <c r="AQ164" s="26">
        <v>56.125</v>
      </c>
      <c r="AR164" s="26">
        <v>64.244</v>
      </c>
      <c r="AS164" s="26">
        <v>46.045999999999999</v>
      </c>
      <c r="AT164" s="26">
        <v>10.837</v>
      </c>
      <c r="AU164" s="26">
        <v>46.113999999999997</v>
      </c>
      <c r="AV164" s="26">
        <v>27.690999999999999</v>
      </c>
      <c r="AW164" s="26">
        <v>39.645000000000003</v>
      </c>
      <c r="AX164" s="26">
        <v>48.423000000000002</v>
      </c>
      <c r="AY164" s="26">
        <v>34.5</v>
      </c>
      <c r="AZ164" s="26">
        <v>44.537999999999997</v>
      </c>
      <c r="BA164" s="26">
        <v>51.307000000000002</v>
      </c>
      <c r="BB164" s="26">
        <v>60.386000000000003</v>
      </c>
      <c r="BC164" s="26">
        <v>42.683</v>
      </c>
      <c r="BD164" s="26">
        <v>56.125</v>
      </c>
      <c r="BE164" s="26">
        <v>19.484000000000002</v>
      </c>
      <c r="BF164" s="26">
        <v>31.879000000000001</v>
      </c>
      <c r="BG164" s="26">
        <v>55.62</v>
      </c>
      <c r="BH164" s="26">
        <v>61.353999999999999</v>
      </c>
      <c r="BI164" s="26">
        <v>61.188000000000002</v>
      </c>
      <c r="BJ164" s="26">
        <v>33.399000000000001</v>
      </c>
      <c r="BK164" s="26">
        <v>60.386000000000003</v>
      </c>
      <c r="BL164" s="26">
        <v>27.690999999999999</v>
      </c>
      <c r="BM164" s="26">
        <v>64.789000000000001</v>
      </c>
      <c r="BN164" s="26">
        <v>63.81</v>
      </c>
      <c r="BO164" s="26">
        <v>64.087999999999994</v>
      </c>
      <c r="BP164" s="26">
        <v>63.283999999999999</v>
      </c>
      <c r="BQ164" s="26">
        <v>58.512999999999998</v>
      </c>
      <c r="BR164" s="26">
        <v>42.808</v>
      </c>
      <c r="BS164" s="26">
        <v>61.774000000000001</v>
      </c>
      <c r="BT164" s="26">
        <v>55.277999999999999</v>
      </c>
      <c r="BU164" s="26">
        <v>47.725999999999999</v>
      </c>
      <c r="BV164" s="26">
        <v>61.353999999999999</v>
      </c>
      <c r="BW164" s="26">
        <v>40.215000000000003</v>
      </c>
      <c r="BX164" s="26">
        <v>37.469000000000001</v>
      </c>
      <c r="BY164" s="26">
        <v>60.386000000000003</v>
      </c>
      <c r="BZ164" s="26">
        <v>67.97</v>
      </c>
      <c r="CA164" s="26">
        <v>43.543999999999997</v>
      </c>
      <c r="CB164" s="26">
        <v>20.524000000000001</v>
      </c>
      <c r="CC164" s="26">
        <v>30.149000000000001</v>
      </c>
      <c r="CD164" s="26">
        <v>52.923000000000002</v>
      </c>
      <c r="CE164" s="26">
        <v>46.246000000000002</v>
      </c>
      <c r="CF164" s="26">
        <v>63.866999999999997</v>
      </c>
      <c r="CG164" s="26">
        <v>64.789000000000001</v>
      </c>
      <c r="CH164" s="26">
        <v>56.125</v>
      </c>
      <c r="CI164" s="26">
        <v>53.878999999999998</v>
      </c>
      <c r="CJ164" s="26">
        <v>27.141999999999999</v>
      </c>
      <c r="CK164" s="26">
        <v>60.048000000000002</v>
      </c>
      <c r="CL164" s="26">
        <v>55.920999999999999</v>
      </c>
      <c r="CM164" s="26">
        <v>17.954999999999998</v>
      </c>
      <c r="CN164" s="26">
        <v>60.152000000000001</v>
      </c>
      <c r="CO164" s="26">
        <v>64.789000000000001</v>
      </c>
      <c r="CP164" s="26">
        <v>49.555</v>
      </c>
      <c r="CQ164" s="26">
        <v>56.125</v>
      </c>
      <c r="CR164" s="26">
        <v>3.0636999999999999</v>
      </c>
      <c r="CS164" s="26">
        <v>36.045999999999999</v>
      </c>
      <c r="CT164" s="26">
        <v>56.125</v>
      </c>
      <c r="CU164" s="26">
        <v>41.003</v>
      </c>
      <c r="CV164" s="26">
        <v>42.786999999999999</v>
      </c>
      <c r="CW164" s="26">
        <v>55.478000000000002</v>
      </c>
      <c r="CX164" s="26">
        <v>48.79</v>
      </c>
      <c r="CY164" s="61"/>
      <c r="CZ164" s="537"/>
      <c r="DA164" s="61"/>
    </row>
    <row r="165" spans="1:16384">
      <c r="A165" s="279">
        <v>42826</v>
      </c>
      <c r="B165" s="26">
        <v>56.616</v>
      </c>
      <c r="C165" s="26">
        <v>55.975000000000001</v>
      </c>
      <c r="D165" s="26">
        <v>43.688000000000002</v>
      </c>
      <c r="E165" s="26">
        <v>43.073</v>
      </c>
      <c r="F165" s="26">
        <v>41.42</v>
      </c>
      <c r="G165" s="26">
        <v>46.566000000000003</v>
      </c>
      <c r="H165" s="26">
        <v>48.320999999999998</v>
      </c>
      <c r="I165" s="26">
        <v>49.593000000000004</v>
      </c>
      <c r="J165" s="26">
        <v>49.665999999999997</v>
      </c>
      <c r="K165" s="26">
        <v>55.628999999999998</v>
      </c>
      <c r="L165" s="26">
        <v>57.024000000000001</v>
      </c>
      <c r="M165" s="26">
        <v>55.642000000000003</v>
      </c>
      <c r="N165" s="26">
        <v>52.997</v>
      </c>
      <c r="O165" s="26">
        <v>22.004999999999999</v>
      </c>
      <c r="P165" s="26">
        <v>42.988999999999997</v>
      </c>
      <c r="Q165" s="26">
        <v>3.6023000000000001</v>
      </c>
      <c r="R165" s="26">
        <v>68.647999999999996</v>
      </c>
      <c r="S165" s="26">
        <v>19.076000000000001</v>
      </c>
      <c r="T165" s="26">
        <v>25.957000000000001</v>
      </c>
      <c r="U165" s="26">
        <v>34.161000000000001</v>
      </c>
      <c r="V165" s="26">
        <v>37.773000000000003</v>
      </c>
      <c r="W165" s="26">
        <v>42.927999999999997</v>
      </c>
      <c r="X165" s="26">
        <v>34.686999999999998</v>
      </c>
      <c r="Y165" s="26">
        <v>55.975000000000001</v>
      </c>
      <c r="Z165" s="26">
        <v>55.62</v>
      </c>
      <c r="AA165" s="26">
        <v>43.688000000000002</v>
      </c>
      <c r="AB165" s="26">
        <v>41.15</v>
      </c>
      <c r="AC165" s="26">
        <v>40.871000000000002</v>
      </c>
      <c r="AD165" s="26">
        <v>45.396999999999998</v>
      </c>
      <c r="AE165" s="26">
        <v>59.081000000000003</v>
      </c>
      <c r="AF165" s="26">
        <v>54.473999999999997</v>
      </c>
      <c r="AG165" s="26">
        <v>60.218000000000004</v>
      </c>
      <c r="AH165" s="26">
        <v>35.875</v>
      </c>
      <c r="AI165" s="26">
        <v>37.709000000000003</v>
      </c>
      <c r="AJ165" s="26">
        <v>51.317</v>
      </c>
      <c r="AK165" s="26">
        <v>32.860999999999997</v>
      </c>
      <c r="AL165" s="26">
        <v>56.616</v>
      </c>
      <c r="AM165" s="26">
        <v>58</v>
      </c>
      <c r="AN165" s="26">
        <v>50.438000000000002</v>
      </c>
      <c r="AO165" s="26">
        <v>46.326999999999998</v>
      </c>
      <c r="AP165" s="26">
        <v>43.984000000000002</v>
      </c>
      <c r="AQ165" s="26">
        <v>31.324000000000002</v>
      </c>
      <c r="AR165" s="26">
        <v>68.647999999999996</v>
      </c>
      <c r="AS165" s="26">
        <v>37.667000000000002</v>
      </c>
      <c r="AT165" s="26">
        <v>3.0417999999999998</v>
      </c>
      <c r="AU165" s="26">
        <v>45.895000000000003</v>
      </c>
      <c r="AV165" s="26">
        <v>21.234999999999999</v>
      </c>
      <c r="AW165" s="26">
        <v>35.668999999999997</v>
      </c>
      <c r="AX165" s="26">
        <v>47.027999999999999</v>
      </c>
      <c r="AY165" s="26">
        <v>42.34</v>
      </c>
      <c r="AZ165" s="26">
        <v>44.179000000000002</v>
      </c>
      <c r="BA165" s="26">
        <v>56.418999999999997</v>
      </c>
      <c r="BB165" s="26">
        <v>55.975000000000001</v>
      </c>
      <c r="BC165" s="26">
        <v>46.566000000000003</v>
      </c>
      <c r="BD165" s="26">
        <v>51.39</v>
      </c>
      <c r="BE165" s="26">
        <v>21.907</v>
      </c>
      <c r="BF165" s="26">
        <v>31.173999999999999</v>
      </c>
      <c r="BG165" s="26">
        <v>40.332000000000001</v>
      </c>
      <c r="BH165" s="26">
        <v>56.619</v>
      </c>
      <c r="BI165" s="26">
        <v>48.851999999999997</v>
      </c>
      <c r="BJ165" s="26">
        <v>43.543999999999997</v>
      </c>
      <c r="BK165" s="26">
        <v>45.021999999999998</v>
      </c>
      <c r="BL165" s="26">
        <v>18.710999999999999</v>
      </c>
      <c r="BM165" s="26">
        <v>46.128</v>
      </c>
      <c r="BN165" s="26">
        <v>52.277999999999999</v>
      </c>
      <c r="BO165" s="26">
        <v>63.283999999999999</v>
      </c>
      <c r="BP165" s="26">
        <v>42.988999999999997</v>
      </c>
      <c r="BQ165" s="26">
        <v>55.975000000000001</v>
      </c>
      <c r="BR165" s="26">
        <v>35.856999999999999</v>
      </c>
      <c r="BS165" s="26">
        <v>44.149000000000001</v>
      </c>
      <c r="BT165" s="26">
        <v>41.064</v>
      </c>
      <c r="BU165" s="26">
        <v>48.981999999999999</v>
      </c>
      <c r="BV165" s="26">
        <v>55.975000000000001</v>
      </c>
      <c r="BW165" s="26">
        <v>38.929000000000002</v>
      </c>
      <c r="BX165" s="26">
        <v>43.073</v>
      </c>
      <c r="BY165" s="26">
        <v>67.081999999999994</v>
      </c>
      <c r="BZ165" s="26">
        <v>58.765999999999998</v>
      </c>
      <c r="CA165" s="26">
        <v>35.991</v>
      </c>
      <c r="CB165" s="26">
        <v>26.411000000000001</v>
      </c>
      <c r="CC165" s="26">
        <v>20.989000000000001</v>
      </c>
      <c r="CD165" s="26">
        <v>60.218000000000004</v>
      </c>
      <c r="CE165" s="26">
        <v>55.478000000000002</v>
      </c>
      <c r="CF165" s="26">
        <v>54.204000000000001</v>
      </c>
      <c r="CG165" s="26">
        <v>55.628999999999998</v>
      </c>
      <c r="CH165" s="26">
        <v>43.7</v>
      </c>
      <c r="CI165" s="26">
        <v>50.927</v>
      </c>
      <c r="CJ165" s="26">
        <v>21.742000000000001</v>
      </c>
      <c r="CK165" s="26">
        <v>59.265999999999998</v>
      </c>
      <c r="CL165" s="26">
        <v>46.003</v>
      </c>
      <c r="CM165" s="26">
        <v>28.774000000000001</v>
      </c>
      <c r="CN165" s="26">
        <v>44.731999999999999</v>
      </c>
      <c r="CO165" s="26">
        <v>55.628999999999998</v>
      </c>
      <c r="CP165" s="26">
        <v>47.139000000000003</v>
      </c>
      <c r="CQ165" s="26">
        <v>60.218000000000004</v>
      </c>
      <c r="CR165" s="26">
        <v>3.1518000000000002</v>
      </c>
      <c r="CS165" s="26">
        <v>22.297999999999998</v>
      </c>
      <c r="CT165" s="26">
        <v>51.384999999999998</v>
      </c>
      <c r="CU165" s="26">
        <v>41.027000000000001</v>
      </c>
      <c r="CV165" s="26">
        <v>44.317</v>
      </c>
      <c r="CW165" s="26">
        <v>47.491999999999997</v>
      </c>
      <c r="CX165" s="26">
        <v>44.399000000000001</v>
      </c>
      <c r="CY165" s="61"/>
      <c r="CZ165" s="537"/>
      <c r="DA165" s="61"/>
    </row>
    <row r="166" spans="1:16384">
      <c r="A166" s="279">
        <v>42856</v>
      </c>
      <c r="B166" s="26">
        <v>53.927</v>
      </c>
      <c r="C166" s="26">
        <v>55.259</v>
      </c>
      <c r="D166" s="26">
        <v>36.856999999999999</v>
      </c>
      <c r="E166" s="26">
        <v>41.276000000000003</v>
      </c>
      <c r="F166" s="26">
        <v>32.530999999999999</v>
      </c>
      <c r="G166" s="26">
        <v>54.523000000000003</v>
      </c>
      <c r="H166" s="26">
        <v>39.256999999999998</v>
      </c>
      <c r="I166" s="26">
        <v>34.284999999999997</v>
      </c>
      <c r="J166" s="26">
        <v>43.682000000000002</v>
      </c>
      <c r="K166" s="26">
        <v>45.527000000000001</v>
      </c>
      <c r="L166" s="26">
        <v>50.622999999999998</v>
      </c>
      <c r="M166" s="26">
        <v>56.244</v>
      </c>
      <c r="N166" s="26">
        <v>55.316000000000003</v>
      </c>
      <c r="O166" s="26">
        <v>32.847999999999999</v>
      </c>
      <c r="P166" s="26">
        <v>39.54</v>
      </c>
      <c r="Q166" s="26">
        <v>12.048</v>
      </c>
      <c r="R166" s="26">
        <v>56.173999999999999</v>
      </c>
      <c r="S166" s="26">
        <v>25.321000000000002</v>
      </c>
      <c r="T166" s="26">
        <v>33.082000000000001</v>
      </c>
      <c r="U166" s="26">
        <v>33.198999999999998</v>
      </c>
      <c r="V166" s="26">
        <v>35.136000000000003</v>
      </c>
      <c r="W166" s="26">
        <v>44.505000000000003</v>
      </c>
      <c r="X166" s="26">
        <v>36.683999999999997</v>
      </c>
      <c r="Y166" s="26">
        <v>42.247999999999998</v>
      </c>
      <c r="Z166" s="26">
        <v>51.911999999999999</v>
      </c>
      <c r="AA166" s="26">
        <v>41.86</v>
      </c>
      <c r="AB166" s="26">
        <v>30.02</v>
      </c>
      <c r="AC166" s="26">
        <v>32.506</v>
      </c>
      <c r="AD166" s="26">
        <v>46.55</v>
      </c>
      <c r="AE166" s="26">
        <v>61.41</v>
      </c>
      <c r="AF166" s="26">
        <v>54.463000000000001</v>
      </c>
      <c r="AG166" s="26">
        <v>55.225000000000001</v>
      </c>
      <c r="AH166" s="26">
        <v>36.045999999999999</v>
      </c>
      <c r="AI166" s="26">
        <v>11.409000000000001</v>
      </c>
      <c r="AJ166" s="26">
        <v>51.192999999999998</v>
      </c>
      <c r="AK166" s="26">
        <v>35.97</v>
      </c>
      <c r="AL166" s="26">
        <v>45.305999999999997</v>
      </c>
      <c r="AM166" s="26">
        <v>54.893000000000001</v>
      </c>
      <c r="AN166" s="26">
        <v>51.256</v>
      </c>
      <c r="AO166" s="26">
        <v>49.648000000000003</v>
      </c>
      <c r="AP166" s="26">
        <v>42.715000000000003</v>
      </c>
      <c r="AQ166" s="26">
        <v>32.051000000000002</v>
      </c>
      <c r="AR166" s="26">
        <v>55.307000000000002</v>
      </c>
      <c r="AS166" s="26">
        <v>35.798999999999999</v>
      </c>
      <c r="AT166" s="26">
        <v>2.1189</v>
      </c>
      <c r="AU166" s="26">
        <v>46.42</v>
      </c>
      <c r="AV166" s="26">
        <v>30.788</v>
      </c>
      <c r="AW166" s="26">
        <v>31.626999999999999</v>
      </c>
      <c r="AX166" s="26">
        <v>33.283999999999999</v>
      </c>
      <c r="AY166" s="26">
        <v>36.628999999999998</v>
      </c>
      <c r="AZ166" s="26">
        <v>46.613</v>
      </c>
      <c r="BA166" s="26">
        <v>51.204000000000001</v>
      </c>
      <c r="BB166" s="26">
        <v>59.38</v>
      </c>
      <c r="BC166" s="26">
        <v>33.298000000000002</v>
      </c>
      <c r="BD166" s="26">
        <v>53.639000000000003</v>
      </c>
      <c r="BE166" s="26">
        <v>23.684999999999999</v>
      </c>
      <c r="BF166" s="26">
        <v>35.515999999999998</v>
      </c>
      <c r="BG166" s="26">
        <v>33.253999999999998</v>
      </c>
      <c r="BH166" s="26">
        <v>50.158999999999999</v>
      </c>
      <c r="BI166" s="26">
        <v>47.642000000000003</v>
      </c>
      <c r="BJ166" s="26">
        <v>36.427999999999997</v>
      </c>
      <c r="BK166" s="26">
        <v>46.552</v>
      </c>
      <c r="BL166" s="26">
        <v>30.096</v>
      </c>
      <c r="BM166" s="26">
        <v>46.613</v>
      </c>
      <c r="BN166" s="26">
        <v>55.313000000000002</v>
      </c>
      <c r="BO166" s="26">
        <v>64.17</v>
      </c>
      <c r="BP166" s="26">
        <v>42.734000000000002</v>
      </c>
      <c r="BQ166" s="26">
        <v>41.811</v>
      </c>
      <c r="BR166" s="26">
        <v>27.053999999999998</v>
      </c>
      <c r="BS166" s="26">
        <v>52.186</v>
      </c>
      <c r="BT166" s="26">
        <v>44.192</v>
      </c>
      <c r="BU166" s="26">
        <v>12.585000000000001</v>
      </c>
      <c r="BV166" s="26">
        <v>56.475000000000001</v>
      </c>
      <c r="BW166" s="26">
        <v>43.805</v>
      </c>
      <c r="BX166" s="26">
        <v>42.94</v>
      </c>
      <c r="BY166" s="26">
        <v>59.473999999999997</v>
      </c>
      <c r="BZ166" s="26">
        <v>47.363</v>
      </c>
      <c r="CA166" s="26">
        <v>35.057000000000002</v>
      </c>
      <c r="CB166" s="26">
        <v>33.058</v>
      </c>
      <c r="CC166" s="26">
        <v>31.196000000000002</v>
      </c>
      <c r="CD166" s="26">
        <v>42.253</v>
      </c>
      <c r="CE166" s="26">
        <v>52.978999999999999</v>
      </c>
      <c r="CF166" s="26">
        <v>63.283999999999999</v>
      </c>
      <c r="CG166" s="26">
        <v>56.542000000000002</v>
      </c>
      <c r="CH166" s="26">
        <v>30.992999999999999</v>
      </c>
      <c r="CI166" s="26">
        <v>49.186</v>
      </c>
      <c r="CJ166" s="26">
        <v>26.074999999999999</v>
      </c>
      <c r="CK166" s="26">
        <v>50.152000000000001</v>
      </c>
      <c r="CL166" s="26">
        <v>52.33</v>
      </c>
      <c r="CM166" s="26">
        <v>3.0043000000000002</v>
      </c>
      <c r="CN166" s="26">
        <v>37.396000000000001</v>
      </c>
      <c r="CO166" s="26">
        <v>56.530999999999999</v>
      </c>
      <c r="CP166" s="26">
        <v>41.915999999999997</v>
      </c>
      <c r="CQ166" s="26">
        <v>43.901000000000003</v>
      </c>
      <c r="CR166" s="26">
        <v>1.0502</v>
      </c>
      <c r="CS166" s="26">
        <v>24.949000000000002</v>
      </c>
      <c r="CT166" s="26">
        <v>55.259</v>
      </c>
      <c r="CU166" s="26">
        <v>34.96</v>
      </c>
      <c r="CV166" s="26">
        <v>36.826999999999998</v>
      </c>
      <c r="CW166" s="26">
        <v>42.578000000000003</v>
      </c>
      <c r="CX166" s="26">
        <v>42.463999999999999</v>
      </c>
      <c r="CY166" s="61"/>
      <c r="CZ166" s="537"/>
      <c r="DA166" s="61"/>
    </row>
    <row r="167" spans="1:16384">
      <c r="A167" s="279">
        <v>42887</v>
      </c>
      <c r="B167" s="26">
        <v>50.198</v>
      </c>
      <c r="C167" s="26">
        <v>36.768999999999998</v>
      </c>
      <c r="D167" s="26">
        <v>38.770000000000003</v>
      </c>
      <c r="E167" s="26">
        <v>46.003</v>
      </c>
      <c r="F167" s="26">
        <v>42.100999999999999</v>
      </c>
      <c r="G167" s="26">
        <v>49.81</v>
      </c>
      <c r="H167" s="26">
        <v>44.145000000000003</v>
      </c>
      <c r="I167" s="26">
        <v>41.488</v>
      </c>
      <c r="J167" s="26">
        <v>6.5419999999999998</v>
      </c>
      <c r="K167" s="26">
        <v>55.392000000000003</v>
      </c>
      <c r="L167" s="26">
        <v>48.587000000000003</v>
      </c>
      <c r="M167" s="26">
        <v>55.39</v>
      </c>
      <c r="N167" s="26">
        <v>57.904000000000003</v>
      </c>
      <c r="O167" s="26">
        <v>35.869999999999997</v>
      </c>
      <c r="P167" s="26">
        <v>21.225999999999999</v>
      </c>
      <c r="Q167" s="26">
        <v>20.771999999999998</v>
      </c>
      <c r="R167" s="26">
        <v>61.100999999999999</v>
      </c>
      <c r="S167" s="26">
        <v>11.455</v>
      </c>
      <c r="T167" s="26">
        <v>44.564</v>
      </c>
      <c r="U167" s="26">
        <v>43.451999999999998</v>
      </c>
      <c r="V167" s="26">
        <v>28.151</v>
      </c>
      <c r="W167" s="26">
        <v>43.667999999999999</v>
      </c>
      <c r="X167" s="26">
        <v>36.936999999999998</v>
      </c>
      <c r="Y167" s="26">
        <v>43.34</v>
      </c>
      <c r="Z167" s="26">
        <v>42.792999999999999</v>
      </c>
      <c r="AA167" s="26">
        <v>43.411000000000001</v>
      </c>
      <c r="AB167" s="26">
        <v>9.9617000000000004</v>
      </c>
      <c r="AC167" s="26">
        <v>41.116999999999997</v>
      </c>
      <c r="AD167" s="26">
        <v>42.832000000000001</v>
      </c>
      <c r="AE167" s="26">
        <v>49.997999999999998</v>
      </c>
      <c r="AF167" s="26">
        <v>58.643999999999998</v>
      </c>
      <c r="AG167" s="26">
        <v>53.412999999999997</v>
      </c>
      <c r="AH167" s="26">
        <v>38.750999999999998</v>
      </c>
      <c r="AI167" s="26">
        <v>20.745999999999999</v>
      </c>
      <c r="AJ167" s="26">
        <v>44.506999999999998</v>
      </c>
      <c r="AK167" s="26">
        <v>28.629000000000001</v>
      </c>
      <c r="AL167" s="26">
        <v>42.685000000000002</v>
      </c>
      <c r="AM167" s="26">
        <v>53.622</v>
      </c>
      <c r="AN167" s="26">
        <v>53.286999999999999</v>
      </c>
      <c r="AO167" s="26">
        <v>43.411000000000001</v>
      </c>
      <c r="AP167" s="26">
        <v>44.774999999999999</v>
      </c>
      <c r="AQ167" s="26">
        <v>28.058</v>
      </c>
      <c r="AR167" s="26">
        <v>44.055999999999997</v>
      </c>
      <c r="AS167" s="26">
        <v>41.664999999999999</v>
      </c>
      <c r="AT167" s="26">
        <v>1.6355</v>
      </c>
      <c r="AU167" s="26">
        <v>48.789000000000001</v>
      </c>
      <c r="AV167" s="26">
        <v>27.097999999999999</v>
      </c>
      <c r="AW167" s="26">
        <v>40.695</v>
      </c>
      <c r="AX167" s="26">
        <v>43.097000000000001</v>
      </c>
      <c r="AY167" s="26">
        <v>43.463999999999999</v>
      </c>
      <c r="AZ167" s="26">
        <v>44.31</v>
      </c>
      <c r="BA167" s="26">
        <v>45.744999999999997</v>
      </c>
      <c r="BB167" s="26">
        <v>57.966000000000001</v>
      </c>
      <c r="BC167" s="26">
        <v>35.506999999999998</v>
      </c>
      <c r="BD167" s="26">
        <v>58.664999999999999</v>
      </c>
      <c r="BE167" s="26">
        <v>23.509</v>
      </c>
      <c r="BF167" s="26">
        <v>32.326000000000001</v>
      </c>
      <c r="BG167" s="26">
        <v>28.722000000000001</v>
      </c>
      <c r="BH167" s="26">
        <v>42.576000000000001</v>
      </c>
      <c r="BI167" s="26">
        <v>54.576000000000001</v>
      </c>
      <c r="BJ167" s="26">
        <v>28.12</v>
      </c>
      <c r="BK167" s="26">
        <v>45.155999999999999</v>
      </c>
      <c r="BL167" s="26">
        <v>2.3262</v>
      </c>
      <c r="BM167" s="26">
        <v>49.046999999999997</v>
      </c>
      <c r="BN167" s="26">
        <v>50.728999999999999</v>
      </c>
      <c r="BO167" s="26">
        <v>65.605999999999995</v>
      </c>
      <c r="BP167" s="26">
        <v>47.744999999999997</v>
      </c>
      <c r="BQ167" s="26">
        <v>36.052999999999997</v>
      </c>
      <c r="BR167" s="26">
        <v>10.317</v>
      </c>
      <c r="BS167" s="26">
        <v>57.411999999999999</v>
      </c>
      <c r="BT167" s="26">
        <v>41.026000000000003</v>
      </c>
      <c r="BU167" s="26">
        <v>27.963000000000001</v>
      </c>
      <c r="BV167" s="26">
        <v>57.536000000000001</v>
      </c>
      <c r="BW167" s="26">
        <v>8.4589999999999996</v>
      </c>
      <c r="BX167" s="26">
        <v>42.902000000000001</v>
      </c>
      <c r="BY167" s="26">
        <v>58.643000000000001</v>
      </c>
      <c r="BZ167" s="26">
        <v>48.548999999999999</v>
      </c>
      <c r="CA167" s="26">
        <v>28.620999999999999</v>
      </c>
      <c r="CB167" s="26">
        <v>2.1274000000000002</v>
      </c>
      <c r="CC167" s="26">
        <v>32.131999999999998</v>
      </c>
      <c r="CD167" s="26">
        <v>38.311999999999998</v>
      </c>
      <c r="CE167" s="26">
        <v>53.625999999999998</v>
      </c>
      <c r="CF167" s="26">
        <v>59.094999999999999</v>
      </c>
      <c r="CG167" s="26">
        <v>55.408000000000001</v>
      </c>
      <c r="CH167" s="26">
        <v>43.418999999999997</v>
      </c>
      <c r="CI167" s="26">
        <v>55.915999999999997</v>
      </c>
      <c r="CJ167" s="26">
        <v>23.45</v>
      </c>
      <c r="CK167" s="26">
        <v>42.680999999999997</v>
      </c>
      <c r="CL167" s="26">
        <v>57.628999999999998</v>
      </c>
      <c r="CM167" s="26">
        <v>10.557</v>
      </c>
      <c r="CN167" s="26">
        <v>41.985999999999997</v>
      </c>
      <c r="CO167" s="26">
        <v>46.999000000000002</v>
      </c>
      <c r="CP167" s="26">
        <v>42.750999999999998</v>
      </c>
      <c r="CQ167" s="26">
        <v>42.991</v>
      </c>
      <c r="CR167" s="26">
        <v>1.0325</v>
      </c>
      <c r="CS167" s="26">
        <v>27.094000000000001</v>
      </c>
      <c r="CT167" s="26">
        <v>58.453000000000003</v>
      </c>
      <c r="CU167" s="26">
        <v>41.863999999999997</v>
      </c>
      <c r="CV167" s="26">
        <v>41.703000000000003</v>
      </c>
      <c r="CW167" s="26">
        <v>42.783999999999999</v>
      </c>
      <c r="CX167" s="26">
        <v>42.777000000000001</v>
      </c>
      <c r="CY167" s="61"/>
      <c r="CZ167" s="537"/>
      <c r="DA167" s="61"/>
    </row>
    <row r="168" spans="1:16384">
      <c r="A168" s="279">
        <v>42917</v>
      </c>
      <c r="B168" s="26">
        <v>51.595999999999997</v>
      </c>
      <c r="C168" s="26">
        <v>41.359000000000002</v>
      </c>
      <c r="D168" s="26">
        <v>49.326999999999998</v>
      </c>
      <c r="E168" s="26">
        <v>44.292000000000002</v>
      </c>
      <c r="F168" s="26">
        <v>44.646999999999998</v>
      </c>
      <c r="G168" s="26">
        <v>46.872999999999998</v>
      </c>
      <c r="H168" s="26">
        <v>40.378</v>
      </c>
      <c r="I168" s="26">
        <v>42.402999999999999</v>
      </c>
      <c r="J168" s="26">
        <v>16.091999999999999</v>
      </c>
      <c r="K168" s="26">
        <v>57.676000000000002</v>
      </c>
      <c r="L168" s="26">
        <v>42.87</v>
      </c>
      <c r="M168" s="26">
        <v>49.933999999999997</v>
      </c>
      <c r="N168" s="26">
        <v>62.985999999999997</v>
      </c>
      <c r="O168" s="26">
        <v>41.74</v>
      </c>
      <c r="P168" s="26">
        <v>29.306000000000001</v>
      </c>
      <c r="Q168" s="26">
        <v>13.651999999999999</v>
      </c>
      <c r="R168" s="26">
        <v>60.822000000000003</v>
      </c>
      <c r="S168" s="26">
        <v>25.553000000000001</v>
      </c>
      <c r="T168" s="26">
        <v>44.438000000000002</v>
      </c>
      <c r="U168" s="26">
        <v>48.64</v>
      </c>
      <c r="V168" s="26">
        <v>14.11</v>
      </c>
      <c r="W168" s="26">
        <v>45.453000000000003</v>
      </c>
      <c r="X168" s="26">
        <v>31.484000000000002</v>
      </c>
      <c r="Y168" s="26">
        <v>39.119</v>
      </c>
      <c r="Z168" s="26">
        <v>43.072000000000003</v>
      </c>
      <c r="AA168" s="26">
        <v>42.911000000000001</v>
      </c>
      <c r="AB168" s="26">
        <v>17.239000000000001</v>
      </c>
      <c r="AC168" s="26">
        <v>44.914000000000001</v>
      </c>
      <c r="AD168" s="26">
        <v>42.837000000000003</v>
      </c>
      <c r="AE168" s="26">
        <v>21.23</v>
      </c>
      <c r="AF168" s="26">
        <v>55.448</v>
      </c>
      <c r="AG168" s="26">
        <v>44.771999999999998</v>
      </c>
      <c r="AH168" s="26">
        <v>40.020000000000003</v>
      </c>
      <c r="AI168" s="26">
        <v>17.702999999999999</v>
      </c>
      <c r="AJ168" s="26">
        <v>42.015000000000001</v>
      </c>
      <c r="AK168" s="26">
        <v>37.816000000000003</v>
      </c>
      <c r="AL168" s="26">
        <v>52.177</v>
      </c>
      <c r="AM168" s="26">
        <v>59.747999999999998</v>
      </c>
      <c r="AN168" s="26">
        <v>49.143999999999998</v>
      </c>
      <c r="AO168" s="26">
        <v>35.134999999999998</v>
      </c>
      <c r="AP168" s="26">
        <v>49.427</v>
      </c>
      <c r="AQ168" s="26">
        <v>29.727</v>
      </c>
      <c r="AR168" s="26">
        <v>44.404000000000003</v>
      </c>
      <c r="AS168" s="26">
        <v>37.994</v>
      </c>
      <c r="AT168" s="26">
        <v>1.0326</v>
      </c>
      <c r="AU168" s="26">
        <v>49.697000000000003</v>
      </c>
      <c r="AV168" s="26">
        <v>21.013999999999999</v>
      </c>
      <c r="AW168" s="26">
        <v>39.692</v>
      </c>
      <c r="AX168" s="26">
        <v>45.552</v>
      </c>
      <c r="AY168" s="26">
        <v>42.746000000000002</v>
      </c>
      <c r="AZ168" s="26">
        <v>44.835999999999999</v>
      </c>
      <c r="BA168" s="26">
        <v>57.256999999999998</v>
      </c>
      <c r="BB168" s="26">
        <v>45.720999999999997</v>
      </c>
      <c r="BC168" s="26">
        <v>22.07</v>
      </c>
      <c r="BD168" s="26">
        <v>56.677</v>
      </c>
      <c r="BE168" s="26">
        <v>16.713000000000001</v>
      </c>
      <c r="BF168" s="26">
        <v>11.895</v>
      </c>
      <c r="BG168" s="26">
        <v>29.582999999999998</v>
      </c>
      <c r="BH168" s="26">
        <v>43.811</v>
      </c>
      <c r="BI168" s="26">
        <v>58.984999999999999</v>
      </c>
      <c r="BJ168" s="26">
        <v>39.890999999999998</v>
      </c>
      <c r="BK168" s="26">
        <v>46.505000000000003</v>
      </c>
      <c r="BL168" s="26">
        <v>2.6714000000000002</v>
      </c>
      <c r="BM168" s="26">
        <v>41.162999999999997</v>
      </c>
      <c r="BN168" s="26">
        <v>53.832000000000001</v>
      </c>
      <c r="BO168" s="26">
        <v>59.901000000000003</v>
      </c>
      <c r="BP168" s="26">
        <v>55.652999999999999</v>
      </c>
      <c r="BQ168" s="26">
        <v>43.420999999999999</v>
      </c>
      <c r="BR168" s="26">
        <v>2.9842</v>
      </c>
      <c r="BS168" s="26">
        <v>52.845999999999997</v>
      </c>
      <c r="BT168" s="26">
        <v>14.523</v>
      </c>
      <c r="BU168" s="26">
        <v>14.66</v>
      </c>
      <c r="BV168" s="26">
        <v>56.536000000000001</v>
      </c>
      <c r="BW168" s="26">
        <v>15.537000000000001</v>
      </c>
      <c r="BX168" s="26">
        <v>42.868000000000002</v>
      </c>
      <c r="BY168" s="26">
        <v>46.673999999999999</v>
      </c>
      <c r="BZ168" s="26">
        <v>50.064</v>
      </c>
      <c r="CA168" s="26">
        <v>11.321</v>
      </c>
      <c r="CB168" s="26">
        <v>2.0398999999999998</v>
      </c>
      <c r="CC168" s="26">
        <v>36.802999999999997</v>
      </c>
      <c r="CD168" s="26">
        <v>36.162999999999997</v>
      </c>
      <c r="CE168" s="26">
        <v>56.16</v>
      </c>
      <c r="CF168" s="26">
        <v>57.012</v>
      </c>
      <c r="CG168" s="26">
        <v>55.716999999999999</v>
      </c>
      <c r="CH168" s="26">
        <v>43.36</v>
      </c>
      <c r="CI168" s="26">
        <v>44.372999999999998</v>
      </c>
      <c r="CJ168" s="26">
        <v>38.139000000000003</v>
      </c>
      <c r="CK168" s="26">
        <v>17.414999999999999</v>
      </c>
      <c r="CL168" s="26">
        <v>57.655000000000001</v>
      </c>
      <c r="CM168" s="26">
        <v>6.4135999999999997</v>
      </c>
      <c r="CN168" s="26">
        <v>33.957000000000001</v>
      </c>
      <c r="CO168" s="26">
        <v>39.026000000000003</v>
      </c>
      <c r="CP168" s="26">
        <v>43.189</v>
      </c>
      <c r="CQ168" s="26">
        <v>42.92</v>
      </c>
      <c r="CR168" s="26">
        <v>1.0326</v>
      </c>
      <c r="CS168" s="26">
        <v>23.693000000000001</v>
      </c>
      <c r="CT168" s="26">
        <v>59.475000000000001</v>
      </c>
      <c r="CU168" s="26">
        <v>46.322000000000003</v>
      </c>
      <c r="CV168" s="26">
        <v>43.862000000000002</v>
      </c>
      <c r="CW168" s="26">
        <v>32.343000000000004</v>
      </c>
      <c r="CX168" s="26">
        <v>41.2</v>
      </c>
      <c r="CY168" s="61"/>
      <c r="CZ168" s="537"/>
      <c r="DA168" s="61"/>
    </row>
    <row r="169" spans="1:16384">
      <c r="A169" s="279">
        <v>42948</v>
      </c>
      <c r="B169" s="26">
        <v>56.609000000000002</v>
      </c>
      <c r="C169" s="26">
        <v>42.774999999999999</v>
      </c>
      <c r="D169" s="26">
        <v>47.58</v>
      </c>
      <c r="E169" s="26">
        <v>50.533999999999999</v>
      </c>
      <c r="F169" s="26">
        <v>27.789000000000001</v>
      </c>
      <c r="G169" s="26">
        <v>51.531999999999996</v>
      </c>
      <c r="H169" s="26">
        <v>43.012</v>
      </c>
      <c r="I169" s="26">
        <v>41.707999999999998</v>
      </c>
      <c r="J169" s="26">
        <v>13.776999999999999</v>
      </c>
      <c r="K169" s="26">
        <v>62.192999999999998</v>
      </c>
      <c r="L169" s="26">
        <v>43.255000000000003</v>
      </c>
      <c r="M169" s="26">
        <v>48.215000000000003</v>
      </c>
      <c r="N169" s="26">
        <v>62.427999999999997</v>
      </c>
      <c r="O169" s="26">
        <v>43.542999999999999</v>
      </c>
      <c r="P169" s="26">
        <v>26.913</v>
      </c>
      <c r="Q169" s="26">
        <v>5.1920000000000002</v>
      </c>
      <c r="R169" s="26">
        <v>46.058</v>
      </c>
      <c r="S169" s="26">
        <v>43.201999999999998</v>
      </c>
      <c r="T169" s="26">
        <v>41.924999999999997</v>
      </c>
      <c r="U169" s="26">
        <v>47.271999999999998</v>
      </c>
      <c r="V169" s="26">
        <v>26.652999999999999</v>
      </c>
      <c r="W169" s="26">
        <v>45.912999999999997</v>
      </c>
      <c r="X169" s="26">
        <v>43.606999999999999</v>
      </c>
      <c r="Y169" s="26">
        <v>26.989000000000001</v>
      </c>
      <c r="Z169" s="26">
        <v>52.844999999999999</v>
      </c>
      <c r="AA169" s="26">
        <v>47.331000000000003</v>
      </c>
      <c r="AB169" s="26">
        <v>14.956</v>
      </c>
      <c r="AC169" s="26">
        <v>44.366999999999997</v>
      </c>
      <c r="AD169" s="26">
        <v>34.880000000000003</v>
      </c>
      <c r="AE169" s="26">
        <v>27.068000000000001</v>
      </c>
      <c r="AF169" s="26">
        <v>60.939</v>
      </c>
      <c r="AG169" s="26">
        <v>43.404000000000003</v>
      </c>
      <c r="AH169" s="26">
        <v>35.69</v>
      </c>
      <c r="AI169" s="26">
        <v>25.789000000000001</v>
      </c>
      <c r="AJ169" s="26">
        <v>42.201999999999998</v>
      </c>
      <c r="AK169" s="26">
        <v>26.88</v>
      </c>
      <c r="AL169" s="26">
        <v>58.762</v>
      </c>
      <c r="AM169" s="26">
        <v>63.216000000000001</v>
      </c>
      <c r="AN169" s="26">
        <v>55.665999999999997</v>
      </c>
      <c r="AO169" s="26">
        <v>41.405000000000001</v>
      </c>
      <c r="AP169" s="26">
        <v>41.975999999999999</v>
      </c>
      <c r="AQ169" s="26">
        <v>35.201999999999998</v>
      </c>
      <c r="AR169" s="26">
        <v>44.67</v>
      </c>
      <c r="AS169" s="26">
        <v>41.755000000000003</v>
      </c>
      <c r="AT169" s="26">
        <v>1.615</v>
      </c>
      <c r="AU169" s="26">
        <v>49.752000000000002</v>
      </c>
      <c r="AV169" s="26">
        <v>14.634</v>
      </c>
      <c r="AW169" s="26">
        <v>49.354999999999997</v>
      </c>
      <c r="AX169" s="26">
        <v>41.472000000000001</v>
      </c>
      <c r="AY169" s="26">
        <v>34.636000000000003</v>
      </c>
      <c r="AZ169" s="26">
        <v>41.954000000000001</v>
      </c>
      <c r="BA169" s="26">
        <v>56.607999999999997</v>
      </c>
      <c r="BB169" s="26">
        <v>43.566000000000003</v>
      </c>
      <c r="BC169" s="26">
        <v>34.825000000000003</v>
      </c>
      <c r="BD169" s="26">
        <v>61.628999999999998</v>
      </c>
      <c r="BE169" s="26">
        <v>1.2154</v>
      </c>
      <c r="BF169" s="26">
        <v>4.4992000000000001</v>
      </c>
      <c r="BG169" s="26">
        <v>34.683</v>
      </c>
      <c r="BH169" s="26">
        <v>46.332000000000001</v>
      </c>
      <c r="BI169" s="26">
        <v>57.866999999999997</v>
      </c>
      <c r="BJ169" s="26">
        <v>34.854999999999997</v>
      </c>
      <c r="BK169" s="26">
        <v>47.313000000000002</v>
      </c>
      <c r="BL169" s="26">
        <v>4.3063000000000002</v>
      </c>
      <c r="BM169" s="26">
        <v>42.746000000000002</v>
      </c>
      <c r="BN169" s="26">
        <v>59.264000000000003</v>
      </c>
      <c r="BO169" s="26">
        <v>68.594999999999999</v>
      </c>
      <c r="BP169" s="26">
        <v>56.448999999999998</v>
      </c>
      <c r="BQ169" s="26">
        <v>44.582000000000001</v>
      </c>
      <c r="BR169" s="26">
        <v>2.2399</v>
      </c>
      <c r="BS169" s="26">
        <v>49.32</v>
      </c>
      <c r="BT169" s="26">
        <v>25.917000000000002</v>
      </c>
      <c r="BU169" s="26">
        <v>1.5913999999999999</v>
      </c>
      <c r="BV169" s="26">
        <v>57.581000000000003</v>
      </c>
      <c r="BW169" s="26">
        <v>25.834</v>
      </c>
      <c r="BX169" s="26">
        <v>40.911999999999999</v>
      </c>
      <c r="BY169" s="26">
        <v>36.159999999999997</v>
      </c>
      <c r="BZ169" s="26">
        <v>48.92</v>
      </c>
      <c r="CA169" s="26">
        <v>17.268999999999998</v>
      </c>
      <c r="CB169" s="26">
        <v>1.0326</v>
      </c>
      <c r="CC169" s="26">
        <v>42.746000000000002</v>
      </c>
      <c r="CD169" s="26">
        <v>44.396000000000001</v>
      </c>
      <c r="CE169" s="26">
        <v>61.747</v>
      </c>
      <c r="CF169" s="26">
        <v>59.183</v>
      </c>
      <c r="CG169" s="26">
        <v>42.927999999999997</v>
      </c>
      <c r="CH169" s="26">
        <v>42.225000000000001</v>
      </c>
      <c r="CI169" s="26">
        <v>51.457999999999998</v>
      </c>
      <c r="CJ169" s="26">
        <v>26.574999999999999</v>
      </c>
      <c r="CK169" s="26">
        <v>26.068000000000001</v>
      </c>
      <c r="CL169" s="26">
        <v>62.055</v>
      </c>
      <c r="CM169" s="26">
        <v>2.3254999999999999</v>
      </c>
      <c r="CN169" s="26">
        <v>42.415999999999997</v>
      </c>
      <c r="CO169" s="26">
        <v>44.848999999999997</v>
      </c>
      <c r="CP169" s="26">
        <v>41.938000000000002</v>
      </c>
      <c r="CQ169" s="26">
        <v>50.01</v>
      </c>
      <c r="CR169" s="26">
        <v>2.9842</v>
      </c>
      <c r="CS169" s="26">
        <v>33.656999999999996</v>
      </c>
      <c r="CT169" s="26">
        <v>61.375</v>
      </c>
      <c r="CU169" s="26">
        <v>43.701000000000001</v>
      </c>
      <c r="CV169" s="26">
        <v>50.970999999999997</v>
      </c>
      <c r="CW169" s="26">
        <v>36.728000000000002</v>
      </c>
      <c r="CX169" s="26">
        <v>42.21</v>
      </c>
      <c r="CY169" s="61"/>
      <c r="CZ169" s="537"/>
      <c r="DA169" s="61"/>
    </row>
    <row r="170" spans="1:16384">
      <c r="A170" s="279">
        <v>42979</v>
      </c>
      <c r="B170" s="26">
        <v>58.305999999999997</v>
      </c>
      <c r="C170" s="26">
        <v>49.267000000000003</v>
      </c>
      <c r="D170" s="26">
        <v>52.825000000000003</v>
      </c>
      <c r="E170" s="26">
        <v>56.113</v>
      </c>
      <c r="F170" s="26">
        <v>25.706</v>
      </c>
      <c r="G170" s="26">
        <v>37.843000000000004</v>
      </c>
      <c r="H170" s="26">
        <v>37.805999999999997</v>
      </c>
      <c r="I170" s="26">
        <v>43.524999999999999</v>
      </c>
      <c r="J170" s="26">
        <v>20.39</v>
      </c>
      <c r="K170" s="26">
        <v>63.472999999999999</v>
      </c>
      <c r="L170" s="26">
        <v>47.31</v>
      </c>
      <c r="M170" s="26">
        <v>42.98</v>
      </c>
      <c r="N170" s="26">
        <v>67.289000000000001</v>
      </c>
      <c r="O170" s="26">
        <v>43.427</v>
      </c>
      <c r="P170" s="26">
        <v>38.134</v>
      </c>
      <c r="Q170" s="26">
        <v>1.1368</v>
      </c>
      <c r="R170" s="26">
        <v>49.585999999999999</v>
      </c>
      <c r="S170" s="26">
        <v>44.506999999999998</v>
      </c>
      <c r="T170" s="26">
        <v>49.694000000000003</v>
      </c>
      <c r="U170" s="26">
        <v>44.445999999999998</v>
      </c>
      <c r="V170" s="26">
        <v>41.024999999999999</v>
      </c>
      <c r="W170" s="26">
        <v>49.036000000000001</v>
      </c>
      <c r="X170" s="26">
        <v>22.06</v>
      </c>
      <c r="Y170" s="26">
        <v>26.036999999999999</v>
      </c>
      <c r="Z170" s="26">
        <v>52.51</v>
      </c>
      <c r="AA170" s="26">
        <v>58.765000000000001</v>
      </c>
      <c r="AB170" s="26">
        <v>20.048999999999999</v>
      </c>
      <c r="AC170" s="26">
        <v>43.463999999999999</v>
      </c>
      <c r="AD170" s="26">
        <v>37.128</v>
      </c>
      <c r="AE170" s="26">
        <v>36.936999999999998</v>
      </c>
      <c r="AF170" s="26">
        <v>67.034000000000006</v>
      </c>
      <c r="AG170" s="26">
        <v>30.158999999999999</v>
      </c>
      <c r="AH170" s="26">
        <v>1.1322000000000001</v>
      </c>
      <c r="AI170" s="26">
        <v>30.071000000000002</v>
      </c>
      <c r="AJ170" s="26">
        <v>35.258000000000003</v>
      </c>
      <c r="AK170" s="26">
        <v>37.158999999999999</v>
      </c>
      <c r="AL170" s="26">
        <v>41.033999999999999</v>
      </c>
      <c r="AM170" s="26">
        <v>62.847000000000001</v>
      </c>
      <c r="AN170" s="26">
        <v>57.759</v>
      </c>
      <c r="AO170" s="26">
        <v>49.002000000000002</v>
      </c>
      <c r="AP170" s="26">
        <v>40.76</v>
      </c>
      <c r="AQ170" s="26">
        <v>30.841999999999999</v>
      </c>
      <c r="AR170" s="26">
        <v>43.606999999999999</v>
      </c>
      <c r="AS170" s="26">
        <v>38.557000000000002</v>
      </c>
      <c r="AT170" s="26">
        <v>1.0325</v>
      </c>
      <c r="AU170" s="26">
        <v>44.774000000000001</v>
      </c>
      <c r="AV170" s="26">
        <v>1.1403000000000001</v>
      </c>
      <c r="AW170" s="26">
        <v>43.503</v>
      </c>
      <c r="AX170" s="26">
        <v>44.216999999999999</v>
      </c>
      <c r="AY170" s="26">
        <v>30.577999999999999</v>
      </c>
      <c r="AZ170" s="26">
        <v>35.979999999999997</v>
      </c>
      <c r="BA170" s="26">
        <v>62.741</v>
      </c>
      <c r="BB170" s="26">
        <v>50.378999999999998</v>
      </c>
      <c r="BC170" s="26">
        <v>37.6</v>
      </c>
      <c r="BD170" s="26">
        <v>51.881</v>
      </c>
      <c r="BE170" s="26">
        <v>1.1013999999999999</v>
      </c>
      <c r="BF170" s="26">
        <v>22.234000000000002</v>
      </c>
      <c r="BG170" s="26">
        <v>34.978000000000002</v>
      </c>
      <c r="BH170" s="26">
        <v>52.045000000000002</v>
      </c>
      <c r="BI170" s="26">
        <v>62.78</v>
      </c>
      <c r="BJ170" s="26">
        <v>43.494</v>
      </c>
      <c r="BK170" s="26">
        <v>43.404000000000003</v>
      </c>
      <c r="BL170" s="26">
        <v>4.1464999999999996</v>
      </c>
      <c r="BM170" s="26">
        <v>36.811999999999998</v>
      </c>
      <c r="BN170" s="26">
        <v>62.412999999999997</v>
      </c>
      <c r="BO170" s="26">
        <v>65.774000000000001</v>
      </c>
      <c r="BP170" s="26">
        <v>49.534999999999997</v>
      </c>
      <c r="BQ170" s="26">
        <v>42.661999999999999</v>
      </c>
      <c r="BR170" s="26">
        <v>1.1344000000000001</v>
      </c>
      <c r="BS170" s="26">
        <v>62.679000000000002</v>
      </c>
      <c r="BT170" s="26">
        <v>31.596</v>
      </c>
      <c r="BU170" s="26">
        <v>1.0325</v>
      </c>
      <c r="BV170" s="26">
        <v>57.399000000000001</v>
      </c>
      <c r="BW170" s="26">
        <v>22.23</v>
      </c>
      <c r="BX170" s="26">
        <v>43.088999999999999</v>
      </c>
      <c r="BY170" s="26">
        <v>39.331000000000003</v>
      </c>
      <c r="BZ170" s="26">
        <v>57.119</v>
      </c>
      <c r="CA170" s="26">
        <v>22.053000000000001</v>
      </c>
      <c r="CB170" s="26">
        <v>1.0325</v>
      </c>
      <c r="CC170" s="26">
        <v>35.591999999999999</v>
      </c>
      <c r="CD170" s="26">
        <v>58.337000000000003</v>
      </c>
      <c r="CE170" s="26">
        <v>57.673999999999999</v>
      </c>
      <c r="CF170" s="26">
        <v>55.863</v>
      </c>
      <c r="CG170" s="26">
        <v>46.283999999999999</v>
      </c>
      <c r="CH170" s="26">
        <v>46.918999999999997</v>
      </c>
      <c r="CI170" s="26">
        <v>59.451000000000001</v>
      </c>
      <c r="CJ170" s="26">
        <v>42.548000000000002</v>
      </c>
      <c r="CK170" s="26">
        <v>29.359000000000002</v>
      </c>
      <c r="CL170" s="26">
        <v>58.374000000000002</v>
      </c>
      <c r="CM170" s="26">
        <v>1.0325</v>
      </c>
      <c r="CN170" s="26">
        <v>23.734999999999999</v>
      </c>
      <c r="CO170" s="26">
        <v>50.863999999999997</v>
      </c>
      <c r="CP170" s="26">
        <v>35.737000000000002</v>
      </c>
      <c r="CQ170" s="26">
        <v>53.530999999999999</v>
      </c>
      <c r="CR170" s="26">
        <v>3.1507999999999998</v>
      </c>
      <c r="CS170" s="26">
        <v>43.581000000000003</v>
      </c>
      <c r="CT170" s="26">
        <v>62.948999999999998</v>
      </c>
      <c r="CU170" s="26">
        <v>54.204000000000001</v>
      </c>
      <c r="CV170" s="26">
        <v>43.012999999999998</v>
      </c>
      <c r="CW170" s="26">
        <v>25.59</v>
      </c>
      <c r="CX170" s="26">
        <v>43.945</v>
      </c>
      <c r="CY170" s="61"/>
      <c r="CZ170" s="537"/>
      <c r="DA170" s="61"/>
    </row>
    <row r="171" spans="1:16384">
      <c r="A171" s="279">
        <v>43009</v>
      </c>
      <c r="B171" s="26">
        <v>51.89</v>
      </c>
      <c r="C171" s="26">
        <v>40.872</v>
      </c>
      <c r="D171" s="26">
        <v>54.774999999999999</v>
      </c>
      <c r="E171" s="26">
        <v>55.963000000000001</v>
      </c>
      <c r="F171" s="26">
        <v>25.550999999999998</v>
      </c>
      <c r="G171" s="26">
        <v>44.081000000000003</v>
      </c>
      <c r="H171" s="26">
        <v>40.345999999999997</v>
      </c>
      <c r="I171" s="26">
        <v>47.271000000000001</v>
      </c>
      <c r="J171" s="26">
        <v>19.472000000000001</v>
      </c>
      <c r="K171" s="26">
        <v>66.195999999999998</v>
      </c>
      <c r="L171" s="26">
        <v>52.728999999999999</v>
      </c>
      <c r="M171" s="26">
        <v>39.984000000000002</v>
      </c>
      <c r="N171" s="26">
        <v>67.459999999999994</v>
      </c>
      <c r="O171" s="26">
        <v>48.463000000000001</v>
      </c>
      <c r="P171" s="26">
        <v>42.817</v>
      </c>
      <c r="Q171" s="26">
        <v>23.844000000000001</v>
      </c>
      <c r="R171" s="26">
        <v>53.322000000000003</v>
      </c>
      <c r="S171" s="26">
        <v>33.822000000000003</v>
      </c>
      <c r="T171" s="26">
        <v>51.975999999999999</v>
      </c>
      <c r="U171" s="26">
        <v>43.33</v>
      </c>
      <c r="V171" s="26">
        <v>35.97</v>
      </c>
      <c r="W171" s="26">
        <v>54.835999999999999</v>
      </c>
      <c r="X171" s="26">
        <v>30.209</v>
      </c>
      <c r="Y171" s="26">
        <v>17.54</v>
      </c>
      <c r="Z171" s="26">
        <v>46.401000000000003</v>
      </c>
      <c r="AA171" s="26">
        <v>62.091000000000001</v>
      </c>
      <c r="AB171" s="26">
        <v>15.831</v>
      </c>
      <c r="AC171" s="26">
        <v>43.555999999999997</v>
      </c>
      <c r="AD171" s="26">
        <v>47.268000000000001</v>
      </c>
      <c r="AE171" s="26">
        <v>42.110999999999997</v>
      </c>
      <c r="AF171" s="26">
        <v>65.534999999999997</v>
      </c>
      <c r="AG171" s="26">
        <v>27.056000000000001</v>
      </c>
      <c r="AH171" s="26">
        <v>5.6093999999999999</v>
      </c>
      <c r="AI171" s="26">
        <v>34.040999999999997</v>
      </c>
      <c r="AJ171" s="26">
        <v>41.948999999999998</v>
      </c>
      <c r="AK171" s="26">
        <v>34.484000000000002</v>
      </c>
      <c r="AL171" s="26">
        <v>41.649000000000001</v>
      </c>
      <c r="AM171" s="26">
        <v>63.018000000000001</v>
      </c>
      <c r="AN171" s="26">
        <v>52.994999999999997</v>
      </c>
      <c r="AO171" s="26">
        <v>52.387</v>
      </c>
      <c r="AP171" s="26">
        <v>37.534999999999997</v>
      </c>
      <c r="AQ171" s="26">
        <v>26.896000000000001</v>
      </c>
      <c r="AR171" s="26">
        <v>46.991</v>
      </c>
      <c r="AS171" s="26">
        <v>42.575000000000003</v>
      </c>
      <c r="AT171" s="26">
        <v>1.0326</v>
      </c>
      <c r="AU171" s="26">
        <v>45.927999999999997</v>
      </c>
      <c r="AV171" s="26">
        <v>15.493</v>
      </c>
      <c r="AW171" s="26">
        <v>42.79</v>
      </c>
      <c r="AX171" s="26">
        <v>47.468000000000004</v>
      </c>
      <c r="AY171" s="26">
        <v>35.993000000000002</v>
      </c>
      <c r="AZ171" s="26">
        <v>39.146000000000001</v>
      </c>
      <c r="BA171" s="26">
        <v>65.111000000000004</v>
      </c>
      <c r="BB171" s="26">
        <v>52.68</v>
      </c>
      <c r="BC171" s="26">
        <v>42.804000000000002</v>
      </c>
      <c r="BD171" s="26">
        <v>52.475000000000001</v>
      </c>
      <c r="BE171" s="26">
        <v>1.0326</v>
      </c>
      <c r="BF171" s="26">
        <v>25.2</v>
      </c>
      <c r="BG171" s="26">
        <v>42.137</v>
      </c>
      <c r="BH171" s="26">
        <v>54.966999999999999</v>
      </c>
      <c r="BI171" s="26">
        <v>61.645000000000003</v>
      </c>
      <c r="BJ171" s="26">
        <v>41.975999999999999</v>
      </c>
      <c r="BK171" s="26">
        <v>42.676000000000002</v>
      </c>
      <c r="BL171" s="26">
        <v>4.4494999999999996</v>
      </c>
      <c r="BM171" s="26">
        <v>42.838999999999999</v>
      </c>
      <c r="BN171" s="26">
        <v>63.302999999999997</v>
      </c>
      <c r="BO171" s="26">
        <v>67.102999999999994</v>
      </c>
      <c r="BP171" s="26">
        <v>52.253999999999998</v>
      </c>
      <c r="BQ171" s="26">
        <v>41.466999999999999</v>
      </c>
      <c r="BR171" s="26">
        <v>2.8805999999999998</v>
      </c>
      <c r="BS171" s="26">
        <v>56.360999999999997</v>
      </c>
      <c r="BT171" s="26">
        <v>28.818999999999999</v>
      </c>
      <c r="BU171" s="26">
        <v>16.413</v>
      </c>
      <c r="BV171" s="26">
        <v>54.05</v>
      </c>
      <c r="BW171" s="26">
        <v>25.417999999999999</v>
      </c>
      <c r="BX171" s="26">
        <v>43.052</v>
      </c>
      <c r="BY171" s="26">
        <v>49.613999999999997</v>
      </c>
      <c r="BZ171" s="26">
        <v>53.207000000000001</v>
      </c>
      <c r="CA171" s="26">
        <v>25.937000000000001</v>
      </c>
      <c r="CB171" s="26">
        <v>1.0326</v>
      </c>
      <c r="CC171" s="26">
        <v>31.462</v>
      </c>
      <c r="CD171" s="26">
        <v>52.853999999999999</v>
      </c>
      <c r="CE171" s="26">
        <v>54.463000000000001</v>
      </c>
      <c r="CF171" s="26">
        <v>53.191000000000003</v>
      </c>
      <c r="CG171" s="26">
        <v>41.654000000000003</v>
      </c>
      <c r="CH171" s="26">
        <v>52.048000000000002</v>
      </c>
      <c r="CI171" s="26">
        <v>61.401000000000003</v>
      </c>
      <c r="CJ171" s="26">
        <v>47.003999999999998</v>
      </c>
      <c r="CK171" s="26">
        <v>6.0648</v>
      </c>
      <c r="CL171" s="26">
        <v>63.838999999999999</v>
      </c>
      <c r="CM171" s="26">
        <v>1.0326</v>
      </c>
      <c r="CN171" s="26">
        <v>18.914000000000001</v>
      </c>
      <c r="CO171" s="26">
        <v>52.704999999999998</v>
      </c>
      <c r="CP171" s="26">
        <v>49.7</v>
      </c>
      <c r="CQ171" s="26">
        <v>61.436</v>
      </c>
      <c r="CR171" s="26">
        <v>6.6195000000000004</v>
      </c>
      <c r="CS171" s="26">
        <v>32.619</v>
      </c>
      <c r="CT171" s="26">
        <v>67.134</v>
      </c>
      <c r="CU171" s="26">
        <v>62.521000000000001</v>
      </c>
      <c r="CV171" s="26">
        <v>41.801000000000002</v>
      </c>
      <c r="CW171" s="26">
        <v>23.533000000000001</v>
      </c>
      <c r="CX171" s="26">
        <v>44.036999999999999</v>
      </c>
      <c r="CY171" s="61"/>
      <c r="CZ171" s="537"/>
      <c r="DA171" s="61"/>
    </row>
    <row r="172" spans="1:16384">
      <c r="A172" s="279">
        <v>43040</v>
      </c>
      <c r="B172" s="26">
        <v>53.012999999999998</v>
      </c>
      <c r="C172" s="26">
        <v>47.744999999999997</v>
      </c>
      <c r="D172" s="26">
        <v>57.798999999999999</v>
      </c>
      <c r="E172" s="26">
        <v>63.283999999999999</v>
      </c>
      <c r="F172" s="26">
        <v>29.213999999999999</v>
      </c>
      <c r="G172" s="26">
        <v>52.902000000000001</v>
      </c>
      <c r="H172" s="26">
        <v>35.811999999999998</v>
      </c>
      <c r="I172" s="26">
        <v>42.927999999999997</v>
      </c>
      <c r="J172" s="26">
        <v>8.7545999999999999</v>
      </c>
      <c r="K172" s="26">
        <v>65.662000000000006</v>
      </c>
      <c r="L172" s="26">
        <v>60.179000000000002</v>
      </c>
      <c r="M172" s="26">
        <v>42.685000000000002</v>
      </c>
      <c r="N172" s="26">
        <v>68.801000000000002</v>
      </c>
      <c r="O172" s="26">
        <v>52.988999999999997</v>
      </c>
      <c r="P172" s="26">
        <v>42.698</v>
      </c>
      <c r="Q172" s="26">
        <v>24.852</v>
      </c>
      <c r="R172" s="26">
        <v>52.466000000000001</v>
      </c>
      <c r="S172" s="26">
        <v>41.506</v>
      </c>
      <c r="T172" s="26">
        <v>56.252000000000002</v>
      </c>
      <c r="U172" s="26">
        <v>52.43</v>
      </c>
      <c r="V172" s="26">
        <v>32.987000000000002</v>
      </c>
      <c r="W172" s="26">
        <v>61.081000000000003</v>
      </c>
      <c r="X172" s="26">
        <v>38.93</v>
      </c>
      <c r="Y172" s="26">
        <v>18.904</v>
      </c>
      <c r="Z172" s="26">
        <v>40.630000000000003</v>
      </c>
      <c r="AA172" s="26">
        <v>61.018000000000001</v>
      </c>
      <c r="AB172" s="26">
        <v>23.957000000000001</v>
      </c>
      <c r="AC172" s="26">
        <v>43.396000000000001</v>
      </c>
      <c r="AD172" s="26">
        <v>49.654000000000003</v>
      </c>
      <c r="AE172" s="26">
        <v>42.841000000000001</v>
      </c>
      <c r="AF172" s="26">
        <v>60.218000000000004</v>
      </c>
      <c r="AG172" s="26">
        <v>26.593</v>
      </c>
      <c r="AH172" s="26">
        <v>13.86</v>
      </c>
      <c r="AI172" s="26">
        <v>29.484000000000002</v>
      </c>
      <c r="AJ172" s="26">
        <v>25.738</v>
      </c>
      <c r="AK172" s="26">
        <v>39.302</v>
      </c>
      <c r="AL172" s="26">
        <v>44.212000000000003</v>
      </c>
      <c r="AM172" s="26">
        <v>65.718000000000004</v>
      </c>
      <c r="AN172" s="26">
        <v>51.531999999999996</v>
      </c>
      <c r="AO172" s="26">
        <v>57.631</v>
      </c>
      <c r="AP172" s="26">
        <v>30.071000000000002</v>
      </c>
      <c r="AQ172" s="26">
        <v>10.145</v>
      </c>
      <c r="AR172" s="26">
        <v>52.790999999999997</v>
      </c>
      <c r="AS172" s="26">
        <v>35.128</v>
      </c>
      <c r="AT172" s="26">
        <v>1.0325</v>
      </c>
      <c r="AU172" s="26">
        <v>39.533000000000001</v>
      </c>
      <c r="AV172" s="26">
        <v>27.234000000000002</v>
      </c>
      <c r="AW172" s="26">
        <v>19.652999999999999</v>
      </c>
      <c r="AX172" s="26">
        <v>46.988999999999997</v>
      </c>
      <c r="AY172" s="26">
        <v>40.066000000000003</v>
      </c>
      <c r="AZ172" s="26">
        <v>40.024000000000001</v>
      </c>
      <c r="BA172" s="26">
        <v>65.176000000000002</v>
      </c>
      <c r="BB172" s="26">
        <v>60.813000000000002</v>
      </c>
      <c r="BC172" s="26">
        <v>49.616999999999997</v>
      </c>
      <c r="BD172" s="26">
        <v>52.627000000000002</v>
      </c>
      <c r="BE172" s="26">
        <v>13.17</v>
      </c>
      <c r="BF172" s="26">
        <v>23.771999999999998</v>
      </c>
      <c r="BG172" s="26">
        <v>46.616999999999997</v>
      </c>
      <c r="BH172" s="26">
        <v>54.752000000000002</v>
      </c>
      <c r="BI172" s="26">
        <v>60.009</v>
      </c>
      <c r="BJ172" s="26">
        <v>41.640999999999998</v>
      </c>
      <c r="BK172" s="26">
        <v>40.787999999999997</v>
      </c>
      <c r="BL172" s="26">
        <v>1.0325</v>
      </c>
      <c r="BM172" s="26">
        <v>42.856000000000002</v>
      </c>
      <c r="BN172" s="26">
        <v>65.177000000000007</v>
      </c>
      <c r="BO172" s="26">
        <v>67.917000000000002</v>
      </c>
      <c r="BP172" s="26">
        <v>39.709000000000003</v>
      </c>
      <c r="BQ172" s="26">
        <v>37.564999999999998</v>
      </c>
      <c r="BR172" s="26">
        <v>16.443000000000001</v>
      </c>
      <c r="BS172" s="26">
        <v>52.124000000000002</v>
      </c>
      <c r="BT172" s="26">
        <v>36.363999999999997</v>
      </c>
      <c r="BU172" s="26">
        <v>1.0502</v>
      </c>
      <c r="BV172" s="26">
        <v>52.901000000000003</v>
      </c>
      <c r="BW172" s="26">
        <v>33.274999999999999</v>
      </c>
      <c r="BX172" s="26">
        <v>51.908999999999999</v>
      </c>
      <c r="BY172" s="26">
        <v>28.891999999999999</v>
      </c>
      <c r="BZ172" s="26">
        <v>52.514000000000003</v>
      </c>
      <c r="CA172" s="26">
        <v>20.84</v>
      </c>
      <c r="CB172" s="26">
        <v>1.0325</v>
      </c>
      <c r="CC172" s="26">
        <v>29.448</v>
      </c>
      <c r="CD172" s="26">
        <v>25.338000000000001</v>
      </c>
      <c r="CE172" s="26">
        <v>63.716000000000001</v>
      </c>
      <c r="CF172" s="26">
        <v>57.206000000000003</v>
      </c>
      <c r="CG172" s="26">
        <v>46.725000000000001</v>
      </c>
      <c r="CH172" s="26">
        <v>52.805999999999997</v>
      </c>
      <c r="CI172" s="26">
        <v>60.453000000000003</v>
      </c>
      <c r="CJ172" s="26">
        <v>29.291</v>
      </c>
      <c r="CK172" s="26">
        <v>22.795999999999999</v>
      </c>
      <c r="CL172" s="26">
        <v>59.348999999999997</v>
      </c>
      <c r="CM172" s="26">
        <v>13.366</v>
      </c>
      <c r="CN172" s="26">
        <v>23.021000000000001</v>
      </c>
      <c r="CO172" s="26">
        <v>58.884</v>
      </c>
      <c r="CP172" s="26">
        <v>42.927999999999997</v>
      </c>
      <c r="CQ172" s="26">
        <v>60.808999999999997</v>
      </c>
      <c r="CR172" s="26">
        <v>1.0325</v>
      </c>
      <c r="CS172" s="26">
        <v>19.492999999999999</v>
      </c>
      <c r="CT172" s="26">
        <v>65.180000000000007</v>
      </c>
      <c r="CU172" s="26">
        <v>63.685000000000002</v>
      </c>
      <c r="CV172" s="26">
        <v>39.645000000000003</v>
      </c>
      <c r="CW172" s="26">
        <v>29.943000000000001</v>
      </c>
      <c r="CX172" s="26">
        <v>45.96</v>
      </c>
      <c r="CY172" s="61"/>
      <c r="CZ172" s="537"/>
      <c r="DA172" s="61"/>
    </row>
    <row r="173" spans="1:16384">
      <c r="A173" s="279">
        <v>43070</v>
      </c>
      <c r="B173" s="26">
        <v>57.655999999999999</v>
      </c>
      <c r="C173" s="26">
        <v>50.014000000000003</v>
      </c>
      <c r="D173" s="26">
        <v>46.417999999999999</v>
      </c>
      <c r="E173" s="26">
        <v>46.814</v>
      </c>
      <c r="F173" s="26">
        <v>36.856000000000002</v>
      </c>
      <c r="G173" s="26">
        <v>55.329000000000001</v>
      </c>
      <c r="H173" s="26">
        <v>43.521000000000001</v>
      </c>
      <c r="I173" s="26">
        <v>45.168999999999997</v>
      </c>
      <c r="J173" s="26">
        <v>8.7544000000000004</v>
      </c>
      <c r="K173" s="26">
        <v>65.649000000000001</v>
      </c>
      <c r="L173" s="26">
        <v>62.966999999999999</v>
      </c>
      <c r="M173" s="26">
        <v>46.104999999999997</v>
      </c>
      <c r="N173" s="26">
        <v>64.887</v>
      </c>
      <c r="O173" s="26">
        <v>56.011000000000003</v>
      </c>
      <c r="P173" s="26">
        <v>42.649000000000001</v>
      </c>
      <c r="Q173" s="26">
        <v>14.302</v>
      </c>
      <c r="R173" s="26">
        <v>61.353999999999999</v>
      </c>
      <c r="S173" s="26">
        <v>44.468000000000004</v>
      </c>
      <c r="T173" s="26">
        <v>61.493000000000002</v>
      </c>
      <c r="U173" s="26">
        <v>45.152000000000001</v>
      </c>
      <c r="V173" s="26">
        <v>20.992999999999999</v>
      </c>
      <c r="W173" s="26">
        <v>65.64</v>
      </c>
      <c r="X173" s="26">
        <v>54.491</v>
      </c>
      <c r="Y173" s="26">
        <v>10.648</v>
      </c>
      <c r="Z173" s="26">
        <v>42.320999999999998</v>
      </c>
      <c r="AA173" s="26">
        <v>62.923999999999999</v>
      </c>
      <c r="AB173" s="26">
        <v>21.28</v>
      </c>
      <c r="AC173" s="26">
        <v>50.097000000000001</v>
      </c>
      <c r="AD173" s="26">
        <v>57.704000000000001</v>
      </c>
      <c r="AE173" s="26">
        <v>43.567999999999998</v>
      </c>
      <c r="AF173" s="26">
        <v>69.572000000000003</v>
      </c>
      <c r="AG173" s="26">
        <v>36.832000000000001</v>
      </c>
      <c r="AH173" s="26">
        <v>10.872</v>
      </c>
      <c r="AI173" s="26">
        <v>31.99</v>
      </c>
      <c r="AJ173" s="26">
        <v>25.966999999999999</v>
      </c>
      <c r="AK173" s="26">
        <v>42.85</v>
      </c>
      <c r="AL173" s="26">
        <v>56.087000000000003</v>
      </c>
      <c r="AM173" s="26">
        <v>70.058000000000007</v>
      </c>
      <c r="AN173" s="26">
        <v>45.972999999999999</v>
      </c>
      <c r="AO173" s="26">
        <v>58.23</v>
      </c>
      <c r="AP173" s="26">
        <v>43.098999999999997</v>
      </c>
      <c r="AQ173" s="26">
        <v>14.77</v>
      </c>
      <c r="AR173" s="26">
        <v>56.5</v>
      </c>
      <c r="AS173" s="26">
        <v>34.314</v>
      </c>
      <c r="AT173" s="26">
        <v>20.736000000000001</v>
      </c>
      <c r="AU173" s="26">
        <v>37.454999999999998</v>
      </c>
      <c r="AV173" s="26">
        <v>34.322000000000003</v>
      </c>
      <c r="AW173" s="26">
        <v>14.198</v>
      </c>
      <c r="AX173" s="26">
        <v>50.107999999999997</v>
      </c>
      <c r="AY173" s="26">
        <v>43.881</v>
      </c>
      <c r="AZ173" s="26">
        <v>47.316000000000003</v>
      </c>
      <c r="BA173" s="26">
        <v>58.424999999999997</v>
      </c>
      <c r="BB173" s="26">
        <v>63.24</v>
      </c>
      <c r="BC173" s="26">
        <v>44.786999999999999</v>
      </c>
      <c r="BD173" s="26">
        <v>60.83</v>
      </c>
      <c r="BE173" s="26">
        <v>23.31</v>
      </c>
      <c r="BF173" s="26">
        <v>38.859000000000002</v>
      </c>
      <c r="BG173" s="26">
        <v>49.917000000000002</v>
      </c>
      <c r="BH173" s="26">
        <v>64.12</v>
      </c>
      <c r="BI173" s="26">
        <v>62.738</v>
      </c>
      <c r="BJ173" s="26">
        <v>45.874000000000002</v>
      </c>
      <c r="BK173" s="26">
        <v>31.292999999999999</v>
      </c>
      <c r="BL173" s="26">
        <v>20.751999999999999</v>
      </c>
      <c r="BM173" s="26">
        <v>43.47</v>
      </c>
      <c r="BN173" s="26">
        <v>65.646000000000001</v>
      </c>
      <c r="BO173" s="26">
        <v>70.171999999999997</v>
      </c>
      <c r="BP173" s="26">
        <v>55.085999999999999</v>
      </c>
      <c r="BQ173" s="26">
        <v>42.981999999999999</v>
      </c>
      <c r="BR173" s="26">
        <v>23.094000000000001</v>
      </c>
      <c r="BS173" s="26">
        <v>45.923999999999999</v>
      </c>
      <c r="BT173" s="26">
        <v>14.377000000000001</v>
      </c>
      <c r="BU173" s="26">
        <v>14.757999999999999</v>
      </c>
      <c r="BV173" s="26">
        <v>56.411000000000001</v>
      </c>
      <c r="BW173" s="26">
        <v>31.946999999999999</v>
      </c>
      <c r="BX173" s="26">
        <v>55.761000000000003</v>
      </c>
      <c r="BY173" s="26">
        <v>32.363</v>
      </c>
      <c r="BZ173" s="26">
        <v>54.994</v>
      </c>
      <c r="CA173" s="26">
        <v>31.535</v>
      </c>
      <c r="CB173" s="26">
        <v>20.736000000000001</v>
      </c>
      <c r="CC173" s="26">
        <v>37.567</v>
      </c>
      <c r="CD173" s="26">
        <v>43.055</v>
      </c>
      <c r="CE173" s="26">
        <v>70.448999999999998</v>
      </c>
      <c r="CF173" s="26">
        <v>62.802999999999997</v>
      </c>
      <c r="CG173" s="26">
        <v>37.143999999999998</v>
      </c>
      <c r="CH173" s="26">
        <v>45.798000000000002</v>
      </c>
      <c r="CI173" s="26">
        <v>45.86</v>
      </c>
      <c r="CJ173" s="26">
        <v>36.81</v>
      </c>
      <c r="CK173" s="26">
        <v>31.239000000000001</v>
      </c>
      <c r="CL173" s="26">
        <v>65.64</v>
      </c>
      <c r="CM173" s="26">
        <v>7.1589999999999998</v>
      </c>
      <c r="CN173" s="26">
        <v>23.062999999999999</v>
      </c>
      <c r="CO173" s="26">
        <v>59.619</v>
      </c>
      <c r="CP173" s="26">
        <v>55.692999999999998</v>
      </c>
      <c r="CQ173" s="26">
        <v>55.402000000000001</v>
      </c>
      <c r="CR173" s="26">
        <v>30.323</v>
      </c>
      <c r="CS173" s="26">
        <v>32.244</v>
      </c>
      <c r="CT173" s="26">
        <v>69.572000000000003</v>
      </c>
      <c r="CU173" s="26">
        <v>65.64</v>
      </c>
      <c r="CV173" s="26">
        <v>31.448</v>
      </c>
      <c r="CW173" s="26">
        <v>31.466999999999999</v>
      </c>
      <c r="CX173" s="26">
        <v>47.747</v>
      </c>
      <c r="CY173" s="61"/>
      <c r="CZ173" s="537"/>
      <c r="DA173" s="61"/>
    </row>
    <row r="174" spans="1:16384" s="540" customFormat="1">
      <c r="A174" s="538" t="s">
        <v>126</v>
      </c>
      <c r="B174" s="539">
        <f t="shared" ref="B174:AG174" si="16">AVERAGE(B162:B173)</f>
        <v>55.105916666666666</v>
      </c>
      <c r="C174" s="539">
        <f t="shared" si="16"/>
        <v>45.161749999999991</v>
      </c>
      <c r="D174" s="539">
        <f t="shared" si="16"/>
        <v>62.067083333333329</v>
      </c>
      <c r="E174" s="539">
        <f t="shared" si="16"/>
        <v>45.982999999999997</v>
      </c>
      <c r="F174" s="539">
        <f t="shared" si="16"/>
        <v>39.642916666666665</v>
      </c>
      <c r="G174" s="539">
        <f t="shared" si="16"/>
        <v>49.34441666666666</v>
      </c>
      <c r="H174" s="539">
        <f t="shared" si="16"/>
        <v>45.995083333333326</v>
      </c>
      <c r="I174" s="539">
        <f t="shared" si="16"/>
        <v>42.281666666666659</v>
      </c>
      <c r="J174" s="539">
        <f t="shared" si="16"/>
        <v>25.067749999999993</v>
      </c>
      <c r="K174" s="539">
        <f t="shared" si="16"/>
        <v>58.306416666666671</v>
      </c>
      <c r="L174" s="539">
        <f t="shared" si="16"/>
        <v>55.197916666666664</v>
      </c>
      <c r="M174" s="539">
        <f t="shared" si="16"/>
        <v>50.559249999999999</v>
      </c>
      <c r="N174" s="539">
        <f t="shared" si="16"/>
        <v>61.020583333333342</v>
      </c>
      <c r="O174" s="539">
        <f t="shared" si="16"/>
        <v>39.255000000000003</v>
      </c>
      <c r="P174" s="539">
        <f t="shared" si="16"/>
        <v>40.79933333333333</v>
      </c>
      <c r="Q174" s="539">
        <f t="shared" si="16"/>
        <v>12.279216666666665</v>
      </c>
      <c r="R174" s="539">
        <f t="shared" si="16"/>
        <v>57.835833333333341</v>
      </c>
      <c r="S174" s="539">
        <f t="shared" si="16"/>
        <v>27.659916666666671</v>
      </c>
      <c r="T174" s="539">
        <f t="shared" si="16"/>
        <v>38.457083333333337</v>
      </c>
      <c r="U174" s="539">
        <f t="shared" si="16"/>
        <v>46.249333333333333</v>
      </c>
      <c r="V174" s="539">
        <f t="shared" si="16"/>
        <v>37.239000000000004</v>
      </c>
      <c r="W174" s="539">
        <f t="shared" si="16"/>
        <v>47.376083333333334</v>
      </c>
      <c r="X174" s="539">
        <f t="shared" si="16"/>
        <v>40.878166666666665</v>
      </c>
      <c r="Y174" s="539">
        <f t="shared" si="16"/>
        <v>36.228833333333334</v>
      </c>
      <c r="Z174" s="539">
        <f t="shared" si="16"/>
        <v>49.926333333333332</v>
      </c>
      <c r="AA174" s="539">
        <f t="shared" si="16"/>
        <v>47.267249999999997</v>
      </c>
      <c r="AB174" s="539">
        <f t="shared" si="16"/>
        <v>28.575641666666666</v>
      </c>
      <c r="AC174" s="539">
        <f t="shared" si="16"/>
        <v>39.864083333333333</v>
      </c>
      <c r="AD174" s="539">
        <f t="shared" si="16"/>
        <v>42.560916666666664</v>
      </c>
      <c r="AE174" s="539">
        <f t="shared" si="16"/>
        <v>48.296249999999993</v>
      </c>
      <c r="AF174" s="539">
        <f t="shared" si="16"/>
        <v>59.011249999999997</v>
      </c>
      <c r="AG174" s="539">
        <f t="shared" si="16"/>
        <v>45.246333333333332</v>
      </c>
      <c r="AH174" s="539">
        <f t="shared" ref="AH174:BM174" si="17">AVERAGE(AH162:AH173)</f>
        <v>29.458383333333334</v>
      </c>
      <c r="AI174" s="539">
        <f t="shared" si="17"/>
        <v>31.604916666666668</v>
      </c>
      <c r="AJ174" s="539">
        <f t="shared" si="17"/>
        <v>42.81583333333333</v>
      </c>
      <c r="AK174" s="539">
        <f t="shared" si="17"/>
        <v>36.619166666666665</v>
      </c>
      <c r="AL174" s="539">
        <f t="shared" si="17"/>
        <v>48.25383333333334</v>
      </c>
      <c r="AM174" s="539">
        <f t="shared" si="17"/>
        <v>61.292083333333331</v>
      </c>
      <c r="AN174" s="539">
        <f t="shared" si="17"/>
        <v>58.180583333333338</v>
      </c>
      <c r="AO174" s="539">
        <f t="shared" si="17"/>
        <v>43.994416666666666</v>
      </c>
      <c r="AP174" s="539">
        <f t="shared" si="17"/>
        <v>42.160583333333342</v>
      </c>
      <c r="AQ174" s="539">
        <f t="shared" si="17"/>
        <v>33.873916666666666</v>
      </c>
      <c r="AR174" s="539">
        <f t="shared" si="17"/>
        <v>53.461833333333324</v>
      </c>
      <c r="AS174" s="539">
        <f t="shared" si="17"/>
        <v>39.807000000000002</v>
      </c>
      <c r="AT174" s="539">
        <f t="shared" si="17"/>
        <v>7.0555333333333339</v>
      </c>
      <c r="AU174" s="539">
        <f t="shared" si="17"/>
        <v>44.871250000000003</v>
      </c>
      <c r="AV174" s="539">
        <f t="shared" si="17"/>
        <v>22.242275000000003</v>
      </c>
      <c r="AW174" s="539">
        <f t="shared" si="17"/>
        <v>36.938166666666667</v>
      </c>
      <c r="AX174" s="539">
        <f t="shared" si="17"/>
        <v>41.918249999999993</v>
      </c>
      <c r="AY174" s="539">
        <f t="shared" si="17"/>
        <v>38.4495</v>
      </c>
      <c r="AZ174" s="539">
        <f t="shared" si="17"/>
        <v>42.829083333333337</v>
      </c>
      <c r="BA174" s="539">
        <f t="shared" si="17"/>
        <v>55.354999999999997</v>
      </c>
      <c r="BB174" s="539">
        <f t="shared" si="17"/>
        <v>55.389416666666669</v>
      </c>
      <c r="BC174" s="539">
        <f t="shared" si="17"/>
        <v>39.403666666666673</v>
      </c>
      <c r="BD174" s="539">
        <f t="shared" si="17"/>
        <v>55.541500000000006</v>
      </c>
      <c r="BE174" s="539">
        <f t="shared" si="17"/>
        <v>16.476783333333334</v>
      </c>
      <c r="BF174" s="539">
        <f t="shared" si="17"/>
        <v>27.479016666666666</v>
      </c>
      <c r="BG174" s="539">
        <f t="shared" si="17"/>
        <v>40.386083333333339</v>
      </c>
      <c r="BH174" s="539">
        <f t="shared" si="17"/>
        <v>52.137499999999996</v>
      </c>
      <c r="BI174" s="539">
        <f t="shared" si="17"/>
        <v>57.965833333333343</v>
      </c>
      <c r="BJ174" s="539">
        <f t="shared" si="17"/>
        <v>39.528500000000001</v>
      </c>
      <c r="BK174" s="539">
        <f t="shared" si="17"/>
        <v>47.002333333333326</v>
      </c>
      <c r="BL174" s="539">
        <f t="shared" si="17"/>
        <v>13.6442</v>
      </c>
      <c r="BM174" s="539">
        <f t="shared" si="17"/>
        <v>47.43566666666667</v>
      </c>
      <c r="BN174" s="539">
        <f t="shared" ref="BN174:CS174" si="18">AVERAGE(BN162:BN173)</f>
        <v>63.45141666666666</v>
      </c>
      <c r="BO174" s="539">
        <f t="shared" si="18"/>
        <v>66.746416666666661</v>
      </c>
      <c r="BP174" s="539">
        <f t="shared" si="18"/>
        <v>48.769666666666673</v>
      </c>
      <c r="BQ174" s="539">
        <f t="shared" si="18"/>
        <v>46.670666666666655</v>
      </c>
      <c r="BR174" s="539">
        <f t="shared" si="18"/>
        <v>21.037424999999999</v>
      </c>
      <c r="BS174" s="539">
        <f t="shared" si="18"/>
        <v>54.319833333333328</v>
      </c>
      <c r="BT174" s="539">
        <f t="shared" si="18"/>
        <v>37.31066666666667</v>
      </c>
      <c r="BU174" s="539">
        <f t="shared" si="18"/>
        <v>21.782591666666665</v>
      </c>
      <c r="BV174" s="539">
        <f t="shared" si="18"/>
        <v>56.932833333333328</v>
      </c>
      <c r="BW174" s="539">
        <f t="shared" si="18"/>
        <v>33.328083333333332</v>
      </c>
      <c r="BX174" s="539">
        <f t="shared" si="18"/>
        <v>42.253583333333331</v>
      </c>
      <c r="BY174" s="539">
        <f t="shared" si="18"/>
        <v>49.298000000000002</v>
      </c>
      <c r="BZ174" s="539">
        <f t="shared" si="18"/>
        <v>54.271250000000009</v>
      </c>
      <c r="CA174" s="539">
        <f t="shared" si="18"/>
        <v>29.754999999999999</v>
      </c>
      <c r="CB174" s="539">
        <f t="shared" si="18"/>
        <v>12.253375</v>
      </c>
      <c r="CC174" s="539">
        <f t="shared" si="18"/>
        <v>33.891500000000001</v>
      </c>
      <c r="CD174" s="539">
        <f t="shared" si="18"/>
        <v>45.341916666666663</v>
      </c>
      <c r="CE174" s="539">
        <f t="shared" si="18"/>
        <v>52.586500000000001</v>
      </c>
      <c r="CF174" s="539">
        <f t="shared" si="18"/>
        <v>60.099166666666669</v>
      </c>
      <c r="CG174" s="539">
        <f t="shared" si="18"/>
        <v>51.85958333333334</v>
      </c>
      <c r="CH174" s="539">
        <f t="shared" si="18"/>
        <v>46.390083333333337</v>
      </c>
      <c r="CI174" s="539">
        <f t="shared" si="18"/>
        <v>54.398666666666657</v>
      </c>
      <c r="CJ174" s="539">
        <f t="shared" si="18"/>
        <v>31.766083333333331</v>
      </c>
      <c r="CK174" s="539">
        <f t="shared" si="18"/>
        <v>38.321316666666661</v>
      </c>
      <c r="CL174" s="539">
        <f t="shared" si="18"/>
        <v>57.379000000000012</v>
      </c>
      <c r="CM174" s="539">
        <f t="shared" si="18"/>
        <v>9.8587916666666668</v>
      </c>
      <c r="CN174" s="539">
        <f t="shared" si="18"/>
        <v>37.49133333333333</v>
      </c>
      <c r="CO174" s="539">
        <f t="shared" si="18"/>
        <v>54.123083333333334</v>
      </c>
      <c r="CP174" s="539">
        <f t="shared" si="18"/>
        <v>44.07233333333334</v>
      </c>
      <c r="CQ174" s="539">
        <f t="shared" si="18"/>
        <v>52.959250000000004</v>
      </c>
      <c r="CR174" s="539">
        <f t="shared" si="18"/>
        <v>5.606066666666667</v>
      </c>
      <c r="CS174" s="539">
        <f t="shared" si="18"/>
        <v>30.876249999999999</v>
      </c>
      <c r="CT174" s="539">
        <f>AVERAGE(CT162:CT173)</f>
        <v>57.840583333333342</v>
      </c>
      <c r="CU174" s="539">
        <f>AVERAGE(CU162:CU173)</f>
        <v>47.267000000000003</v>
      </c>
      <c r="CV174" s="539">
        <f>AVERAGE(CV162:CV173)</f>
        <v>41.793416666666666</v>
      </c>
      <c r="CW174" s="539">
        <f>AVERAGE(CW162:CW173)</f>
        <v>36.959666666666664</v>
      </c>
      <c r="CX174" s="539">
        <f>AVERAGE(CX162:CX173)</f>
        <v>45.083166666666664</v>
      </c>
      <c r="CY174" s="61"/>
      <c r="CZ174" s="537"/>
      <c r="DA174" s="537"/>
      <c r="DB174" s="537"/>
      <c r="DC174" s="537"/>
      <c r="DD174" s="537"/>
      <c r="DE174" s="537"/>
      <c r="DF174" s="537"/>
      <c r="DG174" s="537"/>
      <c r="DH174" s="537"/>
      <c r="DI174" s="537"/>
      <c r="DJ174" s="537"/>
      <c r="DK174" s="537"/>
      <c r="DL174" s="537"/>
      <c r="DM174" s="537"/>
      <c r="DN174" s="537"/>
      <c r="DO174" s="537"/>
      <c r="DP174" s="537"/>
      <c r="DQ174" s="537"/>
      <c r="DR174" s="537"/>
      <c r="DS174" s="537"/>
      <c r="DT174" s="537"/>
      <c r="DU174" s="537"/>
      <c r="DV174" s="537"/>
      <c r="DW174" s="537"/>
      <c r="DX174" s="537"/>
      <c r="DY174" s="537"/>
      <c r="DZ174" s="537"/>
      <c r="EA174" s="537"/>
      <c r="EB174" s="537"/>
      <c r="EC174" s="537"/>
      <c r="ED174" s="537"/>
      <c r="EE174" s="537"/>
      <c r="EF174" s="537"/>
      <c r="EG174" s="537"/>
      <c r="EH174" s="537"/>
      <c r="EI174" s="537"/>
      <c r="EJ174" s="537"/>
      <c r="EK174" s="537"/>
      <c r="EL174" s="537"/>
      <c r="EM174" s="537"/>
      <c r="EN174" s="537"/>
      <c r="EO174" s="537"/>
      <c r="EP174" s="537"/>
      <c r="EQ174" s="537"/>
      <c r="ER174" s="537"/>
      <c r="ES174" s="537"/>
      <c r="ET174" s="537"/>
      <c r="EU174" s="537"/>
      <c r="EV174" s="537"/>
      <c r="EW174" s="537"/>
      <c r="EX174" s="537"/>
      <c r="EY174" s="537"/>
      <c r="EZ174" s="537"/>
      <c r="FA174" s="537"/>
      <c r="FB174" s="537"/>
      <c r="FC174" s="537"/>
      <c r="FD174" s="537"/>
      <c r="FE174" s="537"/>
      <c r="FF174" s="537"/>
      <c r="FG174" s="537"/>
      <c r="FH174" s="537"/>
      <c r="FI174" s="537"/>
      <c r="FJ174" s="537"/>
      <c r="FK174" s="537"/>
      <c r="FL174" s="537"/>
      <c r="FM174" s="537"/>
      <c r="FN174" s="537"/>
      <c r="FO174" s="537"/>
      <c r="FP174" s="537"/>
      <c r="FQ174" s="537"/>
      <c r="FR174" s="537"/>
      <c r="FS174" s="537"/>
      <c r="FT174" s="537"/>
      <c r="FU174" s="537"/>
      <c r="FV174" s="537"/>
      <c r="FW174" s="537"/>
      <c r="FX174" s="537"/>
      <c r="FY174" s="537"/>
      <c r="FZ174" s="537"/>
      <c r="GA174" s="537"/>
      <c r="GB174" s="537"/>
      <c r="GC174" s="537"/>
      <c r="GD174" s="537"/>
      <c r="GE174" s="537"/>
      <c r="GF174" s="537"/>
      <c r="GG174" s="537"/>
      <c r="GH174" s="537"/>
      <c r="GI174" s="537"/>
      <c r="GJ174" s="537"/>
      <c r="GK174" s="537"/>
      <c r="GL174" s="537"/>
      <c r="GM174" s="537"/>
      <c r="GN174" s="537"/>
      <c r="GO174" s="537"/>
      <c r="GP174" s="537"/>
      <c r="GQ174" s="537"/>
      <c r="GR174" s="537"/>
      <c r="GS174" s="537"/>
      <c r="GT174" s="537"/>
      <c r="GU174" s="537"/>
      <c r="GV174" s="537"/>
      <c r="GW174" s="537"/>
      <c r="GX174" s="537"/>
      <c r="GY174" s="537"/>
      <c r="GZ174" s="537"/>
      <c r="HA174" s="537"/>
      <c r="HB174" s="537"/>
      <c r="HC174" s="537"/>
      <c r="HD174" s="537"/>
      <c r="HE174" s="537"/>
      <c r="HF174" s="537"/>
      <c r="HG174" s="537"/>
      <c r="HH174" s="537"/>
      <c r="HI174" s="537"/>
      <c r="HJ174" s="537"/>
      <c r="HK174" s="537"/>
      <c r="HL174" s="537"/>
      <c r="HM174" s="537"/>
      <c r="HN174" s="537"/>
      <c r="HO174" s="537"/>
      <c r="HP174" s="537"/>
      <c r="HQ174" s="537"/>
      <c r="HR174" s="537"/>
      <c r="HS174" s="537"/>
      <c r="HT174" s="537"/>
      <c r="HU174" s="537"/>
      <c r="HV174" s="537"/>
      <c r="HW174" s="537"/>
      <c r="HX174" s="537"/>
      <c r="HY174" s="537"/>
      <c r="HZ174" s="537"/>
      <c r="IA174" s="537"/>
      <c r="IB174" s="537"/>
      <c r="IC174" s="537"/>
      <c r="ID174" s="537"/>
      <c r="IE174" s="537"/>
      <c r="IF174" s="537"/>
      <c r="IG174" s="537"/>
      <c r="IH174" s="537"/>
      <c r="II174" s="537"/>
      <c r="IJ174" s="537"/>
      <c r="IK174" s="537"/>
      <c r="IL174" s="537"/>
      <c r="IM174" s="537"/>
      <c r="IN174" s="537"/>
      <c r="IO174" s="537"/>
      <c r="IP174" s="537"/>
      <c r="IQ174" s="537"/>
      <c r="IR174" s="537"/>
      <c r="IS174" s="537"/>
      <c r="IT174" s="537"/>
      <c r="IU174" s="537"/>
      <c r="IV174" s="537"/>
      <c r="IW174" s="537"/>
      <c r="IX174" s="537"/>
      <c r="IY174" s="537"/>
      <c r="IZ174" s="537"/>
      <c r="JA174" s="537"/>
      <c r="JB174" s="537"/>
      <c r="JC174" s="537"/>
      <c r="JD174" s="537"/>
      <c r="JE174" s="537"/>
      <c r="JF174" s="537"/>
      <c r="JG174" s="537"/>
      <c r="JH174" s="537"/>
      <c r="JI174" s="537"/>
      <c r="JJ174" s="537"/>
      <c r="JK174" s="537"/>
      <c r="JL174" s="537"/>
      <c r="JM174" s="537"/>
      <c r="JN174" s="537"/>
      <c r="JO174" s="537"/>
      <c r="JP174" s="537"/>
      <c r="JQ174" s="537"/>
      <c r="JR174" s="537"/>
      <c r="JS174" s="537"/>
      <c r="JT174" s="537"/>
      <c r="JU174" s="537"/>
      <c r="JV174" s="537"/>
      <c r="JW174" s="537"/>
      <c r="JX174" s="537"/>
      <c r="JY174" s="537"/>
      <c r="JZ174" s="537"/>
      <c r="KA174" s="537"/>
      <c r="KB174" s="537"/>
      <c r="KC174" s="537"/>
      <c r="KD174" s="537"/>
      <c r="KE174" s="537"/>
      <c r="KF174" s="537"/>
      <c r="KG174" s="537"/>
      <c r="KH174" s="537"/>
      <c r="KI174" s="537"/>
      <c r="KJ174" s="537"/>
      <c r="KK174" s="537"/>
      <c r="KL174" s="537"/>
      <c r="KM174" s="537"/>
      <c r="KN174" s="537"/>
      <c r="KO174" s="537"/>
      <c r="KP174" s="537"/>
      <c r="KQ174" s="537"/>
      <c r="KR174" s="537"/>
      <c r="KS174" s="537"/>
      <c r="KT174" s="537"/>
      <c r="KU174" s="537"/>
      <c r="KV174" s="537"/>
      <c r="KW174" s="537"/>
      <c r="KX174" s="537"/>
      <c r="KY174" s="537"/>
      <c r="KZ174" s="537"/>
      <c r="LA174" s="537"/>
      <c r="LB174" s="537"/>
      <c r="LC174" s="537"/>
      <c r="LD174" s="537"/>
      <c r="LE174" s="537"/>
      <c r="LF174" s="537"/>
      <c r="LG174" s="537"/>
      <c r="LH174" s="537"/>
      <c r="LI174" s="537"/>
      <c r="LJ174" s="537"/>
      <c r="LK174" s="537"/>
      <c r="LL174" s="537"/>
      <c r="LM174" s="537"/>
      <c r="LN174" s="537"/>
      <c r="LO174" s="537"/>
      <c r="LP174" s="537"/>
      <c r="LQ174" s="537"/>
      <c r="LR174" s="537"/>
      <c r="LS174" s="537"/>
      <c r="LT174" s="537"/>
      <c r="LU174" s="537"/>
      <c r="LV174" s="537"/>
      <c r="LW174" s="537"/>
      <c r="LX174" s="537"/>
      <c r="LY174" s="537"/>
      <c r="LZ174" s="537"/>
      <c r="MA174" s="537"/>
      <c r="MB174" s="537"/>
      <c r="MC174" s="537"/>
      <c r="MD174" s="537"/>
      <c r="ME174" s="537"/>
      <c r="MF174" s="537"/>
      <c r="MG174" s="537"/>
      <c r="MH174" s="537"/>
      <c r="MI174" s="537"/>
      <c r="MJ174" s="537"/>
      <c r="MK174" s="537"/>
      <c r="ML174" s="537"/>
      <c r="MM174" s="537"/>
      <c r="MN174" s="537"/>
      <c r="MO174" s="537"/>
      <c r="MP174" s="537"/>
      <c r="MQ174" s="537"/>
      <c r="MR174" s="537"/>
      <c r="MS174" s="537"/>
      <c r="MT174" s="537"/>
      <c r="MU174" s="537"/>
      <c r="MV174" s="537"/>
      <c r="MW174" s="537"/>
      <c r="MX174" s="537"/>
      <c r="MY174" s="537"/>
      <c r="MZ174" s="537"/>
      <c r="NA174" s="537"/>
      <c r="NB174" s="537"/>
      <c r="NC174" s="537"/>
      <c r="ND174" s="537"/>
      <c r="NE174" s="537"/>
      <c r="NF174" s="537"/>
      <c r="NG174" s="537"/>
      <c r="NH174" s="537"/>
      <c r="NI174" s="537"/>
      <c r="NJ174" s="537"/>
      <c r="NK174" s="537"/>
      <c r="NL174" s="537"/>
      <c r="NM174" s="537"/>
      <c r="NN174" s="537"/>
      <c r="NO174" s="537"/>
      <c r="NP174" s="537"/>
      <c r="NQ174" s="537"/>
      <c r="NR174" s="537"/>
      <c r="NS174" s="537"/>
      <c r="NT174" s="537"/>
      <c r="NU174" s="537"/>
      <c r="NV174" s="537"/>
      <c r="NW174" s="537"/>
      <c r="NX174" s="537"/>
      <c r="NY174" s="537"/>
      <c r="NZ174" s="537"/>
      <c r="OA174" s="537"/>
      <c r="OB174" s="537"/>
      <c r="OC174" s="537"/>
      <c r="OD174" s="537"/>
      <c r="OE174" s="537"/>
      <c r="OF174" s="537"/>
      <c r="OG174" s="537"/>
      <c r="OH174" s="537"/>
      <c r="OI174" s="537"/>
      <c r="OJ174" s="537"/>
      <c r="OK174" s="537"/>
      <c r="OL174" s="537"/>
      <c r="OM174" s="537"/>
      <c r="ON174" s="537"/>
      <c r="OO174" s="537"/>
      <c r="OP174" s="537"/>
      <c r="OQ174" s="537"/>
      <c r="OR174" s="537"/>
      <c r="OS174" s="537"/>
      <c r="OT174" s="537"/>
      <c r="OU174" s="537"/>
      <c r="OV174" s="537"/>
      <c r="OW174" s="537"/>
      <c r="OX174" s="537"/>
      <c r="OY174" s="537"/>
      <c r="OZ174" s="537"/>
      <c r="PA174" s="537"/>
      <c r="PB174" s="537"/>
      <c r="PC174" s="537"/>
      <c r="PD174" s="537"/>
      <c r="PE174" s="537"/>
      <c r="PF174" s="537"/>
      <c r="PG174" s="537"/>
      <c r="PH174" s="537"/>
      <c r="PI174" s="537"/>
      <c r="PJ174" s="537"/>
      <c r="PK174" s="537"/>
      <c r="PL174" s="537"/>
      <c r="PM174" s="537"/>
      <c r="PN174" s="537"/>
      <c r="PO174" s="537"/>
      <c r="PP174" s="537"/>
      <c r="PQ174" s="537"/>
      <c r="PR174" s="537"/>
      <c r="PS174" s="537"/>
      <c r="PT174" s="537"/>
      <c r="PU174" s="537"/>
      <c r="PV174" s="537"/>
      <c r="PW174" s="537"/>
      <c r="PX174" s="537"/>
      <c r="PY174" s="537"/>
      <c r="PZ174" s="537"/>
      <c r="QA174" s="537"/>
      <c r="QB174" s="537"/>
      <c r="QC174" s="537"/>
      <c r="QD174" s="537"/>
      <c r="QE174" s="537"/>
      <c r="QF174" s="537"/>
      <c r="QG174" s="537"/>
      <c r="QH174" s="537"/>
      <c r="QI174" s="537"/>
      <c r="QJ174" s="537"/>
      <c r="QK174" s="537"/>
      <c r="QL174" s="537"/>
      <c r="QM174" s="537"/>
      <c r="QN174" s="537"/>
      <c r="QO174" s="537"/>
      <c r="QP174" s="537"/>
      <c r="QQ174" s="537"/>
      <c r="QR174" s="537"/>
      <c r="QS174" s="537"/>
      <c r="QT174" s="537"/>
      <c r="QU174" s="537"/>
      <c r="QV174" s="537"/>
      <c r="QW174" s="537"/>
      <c r="QX174" s="537"/>
      <c r="QY174" s="537"/>
      <c r="QZ174" s="537"/>
      <c r="RA174" s="537"/>
      <c r="RB174" s="537"/>
      <c r="RC174" s="537"/>
      <c r="RD174" s="537"/>
      <c r="RE174" s="537"/>
      <c r="RF174" s="537"/>
      <c r="RG174" s="537"/>
      <c r="RH174" s="537"/>
      <c r="RI174" s="537"/>
      <c r="RJ174" s="537"/>
      <c r="RK174" s="537"/>
      <c r="RL174" s="537"/>
      <c r="RM174" s="537"/>
      <c r="RN174" s="537"/>
      <c r="RO174" s="537"/>
      <c r="RP174" s="537"/>
      <c r="RQ174" s="537"/>
      <c r="RR174" s="537"/>
      <c r="RS174" s="537"/>
      <c r="RT174" s="537"/>
      <c r="RU174" s="537"/>
      <c r="RV174" s="537"/>
      <c r="RW174" s="537"/>
      <c r="RX174" s="537"/>
      <c r="RY174" s="537"/>
      <c r="RZ174" s="537"/>
      <c r="SA174" s="537"/>
      <c r="SB174" s="537"/>
      <c r="SC174" s="537"/>
      <c r="SD174" s="537"/>
      <c r="SE174" s="537"/>
      <c r="SF174" s="537"/>
      <c r="SG174" s="537"/>
      <c r="SH174" s="537"/>
      <c r="SI174" s="537"/>
      <c r="SJ174" s="537"/>
      <c r="SK174" s="537"/>
      <c r="SL174" s="537"/>
      <c r="SM174" s="537"/>
      <c r="SN174" s="537"/>
      <c r="SO174" s="537"/>
      <c r="SP174" s="537"/>
      <c r="SQ174" s="537"/>
      <c r="SR174" s="537"/>
      <c r="SS174" s="537"/>
      <c r="ST174" s="537"/>
      <c r="SU174" s="537"/>
      <c r="SV174" s="537"/>
      <c r="SW174" s="537"/>
      <c r="SX174" s="537"/>
      <c r="SY174" s="537"/>
      <c r="SZ174" s="537"/>
      <c r="TA174" s="537"/>
      <c r="TB174" s="537"/>
      <c r="TC174" s="537"/>
      <c r="TD174" s="537"/>
      <c r="TE174" s="537"/>
      <c r="TF174" s="537"/>
      <c r="TG174" s="537"/>
      <c r="TH174" s="537"/>
      <c r="TI174" s="537"/>
      <c r="TJ174" s="537"/>
      <c r="TK174" s="537"/>
      <c r="TL174" s="537"/>
      <c r="TM174" s="537"/>
      <c r="TN174" s="537"/>
      <c r="TO174" s="537"/>
      <c r="TP174" s="537"/>
      <c r="TQ174" s="537"/>
      <c r="TR174" s="537"/>
      <c r="TS174" s="537"/>
      <c r="TT174" s="537"/>
      <c r="TU174" s="537"/>
      <c r="TV174" s="537"/>
      <c r="TW174" s="537"/>
      <c r="TX174" s="537"/>
      <c r="TY174" s="537"/>
      <c r="TZ174" s="537"/>
      <c r="UA174" s="537"/>
      <c r="UB174" s="537"/>
      <c r="UC174" s="537"/>
      <c r="UD174" s="537"/>
      <c r="UE174" s="537"/>
      <c r="UF174" s="537"/>
      <c r="UG174" s="537"/>
      <c r="UH174" s="537"/>
      <c r="UI174" s="537"/>
      <c r="UJ174" s="537"/>
      <c r="UK174" s="537"/>
      <c r="UL174" s="537"/>
      <c r="UM174" s="537"/>
      <c r="UN174" s="537"/>
      <c r="UO174" s="537"/>
      <c r="UP174" s="537"/>
      <c r="UQ174" s="537"/>
      <c r="UR174" s="537"/>
      <c r="US174" s="537"/>
      <c r="UT174" s="537"/>
      <c r="UU174" s="537"/>
      <c r="UV174" s="537"/>
      <c r="UW174" s="537"/>
      <c r="UX174" s="537"/>
      <c r="UY174" s="537"/>
      <c r="UZ174" s="537"/>
      <c r="VA174" s="537"/>
      <c r="VB174" s="537"/>
      <c r="VC174" s="537"/>
      <c r="VD174" s="537"/>
      <c r="VE174" s="537"/>
      <c r="VF174" s="537"/>
      <c r="VG174" s="537"/>
      <c r="VH174" s="537"/>
      <c r="VI174" s="537"/>
      <c r="VJ174" s="537"/>
      <c r="VK174" s="537"/>
      <c r="VL174" s="537"/>
      <c r="VM174" s="537"/>
      <c r="VN174" s="537"/>
      <c r="VO174" s="537"/>
      <c r="VP174" s="537"/>
      <c r="VQ174" s="537"/>
      <c r="VR174" s="537"/>
      <c r="VS174" s="537"/>
      <c r="VT174" s="537"/>
      <c r="VU174" s="537"/>
      <c r="VV174" s="537"/>
      <c r="VW174" s="537"/>
      <c r="VX174" s="537"/>
      <c r="VY174" s="537"/>
      <c r="VZ174" s="537"/>
      <c r="WA174" s="537"/>
      <c r="WB174" s="537"/>
      <c r="WC174" s="537"/>
      <c r="WD174" s="537"/>
      <c r="WE174" s="537"/>
      <c r="WF174" s="537"/>
      <c r="WG174" s="537"/>
      <c r="WH174" s="537"/>
      <c r="WI174" s="537"/>
      <c r="WJ174" s="537"/>
      <c r="WK174" s="537"/>
      <c r="WL174" s="537"/>
      <c r="WM174" s="537"/>
      <c r="WN174" s="537"/>
      <c r="WO174" s="537"/>
      <c r="WP174" s="537"/>
      <c r="WQ174" s="537"/>
      <c r="WR174" s="537"/>
      <c r="WS174" s="537"/>
      <c r="WT174" s="537"/>
      <c r="WU174" s="537"/>
      <c r="WV174" s="537"/>
      <c r="WW174" s="537"/>
      <c r="WX174" s="537"/>
      <c r="WY174" s="537"/>
      <c r="WZ174" s="537"/>
      <c r="XA174" s="537"/>
      <c r="XB174" s="537"/>
      <c r="XC174" s="537"/>
      <c r="XD174" s="537"/>
      <c r="XE174" s="537"/>
      <c r="XF174" s="537"/>
      <c r="XG174" s="537"/>
      <c r="XH174" s="537"/>
      <c r="XI174" s="537"/>
      <c r="XJ174" s="537"/>
      <c r="XK174" s="537"/>
      <c r="XL174" s="537"/>
      <c r="XM174" s="537"/>
      <c r="XN174" s="537"/>
      <c r="XO174" s="537"/>
      <c r="XP174" s="537"/>
      <c r="XQ174" s="537"/>
      <c r="XR174" s="537"/>
      <c r="XS174" s="537"/>
      <c r="XT174" s="537"/>
      <c r="XU174" s="537"/>
      <c r="XV174" s="537"/>
      <c r="XW174" s="537"/>
      <c r="XX174" s="537"/>
      <c r="XY174" s="537"/>
      <c r="XZ174" s="537"/>
      <c r="YA174" s="537"/>
      <c r="YB174" s="537"/>
      <c r="YC174" s="537"/>
      <c r="YD174" s="537"/>
      <c r="YE174" s="537"/>
      <c r="YF174" s="537"/>
      <c r="YG174" s="537"/>
      <c r="YH174" s="537"/>
      <c r="YI174" s="537"/>
      <c r="YJ174" s="537"/>
      <c r="YK174" s="537"/>
      <c r="YL174" s="537"/>
      <c r="YM174" s="537"/>
      <c r="YN174" s="537"/>
      <c r="YO174" s="537"/>
      <c r="YP174" s="537"/>
      <c r="YQ174" s="537"/>
      <c r="YR174" s="537"/>
      <c r="YS174" s="537"/>
      <c r="YT174" s="537"/>
      <c r="YU174" s="537"/>
      <c r="YV174" s="537"/>
      <c r="YW174" s="537"/>
      <c r="YX174" s="537"/>
      <c r="YY174" s="537"/>
      <c r="YZ174" s="537"/>
      <c r="ZA174" s="537"/>
      <c r="ZB174" s="537"/>
      <c r="ZC174" s="537"/>
      <c r="ZD174" s="537"/>
      <c r="ZE174" s="537"/>
      <c r="ZF174" s="537"/>
      <c r="ZG174" s="537"/>
      <c r="ZH174" s="537"/>
      <c r="ZI174" s="537"/>
      <c r="ZJ174" s="537"/>
      <c r="ZK174" s="537"/>
      <c r="ZL174" s="537"/>
      <c r="ZM174" s="537"/>
      <c r="ZN174" s="537"/>
      <c r="ZO174" s="537"/>
      <c r="ZP174" s="537"/>
      <c r="ZQ174" s="537"/>
      <c r="ZR174" s="537"/>
      <c r="ZS174" s="537"/>
      <c r="ZT174" s="537"/>
      <c r="ZU174" s="537"/>
      <c r="ZV174" s="537"/>
      <c r="ZW174" s="537"/>
      <c r="ZX174" s="537"/>
      <c r="ZY174" s="537"/>
      <c r="ZZ174" s="537"/>
      <c r="AAA174" s="537"/>
      <c r="AAB174" s="537"/>
      <c r="AAC174" s="537"/>
      <c r="AAD174" s="537"/>
      <c r="AAE174" s="537"/>
      <c r="AAF174" s="537"/>
      <c r="AAG174" s="537"/>
      <c r="AAH174" s="537"/>
      <c r="AAI174" s="537"/>
      <c r="AAJ174" s="537"/>
      <c r="AAK174" s="537"/>
      <c r="AAL174" s="537"/>
      <c r="AAM174" s="537"/>
      <c r="AAN174" s="537"/>
      <c r="AAO174" s="537"/>
      <c r="AAP174" s="537"/>
      <c r="AAQ174" s="537"/>
      <c r="AAR174" s="537"/>
      <c r="AAS174" s="537"/>
      <c r="AAT174" s="537"/>
      <c r="AAU174" s="537"/>
      <c r="AAV174" s="537"/>
      <c r="AAW174" s="537"/>
      <c r="AAX174" s="537"/>
      <c r="AAY174" s="537"/>
      <c r="AAZ174" s="537"/>
      <c r="ABA174" s="537"/>
      <c r="ABB174" s="537"/>
      <c r="ABC174" s="537"/>
      <c r="ABD174" s="537"/>
      <c r="ABE174" s="537"/>
      <c r="ABF174" s="537"/>
      <c r="ABG174" s="537"/>
      <c r="ABH174" s="537"/>
      <c r="ABI174" s="537"/>
      <c r="ABJ174" s="537"/>
      <c r="ABK174" s="537"/>
      <c r="ABL174" s="537"/>
      <c r="ABM174" s="537"/>
      <c r="ABN174" s="537"/>
      <c r="ABO174" s="537"/>
      <c r="ABP174" s="537"/>
      <c r="ABQ174" s="537"/>
      <c r="ABR174" s="537"/>
      <c r="ABS174" s="537"/>
      <c r="ABT174" s="537"/>
      <c r="ABU174" s="537"/>
      <c r="ABV174" s="537"/>
      <c r="ABW174" s="537"/>
      <c r="ABX174" s="537"/>
      <c r="ABY174" s="537"/>
      <c r="ABZ174" s="537"/>
      <c r="ACA174" s="537"/>
      <c r="ACB174" s="537"/>
      <c r="ACC174" s="537"/>
      <c r="ACD174" s="537"/>
      <c r="ACE174" s="537"/>
      <c r="ACF174" s="537"/>
      <c r="ACG174" s="537"/>
      <c r="ACH174" s="537"/>
      <c r="ACI174" s="537"/>
      <c r="ACJ174" s="537"/>
      <c r="ACK174" s="537"/>
      <c r="ACL174" s="537"/>
      <c r="ACM174" s="537"/>
      <c r="ACN174" s="537"/>
      <c r="ACO174" s="537"/>
      <c r="ACP174" s="537"/>
      <c r="ACQ174" s="537"/>
      <c r="ACR174" s="537"/>
      <c r="ACS174" s="537"/>
      <c r="ACT174" s="537"/>
      <c r="ACU174" s="537"/>
      <c r="ACV174" s="537"/>
      <c r="ACW174" s="537"/>
      <c r="ACX174" s="537"/>
      <c r="ACY174" s="537"/>
      <c r="ACZ174" s="537"/>
      <c r="ADA174" s="537"/>
      <c r="ADB174" s="537"/>
      <c r="ADC174" s="537"/>
      <c r="ADD174" s="537"/>
      <c r="ADE174" s="537"/>
      <c r="ADF174" s="537"/>
      <c r="ADG174" s="537"/>
      <c r="ADH174" s="537"/>
      <c r="ADI174" s="537"/>
      <c r="ADJ174" s="537"/>
      <c r="ADK174" s="537"/>
      <c r="ADL174" s="537"/>
      <c r="ADM174" s="537"/>
      <c r="ADN174" s="537"/>
      <c r="ADO174" s="537"/>
      <c r="ADP174" s="537"/>
      <c r="ADQ174" s="537"/>
      <c r="ADR174" s="537"/>
      <c r="ADS174" s="537"/>
      <c r="ADT174" s="537"/>
      <c r="ADU174" s="537"/>
      <c r="ADV174" s="537"/>
      <c r="ADW174" s="537"/>
      <c r="ADX174" s="537"/>
      <c r="ADY174" s="537"/>
      <c r="ADZ174" s="537"/>
      <c r="AEA174" s="537"/>
      <c r="AEB174" s="537"/>
      <c r="AEC174" s="537"/>
      <c r="AED174" s="537"/>
      <c r="AEE174" s="537"/>
      <c r="AEF174" s="537"/>
      <c r="AEG174" s="537"/>
      <c r="AEH174" s="537"/>
      <c r="AEI174" s="537"/>
      <c r="AEJ174" s="537"/>
      <c r="AEK174" s="537"/>
      <c r="AEL174" s="537"/>
      <c r="AEM174" s="537"/>
      <c r="AEN174" s="537"/>
      <c r="AEO174" s="537"/>
      <c r="AEP174" s="537"/>
      <c r="AEQ174" s="537"/>
      <c r="AER174" s="537"/>
      <c r="AES174" s="537"/>
      <c r="AET174" s="537"/>
      <c r="AEU174" s="537"/>
      <c r="AEV174" s="537"/>
      <c r="AEW174" s="537"/>
      <c r="AEX174" s="537"/>
      <c r="AEY174" s="537"/>
      <c r="AEZ174" s="537"/>
      <c r="AFA174" s="537"/>
      <c r="AFB174" s="537"/>
      <c r="AFC174" s="537"/>
      <c r="AFD174" s="537"/>
      <c r="AFE174" s="537"/>
      <c r="AFF174" s="537"/>
      <c r="AFG174" s="537"/>
      <c r="AFH174" s="537"/>
      <c r="AFI174" s="537"/>
      <c r="AFJ174" s="537"/>
      <c r="AFK174" s="537"/>
      <c r="AFL174" s="537"/>
      <c r="AFM174" s="537"/>
      <c r="AFN174" s="537"/>
      <c r="AFO174" s="537"/>
      <c r="AFP174" s="537"/>
      <c r="AFQ174" s="537"/>
      <c r="AFR174" s="537"/>
      <c r="AFS174" s="537"/>
      <c r="AFT174" s="537"/>
      <c r="AFU174" s="537"/>
      <c r="AFV174" s="537"/>
      <c r="AFW174" s="537"/>
      <c r="AFX174" s="537"/>
      <c r="AFY174" s="537"/>
      <c r="AFZ174" s="537"/>
      <c r="AGA174" s="537"/>
      <c r="AGB174" s="537"/>
      <c r="AGC174" s="537"/>
      <c r="AGD174" s="537"/>
      <c r="AGE174" s="537"/>
      <c r="AGF174" s="537"/>
      <c r="AGG174" s="537"/>
      <c r="AGH174" s="537"/>
      <c r="AGI174" s="537"/>
      <c r="AGJ174" s="537"/>
      <c r="AGK174" s="537"/>
      <c r="AGL174" s="537"/>
      <c r="AGM174" s="537"/>
      <c r="AGN174" s="537"/>
      <c r="AGO174" s="537"/>
      <c r="AGP174" s="537"/>
      <c r="AGQ174" s="537"/>
      <c r="AGR174" s="537"/>
      <c r="AGS174" s="537"/>
      <c r="AGT174" s="537"/>
      <c r="AGU174" s="537"/>
      <c r="AGV174" s="537"/>
      <c r="AGW174" s="537"/>
      <c r="AGX174" s="537"/>
      <c r="AGY174" s="537"/>
      <c r="AGZ174" s="537"/>
      <c r="AHA174" s="537"/>
      <c r="AHB174" s="537"/>
      <c r="AHC174" s="537"/>
      <c r="AHD174" s="537"/>
      <c r="AHE174" s="537"/>
      <c r="AHF174" s="537"/>
      <c r="AHG174" s="537"/>
      <c r="AHH174" s="537"/>
      <c r="AHI174" s="537"/>
      <c r="AHJ174" s="537"/>
      <c r="AHK174" s="537"/>
      <c r="AHL174" s="537"/>
      <c r="AHM174" s="537"/>
      <c r="AHN174" s="537"/>
      <c r="AHO174" s="537"/>
      <c r="AHP174" s="537"/>
      <c r="AHQ174" s="537"/>
      <c r="AHR174" s="537"/>
      <c r="AHS174" s="537"/>
      <c r="AHT174" s="537"/>
      <c r="AHU174" s="537"/>
      <c r="AHV174" s="537"/>
      <c r="AHW174" s="537"/>
      <c r="AHX174" s="537"/>
      <c r="AHY174" s="537"/>
      <c r="AHZ174" s="537"/>
      <c r="AIA174" s="537"/>
      <c r="AIB174" s="537"/>
      <c r="AIC174" s="537"/>
      <c r="AID174" s="537"/>
      <c r="AIE174" s="537"/>
      <c r="AIF174" s="537"/>
      <c r="AIG174" s="537"/>
      <c r="AIH174" s="537"/>
      <c r="AII174" s="537"/>
      <c r="AIJ174" s="537"/>
      <c r="AIK174" s="537"/>
      <c r="AIL174" s="537"/>
      <c r="AIM174" s="537"/>
      <c r="AIN174" s="537"/>
      <c r="AIO174" s="537"/>
      <c r="AIP174" s="537"/>
      <c r="AIQ174" s="537"/>
      <c r="AIR174" s="537"/>
      <c r="AIS174" s="537"/>
      <c r="AIT174" s="537"/>
      <c r="AIU174" s="537"/>
      <c r="AIV174" s="537"/>
      <c r="AIW174" s="537"/>
      <c r="AIX174" s="537"/>
      <c r="AIY174" s="537"/>
      <c r="AIZ174" s="537"/>
      <c r="AJA174" s="537"/>
      <c r="AJB174" s="537"/>
      <c r="AJC174" s="537"/>
      <c r="AJD174" s="537"/>
      <c r="AJE174" s="537"/>
      <c r="AJF174" s="537"/>
      <c r="AJG174" s="537"/>
      <c r="AJH174" s="537"/>
      <c r="AJI174" s="537"/>
      <c r="AJJ174" s="537"/>
      <c r="AJK174" s="537"/>
      <c r="AJL174" s="537"/>
      <c r="AJM174" s="537"/>
      <c r="AJN174" s="537"/>
      <c r="AJO174" s="537"/>
      <c r="AJP174" s="537"/>
      <c r="AJQ174" s="537"/>
      <c r="AJR174" s="537"/>
      <c r="AJS174" s="537"/>
      <c r="AJT174" s="537"/>
      <c r="AJU174" s="537"/>
      <c r="AJV174" s="537"/>
      <c r="AJW174" s="537"/>
      <c r="AJX174" s="537"/>
      <c r="AJY174" s="537"/>
      <c r="AJZ174" s="537"/>
      <c r="AKA174" s="537"/>
      <c r="AKB174" s="537"/>
      <c r="AKC174" s="537"/>
      <c r="AKD174" s="537"/>
      <c r="AKE174" s="537"/>
      <c r="AKF174" s="537"/>
      <c r="AKG174" s="537"/>
      <c r="AKH174" s="537"/>
      <c r="AKI174" s="537"/>
      <c r="AKJ174" s="537"/>
      <c r="AKK174" s="537"/>
      <c r="AKL174" s="537"/>
      <c r="AKM174" s="537"/>
      <c r="AKN174" s="537"/>
      <c r="AKO174" s="537"/>
      <c r="AKP174" s="537"/>
      <c r="AKQ174" s="537"/>
      <c r="AKR174" s="537"/>
      <c r="AKS174" s="537"/>
      <c r="AKT174" s="537"/>
      <c r="AKU174" s="537"/>
      <c r="AKV174" s="537"/>
      <c r="AKW174" s="537"/>
      <c r="AKX174" s="537"/>
      <c r="AKY174" s="537"/>
      <c r="AKZ174" s="537"/>
      <c r="ALA174" s="537"/>
      <c r="ALB174" s="537"/>
      <c r="ALC174" s="537"/>
      <c r="ALD174" s="537"/>
      <c r="ALE174" s="537"/>
      <c r="ALF174" s="537"/>
      <c r="ALG174" s="537"/>
      <c r="ALH174" s="537"/>
      <c r="ALI174" s="537"/>
      <c r="ALJ174" s="537"/>
      <c r="ALK174" s="537"/>
      <c r="ALL174" s="537"/>
      <c r="ALM174" s="537"/>
      <c r="ALN174" s="537"/>
      <c r="ALO174" s="537"/>
      <c r="ALP174" s="537"/>
      <c r="ALQ174" s="537"/>
      <c r="ALR174" s="537"/>
      <c r="ALS174" s="537"/>
      <c r="ALT174" s="537"/>
      <c r="ALU174" s="537"/>
      <c r="ALV174" s="537"/>
      <c r="ALW174" s="537"/>
      <c r="ALX174" s="537"/>
      <c r="ALY174" s="537"/>
      <c r="ALZ174" s="537"/>
      <c r="AMA174" s="537"/>
      <c r="AMB174" s="537"/>
      <c r="AMC174" s="537"/>
      <c r="AMD174" s="537"/>
      <c r="AME174" s="537"/>
      <c r="AMF174" s="537"/>
      <c r="AMG174" s="537"/>
      <c r="AMH174" s="537"/>
      <c r="AMI174" s="537"/>
      <c r="AMJ174" s="537"/>
      <c r="AMK174" s="537"/>
      <c r="AML174" s="537"/>
      <c r="AMM174" s="537"/>
      <c r="AMN174" s="537"/>
      <c r="AMO174" s="537"/>
      <c r="AMP174" s="537"/>
      <c r="AMQ174" s="537"/>
      <c r="AMR174" s="537"/>
      <c r="AMS174" s="537"/>
      <c r="AMT174" s="537"/>
      <c r="AMU174" s="537"/>
      <c r="AMV174" s="537"/>
      <c r="AMW174" s="537"/>
      <c r="AMX174" s="537"/>
      <c r="AMY174" s="537"/>
      <c r="AMZ174" s="537"/>
      <c r="ANA174" s="537"/>
      <c r="ANB174" s="537"/>
      <c r="ANC174" s="537"/>
      <c r="AND174" s="537"/>
      <c r="ANE174" s="537"/>
      <c r="ANF174" s="537"/>
      <c r="ANG174" s="537"/>
      <c r="ANH174" s="537"/>
      <c r="ANI174" s="537"/>
      <c r="ANJ174" s="537"/>
      <c r="ANK174" s="537"/>
      <c r="ANL174" s="537"/>
      <c r="ANM174" s="537"/>
      <c r="ANN174" s="537"/>
      <c r="ANO174" s="537"/>
      <c r="ANP174" s="537"/>
      <c r="ANQ174" s="537"/>
      <c r="ANR174" s="537"/>
      <c r="ANS174" s="537"/>
      <c r="ANT174" s="537"/>
      <c r="ANU174" s="537"/>
      <c r="ANV174" s="537"/>
      <c r="ANW174" s="537"/>
      <c r="ANX174" s="537"/>
      <c r="ANY174" s="537"/>
      <c r="ANZ174" s="537"/>
      <c r="AOA174" s="537"/>
      <c r="AOB174" s="537"/>
      <c r="AOC174" s="537"/>
      <c r="AOD174" s="537"/>
      <c r="AOE174" s="537"/>
      <c r="AOF174" s="537"/>
      <c r="AOG174" s="537"/>
      <c r="AOH174" s="537"/>
      <c r="AOI174" s="537"/>
      <c r="AOJ174" s="537"/>
      <c r="AOK174" s="537"/>
      <c r="AOL174" s="537"/>
      <c r="AOM174" s="537"/>
      <c r="AON174" s="537"/>
      <c r="AOO174" s="537"/>
      <c r="AOP174" s="537"/>
      <c r="AOQ174" s="537"/>
      <c r="AOR174" s="537"/>
      <c r="AOS174" s="537"/>
      <c r="AOT174" s="537"/>
      <c r="AOU174" s="537"/>
      <c r="AOV174" s="537"/>
      <c r="AOW174" s="537"/>
      <c r="AOX174" s="537"/>
      <c r="AOY174" s="537"/>
      <c r="AOZ174" s="537"/>
      <c r="APA174" s="537"/>
      <c r="APB174" s="537"/>
      <c r="APC174" s="537"/>
      <c r="APD174" s="537"/>
      <c r="APE174" s="537"/>
      <c r="APF174" s="537"/>
      <c r="APG174" s="537"/>
      <c r="APH174" s="537"/>
      <c r="API174" s="537"/>
      <c r="APJ174" s="537"/>
      <c r="APK174" s="537"/>
      <c r="APL174" s="537"/>
      <c r="APM174" s="537"/>
      <c r="APN174" s="537"/>
      <c r="APO174" s="537"/>
      <c r="APP174" s="537"/>
      <c r="APQ174" s="537"/>
      <c r="APR174" s="537"/>
      <c r="APS174" s="537"/>
      <c r="APT174" s="537"/>
      <c r="APU174" s="537"/>
      <c r="APV174" s="537"/>
      <c r="APW174" s="537"/>
      <c r="APX174" s="537"/>
      <c r="APY174" s="537"/>
      <c r="APZ174" s="537"/>
      <c r="AQA174" s="537"/>
      <c r="AQB174" s="537"/>
      <c r="AQC174" s="537"/>
      <c r="AQD174" s="537"/>
      <c r="AQE174" s="537"/>
      <c r="AQF174" s="537"/>
      <c r="AQG174" s="537"/>
      <c r="AQH174" s="537"/>
      <c r="AQI174" s="537"/>
      <c r="AQJ174" s="537"/>
      <c r="AQK174" s="537"/>
      <c r="AQL174" s="537"/>
      <c r="AQM174" s="537"/>
      <c r="AQN174" s="537"/>
      <c r="AQO174" s="537"/>
      <c r="AQP174" s="537"/>
      <c r="AQQ174" s="537"/>
      <c r="AQR174" s="537"/>
      <c r="AQS174" s="537"/>
      <c r="AQT174" s="537"/>
      <c r="AQU174" s="537"/>
      <c r="AQV174" s="537"/>
      <c r="AQW174" s="537"/>
      <c r="AQX174" s="537"/>
      <c r="AQY174" s="537"/>
      <c r="AQZ174" s="537"/>
      <c r="ARA174" s="537"/>
      <c r="ARB174" s="537"/>
      <c r="ARC174" s="537"/>
      <c r="ARD174" s="537"/>
      <c r="ARE174" s="537"/>
      <c r="ARF174" s="537"/>
      <c r="ARG174" s="537"/>
      <c r="ARH174" s="537"/>
      <c r="ARI174" s="537"/>
      <c r="ARJ174" s="537"/>
      <c r="ARK174" s="537"/>
      <c r="ARL174" s="537"/>
      <c r="ARM174" s="537"/>
      <c r="ARN174" s="537"/>
      <c r="ARO174" s="537"/>
      <c r="ARP174" s="537"/>
      <c r="ARQ174" s="537"/>
      <c r="ARR174" s="537"/>
      <c r="ARS174" s="537"/>
      <c r="ART174" s="537"/>
      <c r="ARU174" s="537"/>
      <c r="ARV174" s="537"/>
      <c r="ARW174" s="537"/>
      <c r="ARX174" s="537"/>
      <c r="ARY174" s="537"/>
      <c r="ARZ174" s="537"/>
      <c r="ASA174" s="537"/>
      <c r="ASB174" s="537"/>
      <c r="ASC174" s="537"/>
      <c r="ASD174" s="537"/>
      <c r="ASE174" s="537"/>
      <c r="ASF174" s="537"/>
      <c r="ASG174" s="537"/>
      <c r="ASH174" s="537"/>
      <c r="ASI174" s="537"/>
      <c r="ASJ174" s="537"/>
      <c r="ASK174" s="537"/>
      <c r="ASL174" s="537"/>
      <c r="ASM174" s="537"/>
      <c r="ASN174" s="537"/>
      <c r="ASO174" s="537"/>
      <c r="ASP174" s="537"/>
      <c r="ASQ174" s="537"/>
      <c r="ASR174" s="537"/>
      <c r="ASS174" s="537"/>
      <c r="AST174" s="537"/>
      <c r="ASU174" s="537"/>
      <c r="ASV174" s="537"/>
      <c r="ASW174" s="537"/>
      <c r="ASX174" s="537"/>
      <c r="ASY174" s="537"/>
      <c r="ASZ174" s="537"/>
      <c r="ATA174" s="537"/>
      <c r="ATB174" s="537"/>
      <c r="ATC174" s="537"/>
      <c r="ATD174" s="537"/>
      <c r="ATE174" s="537"/>
      <c r="ATF174" s="537"/>
      <c r="ATG174" s="537"/>
      <c r="ATH174" s="537"/>
      <c r="ATI174" s="537"/>
      <c r="ATJ174" s="537"/>
      <c r="ATK174" s="537"/>
      <c r="ATL174" s="537"/>
      <c r="ATM174" s="537"/>
      <c r="ATN174" s="537"/>
      <c r="ATO174" s="537"/>
      <c r="ATP174" s="537"/>
      <c r="ATQ174" s="537"/>
      <c r="ATR174" s="537"/>
      <c r="ATS174" s="537"/>
      <c r="ATT174" s="537"/>
      <c r="ATU174" s="537"/>
      <c r="ATV174" s="537"/>
      <c r="ATW174" s="537"/>
      <c r="ATX174" s="537"/>
      <c r="ATY174" s="537"/>
      <c r="ATZ174" s="537"/>
      <c r="AUA174" s="537"/>
      <c r="AUB174" s="537"/>
      <c r="AUC174" s="537"/>
      <c r="AUD174" s="537"/>
      <c r="AUE174" s="537"/>
      <c r="AUF174" s="537"/>
      <c r="AUG174" s="537"/>
      <c r="AUH174" s="537"/>
      <c r="AUI174" s="537"/>
      <c r="AUJ174" s="537"/>
      <c r="AUK174" s="537"/>
      <c r="AUL174" s="537"/>
      <c r="AUM174" s="537"/>
      <c r="AUN174" s="537"/>
      <c r="AUO174" s="537"/>
      <c r="AUP174" s="537"/>
      <c r="AUQ174" s="537"/>
      <c r="AUR174" s="537"/>
      <c r="AUS174" s="537"/>
      <c r="AUT174" s="537"/>
      <c r="AUU174" s="537"/>
      <c r="AUV174" s="537"/>
      <c r="AUW174" s="537"/>
      <c r="AUX174" s="537"/>
      <c r="AUY174" s="537"/>
      <c r="AUZ174" s="537"/>
      <c r="AVA174" s="537"/>
      <c r="AVB174" s="537"/>
      <c r="AVC174" s="537"/>
      <c r="AVD174" s="537"/>
      <c r="AVE174" s="537"/>
      <c r="AVF174" s="537"/>
      <c r="AVG174" s="537"/>
      <c r="AVH174" s="537"/>
      <c r="AVI174" s="537"/>
      <c r="AVJ174" s="537"/>
      <c r="AVK174" s="537"/>
      <c r="AVL174" s="537"/>
      <c r="AVM174" s="537"/>
      <c r="AVN174" s="537"/>
      <c r="AVO174" s="537"/>
      <c r="AVP174" s="537"/>
      <c r="AVQ174" s="537"/>
      <c r="AVR174" s="537"/>
      <c r="AVS174" s="537"/>
      <c r="AVT174" s="537"/>
      <c r="AVU174" s="537"/>
      <c r="AVV174" s="537"/>
      <c r="AVW174" s="537"/>
      <c r="AVX174" s="537"/>
      <c r="AVY174" s="537"/>
      <c r="AVZ174" s="537"/>
      <c r="AWA174" s="537"/>
      <c r="AWB174" s="537"/>
      <c r="AWC174" s="537"/>
      <c r="AWD174" s="537"/>
      <c r="AWE174" s="537"/>
      <c r="AWF174" s="537"/>
      <c r="AWG174" s="537"/>
      <c r="AWH174" s="537"/>
      <c r="AWI174" s="537"/>
      <c r="AWJ174" s="537"/>
      <c r="AWK174" s="537"/>
      <c r="AWL174" s="537"/>
      <c r="AWM174" s="537"/>
      <c r="AWN174" s="537"/>
      <c r="AWO174" s="537"/>
      <c r="AWP174" s="537"/>
      <c r="AWQ174" s="537"/>
      <c r="AWR174" s="537"/>
      <c r="AWS174" s="537"/>
      <c r="AWT174" s="537"/>
      <c r="AWU174" s="537"/>
      <c r="AWV174" s="537"/>
      <c r="AWW174" s="537"/>
      <c r="AWX174" s="537"/>
      <c r="AWY174" s="537"/>
      <c r="AWZ174" s="537"/>
      <c r="AXA174" s="537"/>
      <c r="AXB174" s="537"/>
      <c r="AXC174" s="537"/>
      <c r="AXD174" s="537"/>
      <c r="AXE174" s="537"/>
      <c r="AXF174" s="537"/>
      <c r="AXG174" s="537"/>
      <c r="AXH174" s="537"/>
      <c r="AXI174" s="537"/>
      <c r="AXJ174" s="537"/>
      <c r="AXK174" s="537"/>
      <c r="AXL174" s="537"/>
      <c r="AXM174" s="537"/>
      <c r="AXN174" s="537"/>
      <c r="AXO174" s="537"/>
      <c r="AXP174" s="537"/>
      <c r="AXQ174" s="537"/>
      <c r="AXR174" s="537"/>
      <c r="AXS174" s="537"/>
      <c r="AXT174" s="537"/>
      <c r="AXU174" s="537"/>
      <c r="AXV174" s="537"/>
      <c r="AXW174" s="537"/>
      <c r="AXX174" s="537"/>
      <c r="AXY174" s="537"/>
      <c r="AXZ174" s="537"/>
      <c r="AYA174" s="537"/>
      <c r="AYB174" s="537"/>
      <c r="AYC174" s="537"/>
      <c r="AYD174" s="537"/>
      <c r="AYE174" s="537"/>
      <c r="AYF174" s="537"/>
      <c r="AYG174" s="537"/>
      <c r="AYH174" s="537"/>
      <c r="AYI174" s="537"/>
      <c r="AYJ174" s="537"/>
      <c r="AYK174" s="537"/>
      <c r="AYL174" s="537"/>
      <c r="AYM174" s="537"/>
      <c r="AYN174" s="537"/>
      <c r="AYO174" s="537"/>
      <c r="AYP174" s="537"/>
      <c r="AYQ174" s="537"/>
      <c r="AYR174" s="537"/>
      <c r="AYS174" s="537"/>
      <c r="AYT174" s="537"/>
      <c r="AYU174" s="537"/>
      <c r="AYV174" s="537"/>
      <c r="AYW174" s="537"/>
      <c r="AYX174" s="537"/>
      <c r="AYY174" s="537"/>
      <c r="AYZ174" s="537"/>
      <c r="AZA174" s="537"/>
      <c r="AZB174" s="537"/>
      <c r="AZC174" s="537"/>
      <c r="AZD174" s="537"/>
      <c r="AZE174" s="537"/>
      <c r="AZF174" s="537"/>
      <c r="AZG174" s="537"/>
      <c r="AZH174" s="537"/>
      <c r="AZI174" s="537"/>
      <c r="AZJ174" s="537"/>
      <c r="AZK174" s="537"/>
      <c r="AZL174" s="537"/>
      <c r="AZM174" s="537"/>
      <c r="AZN174" s="537"/>
      <c r="AZO174" s="537"/>
      <c r="AZP174" s="537"/>
      <c r="AZQ174" s="537"/>
      <c r="AZR174" s="537"/>
      <c r="AZS174" s="537"/>
      <c r="AZT174" s="537"/>
      <c r="AZU174" s="537"/>
      <c r="AZV174" s="537"/>
      <c r="AZW174" s="537"/>
      <c r="AZX174" s="537"/>
      <c r="AZY174" s="537"/>
      <c r="AZZ174" s="537"/>
      <c r="BAA174" s="537"/>
      <c r="BAB174" s="537"/>
      <c r="BAC174" s="537"/>
      <c r="BAD174" s="537"/>
      <c r="BAE174" s="537"/>
      <c r="BAF174" s="537"/>
      <c r="BAG174" s="537"/>
      <c r="BAH174" s="537"/>
      <c r="BAI174" s="537"/>
      <c r="BAJ174" s="537"/>
      <c r="BAK174" s="537"/>
      <c r="BAL174" s="537"/>
      <c r="BAM174" s="537"/>
      <c r="BAN174" s="537"/>
      <c r="BAO174" s="537"/>
      <c r="BAP174" s="537"/>
      <c r="BAQ174" s="537"/>
      <c r="BAR174" s="537"/>
      <c r="BAS174" s="537"/>
      <c r="BAT174" s="537"/>
      <c r="BAU174" s="537"/>
      <c r="BAV174" s="537"/>
      <c r="BAW174" s="537"/>
      <c r="BAX174" s="537"/>
      <c r="BAY174" s="537"/>
      <c r="BAZ174" s="537"/>
      <c r="BBA174" s="537"/>
      <c r="BBB174" s="537"/>
      <c r="BBC174" s="537"/>
      <c r="BBD174" s="537"/>
      <c r="BBE174" s="537"/>
      <c r="BBF174" s="537"/>
      <c r="BBG174" s="537"/>
      <c r="BBH174" s="537"/>
      <c r="BBI174" s="537"/>
      <c r="BBJ174" s="537"/>
      <c r="BBK174" s="537"/>
      <c r="BBL174" s="537"/>
      <c r="BBM174" s="537"/>
      <c r="BBN174" s="537"/>
      <c r="BBO174" s="537"/>
      <c r="BBP174" s="537"/>
      <c r="BBQ174" s="537"/>
      <c r="BBR174" s="537"/>
      <c r="BBS174" s="537"/>
      <c r="BBT174" s="537"/>
      <c r="BBU174" s="537"/>
      <c r="BBV174" s="537"/>
      <c r="BBW174" s="537"/>
      <c r="BBX174" s="537"/>
      <c r="BBY174" s="537"/>
      <c r="BBZ174" s="537"/>
      <c r="BCA174" s="537"/>
      <c r="BCB174" s="537"/>
      <c r="BCC174" s="537"/>
      <c r="BCD174" s="537"/>
      <c r="BCE174" s="537"/>
      <c r="BCF174" s="537"/>
      <c r="BCG174" s="537"/>
      <c r="BCH174" s="537"/>
      <c r="BCI174" s="537"/>
      <c r="BCJ174" s="537"/>
      <c r="BCK174" s="537"/>
      <c r="BCL174" s="537"/>
      <c r="BCM174" s="537"/>
      <c r="BCN174" s="537"/>
      <c r="BCO174" s="537"/>
      <c r="BCP174" s="537"/>
      <c r="BCQ174" s="537"/>
      <c r="BCR174" s="537"/>
      <c r="BCS174" s="537"/>
      <c r="BCT174" s="537"/>
      <c r="BCU174" s="537"/>
      <c r="BCV174" s="537"/>
      <c r="BCW174" s="537"/>
      <c r="BCX174" s="537"/>
      <c r="BCY174" s="537"/>
      <c r="BCZ174" s="537"/>
      <c r="BDA174" s="537"/>
      <c r="BDB174" s="537"/>
      <c r="BDC174" s="537"/>
      <c r="BDD174" s="537"/>
      <c r="BDE174" s="537"/>
      <c r="BDF174" s="537"/>
      <c r="BDG174" s="537"/>
      <c r="BDH174" s="537"/>
      <c r="BDI174" s="537"/>
      <c r="BDJ174" s="537"/>
      <c r="BDK174" s="537"/>
      <c r="BDL174" s="537"/>
      <c r="BDM174" s="537"/>
      <c r="BDN174" s="537"/>
      <c r="BDO174" s="537"/>
      <c r="BDP174" s="537"/>
      <c r="BDQ174" s="537"/>
      <c r="BDR174" s="537"/>
      <c r="BDS174" s="537"/>
      <c r="BDT174" s="537"/>
      <c r="BDU174" s="537"/>
      <c r="BDV174" s="537"/>
      <c r="BDW174" s="537"/>
      <c r="BDX174" s="537"/>
      <c r="BDY174" s="537"/>
      <c r="BDZ174" s="537"/>
      <c r="BEA174" s="537"/>
      <c r="BEB174" s="537"/>
      <c r="BEC174" s="537"/>
      <c r="BED174" s="537"/>
      <c r="BEE174" s="537"/>
      <c r="BEF174" s="537"/>
      <c r="BEG174" s="537"/>
      <c r="BEH174" s="537"/>
      <c r="BEI174" s="537"/>
      <c r="BEJ174" s="537"/>
      <c r="BEK174" s="537"/>
      <c r="BEL174" s="537"/>
      <c r="BEM174" s="537"/>
      <c r="BEN174" s="537"/>
      <c r="BEO174" s="537"/>
      <c r="BEP174" s="537"/>
      <c r="BEQ174" s="537"/>
      <c r="BER174" s="537"/>
      <c r="BES174" s="537"/>
      <c r="BET174" s="537"/>
      <c r="BEU174" s="537"/>
      <c r="BEV174" s="537"/>
      <c r="BEW174" s="537"/>
      <c r="BEX174" s="537"/>
      <c r="BEY174" s="537"/>
      <c r="BEZ174" s="537"/>
      <c r="BFA174" s="537"/>
      <c r="BFB174" s="537"/>
      <c r="BFC174" s="537"/>
      <c r="BFD174" s="537"/>
      <c r="BFE174" s="537"/>
      <c r="BFF174" s="537"/>
      <c r="BFG174" s="537"/>
      <c r="BFH174" s="537"/>
      <c r="BFI174" s="537"/>
      <c r="BFJ174" s="537"/>
      <c r="BFK174" s="537"/>
      <c r="BFL174" s="537"/>
      <c r="BFM174" s="537"/>
      <c r="BFN174" s="537"/>
      <c r="BFO174" s="537"/>
      <c r="BFP174" s="537"/>
      <c r="BFQ174" s="537"/>
      <c r="BFR174" s="537"/>
      <c r="BFS174" s="537"/>
      <c r="BFT174" s="537"/>
      <c r="BFU174" s="537"/>
      <c r="BFV174" s="537"/>
      <c r="BFW174" s="537"/>
      <c r="BFX174" s="537"/>
      <c r="BFY174" s="537"/>
      <c r="BFZ174" s="537"/>
      <c r="BGA174" s="537"/>
      <c r="BGB174" s="537"/>
      <c r="BGC174" s="537"/>
      <c r="BGD174" s="537"/>
      <c r="BGE174" s="537"/>
      <c r="BGF174" s="537"/>
      <c r="BGG174" s="537"/>
      <c r="BGH174" s="537"/>
      <c r="BGI174" s="537"/>
      <c r="BGJ174" s="537"/>
      <c r="BGK174" s="537"/>
      <c r="BGL174" s="537"/>
      <c r="BGM174" s="537"/>
      <c r="BGN174" s="537"/>
      <c r="BGO174" s="537"/>
      <c r="BGP174" s="537"/>
      <c r="BGQ174" s="537"/>
      <c r="BGR174" s="537"/>
      <c r="BGS174" s="537"/>
      <c r="BGT174" s="537"/>
      <c r="BGU174" s="537"/>
      <c r="BGV174" s="537"/>
      <c r="BGW174" s="537"/>
      <c r="BGX174" s="537"/>
      <c r="BGY174" s="537"/>
      <c r="BGZ174" s="537"/>
      <c r="BHA174" s="537"/>
      <c r="BHB174" s="537"/>
      <c r="BHC174" s="537"/>
      <c r="BHD174" s="537"/>
      <c r="BHE174" s="537"/>
      <c r="BHF174" s="537"/>
      <c r="BHG174" s="537"/>
      <c r="BHH174" s="537"/>
      <c r="BHI174" s="537"/>
      <c r="BHJ174" s="537"/>
      <c r="BHK174" s="537"/>
      <c r="BHL174" s="537"/>
      <c r="BHM174" s="537"/>
      <c r="BHN174" s="537"/>
      <c r="BHO174" s="537"/>
      <c r="BHP174" s="537"/>
      <c r="BHQ174" s="537"/>
      <c r="BHR174" s="537"/>
      <c r="BHS174" s="537"/>
      <c r="BHT174" s="537"/>
      <c r="BHU174" s="537"/>
      <c r="BHV174" s="537"/>
      <c r="BHW174" s="537"/>
      <c r="BHX174" s="537"/>
      <c r="BHY174" s="537"/>
      <c r="BHZ174" s="537"/>
      <c r="BIA174" s="537"/>
      <c r="BIB174" s="537"/>
      <c r="BIC174" s="537"/>
      <c r="BID174" s="537"/>
      <c r="BIE174" s="537"/>
      <c r="BIF174" s="537"/>
      <c r="BIG174" s="537"/>
      <c r="BIH174" s="537"/>
      <c r="BII174" s="537"/>
      <c r="BIJ174" s="537"/>
      <c r="BIK174" s="537"/>
      <c r="BIL174" s="537"/>
      <c r="BIM174" s="537"/>
      <c r="BIN174" s="537"/>
      <c r="BIO174" s="537"/>
      <c r="BIP174" s="537"/>
      <c r="BIQ174" s="537"/>
      <c r="BIR174" s="537"/>
      <c r="BIS174" s="537"/>
      <c r="BIT174" s="537"/>
      <c r="BIU174" s="537"/>
      <c r="BIV174" s="537"/>
      <c r="BIW174" s="537"/>
      <c r="BIX174" s="537"/>
      <c r="BIY174" s="537"/>
      <c r="BIZ174" s="537"/>
      <c r="BJA174" s="537"/>
      <c r="BJB174" s="537"/>
      <c r="BJC174" s="537"/>
      <c r="BJD174" s="537"/>
      <c r="BJE174" s="537"/>
      <c r="BJF174" s="537"/>
      <c r="BJG174" s="537"/>
      <c r="BJH174" s="537"/>
      <c r="BJI174" s="537"/>
      <c r="BJJ174" s="537"/>
      <c r="BJK174" s="537"/>
      <c r="BJL174" s="537"/>
      <c r="BJM174" s="537"/>
      <c r="BJN174" s="537"/>
      <c r="BJO174" s="537"/>
      <c r="BJP174" s="537"/>
      <c r="BJQ174" s="537"/>
      <c r="BJR174" s="537"/>
      <c r="BJS174" s="537"/>
      <c r="BJT174" s="537"/>
      <c r="BJU174" s="537"/>
      <c r="BJV174" s="537"/>
      <c r="BJW174" s="537"/>
      <c r="BJX174" s="537"/>
      <c r="BJY174" s="537"/>
      <c r="BJZ174" s="537"/>
      <c r="BKA174" s="537"/>
      <c r="BKB174" s="537"/>
      <c r="BKC174" s="537"/>
      <c r="BKD174" s="537"/>
      <c r="BKE174" s="537"/>
      <c r="BKF174" s="537"/>
      <c r="BKG174" s="537"/>
      <c r="BKH174" s="537"/>
      <c r="BKI174" s="537"/>
      <c r="BKJ174" s="537"/>
      <c r="BKK174" s="537"/>
      <c r="BKL174" s="537"/>
      <c r="BKM174" s="537"/>
      <c r="BKN174" s="537"/>
      <c r="BKO174" s="537"/>
      <c r="BKP174" s="537"/>
      <c r="BKQ174" s="537"/>
      <c r="BKR174" s="537"/>
      <c r="BKS174" s="537"/>
      <c r="BKT174" s="537"/>
      <c r="BKU174" s="537"/>
      <c r="BKV174" s="537"/>
      <c r="BKW174" s="537"/>
      <c r="BKX174" s="537"/>
      <c r="BKY174" s="537"/>
      <c r="BKZ174" s="537"/>
      <c r="BLA174" s="537"/>
      <c r="BLB174" s="537"/>
      <c r="BLC174" s="537"/>
      <c r="BLD174" s="537"/>
      <c r="BLE174" s="537"/>
      <c r="BLF174" s="537"/>
      <c r="BLG174" s="537"/>
      <c r="BLH174" s="537"/>
      <c r="BLI174" s="537"/>
      <c r="BLJ174" s="537"/>
      <c r="BLK174" s="537"/>
      <c r="BLL174" s="537"/>
      <c r="BLM174" s="537"/>
      <c r="BLN174" s="537"/>
      <c r="BLO174" s="537"/>
      <c r="BLP174" s="537"/>
      <c r="BLQ174" s="537"/>
      <c r="BLR174" s="537"/>
      <c r="BLS174" s="537"/>
      <c r="BLT174" s="537"/>
      <c r="BLU174" s="537"/>
      <c r="BLV174" s="537"/>
      <c r="BLW174" s="537"/>
      <c r="BLX174" s="537"/>
      <c r="BLY174" s="537"/>
      <c r="BLZ174" s="537"/>
      <c r="BMA174" s="537"/>
      <c r="BMB174" s="537"/>
      <c r="BMC174" s="537"/>
      <c r="BMD174" s="537"/>
      <c r="BME174" s="537"/>
      <c r="BMF174" s="537"/>
      <c r="BMG174" s="537"/>
      <c r="BMH174" s="537"/>
      <c r="BMI174" s="537"/>
      <c r="BMJ174" s="537"/>
      <c r="BMK174" s="537"/>
      <c r="BML174" s="537"/>
      <c r="BMM174" s="537"/>
      <c r="BMN174" s="537"/>
      <c r="BMO174" s="537"/>
      <c r="BMP174" s="537"/>
      <c r="BMQ174" s="537"/>
      <c r="BMR174" s="537"/>
      <c r="BMS174" s="537"/>
      <c r="BMT174" s="537"/>
      <c r="BMU174" s="537"/>
      <c r="BMV174" s="537"/>
      <c r="BMW174" s="537"/>
      <c r="BMX174" s="537"/>
      <c r="BMY174" s="537"/>
      <c r="BMZ174" s="537"/>
      <c r="BNA174" s="537"/>
      <c r="BNB174" s="537"/>
      <c r="BNC174" s="537"/>
      <c r="BND174" s="537"/>
      <c r="BNE174" s="537"/>
      <c r="BNF174" s="537"/>
      <c r="BNG174" s="537"/>
      <c r="BNH174" s="537"/>
      <c r="BNI174" s="537"/>
      <c r="BNJ174" s="537"/>
      <c r="BNK174" s="537"/>
      <c r="BNL174" s="537"/>
      <c r="BNM174" s="537"/>
      <c r="BNN174" s="537"/>
      <c r="BNO174" s="537"/>
      <c r="BNP174" s="537"/>
      <c r="BNQ174" s="537"/>
      <c r="BNR174" s="537"/>
      <c r="BNS174" s="537"/>
      <c r="BNT174" s="537"/>
      <c r="BNU174" s="537"/>
      <c r="BNV174" s="537"/>
      <c r="BNW174" s="537"/>
      <c r="BNX174" s="537"/>
      <c r="BNY174" s="537"/>
      <c r="BNZ174" s="537"/>
      <c r="BOA174" s="537"/>
      <c r="BOB174" s="537"/>
      <c r="BOC174" s="537"/>
      <c r="BOD174" s="537"/>
      <c r="BOE174" s="537"/>
      <c r="BOF174" s="537"/>
      <c r="BOG174" s="537"/>
      <c r="BOH174" s="537"/>
      <c r="BOI174" s="537"/>
      <c r="BOJ174" s="537"/>
      <c r="BOK174" s="537"/>
      <c r="BOL174" s="537"/>
      <c r="BOM174" s="537"/>
      <c r="BON174" s="537"/>
      <c r="BOO174" s="537"/>
      <c r="BOP174" s="537"/>
      <c r="BOQ174" s="537"/>
      <c r="BOR174" s="537"/>
      <c r="BOS174" s="537"/>
      <c r="BOT174" s="537"/>
      <c r="BOU174" s="537"/>
      <c r="BOV174" s="537"/>
      <c r="BOW174" s="537"/>
      <c r="BOX174" s="537"/>
      <c r="BOY174" s="537"/>
      <c r="BOZ174" s="537"/>
      <c r="BPA174" s="537"/>
      <c r="BPB174" s="537"/>
      <c r="BPC174" s="537"/>
      <c r="BPD174" s="537"/>
      <c r="BPE174" s="537"/>
      <c r="BPF174" s="537"/>
      <c r="BPG174" s="537"/>
      <c r="BPH174" s="537"/>
      <c r="BPI174" s="537"/>
      <c r="BPJ174" s="537"/>
      <c r="BPK174" s="537"/>
      <c r="BPL174" s="537"/>
      <c r="BPM174" s="537"/>
      <c r="BPN174" s="537"/>
      <c r="BPO174" s="537"/>
      <c r="BPP174" s="537"/>
      <c r="BPQ174" s="537"/>
      <c r="BPR174" s="537"/>
      <c r="BPS174" s="537"/>
      <c r="BPT174" s="537"/>
      <c r="BPU174" s="537"/>
      <c r="BPV174" s="537"/>
      <c r="BPW174" s="537"/>
      <c r="BPX174" s="537"/>
      <c r="BPY174" s="537"/>
      <c r="BPZ174" s="537"/>
      <c r="BQA174" s="537"/>
      <c r="BQB174" s="537"/>
      <c r="BQC174" s="537"/>
      <c r="BQD174" s="537"/>
      <c r="BQE174" s="537"/>
      <c r="BQF174" s="537"/>
      <c r="BQG174" s="537"/>
      <c r="BQH174" s="537"/>
      <c r="BQI174" s="537"/>
      <c r="BQJ174" s="537"/>
      <c r="BQK174" s="537"/>
      <c r="BQL174" s="537"/>
      <c r="BQM174" s="537"/>
      <c r="BQN174" s="537"/>
      <c r="BQO174" s="537"/>
      <c r="BQP174" s="537"/>
      <c r="BQQ174" s="537"/>
      <c r="BQR174" s="537"/>
      <c r="BQS174" s="537"/>
      <c r="BQT174" s="537"/>
      <c r="BQU174" s="537"/>
      <c r="BQV174" s="537"/>
      <c r="BQW174" s="537"/>
      <c r="BQX174" s="537"/>
      <c r="BQY174" s="537"/>
      <c r="BQZ174" s="537"/>
      <c r="BRA174" s="537"/>
      <c r="BRB174" s="537"/>
      <c r="BRC174" s="537"/>
      <c r="BRD174" s="537"/>
      <c r="BRE174" s="537"/>
      <c r="BRF174" s="537"/>
      <c r="BRG174" s="537"/>
      <c r="BRH174" s="537"/>
      <c r="BRI174" s="537"/>
      <c r="BRJ174" s="537"/>
      <c r="BRK174" s="537"/>
      <c r="BRL174" s="537"/>
      <c r="BRM174" s="537"/>
      <c r="BRN174" s="537"/>
      <c r="BRO174" s="537"/>
      <c r="BRP174" s="537"/>
      <c r="BRQ174" s="537"/>
      <c r="BRR174" s="537"/>
      <c r="BRS174" s="537"/>
      <c r="BRT174" s="537"/>
      <c r="BRU174" s="537"/>
      <c r="BRV174" s="537"/>
      <c r="BRW174" s="537"/>
      <c r="BRX174" s="537"/>
      <c r="BRY174" s="537"/>
      <c r="BRZ174" s="537"/>
      <c r="BSA174" s="537"/>
      <c r="BSB174" s="537"/>
      <c r="BSC174" s="537"/>
      <c r="BSD174" s="537"/>
      <c r="BSE174" s="537"/>
      <c r="BSF174" s="537"/>
      <c r="BSG174" s="537"/>
      <c r="BSH174" s="537"/>
      <c r="BSI174" s="537"/>
      <c r="BSJ174" s="537"/>
      <c r="BSK174" s="537"/>
      <c r="BSL174" s="537"/>
      <c r="BSM174" s="537"/>
      <c r="BSN174" s="537"/>
      <c r="BSO174" s="537"/>
      <c r="BSP174" s="537"/>
      <c r="BSQ174" s="537"/>
      <c r="BSR174" s="537"/>
      <c r="BSS174" s="537"/>
      <c r="BST174" s="537"/>
      <c r="BSU174" s="537"/>
      <c r="BSV174" s="537"/>
      <c r="BSW174" s="537"/>
      <c r="BSX174" s="537"/>
      <c r="BSY174" s="537"/>
      <c r="BSZ174" s="537"/>
      <c r="BTA174" s="537"/>
      <c r="BTB174" s="537"/>
      <c r="BTC174" s="537"/>
      <c r="BTD174" s="537"/>
      <c r="BTE174" s="537"/>
      <c r="BTF174" s="537"/>
      <c r="BTG174" s="537"/>
      <c r="BTH174" s="537"/>
      <c r="BTI174" s="537"/>
      <c r="BTJ174" s="537"/>
      <c r="BTK174" s="537"/>
      <c r="BTL174" s="537"/>
      <c r="BTM174" s="537"/>
      <c r="BTN174" s="537"/>
      <c r="BTO174" s="537"/>
      <c r="BTP174" s="537"/>
      <c r="BTQ174" s="537"/>
      <c r="BTR174" s="537"/>
      <c r="BTS174" s="537"/>
      <c r="BTT174" s="537"/>
      <c r="BTU174" s="537"/>
      <c r="BTV174" s="537"/>
      <c r="BTW174" s="537"/>
      <c r="BTX174" s="537"/>
      <c r="BTY174" s="537"/>
      <c r="BTZ174" s="537"/>
      <c r="BUA174" s="537"/>
      <c r="BUB174" s="537"/>
      <c r="BUC174" s="537"/>
      <c r="BUD174" s="537"/>
      <c r="BUE174" s="537"/>
      <c r="BUF174" s="537"/>
      <c r="BUG174" s="537"/>
      <c r="BUH174" s="537"/>
      <c r="BUI174" s="537"/>
      <c r="BUJ174" s="537"/>
      <c r="BUK174" s="537"/>
      <c r="BUL174" s="537"/>
      <c r="BUM174" s="537"/>
      <c r="BUN174" s="537"/>
      <c r="BUO174" s="537"/>
      <c r="BUP174" s="537"/>
      <c r="BUQ174" s="537"/>
      <c r="BUR174" s="537"/>
      <c r="BUS174" s="537"/>
      <c r="BUT174" s="537"/>
      <c r="BUU174" s="537"/>
      <c r="BUV174" s="537"/>
      <c r="BUW174" s="537"/>
      <c r="BUX174" s="537"/>
      <c r="BUY174" s="537"/>
      <c r="BUZ174" s="537"/>
      <c r="BVA174" s="537"/>
      <c r="BVB174" s="537"/>
      <c r="BVC174" s="537"/>
      <c r="BVD174" s="537"/>
      <c r="BVE174" s="537"/>
      <c r="BVF174" s="537"/>
      <c r="BVG174" s="537"/>
      <c r="BVH174" s="537"/>
      <c r="BVI174" s="537"/>
      <c r="BVJ174" s="537"/>
      <c r="BVK174" s="537"/>
      <c r="BVL174" s="537"/>
      <c r="BVM174" s="537"/>
      <c r="BVN174" s="537"/>
      <c r="BVO174" s="537"/>
      <c r="BVP174" s="537"/>
      <c r="BVQ174" s="537"/>
      <c r="BVR174" s="537"/>
      <c r="BVS174" s="537"/>
      <c r="BVT174" s="537"/>
      <c r="BVU174" s="537"/>
      <c r="BVV174" s="537"/>
      <c r="BVW174" s="537"/>
      <c r="BVX174" s="537"/>
      <c r="BVY174" s="537"/>
      <c r="BVZ174" s="537"/>
      <c r="BWA174" s="537"/>
      <c r="BWB174" s="537"/>
      <c r="BWC174" s="537"/>
      <c r="BWD174" s="537"/>
      <c r="BWE174" s="537"/>
      <c r="BWF174" s="537"/>
      <c r="BWG174" s="537"/>
      <c r="BWH174" s="537"/>
      <c r="BWI174" s="537"/>
      <c r="BWJ174" s="537"/>
      <c r="BWK174" s="537"/>
      <c r="BWL174" s="537"/>
      <c r="BWM174" s="537"/>
      <c r="BWN174" s="537"/>
      <c r="BWO174" s="537"/>
      <c r="BWP174" s="537"/>
      <c r="BWQ174" s="537"/>
      <c r="BWR174" s="537"/>
      <c r="BWS174" s="537"/>
      <c r="BWT174" s="537"/>
      <c r="BWU174" s="537"/>
      <c r="BWV174" s="537"/>
      <c r="BWW174" s="537"/>
      <c r="BWX174" s="537"/>
      <c r="BWY174" s="537"/>
      <c r="BWZ174" s="537"/>
      <c r="BXA174" s="537"/>
      <c r="BXB174" s="537"/>
      <c r="BXC174" s="537"/>
      <c r="BXD174" s="537"/>
      <c r="BXE174" s="537"/>
      <c r="BXF174" s="537"/>
      <c r="BXG174" s="537"/>
      <c r="BXH174" s="537"/>
      <c r="BXI174" s="537"/>
      <c r="BXJ174" s="537"/>
      <c r="BXK174" s="537"/>
      <c r="BXL174" s="537"/>
      <c r="BXM174" s="537"/>
      <c r="BXN174" s="537"/>
      <c r="BXO174" s="537"/>
      <c r="BXP174" s="537"/>
      <c r="BXQ174" s="537"/>
      <c r="BXR174" s="537"/>
      <c r="BXS174" s="537"/>
      <c r="BXT174" s="537"/>
      <c r="BXU174" s="537"/>
      <c r="BXV174" s="537"/>
      <c r="BXW174" s="537"/>
      <c r="BXX174" s="537"/>
      <c r="BXY174" s="537"/>
      <c r="BXZ174" s="537"/>
      <c r="BYA174" s="537"/>
      <c r="BYB174" s="537"/>
      <c r="BYC174" s="537"/>
      <c r="BYD174" s="537"/>
      <c r="BYE174" s="537"/>
      <c r="BYF174" s="537"/>
      <c r="BYG174" s="537"/>
      <c r="BYH174" s="537"/>
      <c r="BYI174" s="537"/>
      <c r="BYJ174" s="537"/>
      <c r="BYK174" s="537"/>
      <c r="BYL174" s="537"/>
      <c r="BYM174" s="537"/>
      <c r="BYN174" s="537"/>
      <c r="BYO174" s="537"/>
      <c r="BYP174" s="537"/>
      <c r="BYQ174" s="537"/>
      <c r="BYR174" s="537"/>
      <c r="BYS174" s="537"/>
      <c r="BYT174" s="537"/>
      <c r="BYU174" s="537"/>
      <c r="BYV174" s="537"/>
      <c r="BYW174" s="537"/>
      <c r="BYX174" s="537"/>
      <c r="BYY174" s="537"/>
      <c r="BYZ174" s="537"/>
      <c r="BZA174" s="537"/>
      <c r="BZB174" s="537"/>
      <c r="BZC174" s="537"/>
      <c r="BZD174" s="537"/>
      <c r="BZE174" s="537"/>
      <c r="BZF174" s="537"/>
      <c r="BZG174" s="537"/>
      <c r="BZH174" s="537"/>
      <c r="BZI174" s="537"/>
      <c r="BZJ174" s="537"/>
      <c r="BZK174" s="537"/>
      <c r="BZL174" s="537"/>
      <c r="BZM174" s="537"/>
      <c r="BZN174" s="537"/>
      <c r="BZO174" s="537"/>
      <c r="BZP174" s="537"/>
      <c r="BZQ174" s="537"/>
      <c r="BZR174" s="537"/>
      <c r="BZS174" s="537"/>
      <c r="BZT174" s="537"/>
      <c r="BZU174" s="537"/>
      <c r="BZV174" s="537"/>
      <c r="BZW174" s="537"/>
      <c r="BZX174" s="537"/>
      <c r="BZY174" s="537"/>
      <c r="BZZ174" s="537"/>
      <c r="CAA174" s="537"/>
      <c r="CAB174" s="537"/>
      <c r="CAC174" s="537"/>
      <c r="CAD174" s="537"/>
      <c r="CAE174" s="537"/>
      <c r="CAF174" s="537"/>
      <c r="CAG174" s="537"/>
      <c r="CAH174" s="537"/>
      <c r="CAI174" s="537"/>
      <c r="CAJ174" s="537"/>
      <c r="CAK174" s="537"/>
      <c r="CAL174" s="537"/>
      <c r="CAM174" s="537"/>
      <c r="CAN174" s="537"/>
      <c r="CAO174" s="537"/>
      <c r="CAP174" s="537"/>
      <c r="CAQ174" s="537"/>
      <c r="CAR174" s="537"/>
      <c r="CAS174" s="537"/>
      <c r="CAT174" s="537"/>
      <c r="CAU174" s="537"/>
      <c r="CAV174" s="537"/>
      <c r="CAW174" s="537"/>
      <c r="CAX174" s="537"/>
      <c r="CAY174" s="537"/>
      <c r="CAZ174" s="537"/>
      <c r="CBA174" s="537"/>
      <c r="CBB174" s="537"/>
      <c r="CBC174" s="537"/>
      <c r="CBD174" s="537"/>
      <c r="CBE174" s="537"/>
      <c r="CBF174" s="537"/>
      <c r="CBG174" s="537"/>
      <c r="CBH174" s="537"/>
      <c r="CBI174" s="537"/>
      <c r="CBJ174" s="537"/>
      <c r="CBK174" s="537"/>
      <c r="CBL174" s="537"/>
      <c r="CBM174" s="537"/>
      <c r="CBN174" s="537"/>
      <c r="CBO174" s="537"/>
      <c r="CBP174" s="537"/>
      <c r="CBQ174" s="537"/>
      <c r="CBR174" s="537"/>
      <c r="CBS174" s="537"/>
      <c r="CBT174" s="537"/>
      <c r="CBU174" s="537"/>
      <c r="CBV174" s="537"/>
      <c r="CBW174" s="537"/>
      <c r="CBX174" s="537"/>
      <c r="CBY174" s="537"/>
      <c r="CBZ174" s="537"/>
      <c r="CCA174" s="537"/>
      <c r="CCB174" s="537"/>
      <c r="CCC174" s="537"/>
      <c r="CCD174" s="537"/>
      <c r="CCE174" s="537"/>
      <c r="CCF174" s="537"/>
      <c r="CCG174" s="537"/>
      <c r="CCH174" s="537"/>
      <c r="CCI174" s="537"/>
      <c r="CCJ174" s="537"/>
      <c r="CCK174" s="537"/>
      <c r="CCL174" s="537"/>
      <c r="CCM174" s="537"/>
      <c r="CCN174" s="537"/>
      <c r="CCO174" s="537"/>
      <c r="CCP174" s="537"/>
      <c r="CCQ174" s="537"/>
      <c r="CCR174" s="537"/>
      <c r="CCS174" s="537"/>
      <c r="CCT174" s="537"/>
      <c r="CCU174" s="537"/>
      <c r="CCV174" s="537"/>
      <c r="CCW174" s="537"/>
      <c r="CCX174" s="537"/>
      <c r="CCY174" s="537"/>
      <c r="CCZ174" s="537"/>
      <c r="CDA174" s="537"/>
      <c r="CDB174" s="537"/>
      <c r="CDC174" s="537"/>
      <c r="CDD174" s="537"/>
      <c r="CDE174" s="537"/>
      <c r="CDF174" s="537"/>
      <c r="CDG174" s="537"/>
      <c r="CDH174" s="537"/>
      <c r="CDI174" s="537"/>
      <c r="CDJ174" s="537"/>
      <c r="CDK174" s="537"/>
      <c r="CDL174" s="537"/>
      <c r="CDM174" s="537"/>
      <c r="CDN174" s="537"/>
      <c r="CDO174" s="537"/>
      <c r="CDP174" s="537"/>
      <c r="CDQ174" s="537"/>
      <c r="CDR174" s="537"/>
      <c r="CDS174" s="537"/>
      <c r="CDT174" s="537"/>
      <c r="CDU174" s="537"/>
      <c r="CDV174" s="537"/>
      <c r="CDW174" s="537"/>
      <c r="CDX174" s="537"/>
      <c r="CDY174" s="537"/>
      <c r="CDZ174" s="537"/>
      <c r="CEA174" s="537"/>
      <c r="CEB174" s="537"/>
      <c r="CEC174" s="537"/>
      <c r="CED174" s="537"/>
      <c r="CEE174" s="537"/>
      <c r="CEF174" s="537"/>
      <c r="CEG174" s="537"/>
      <c r="CEH174" s="537"/>
      <c r="CEI174" s="537"/>
      <c r="CEJ174" s="537"/>
      <c r="CEK174" s="537"/>
      <c r="CEL174" s="537"/>
      <c r="CEM174" s="537"/>
      <c r="CEN174" s="537"/>
      <c r="CEO174" s="537"/>
      <c r="CEP174" s="537"/>
      <c r="CEQ174" s="537"/>
      <c r="CER174" s="537"/>
      <c r="CES174" s="537"/>
      <c r="CET174" s="537"/>
      <c r="CEU174" s="537"/>
      <c r="CEV174" s="537"/>
      <c r="CEW174" s="537"/>
      <c r="CEX174" s="537"/>
      <c r="CEY174" s="537"/>
      <c r="CEZ174" s="537"/>
      <c r="CFA174" s="537"/>
      <c r="CFB174" s="537"/>
      <c r="CFC174" s="537"/>
      <c r="CFD174" s="537"/>
      <c r="CFE174" s="537"/>
      <c r="CFF174" s="537"/>
      <c r="CFG174" s="537"/>
      <c r="CFH174" s="537"/>
      <c r="CFI174" s="537"/>
      <c r="CFJ174" s="537"/>
      <c r="CFK174" s="537"/>
      <c r="CFL174" s="537"/>
      <c r="CFM174" s="537"/>
      <c r="CFN174" s="537"/>
      <c r="CFO174" s="537"/>
      <c r="CFP174" s="537"/>
      <c r="CFQ174" s="537"/>
      <c r="CFR174" s="537"/>
      <c r="CFS174" s="537"/>
      <c r="CFT174" s="537"/>
      <c r="CFU174" s="537"/>
      <c r="CFV174" s="537"/>
      <c r="CFW174" s="537"/>
      <c r="CFX174" s="537"/>
      <c r="CFY174" s="537"/>
      <c r="CFZ174" s="537"/>
      <c r="CGA174" s="537"/>
      <c r="CGB174" s="537"/>
      <c r="CGC174" s="537"/>
      <c r="CGD174" s="537"/>
      <c r="CGE174" s="537"/>
      <c r="CGF174" s="537"/>
      <c r="CGG174" s="537"/>
      <c r="CGH174" s="537"/>
      <c r="CGI174" s="537"/>
      <c r="CGJ174" s="537"/>
      <c r="CGK174" s="537"/>
      <c r="CGL174" s="537"/>
      <c r="CGM174" s="537"/>
      <c r="CGN174" s="537"/>
      <c r="CGO174" s="537"/>
      <c r="CGP174" s="537"/>
      <c r="CGQ174" s="537"/>
      <c r="CGR174" s="537"/>
      <c r="CGS174" s="537"/>
      <c r="CGT174" s="537"/>
      <c r="CGU174" s="537"/>
      <c r="CGV174" s="537"/>
      <c r="CGW174" s="537"/>
      <c r="CGX174" s="537"/>
      <c r="CGY174" s="537"/>
      <c r="CGZ174" s="537"/>
      <c r="CHA174" s="537"/>
      <c r="CHB174" s="537"/>
      <c r="CHC174" s="537"/>
      <c r="CHD174" s="537"/>
      <c r="CHE174" s="537"/>
      <c r="CHF174" s="537"/>
      <c r="CHG174" s="537"/>
      <c r="CHH174" s="537"/>
      <c r="CHI174" s="537"/>
      <c r="CHJ174" s="537"/>
      <c r="CHK174" s="537"/>
      <c r="CHL174" s="537"/>
      <c r="CHM174" s="537"/>
      <c r="CHN174" s="537"/>
      <c r="CHO174" s="537"/>
      <c r="CHP174" s="537"/>
      <c r="CHQ174" s="537"/>
      <c r="CHR174" s="537"/>
      <c r="CHS174" s="537"/>
      <c r="CHT174" s="537"/>
      <c r="CHU174" s="537"/>
      <c r="CHV174" s="537"/>
      <c r="CHW174" s="537"/>
      <c r="CHX174" s="537"/>
      <c r="CHY174" s="537"/>
      <c r="CHZ174" s="537"/>
      <c r="CIA174" s="537"/>
      <c r="CIB174" s="537"/>
      <c r="CIC174" s="537"/>
      <c r="CID174" s="537"/>
      <c r="CIE174" s="537"/>
      <c r="CIF174" s="537"/>
      <c r="CIG174" s="537"/>
      <c r="CIH174" s="537"/>
      <c r="CII174" s="537"/>
      <c r="CIJ174" s="537"/>
      <c r="CIK174" s="537"/>
      <c r="CIL174" s="537"/>
      <c r="CIM174" s="537"/>
      <c r="CIN174" s="537"/>
      <c r="CIO174" s="537"/>
      <c r="CIP174" s="537"/>
      <c r="CIQ174" s="537"/>
      <c r="CIR174" s="537"/>
      <c r="CIS174" s="537"/>
      <c r="CIT174" s="537"/>
      <c r="CIU174" s="537"/>
      <c r="CIV174" s="537"/>
      <c r="CIW174" s="537"/>
      <c r="CIX174" s="537"/>
      <c r="CIY174" s="537"/>
      <c r="CIZ174" s="537"/>
      <c r="CJA174" s="537"/>
      <c r="CJB174" s="537"/>
      <c r="CJC174" s="537"/>
      <c r="CJD174" s="537"/>
      <c r="CJE174" s="537"/>
      <c r="CJF174" s="537"/>
      <c r="CJG174" s="537"/>
      <c r="CJH174" s="537"/>
      <c r="CJI174" s="537"/>
      <c r="CJJ174" s="537"/>
      <c r="CJK174" s="537"/>
      <c r="CJL174" s="537"/>
      <c r="CJM174" s="537"/>
      <c r="CJN174" s="537"/>
      <c r="CJO174" s="537"/>
      <c r="CJP174" s="537"/>
      <c r="CJQ174" s="537"/>
      <c r="CJR174" s="537"/>
      <c r="CJS174" s="537"/>
      <c r="CJT174" s="537"/>
      <c r="CJU174" s="537"/>
      <c r="CJV174" s="537"/>
      <c r="CJW174" s="537"/>
      <c r="CJX174" s="537"/>
      <c r="CJY174" s="537"/>
      <c r="CJZ174" s="537"/>
      <c r="CKA174" s="537"/>
      <c r="CKB174" s="537"/>
      <c r="CKC174" s="537"/>
      <c r="CKD174" s="537"/>
      <c r="CKE174" s="537"/>
      <c r="CKF174" s="537"/>
      <c r="CKG174" s="537"/>
      <c r="CKH174" s="537"/>
      <c r="CKI174" s="537"/>
      <c r="CKJ174" s="537"/>
      <c r="CKK174" s="537"/>
      <c r="CKL174" s="537"/>
      <c r="CKM174" s="537"/>
      <c r="CKN174" s="537"/>
      <c r="CKO174" s="537"/>
      <c r="CKP174" s="537"/>
      <c r="CKQ174" s="537"/>
      <c r="CKR174" s="537"/>
      <c r="CKS174" s="537"/>
      <c r="CKT174" s="537"/>
      <c r="CKU174" s="537"/>
      <c r="CKV174" s="537"/>
      <c r="CKW174" s="537"/>
      <c r="CKX174" s="537"/>
      <c r="CKY174" s="537"/>
      <c r="CKZ174" s="537"/>
      <c r="CLA174" s="537"/>
      <c r="CLB174" s="537"/>
      <c r="CLC174" s="537"/>
      <c r="CLD174" s="537"/>
      <c r="CLE174" s="537"/>
      <c r="CLF174" s="537"/>
      <c r="CLG174" s="537"/>
      <c r="CLH174" s="537"/>
      <c r="CLI174" s="537"/>
      <c r="CLJ174" s="537"/>
      <c r="CLK174" s="537"/>
      <c r="CLL174" s="537"/>
      <c r="CLM174" s="537"/>
      <c r="CLN174" s="537"/>
      <c r="CLO174" s="537"/>
      <c r="CLP174" s="537"/>
      <c r="CLQ174" s="537"/>
      <c r="CLR174" s="537"/>
      <c r="CLS174" s="537"/>
      <c r="CLT174" s="537"/>
      <c r="CLU174" s="537"/>
      <c r="CLV174" s="537"/>
      <c r="CLW174" s="537"/>
      <c r="CLX174" s="537"/>
      <c r="CLY174" s="537"/>
      <c r="CLZ174" s="537"/>
      <c r="CMA174" s="537"/>
      <c r="CMB174" s="537"/>
      <c r="CMC174" s="537"/>
      <c r="CMD174" s="537"/>
      <c r="CME174" s="537"/>
      <c r="CMF174" s="537"/>
      <c r="CMG174" s="537"/>
      <c r="CMH174" s="537"/>
      <c r="CMI174" s="537"/>
      <c r="CMJ174" s="537"/>
      <c r="CMK174" s="537"/>
      <c r="CML174" s="537"/>
      <c r="CMM174" s="537"/>
      <c r="CMN174" s="537"/>
      <c r="CMO174" s="537"/>
      <c r="CMP174" s="537"/>
      <c r="CMQ174" s="537"/>
      <c r="CMR174" s="537"/>
      <c r="CMS174" s="537"/>
      <c r="CMT174" s="537"/>
      <c r="CMU174" s="537"/>
      <c r="CMV174" s="537"/>
      <c r="CMW174" s="537"/>
      <c r="CMX174" s="537"/>
      <c r="CMY174" s="537"/>
      <c r="CMZ174" s="537"/>
      <c r="CNA174" s="537"/>
      <c r="CNB174" s="537"/>
      <c r="CNC174" s="537"/>
      <c r="CND174" s="537"/>
      <c r="CNE174" s="537"/>
      <c r="CNF174" s="537"/>
      <c r="CNG174" s="537"/>
      <c r="CNH174" s="537"/>
      <c r="CNI174" s="537"/>
      <c r="CNJ174" s="537"/>
      <c r="CNK174" s="537"/>
      <c r="CNL174" s="537"/>
      <c r="CNM174" s="537"/>
      <c r="CNN174" s="537"/>
      <c r="CNO174" s="537"/>
      <c r="CNP174" s="537"/>
      <c r="CNQ174" s="537"/>
      <c r="CNR174" s="537"/>
      <c r="CNS174" s="537"/>
      <c r="CNT174" s="537"/>
      <c r="CNU174" s="537"/>
      <c r="CNV174" s="537"/>
      <c r="CNW174" s="537"/>
      <c r="CNX174" s="537"/>
      <c r="CNY174" s="537"/>
      <c r="CNZ174" s="537"/>
      <c r="COA174" s="537"/>
      <c r="COB174" s="537"/>
      <c r="COC174" s="537"/>
      <c r="COD174" s="537"/>
      <c r="COE174" s="537"/>
      <c r="COF174" s="537"/>
      <c r="COG174" s="537"/>
      <c r="COH174" s="537"/>
      <c r="COI174" s="537"/>
      <c r="COJ174" s="537"/>
      <c r="COK174" s="537"/>
      <c r="COL174" s="537"/>
      <c r="COM174" s="537"/>
      <c r="CON174" s="537"/>
      <c r="COO174" s="537"/>
      <c r="COP174" s="537"/>
      <c r="COQ174" s="537"/>
      <c r="COR174" s="537"/>
      <c r="COS174" s="537"/>
      <c r="COT174" s="537"/>
      <c r="COU174" s="537"/>
      <c r="COV174" s="537"/>
      <c r="COW174" s="537"/>
      <c r="COX174" s="537"/>
      <c r="COY174" s="537"/>
      <c r="COZ174" s="537"/>
      <c r="CPA174" s="537"/>
      <c r="CPB174" s="537"/>
      <c r="CPC174" s="537"/>
      <c r="CPD174" s="537"/>
      <c r="CPE174" s="537"/>
      <c r="CPF174" s="537"/>
      <c r="CPG174" s="537"/>
      <c r="CPH174" s="537"/>
      <c r="CPI174" s="537"/>
      <c r="CPJ174" s="537"/>
      <c r="CPK174" s="537"/>
      <c r="CPL174" s="537"/>
      <c r="CPM174" s="537"/>
      <c r="CPN174" s="537"/>
      <c r="CPO174" s="537"/>
      <c r="CPP174" s="537"/>
      <c r="CPQ174" s="537"/>
      <c r="CPR174" s="537"/>
      <c r="CPS174" s="537"/>
      <c r="CPT174" s="537"/>
      <c r="CPU174" s="537"/>
      <c r="CPV174" s="537"/>
      <c r="CPW174" s="537"/>
      <c r="CPX174" s="537"/>
      <c r="CPY174" s="537"/>
      <c r="CPZ174" s="537"/>
      <c r="CQA174" s="537"/>
      <c r="CQB174" s="537"/>
      <c r="CQC174" s="537"/>
      <c r="CQD174" s="537"/>
      <c r="CQE174" s="537"/>
      <c r="CQF174" s="537"/>
      <c r="CQG174" s="537"/>
      <c r="CQH174" s="537"/>
      <c r="CQI174" s="537"/>
      <c r="CQJ174" s="537"/>
      <c r="CQK174" s="537"/>
      <c r="CQL174" s="537"/>
      <c r="CQM174" s="537"/>
      <c r="CQN174" s="537"/>
      <c r="CQO174" s="537"/>
      <c r="CQP174" s="537"/>
      <c r="CQQ174" s="537"/>
      <c r="CQR174" s="537"/>
      <c r="CQS174" s="537"/>
      <c r="CQT174" s="537"/>
      <c r="CQU174" s="537"/>
      <c r="CQV174" s="537"/>
      <c r="CQW174" s="537"/>
      <c r="CQX174" s="537"/>
      <c r="CQY174" s="537"/>
      <c r="CQZ174" s="537"/>
      <c r="CRA174" s="537"/>
      <c r="CRB174" s="537"/>
      <c r="CRC174" s="537"/>
      <c r="CRD174" s="537"/>
      <c r="CRE174" s="537"/>
      <c r="CRF174" s="537"/>
      <c r="CRG174" s="537"/>
      <c r="CRH174" s="537"/>
      <c r="CRI174" s="537"/>
      <c r="CRJ174" s="537"/>
      <c r="CRK174" s="537"/>
      <c r="CRL174" s="537"/>
      <c r="CRM174" s="537"/>
      <c r="CRN174" s="537"/>
      <c r="CRO174" s="537"/>
      <c r="CRP174" s="537"/>
      <c r="CRQ174" s="537"/>
      <c r="CRR174" s="537"/>
      <c r="CRS174" s="537"/>
      <c r="CRT174" s="537"/>
      <c r="CRU174" s="537"/>
      <c r="CRV174" s="537"/>
      <c r="CRW174" s="537"/>
      <c r="CRX174" s="537"/>
      <c r="CRY174" s="537"/>
      <c r="CRZ174" s="537"/>
      <c r="CSA174" s="537"/>
      <c r="CSB174" s="537"/>
      <c r="CSC174" s="537"/>
      <c r="CSD174" s="537"/>
      <c r="CSE174" s="537"/>
      <c r="CSF174" s="537"/>
      <c r="CSG174" s="537"/>
      <c r="CSH174" s="537"/>
      <c r="CSI174" s="537"/>
      <c r="CSJ174" s="537"/>
      <c r="CSK174" s="537"/>
      <c r="CSL174" s="537"/>
      <c r="CSM174" s="537"/>
      <c r="CSN174" s="537"/>
      <c r="CSO174" s="537"/>
      <c r="CSP174" s="537"/>
      <c r="CSQ174" s="537"/>
      <c r="CSR174" s="537"/>
      <c r="CSS174" s="537"/>
      <c r="CST174" s="537"/>
      <c r="CSU174" s="537"/>
      <c r="CSV174" s="537"/>
      <c r="CSW174" s="537"/>
      <c r="CSX174" s="537"/>
      <c r="CSY174" s="537"/>
      <c r="CSZ174" s="537"/>
      <c r="CTA174" s="537"/>
      <c r="CTB174" s="537"/>
      <c r="CTC174" s="537"/>
      <c r="CTD174" s="537"/>
      <c r="CTE174" s="537"/>
      <c r="CTF174" s="537"/>
      <c r="CTG174" s="537"/>
      <c r="CTH174" s="537"/>
      <c r="CTI174" s="537"/>
      <c r="CTJ174" s="537"/>
      <c r="CTK174" s="537"/>
      <c r="CTL174" s="537"/>
      <c r="CTM174" s="537"/>
      <c r="CTN174" s="537"/>
      <c r="CTO174" s="537"/>
      <c r="CTP174" s="537"/>
      <c r="CTQ174" s="537"/>
      <c r="CTR174" s="537"/>
      <c r="CTS174" s="537"/>
      <c r="CTT174" s="537"/>
      <c r="CTU174" s="537"/>
      <c r="CTV174" s="537"/>
      <c r="CTW174" s="537"/>
      <c r="CTX174" s="537"/>
      <c r="CTY174" s="537"/>
      <c r="CTZ174" s="537"/>
      <c r="CUA174" s="537"/>
      <c r="CUB174" s="537"/>
      <c r="CUC174" s="537"/>
      <c r="CUD174" s="537"/>
      <c r="CUE174" s="537"/>
      <c r="CUF174" s="537"/>
      <c r="CUG174" s="537"/>
      <c r="CUH174" s="537"/>
      <c r="CUI174" s="537"/>
      <c r="CUJ174" s="537"/>
      <c r="CUK174" s="537"/>
      <c r="CUL174" s="537"/>
      <c r="CUM174" s="537"/>
      <c r="CUN174" s="537"/>
      <c r="CUO174" s="537"/>
      <c r="CUP174" s="537"/>
      <c r="CUQ174" s="537"/>
      <c r="CUR174" s="537"/>
      <c r="CUS174" s="537"/>
      <c r="CUT174" s="537"/>
      <c r="CUU174" s="537"/>
      <c r="CUV174" s="537"/>
      <c r="CUW174" s="537"/>
      <c r="CUX174" s="537"/>
      <c r="CUY174" s="537"/>
      <c r="CUZ174" s="537"/>
      <c r="CVA174" s="537"/>
      <c r="CVB174" s="537"/>
      <c r="CVC174" s="537"/>
      <c r="CVD174" s="537"/>
      <c r="CVE174" s="537"/>
      <c r="CVF174" s="537"/>
      <c r="CVG174" s="537"/>
      <c r="CVH174" s="537"/>
      <c r="CVI174" s="537"/>
      <c r="CVJ174" s="537"/>
      <c r="CVK174" s="537"/>
      <c r="CVL174" s="537"/>
      <c r="CVM174" s="537"/>
      <c r="CVN174" s="537"/>
      <c r="CVO174" s="537"/>
      <c r="CVP174" s="537"/>
      <c r="CVQ174" s="537"/>
      <c r="CVR174" s="537"/>
      <c r="CVS174" s="537"/>
      <c r="CVT174" s="537"/>
      <c r="CVU174" s="537"/>
      <c r="CVV174" s="537"/>
      <c r="CVW174" s="537"/>
      <c r="CVX174" s="537"/>
      <c r="CVY174" s="537"/>
      <c r="CVZ174" s="537"/>
      <c r="CWA174" s="537"/>
      <c r="CWB174" s="537"/>
      <c r="CWC174" s="537"/>
      <c r="CWD174" s="537"/>
      <c r="CWE174" s="537"/>
      <c r="CWF174" s="537"/>
      <c r="CWG174" s="537"/>
      <c r="CWH174" s="537"/>
      <c r="CWI174" s="537"/>
      <c r="CWJ174" s="537"/>
      <c r="CWK174" s="537"/>
      <c r="CWL174" s="537"/>
      <c r="CWM174" s="537"/>
      <c r="CWN174" s="537"/>
      <c r="CWO174" s="537"/>
      <c r="CWP174" s="537"/>
      <c r="CWQ174" s="537"/>
      <c r="CWR174" s="537"/>
      <c r="CWS174" s="537"/>
      <c r="CWT174" s="537"/>
      <c r="CWU174" s="537"/>
      <c r="CWV174" s="537"/>
      <c r="CWW174" s="537"/>
      <c r="CWX174" s="537"/>
      <c r="CWY174" s="537"/>
      <c r="CWZ174" s="537"/>
      <c r="CXA174" s="537"/>
      <c r="CXB174" s="537"/>
      <c r="CXC174" s="537"/>
      <c r="CXD174" s="537"/>
      <c r="CXE174" s="537"/>
      <c r="CXF174" s="537"/>
      <c r="CXG174" s="537"/>
      <c r="CXH174" s="537"/>
      <c r="CXI174" s="537"/>
      <c r="CXJ174" s="537"/>
      <c r="CXK174" s="537"/>
      <c r="CXL174" s="537"/>
      <c r="CXM174" s="537"/>
      <c r="CXN174" s="537"/>
      <c r="CXO174" s="537"/>
      <c r="CXP174" s="537"/>
      <c r="CXQ174" s="537"/>
      <c r="CXR174" s="537"/>
      <c r="CXS174" s="537"/>
      <c r="CXT174" s="537"/>
      <c r="CXU174" s="537"/>
      <c r="CXV174" s="537"/>
      <c r="CXW174" s="537"/>
      <c r="CXX174" s="537"/>
      <c r="CXY174" s="537"/>
      <c r="CXZ174" s="537"/>
      <c r="CYA174" s="537"/>
      <c r="CYB174" s="537"/>
      <c r="CYC174" s="537"/>
      <c r="CYD174" s="537"/>
      <c r="CYE174" s="537"/>
      <c r="CYF174" s="537"/>
      <c r="CYG174" s="537"/>
      <c r="CYH174" s="537"/>
      <c r="CYI174" s="537"/>
      <c r="CYJ174" s="537"/>
      <c r="CYK174" s="537"/>
      <c r="CYL174" s="537"/>
      <c r="CYM174" s="537"/>
      <c r="CYN174" s="537"/>
      <c r="CYO174" s="537"/>
      <c r="CYP174" s="537"/>
      <c r="CYQ174" s="537"/>
      <c r="CYR174" s="537"/>
      <c r="CYS174" s="537"/>
      <c r="CYT174" s="537"/>
      <c r="CYU174" s="537"/>
      <c r="CYV174" s="537"/>
      <c r="CYW174" s="537"/>
      <c r="CYX174" s="537"/>
      <c r="CYY174" s="537"/>
      <c r="CYZ174" s="537"/>
      <c r="CZA174" s="537"/>
      <c r="CZB174" s="537"/>
      <c r="CZC174" s="537"/>
      <c r="CZD174" s="537"/>
      <c r="CZE174" s="537"/>
      <c r="CZF174" s="537"/>
      <c r="CZG174" s="537"/>
      <c r="CZH174" s="537"/>
      <c r="CZI174" s="537"/>
      <c r="CZJ174" s="537"/>
      <c r="CZK174" s="537"/>
      <c r="CZL174" s="537"/>
      <c r="CZM174" s="537"/>
      <c r="CZN174" s="537"/>
      <c r="CZO174" s="537"/>
      <c r="CZP174" s="537"/>
      <c r="CZQ174" s="537"/>
      <c r="CZR174" s="537"/>
      <c r="CZS174" s="537"/>
      <c r="CZT174" s="537"/>
      <c r="CZU174" s="537"/>
      <c r="CZV174" s="537"/>
      <c r="CZW174" s="537"/>
      <c r="CZX174" s="537"/>
      <c r="CZY174" s="537"/>
      <c r="CZZ174" s="537"/>
      <c r="DAA174" s="537"/>
      <c r="DAB174" s="537"/>
      <c r="DAC174" s="537"/>
      <c r="DAD174" s="537"/>
      <c r="DAE174" s="537"/>
      <c r="DAF174" s="537"/>
      <c r="DAG174" s="537"/>
      <c r="DAH174" s="537"/>
      <c r="DAI174" s="537"/>
      <c r="DAJ174" s="537"/>
      <c r="DAK174" s="537"/>
      <c r="DAL174" s="537"/>
      <c r="DAM174" s="537"/>
      <c r="DAN174" s="537"/>
      <c r="DAO174" s="537"/>
      <c r="DAP174" s="537"/>
      <c r="DAQ174" s="537"/>
      <c r="DAR174" s="537"/>
      <c r="DAS174" s="537"/>
      <c r="DAT174" s="537"/>
      <c r="DAU174" s="537"/>
      <c r="DAV174" s="537"/>
      <c r="DAW174" s="537"/>
      <c r="DAX174" s="537"/>
      <c r="DAY174" s="537"/>
      <c r="DAZ174" s="537"/>
      <c r="DBA174" s="537"/>
      <c r="DBB174" s="537"/>
      <c r="DBC174" s="537"/>
      <c r="DBD174" s="537"/>
      <c r="DBE174" s="537"/>
      <c r="DBF174" s="537"/>
      <c r="DBG174" s="537"/>
      <c r="DBH174" s="537"/>
      <c r="DBI174" s="537"/>
      <c r="DBJ174" s="537"/>
      <c r="DBK174" s="537"/>
      <c r="DBL174" s="537"/>
      <c r="DBM174" s="537"/>
      <c r="DBN174" s="537"/>
      <c r="DBO174" s="537"/>
      <c r="DBP174" s="537"/>
      <c r="DBQ174" s="537"/>
      <c r="DBR174" s="537"/>
      <c r="DBS174" s="537"/>
      <c r="DBT174" s="537"/>
      <c r="DBU174" s="537"/>
      <c r="DBV174" s="537"/>
      <c r="DBW174" s="537"/>
      <c r="DBX174" s="537"/>
      <c r="DBY174" s="537"/>
      <c r="DBZ174" s="537"/>
      <c r="DCA174" s="537"/>
      <c r="DCB174" s="537"/>
      <c r="DCC174" s="537"/>
      <c r="DCD174" s="537"/>
      <c r="DCE174" s="537"/>
      <c r="DCF174" s="537"/>
      <c r="DCG174" s="537"/>
      <c r="DCH174" s="537"/>
      <c r="DCI174" s="537"/>
      <c r="DCJ174" s="537"/>
      <c r="DCK174" s="537"/>
      <c r="DCL174" s="537"/>
      <c r="DCM174" s="537"/>
      <c r="DCN174" s="537"/>
      <c r="DCO174" s="537"/>
      <c r="DCP174" s="537"/>
      <c r="DCQ174" s="537"/>
      <c r="DCR174" s="537"/>
      <c r="DCS174" s="537"/>
      <c r="DCT174" s="537"/>
      <c r="DCU174" s="537"/>
      <c r="DCV174" s="537"/>
      <c r="DCW174" s="537"/>
      <c r="DCX174" s="537"/>
      <c r="DCY174" s="537"/>
      <c r="DCZ174" s="537"/>
      <c r="DDA174" s="537"/>
      <c r="DDB174" s="537"/>
      <c r="DDC174" s="537"/>
      <c r="DDD174" s="537"/>
      <c r="DDE174" s="537"/>
      <c r="DDF174" s="537"/>
      <c r="DDG174" s="537"/>
      <c r="DDH174" s="537"/>
      <c r="DDI174" s="537"/>
      <c r="DDJ174" s="537"/>
      <c r="DDK174" s="537"/>
      <c r="DDL174" s="537"/>
      <c r="DDM174" s="537"/>
      <c r="DDN174" s="537"/>
      <c r="DDO174" s="537"/>
      <c r="DDP174" s="537"/>
      <c r="DDQ174" s="537"/>
      <c r="DDR174" s="537"/>
      <c r="DDS174" s="537"/>
      <c r="DDT174" s="537"/>
      <c r="DDU174" s="537"/>
      <c r="DDV174" s="537"/>
      <c r="DDW174" s="537"/>
      <c r="DDX174" s="537"/>
      <c r="DDY174" s="537"/>
      <c r="DDZ174" s="537"/>
      <c r="DEA174" s="537"/>
      <c r="DEB174" s="537"/>
      <c r="DEC174" s="537"/>
      <c r="DED174" s="537"/>
      <c r="DEE174" s="537"/>
      <c r="DEF174" s="537"/>
      <c r="DEG174" s="537"/>
      <c r="DEH174" s="537"/>
      <c r="DEI174" s="537"/>
      <c r="DEJ174" s="537"/>
      <c r="DEK174" s="537"/>
      <c r="DEL174" s="537"/>
      <c r="DEM174" s="537"/>
      <c r="DEN174" s="537"/>
      <c r="DEO174" s="537"/>
      <c r="DEP174" s="537"/>
      <c r="DEQ174" s="537"/>
      <c r="DER174" s="537"/>
      <c r="DES174" s="537"/>
      <c r="DET174" s="537"/>
      <c r="DEU174" s="537"/>
      <c r="DEV174" s="537"/>
      <c r="DEW174" s="537"/>
      <c r="DEX174" s="537"/>
      <c r="DEY174" s="537"/>
      <c r="DEZ174" s="537"/>
      <c r="DFA174" s="537"/>
      <c r="DFB174" s="537"/>
      <c r="DFC174" s="537"/>
      <c r="DFD174" s="537"/>
      <c r="DFE174" s="537"/>
      <c r="DFF174" s="537"/>
      <c r="DFG174" s="537"/>
      <c r="DFH174" s="537"/>
      <c r="DFI174" s="537"/>
      <c r="DFJ174" s="537"/>
      <c r="DFK174" s="537"/>
      <c r="DFL174" s="537"/>
      <c r="DFM174" s="537"/>
      <c r="DFN174" s="537"/>
      <c r="DFO174" s="537"/>
      <c r="DFP174" s="537"/>
      <c r="DFQ174" s="537"/>
      <c r="DFR174" s="537"/>
      <c r="DFS174" s="537"/>
      <c r="DFT174" s="537"/>
      <c r="DFU174" s="537"/>
      <c r="DFV174" s="537"/>
      <c r="DFW174" s="537"/>
      <c r="DFX174" s="537"/>
      <c r="DFY174" s="537"/>
      <c r="DFZ174" s="537"/>
      <c r="DGA174" s="537"/>
      <c r="DGB174" s="537"/>
      <c r="DGC174" s="537"/>
      <c r="DGD174" s="537"/>
      <c r="DGE174" s="537"/>
      <c r="DGF174" s="537"/>
      <c r="DGG174" s="537"/>
      <c r="DGH174" s="537"/>
      <c r="DGI174" s="537"/>
      <c r="DGJ174" s="537"/>
      <c r="DGK174" s="537"/>
      <c r="DGL174" s="537"/>
      <c r="DGM174" s="537"/>
      <c r="DGN174" s="537"/>
      <c r="DGO174" s="537"/>
      <c r="DGP174" s="537"/>
      <c r="DGQ174" s="537"/>
      <c r="DGR174" s="537"/>
      <c r="DGS174" s="537"/>
      <c r="DGT174" s="537"/>
      <c r="DGU174" s="537"/>
      <c r="DGV174" s="537"/>
      <c r="DGW174" s="537"/>
      <c r="DGX174" s="537"/>
      <c r="DGY174" s="537"/>
      <c r="DGZ174" s="537"/>
      <c r="DHA174" s="537"/>
      <c r="DHB174" s="537"/>
      <c r="DHC174" s="537"/>
      <c r="DHD174" s="537"/>
      <c r="DHE174" s="537"/>
      <c r="DHF174" s="537"/>
      <c r="DHG174" s="537"/>
      <c r="DHH174" s="537"/>
      <c r="DHI174" s="537"/>
      <c r="DHJ174" s="537"/>
      <c r="DHK174" s="537"/>
      <c r="DHL174" s="537"/>
      <c r="DHM174" s="537"/>
      <c r="DHN174" s="537"/>
      <c r="DHO174" s="537"/>
      <c r="DHP174" s="537"/>
      <c r="DHQ174" s="537"/>
      <c r="DHR174" s="537"/>
      <c r="DHS174" s="537"/>
      <c r="DHT174" s="537"/>
      <c r="DHU174" s="537"/>
      <c r="DHV174" s="537"/>
      <c r="DHW174" s="537"/>
      <c r="DHX174" s="537"/>
      <c r="DHY174" s="537"/>
      <c r="DHZ174" s="537"/>
      <c r="DIA174" s="537"/>
      <c r="DIB174" s="537"/>
      <c r="DIC174" s="537"/>
      <c r="DID174" s="537"/>
      <c r="DIE174" s="537"/>
      <c r="DIF174" s="537"/>
      <c r="DIG174" s="537"/>
      <c r="DIH174" s="537"/>
      <c r="DII174" s="537"/>
      <c r="DIJ174" s="537"/>
      <c r="DIK174" s="537"/>
      <c r="DIL174" s="537"/>
      <c r="DIM174" s="537"/>
      <c r="DIN174" s="537"/>
      <c r="DIO174" s="537"/>
      <c r="DIP174" s="537"/>
      <c r="DIQ174" s="537"/>
      <c r="DIR174" s="537"/>
      <c r="DIS174" s="537"/>
      <c r="DIT174" s="537"/>
      <c r="DIU174" s="537"/>
      <c r="DIV174" s="537"/>
      <c r="DIW174" s="537"/>
      <c r="DIX174" s="537"/>
      <c r="DIY174" s="537"/>
      <c r="DIZ174" s="537"/>
      <c r="DJA174" s="537"/>
      <c r="DJB174" s="537"/>
      <c r="DJC174" s="537"/>
      <c r="DJD174" s="537"/>
      <c r="DJE174" s="537"/>
      <c r="DJF174" s="537"/>
      <c r="DJG174" s="537"/>
      <c r="DJH174" s="537"/>
      <c r="DJI174" s="537"/>
      <c r="DJJ174" s="537"/>
      <c r="DJK174" s="537"/>
      <c r="DJL174" s="537"/>
      <c r="DJM174" s="537"/>
      <c r="DJN174" s="537"/>
      <c r="DJO174" s="537"/>
      <c r="DJP174" s="537"/>
      <c r="DJQ174" s="537"/>
      <c r="DJR174" s="537"/>
      <c r="DJS174" s="537"/>
      <c r="DJT174" s="537"/>
      <c r="DJU174" s="537"/>
      <c r="DJV174" s="537"/>
      <c r="DJW174" s="537"/>
      <c r="DJX174" s="537"/>
      <c r="DJY174" s="537"/>
      <c r="DJZ174" s="537"/>
      <c r="DKA174" s="537"/>
      <c r="DKB174" s="537"/>
      <c r="DKC174" s="537"/>
      <c r="DKD174" s="537"/>
      <c r="DKE174" s="537"/>
      <c r="DKF174" s="537"/>
      <c r="DKG174" s="537"/>
      <c r="DKH174" s="537"/>
      <c r="DKI174" s="537"/>
      <c r="DKJ174" s="537"/>
      <c r="DKK174" s="537"/>
      <c r="DKL174" s="537"/>
      <c r="DKM174" s="537"/>
      <c r="DKN174" s="537"/>
      <c r="DKO174" s="537"/>
      <c r="DKP174" s="537"/>
      <c r="DKQ174" s="537"/>
      <c r="DKR174" s="537"/>
      <c r="DKS174" s="537"/>
      <c r="DKT174" s="537"/>
      <c r="DKU174" s="537"/>
      <c r="DKV174" s="537"/>
      <c r="DKW174" s="537"/>
      <c r="DKX174" s="537"/>
      <c r="DKY174" s="537"/>
      <c r="DKZ174" s="537"/>
      <c r="DLA174" s="537"/>
      <c r="DLB174" s="537"/>
      <c r="DLC174" s="537"/>
      <c r="DLD174" s="537"/>
      <c r="DLE174" s="537"/>
      <c r="DLF174" s="537"/>
      <c r="DLG174" s="537"/>
      <c r="DLH174" s="537"/>
      <c r="DLI174" s="537"/>
      <c r="DLJ174" s="537"/>
      <c r="DLK174" s="537"/>
      <c r="DLL174" s="537"/>
      <c r="DLM174" s="537"/>
      <c r="DLN174" s="537"/>
      <c r="DLO174" s="537"/>
      <c r="DLP174" s="537"/>
      <c r="DLQ174" s="537"/>
      <c r="DLR174" s="537"/>
      <c r="DLS174" s="537"/>
      <c r="DLT174" s="537"/>
      <c r="DLU174" s="537"/>
      <c r="DLV174" s="537"/>
      <c r="DLW174" s="537"/>
      <c r="DLX174" s="537"/>
      <c r="DLY174" s="537"/>
      <c r="DLZ174" s="537"/>
      <c r="DMA174" s="537"/>
      <c r="DMB174" s="537"/>
      <c r="DMC174" s="537"/>
      <c r="DMD174" s="537"/>
      <c r="DME174" s="537"/>
      <c r="DMF174" s="537"/>
      <c r="DMG174" s="537"/>
      <c r="DMH174" s="537"/>
      <c r="DMI174" s="537"/>
      <c r="DMJ174" s="537"/>
      <c r="DMK174" s="537"/>
      <c r="DML174" s="537"/>
      <c r="DMM174" s="537"/>
      <c r="DMN174" s="537"/>
      <c r="DMO174" s="537"/>
      <c r="DMP174" s="537"/>
      <c r="DMQ174" s="537"/>
      <c r="DMR174" s="537"/>
      <c r="DMS174" s="537"/>
      <c r="DMT174" s="537"/>
      <c r="DMU174" s="537"/>
      <c r="DMV174" s="537"/>
      <c r="DMW174" s="537"/>
      <c r="DMX174" s="537"/>
      <c r="DMY174" s="537"/>
      <c r="DMZ174" s="537"/>
      <c r="DNA174" s="537"/>
      <c r="DNB174" s="537"/>
      <c r="DNC174" s="537"/>
      <c r="DND174" s="537"/>
      <c r="DNE174" s="537"/>
      <c r="DNF174" s="537"/>
      <c r="DNG174" s="537"/>
      <c r="DNH174" s="537"/>
      <c r="DNI174" s="537"/>
      <c r="DNJ174" s="537"/>
      <c r="DNK174" s="537"/>
      <c r="DNL174" s="537"/>
      <c r="DNM174" s="537"/>
      <c r="DNN174" s="537"/>
      <c r="DNO174" s="537"/>
      <c r="DNP174" s="537"/>
      <c r="DNQ174" s="537"/>
      <c r="DNR174" s="537"/>
      <c r="DNS174" s="537"/>
      <c r="DNT174" s="537"/>
      <c r="DNU174" s="537"/>
      <c r="DNV174" s="537"/>
      <c r="DNW174" s="537"/>
      <c r="DNX174" s="537"/>
      <c r="DNY174" s="537"/>
      <c r="DNZ174" s="537"/>
      <c r="DOA174" s="537"/>
      <c r="DOB174" s="537"/>
      <c r="DOC174" s="537"/>
      <c r="DOD174" s="537"/>
      <c r="DOE174" s="537"/>
      <c r="DOF174" s="537"/>
      <c r="DOG174" s="537"/>
      <c r="DOH174" s="537"/>
      <c r="DOI174" s="537"/>
      <c r="DOJ174" s="537"/>
      <c r="DOK174" s="537"/>
      <c r="DOL174" s="537"/>
      <c r="DOM174" s="537"/>
      <c r="DON174" s="537"/>
      <c r="DOO174" s="537"/>
      <c r="DOP174" s="537"/>
      <c r="DOQ174" s="537"/>
      <c r="DOR174" s="537"/>
      <c r="DOS174" s="537"/>
      <c r="DOT174" s="537"/>
      <c r="DOU174" s="537"/>
      <c r="DOV174" s="537"/>
      <c r="DOW174" s="537"/>
      <c r="DOX174" s="537"/>
      <c r="DOY174" s="537"/>
      <c r="DOZ174" s="537"/>
      <c r="DPA174" s="537"/>
      <c r="DPB174" s="537"/>
      <c r="DPC174" s="537"/>
      <c r="DPD174" s="537"/>
      <c r="DPE174" s="537"/>
      <c r="DPF174" s="537"/>
      <c r="DPG174" s="537"/>
      <c r="DPH174" s="537"/>
      <c r="DPI174" s="537"/>
      <c r="DPJ174" s="537"/>
      <c r="DPK174" s="537"/>
      <c r="DPL174" s="537"/>
      <c r="DPM174" s="537"/>
      <c r="DPN174" s="537"/>
      <c r="DPO174" s="537"/>
      <c r="DPP174" s="537"/>
      <c r="DPQ174" s="537"/>
      <c r="DPR174" s="537"/>
      <c r="DPS174" s="537"/>
      <c r="DPT174" s="537"/>
      <c r="DPU174" s="537"/>
      <c r="DPV174" s="537"/>
      <c r="DPW174" s="537"/>
      <c r="DPX174" s="537"/>
      <c r="DPY174" s="537"/>
      <c r="DPZ174" s="537"/>
      <c r="DQA174" s="537"/>
      <c r="DQB174" s="537"/>
      <c r="DQC174" s="537"/>
      <c r="DQD174" s="537"/>
      <c r="DQE174" s="537"/>
      <c r="DQF174" s="537"/>
      <c r="DQG174" s="537"/>
      <c r="DQH174" s="537"/>
      <c r="DQI174" s="537"/>
      <c r="DQJ174" s="537"/>
      <c r="DQK174" s="537"/>
      <c r="DQL174" s="537"/>
      <c r="DQM174" s="537"/>
      <c r="DQN174" s="537"/>
      <c r="DQO174" s="537"/>
      <c r="DQP174" s="537"/>
      <c r="DQQ174" s="537"/>
      <c r="DQR174" s="537"/>
      <c r="DQS174" s="537"/>
      <c r="DQT174" s="537"/>
      <c r="DQU174" s="537"/>
      <c r="DQV174" s="537"/>
      <c r="DQW174" s="537"/>
      <c r="DQX174" s="537"/>
      <c r="DQY174" s="537"/>
      <c r="DQZ174" s="537"/>
      <c r="DRA174" s="537"/>
      <c r="DRB174" s="537"/>
      <c r="DRC174" s="537"/>
      <c r="DRD174" s="537"/>
      <c r="DRE174" s="537"/>
      <c r="DRF174" s="537"/>
      <c r="DRG174" s="537"/>
      <c r="DRH174" s="537"/>
      <c r="DRI174" s="537"/>
      <c r="DRJ174" s="537"/>
      <c r="DRK174" s="537"/>
      <c r="DRL174" s="537"/>
      <c r="DRM174" s="537"/>
      <c r="DRN174" s="537"/>
      <c r="DRO174" s="537"/>
      <c r="DRP174" s="537"/>
      <c r="DRQ174" s="537"/>
      <c r="DRR174" s="537"/>
      <c r="DRS174" s="537"/>
      <c r="DRT174" s="537"/>
      <c r="DRU174" s="537"/>
      <c r="DRV174" s="537"/>
      <c r="DRW174" s="537"/>
      <c r="DRX174" s="537"/>
      <c r="DRY174" s="537"/>
      <c r="DRZ174" s="537"/>
      <c r="DSA174" s="537"/>
      <c r="DSB174" s="537"/>
      <c r="DSC174" s="537"/>
      <c r="DSD174" s="537"/>
      <c r="DSE174" s="537"/>
      <c r="DSF174" s="537"/>
      <c r="DSG174" s="537"/>
      <c r="DSH174" s="537"/>
      <c r="DSI174" s="537"/>
      <c r="DSJ174" s="537"/>
      <c r="DSK174" s="537"/>
      <c r="DSL174" s="537"/>
      <c r="DSM174" s="537"/>
      <c r="DSN174" s="537"/>
      <c r="DSO174" s="537"/>
      <c r="DSP174" s="537"/>
      <c r="DSQ174" s="537"/>
      <c r="DSR174" s="537"/>
      <c r="DSS174" s="537"/>
      <c r="DST174" s="537"/>
      <c r="DSU174" s="537"/>
      <c r="DSV174" s="537"/>
      <c r="DSW174" s="537"/>
      <c r="DSX174" s="537"/>
      <c r="DSY174" s="537"/>
      <c r="DSZ174" s="537"/>
      <c r="DTA174" s="537"/>
      <c r="DTB174" s="537"/>
      <c r="DTC174" s="537"/>
      <c r="DTD174" s="537"/>
      <c r="DTE174" s="537"/>
      <c r="DTF174" s="537"/>
      <c r="DTG174" s="537"/>
      <c r="DTH174" s="537"/>
      <c r="DTI174" s="537"/>
      <c r="DTJ174" s="537"/>
      <c r="DTK174" s="537"/>
      <c r="DTL174" s="537"/>
      <c r="DTM174" s="537"/>
      <c r="DTN174" s="537"/>
      <c r="DTO174" s="537"/>
      <c r="DTP174" s="537"/>
      <c r="DTQ174" s="537"/>
      <c r="DTR174" s="537"/>
      <c r="DTS174" s="537"/>
      <c r="DTT174" s="537"/>
      <c r="DTU174" s="537"/>
      <c r="DTV174" s="537"/>
      <c r="DTW174" s="537"/>
      <c r="DTX174" s="537"/>
      <c r="DTY174" s="537"/>
      <c r="DTZ174" s="537"/>
      <c r="DUA174" s="537"/>
      <c r="DUB174" s="537"/>
      <c r="DUC174" s="537"/>
      <c r="DUD174" s="537"/>
      <c r="DUE174" s="537"/>
      <c r="DUF174" s="537"/>
      <c r="DUG174" s="537"/>
      <c r="DUH174" s="537"/>
      <c r="DUI174" s="537"/>
      <c r="DUJ174" s="537"/>
      <c r="DUK174" s="537"/>
      <c r="DUL174" s="537"/>
      <c r="DUM174" s="537"/>
      <c r="DUN174" s="537"/>
      <c r="DUO174" s="537"/>
      <c r="DUP174" s="537"/>
      <c r="DUQ174" s="537"/>
      <c r="DUR174" s="537"/>
      <c r="DUS174" s="537"/>
      <c r="DUT174" s="537"/>
      <c r="DUU174" s="537"/>
      <c r="DUV174" s="537"/>
      <c r="DUW174" s="537"/>
      <c r="DUX174" s="537"/>
      <c r="DUY174" s="537"/>
      <c r="DUZ174" s="537"/>
      <c r="DVA174" s="537"/>
      <c r="DVB174" s="537"/>
      <c r="DVC174" s="537"/>
      <c r="DVD174" s="537"/>
      <c r="DVE174" s="537"/>
      <c r="DVF174" s="537"/>
      <c r="DVG174" s="537"/>
      <c r="DVH174" s="537"/>
      <c r="DVI174" s="537"/>
      <c r="DVJ174" s="537"/>
      <c r="DVK174" s="537"/>
      <c r="DVL174" s="537"/>
      <c r="DVM174" s="537"/>
      <c r="DVN174" s="537"/>
      <c r="DVO174" s="537"/>
      <c r="DVP174" s="537"/>
      <c r="DVQ174" s="537"/>
      <c r="DVR174" s="537"/>
      <c r="DVS174" s="537"/>
      <c r="DVT174" s="537"/>
      <c r="DVU174" s="537"/>
      <c r="DVV174" s="537"/>
      <c r="DVW174" s="537"/>
      <c r="DVX174" s="537"/>
      <c r="DVY174" s="537"/>
      <c r="DVZ174" s="537"/>
      <c r="DWA174" s="537"/>
      <c r="DWB174" s="537"/>
      <c r="DWC174" s="537"/>
      <c r="DWD174" s="537"/>
      <c r="DWE174" s="537"/>
      <c r="DWF174" s="537"/>
      <c r="DWG174" s="537"/>
      <c r="DWH174" s="537"/>
      <c r="DWI174" s="537"/>
      <c r="DWJ174" s="537"/>
      <c r="DWK174" s="537"/>
      <c r="DWL174" s="537"/>
      <c r="DWM174" s="537"/>
      <c r="DWN174" s="537"/>
      <c r="DWO174" s="537"/>
      <c r="DWP174" s="537"/>
      <c r="DWQ174" s="537"/>
      <c r="DWR174" s="537"/>
      <c r="DWS174" s="537"/>
      <c r="DWT174" s="537"/>
      <c r="DWU174" s="537"/>
      <c r="DWV174" s="537"/>
      <c r="DWW174" s="537"/>
      <c r="DWX174" s="537"/>
      <c r="DWY174" s="537"/>
      <c r="DWZ174" s="537"/>
      <c r="DXA174" s="537"/>
      <c r="DXB174" s="537"/>
      <c r="DXC174" s="537"/>
      <c r="DXD174" s="537"/>
      <c r="DXE174" s="537"/>
      <c r="DXF174" s="537"/>
      <c r="DXG174" s="537"/>
      <c r="DXH174" s="537"/>
      <c r="DXI174" s="537"/>
      <c r="DXJ174" s="537"/>
      <c r="DXK174" s="537"/>
      <c r="DXL174" s="537"/>
      <c r="DXM174" s="537"/>
      <c r="DXN174" s="537"/>
      <c r="DXO174" s="537"/>
      <c r="DXP174" s="537"/>
      <c r="DXQ174" s="537"/>
      <c r="DXR174" s="537"/>
      <c r="DXS174" s="537"/>
      <c r="DXT174" s="537"/>
      <c r="DXU174" s="537"/>
      <c r="DXV174" s="537"/>
      <c r="DXW174" s="537"/>
      <c r="DXX174" s="537"/>
      <c r="DXY174" s="537"/>
      <c r="DXZ174" s="537"/>
      <c r="DYA174" s="537"/>
      <c r="DYB174" s="537"/>
      <c r="DYC174" s="537"/>
      <c r="DYD174" s="537"/>
      <c r="DYE174" s="537"/>
      <c r="DYF174" s="537"/>
      <c r="DYG174" s="537"/>
      <c r="DYH174" s="537"/>
      <c r="DYI174" s="537"/>
      <c r="DYJ174" s="537"/>
      <c r="DYK174" s="537"/>
      <c r="DYL174" s="537"/>
      <c r="DYM174" s="537"/>
      <c r="DYN174" s="537"/>
      <c r="DYO174" s="537"/>
      <c r="DYP174" s="537"/>
      <c r="DYQ174" s="537"/>
      <c r="DYR174" s="537"/>
      <c r="DYS174" s="537"/>
      <c r="DYT174" s="537"/>
      <c r="DYU174" s="537"/>
      <c r="DYV174" s="537"/>
      <c r="DYW174" s="537"/>
      <c r="DYX174" s="537"/>
      <c r="DYY174" s="537"/>
      <c r="DYZ174" s="537"/>
      <c r="DZA174" s="537"/>
      <c r="DZB174" s="537"/>
      <c r="DZC174" s="537"/>
      <c r="DZD174" s="537"/>
      <c r="DZE174" s="537"/>
      <c r="DZF174" s="537"/>
      <c r="DZG174" s="537"/>
      <c r="DZH174" s="537"/>
      <c r="DZI174" s="537"/>
      <c r="DZJ174" s="537"/>
      <c r="DZK174" s="537"/>
      <c r="DZL174" s="537"/>
      <c r="DZM174" s="537"/>
      <c r="DZN174" s="537"/>
      <c r="DZO174" s="537"/>
      <c r="DZP174" s="537"/>
      <c r="DZQ174" s="537"/>
      <c r="DZR174" s="537"/>
      <c r="DZS174" s="537"/>
      <c r="DZT174" s="537"/>
      <c r="DZU174" s="537"/>
      <c r="DZV174" s="537"/>
      <c r="DZW174" s="537"/>
      <c r="DZX174" s="537"/>
      <c r="DZY174" s="537"/>
      <c r="DZZ174" s="537"/>
      <c r="EAA174" s="537"/>
      <c r="EAB174" s="537"/>
      <c r="EAC174" s="537"/>
      <c r="EAD174" s="537"/>
      <c r="EAE174" s="537"/>
      <c r="EAF174" s="537"/>
      <c r="EAG174" s="537"/>
      <c r="EAH174" s="537"/>
      <c r="EAI174" s="537"/>
      <c r="EAJ174" s="537"/>
      <c r="EAK174" s="537"/>
      <c r="EAL174" s="537"/>
      <c r="EAM174" s="537"/>
      <c r="EAN174" s="537"/>
      <c r="EAO174" s="537"/>
      <c r="EAP174" s="537"/>
      <c r="EAQ174" s="537"/>
      <c r="EAR174" s="537"/>
      <c r="EAS174" s="537"/>
      <c r="EAT174" s="537"/>
      <c r="EAU174" s="537"/>
      <c r="EAV174" s="537"/>
      <c r="EAW174" s="537"/>
      <c r="EAX174" s="537"/>
      <c r="EAY174" s="537"/>
      <c r="EAZ174" s="537"/>
      <c r="EBA174" s="537"/>
      <c r="EBB174" s="537"/>
      <c r="EBC174" s="537"/>
      <c r="EBD174" s="537"/>
      <c r="EBE174" s="537"/>
      <c r="EBF174" s="537"/>
      <c r="EBG174" s="537"/>
      <c r="EBH174" s="537"/>
      <c r="EBI174" s="537"/>
      <c r="EBJ174" s="537"/>
      <c r="EBK174" s="537"/>
      <c r="EBL174" s="537"/>
      <c r="EBM174" s="537"/>
      <c r="EBN174" s="537"/>
      <c r="EBO174" s="537"/>
      <c r="EBP174" s="537"/>
      <c r="EBQ174" s="537"/>
      <c r="EBR174" s="537"/>
      <c r="EBS174" s="537"/>
      <c r="EBT174" s="537"/>
      <c r="EBU174" s="537"/>
      <c r="EBV174" s="537"/>
      <c r="EBW174" s="537"/>
      <c r="EBX174" s="537"/>
      <c r="EBY174" s="537"/>
      <c r="EBZ174" s="537"/>
      <c r="ECA174" s="537"/>
      <c r="ECB174" s="537"/>
      <c r="ECC174" s="537"/>
      <c r="ECD174" s="537"/>
      <c r="ECE174" s="537"/>
      <c r="ECF174" s="537"/>
      <c r="ECG174" s="537"/>
      <c r="ECH174" s="537"/>
      <c r="ECI174" s="537"/>
      <c r="ECJ174" s="537"/>
      <c r="ECK174" s="537"/>
      <c r="ECL174" s="537"/>
      <c r="ECM174" s="537"/>
      <c r="ECN174" s="537"/>
      <c r="ECO174" s="537"/>
      <c r="ECP174" s="537"/>
      <c r="ECQ174" s="537"/>
      <c r="ECR174" s="537"/>
      <c r="ECS174" s="537"/>
      <c r="ECT174" s="537"/>
      <c r="ECU174" s="537"/>
      <c r="ECV174" s="537"/>
      <c r="ECW174" s="537"/>
      <c r="ECX174" s="537"/>
      <c r="ECY174" s="537"/>
      <c r="ECZ174" s="537"/>
      <c r="EDA174" s="537"/>
      <c r="EDB174" s="537"/>
      <c r="EDC174" s="537"/>
      <c r="EDD174" s="537"/>
      <c r="EDE174" s="537"/>
      <c r="EDF174" s="537"/>
      <c r="EDG174" s="537"/>
      <c r="EDH174" s="537"/>
      <c r="EDI174" s="537"/>
      <c r="EDJ174" s="537"/>
      <c r="EDK174" s="537"/>
      <c r="EDL174" s="537"/>
      <c r="EDM174" s="537"/>
      <c r="EDN174" s="537"/>
      <c r="EDO174" s="537"/>
      <c r="EDP174" s="537"/>
      <c r="EDQ174" s="537"/>
      <c r="EDR174" s="537"/>
      <c r="EDS174" s="537"/>
      <c r="EDT174" s="537"/>
      <c r="EDU174" s="537"/>
      <c r="EDV174" s="537"/>
      <c r="EDW174" s="537"/>
      <c r="EDX174" s="537"/>
      <c r="EDY174" s="537"/>
      <c r="EDZ174" s="537"/>
      <c r="EEA174" s="537"/>
      <c r="EEB174" s="537"/>
      <c r="EEC174" s="537"/>
      <c r="EED174" s="537"/>
      <c r="EEE174" s="537"/>
      <c r="EEF174" s="537"/>
      <c r="EEG174" s="537"/>
      <c r="EEH174" s="537"/>
      <c r="EEI174" s="537"/>
      <c r="EEJ174" s="537"/>
      <c r="EEK174" s="537"/>
      <c r="EEL174" s="537"/>
      <c r="EEM174" s="537"/>
      <c r="EEN174" s="537"/>
      <c r="EEO174" s="537"/>
      <c r="EEP174" s="537"/>
      <c r="EEQ174" s="537"/>
      <c r="EER174" s="537"/>
      <c r="EES174" s="537"/>
      <c r="EET174" s="537"/>
      <c r="EEU174" s="537"/>
      <c r="EEV174" s="537"/>
      <c r="EEW174" s="537"/>
      <c r="EEX174" s="537"/>
      <c r="EEY174" s="537"/>
      <c r="EEZ174" s="537"/>
      <c r="EFA174" s="537"/>
      <c r="EFB174" s="537"/>
      <c r="EFC174" s="537"/>
      <c r="EFD174" s="537"/>
      <c r="EFE174" s="537"/>
      <c r="EFF174" s="537"/>
      <c r="EFG174" s="537"/>
      <c r="EFH174" s="537"/>
      <c r="EFI174" s="537"/>
      <c r="EFJ174" s="537"/>
      <c r="EFK174" s="537"/>
      <c r="EFL174" s="537"/>
      <c r="EFM174" s="537"/>
      <c r="EFN174" s="537"/>
      <c r="EFO174" s="537"/>
      <c r="EFP174" s="537"/>
      <c r="EFQ174" s="537"/>
      <c r="EFR174" s="537"/>
      <c r="EFS174" s="537"/>
      <c r="EFT174" s="537"/>
      <c r="EFU174" s="537"/>
      <c r="EFV174" s="537"/>
      <c r="EFW174" s="537"/>
      <c r="EFX174" s="537"/>
      <c r="EFY174" s="537"/>
      <c r="EFZ174" s="537"/>
      <c r="EGA174" s="537"/>
      <c r="EGB174" s="537"/>
      <c r="EGC174" s="537"/>
      <c r="EGD174" s="537"/>
      <c r="EGE174" s="537"/>
      <c r="EGF174" s="537"/>
      <c r="EGG174" s="537"/>
      <c r="EGH174" s="537"/>
      <c r="EGI174" s="537"/>
      <c r="EGJ174" s="537"/>
      <c r="EGK174" s="537"/>
      <c r="EGL174" s="537"/>
      <c r="EGM174" s="537"/>
      <c r="EGN174" s="537"/>
      <c r="EGO174" s="537"/>
      <c r="EGP174" s="537"/>
      <c r="EGQ174" s="537"/>
      <c r="EGR174" s="537"/>
      <c r="EGS174" s="537"/>
      <c r="EGT174" s="537"/>
      <c r="EGU174" s="537"/>
      <c r="EGV174" s="537"/>
      <c r="EGW174" s="537"/>
      <c r="EGX174" s="537"/>
      <c r="EGY174" s="537"/>
      <c r="EGZ174" s="537"/>
      <c r="EHA174" s="537"/>
      <c r="EHB174" s="537"/>
      <c r="EHC174" s="537"/>
      <c r="EHD174" s="537"/>
      <c r="EHE174" s="537"/>
      <c r="EHF174" s="537"/>
      <c r="EHG174" s="537"/>
      <c r="EHH174" s="537"/>
      <c r="EHI174" s="537"/>
      <c r="EHJ174" s="537"/>
      <c r="EHK174" s="537"/>
      <c r="EHL174" s="537"/>
      <c r="EHM174" s="537"/>
      <c r="EHN174" s="537"/>
      <c r="EHO174" s="537"/>
      <c r="EHP174" s="537"/>
      <c r="EHQ174" s="537"/>
      <c r="EHR174" s="537"/>
      <c r="EHS174" s="537"/>
      <c r="EHT174" s="537"/>
      <c r="EHU174" s="537"/>
      <c r="EHV174" s="537"/>
      <c r="EHW174" s="537"/>
      <c r="EHX174" s="537"/>
      <c r="EHY174" s="537"/>
      <c r="EHZ174" s="537"/>
      <c r="EIA174" s="537"/>
      <c r="EIB174" s="537"/>
      <c r="EIC174" s="537"/>
      <c r="EID174" s="537"/>
      <c r="EIE174" s="537"/>
      <c r="EIF174" s="537"/>
      <c r="EIG174" s="537"/>
      <c r="EIH174" s="537"/>
      <c r="EII174" s="537"/>
      <c r="EIJ174" s="537"/>
      <c r="EIK174" s="537"/>
      <c r="EIL174" s="537"/>
      <c r="EIM174" s="537"/>
      <c r="EIN174" s="537"/>
      <c r="EIO174" s="537"/>
      <c r="EIP174" s="537"/>
      <c r="EIQ174" s="537"/>
      <c r="EIR174" s="537"/>
      <c r="EIS174" s="537"/>
      <c r="EIT174" s="537"/>
      <c r="EIU174" s="537"/>
      <c r="EIV174" s="537"/>
      <c r="EIW174" s="537"/>
      <c r="EIX174" s="537"/>
      <c r="EIY174" s="537"/>
      <c r="EIZ174" s="537"/>
      <c r="EJA174" s="537"/>
      <c r="EJB174" s="537"/>
      <c r="EJC174" s="537"/>
      <c r="EJD174" s="537"/>
      <c r="EJE174" s="537"/>
      <c r="EJF174" s="537"/>
      <c r="EJG174" s="537"/>
      <c r="EJH174" s="537"/>
      <c r="EJI174" s="537"/>
      <c r="EJJ174" s="537"/>
      <c r="EJK174" s="537"/>
      <c r="EJL174" s="537"/>
      <c r="EJM174" s="537"/>
      <c r="EJN174" s="537"/>
      <c r="EJO174" s="537"/>
      <c r="EJP174" s="537"/>
      <c r="EJQ174" s="537"/>
      <c r="EJR174" s="537"/>
      <c r="EJS174" s="537"/>
      <c r="EJT174" s="537"/>
      <c r="EJU174" s="537"/>
      <c r="EJV174" s="537"/>
      <c r="EJW174" s="537"/>
      <c r="EJX174" s="537"/>
      <c r="EJY174" s="537"/>
      <c r="EJZ174" s="537"/>
      <c r="EKA174" s="537"/>
      <c r="EKB174" s="537"/>
      <c r="EKC174" s="537"/>
      <c r="EKD174" s="537"/>
      <c r="EKE174" s="537"/>
      <c r="EKF174" s="537"/>
      <c r="EKG174" s="537"/>
      <c r="EKH174" s="537"/>
      <c r="EKI174" s="537"/>
      <c r="EKJ174" s="537"/>
      <c r="EKK174" s="537"/>
      <c r="EKL174" s="537"/>
      <c r="EKM174" s="537"/>
      <c r="EKN174" s="537"/>
      <c r="EKO174" s="537"/>
      <c r="EKP174" s="537"/>
      <c r="EKQ174" s="537"/>
      <c r="EKR174" s="537"/>
      <c r="EKS174" s="537"/>
      <c r="EKT174" s="537"/>
      <c r="EKU174" s="537"/>
      <c r="EKV174" s="537"/>
      <c r="EKW174" s="537"/>
      <c r="EKX174" s="537"/>
      <c r="EKY174" s="537"/>
      <c r="EKZ174" s="537"/>
      <c r="ELA174" s="537"/>
      <c r="ELB174" s="537"/>
      <c r="ELC174" s="537"/>
      <c r="ELD174" s="537"/>
      <c r="ELE174" s="537"/>
      <c r="ELF174" s="537"/>
      <c r="ELG174" s="537"/>
      <c r="ELH174" s="537"/>
      <c r="ELI174" s="537"/>
      <c r="ELJ174" s="537"/>
      <c r="ELK174" s="537"/>
      <c r="ELL174" s="537"/>
      <c r="ELM174" s="537"/>
      <c r="ELN174" s="537"/>
      <c r="ELO174" s="537"/>
      <c r="ELP174" s="537"/>
      <c r="ELQ174" s="537"/>
      <c r="ELR174" s="537"/>
      <c r="ELS174" s="537"/>
      <c r="ELT174" s="537"/>
      <c r="ELU174" s="537"/>
      <c r="ELV174" s="537"/>
      <c r="ELW174" s="537"/>
      <c r="ELX174" s="537"/>
      <c r="ELY174" s="537"/>
      <c r="ELZ174" s="537"/>
      <c r="EMA174" s="537"/>
      <c r="EMB174" s="537"/>
      <c r="EMC174" s="537"/>
      <c r="EMD174" s="537"/>
      <c r="EME174" s="537"/>
      <c r="EMF174" s="537"/>
      <c r="EMG174" s="537"/>
      <c r="EMH174" s="537"/>
      <c r="EMI174" s="537"/>
      <c r="EMJ174" s="537"/>
      <c r="EMK174" s="537"/>
      <c r="EML174" s="537"/>
      <c r="EMM174" s="537"/>
      <c r="EMN174" s="537"/>
      <c r="EMO174" s="537"/>
      <c r="EMP174" s="537"/>
      <c r="EMQ174" s="537"/>
      <c r="EMR174" s="537"/>
      <c r="EMS174" s="537"/>
      <c r="EMT174" s="537"/>
      <c r="EMU174" s="537"/>
      <c r="EMV174" s="537"/>
      <c r="EMW174" s="537"/>
      <c r="EMX174" s="537"/>
      <c r="EMY174" s="537"/>
      <c r="EMZ174" s="537"/>
      <c r="ENA174" s="537"/>
      <c r="ENB174" s="537"/>
      <c r="ENC174" s="537"/>
      <c r="END174" s="537"/>
      <c r="ENE174" s="537"/>
      <c r="ENF174" s="537"/>
      <c r="ENG174" s="537"/>
      <c r="ENH174" s="537"/>
      <c r="ENI174" s="537"/>
      <c r="ENJ174" s="537"/>
      <c r="ENK174" s="537"/>
      <c r="ENL174" s="537"/>
      <c r="ENM174" s="537"/>
      <c r="ENN174" s="537"/>
      <c r="ENO174" s="537"/>
      <c r="ENP174" s="537"/>
      <c r="ENQ174" s="537"/>
      <c r="ENR174" s="537"/>
      <c r="ENS174" s="537"/>
      <c r="ENT174" s="537"/>
      <c r="ENU174" s="537"/>
      <c r="ENV174" s="537"/>
      <c r="ENW174" s="537"/>
      <c r="ENX174" s="537"/>
      <c r="ENY174" s="537"/>
      <c r="ENZ174" s="537"/>
      <c r="EOA174" s="537"/>
      <c r="EOB174" s="537"/>
      <c r="EOC174" s="537"/>
      <c r="EOD174" s="537"/>
      <c r="EOE174" s="537"/>
      <c r="EOF174" s="537"/>
      <c r="EOG174" s="537"/>
      <c r="EOH174" s="537"/>
      <c r="EOI174" s="537"/>
      <c r="EOJ174" s="537"/>
      <c r="EOK174" s="537"/>
      <c r="EOL174" s="537"/>
      <c r="EOM174" s="537"/>
      <c r="EON174" s="537"/>
      <c r="EOO174" s="537"/>
      <c r="EOP174" s="537"/>
      <c r="EOQ174" s="537"/>
      <c r="EOR174" s="537"/>
      <c r="EOS174" s="537"/>
      <c r="EOT174" s="537"/>
      <c r="EOU174" s="537"/>
      <c r="EOV174" s="537"/>
      <c r="EOW174" s="537"/>
      <c r="EOX174" s="537"/>
      <c r="EOY174" s="537"/>
      <c r="EOZ174" s="537"/>
      <c r="EPA174" s="537"/>
      <c r="EPB174" s="537"/>
      <c r="EPC174" s="537"/>
      <c r="EPD174" s="537"/>
      <c r="EPE174" s="537"/>
      <c r="EPF174" s="537"/>
      <c r="EPG174" s="537"/>
      <c r="EPH174" s="537"/>
      <c r="EPI174" s="537"/>
      <c r="EPJ174" s="537"/>
      <c r="EPK174" s="537"/>
      <c r="EPL174" s="537"/>
      <c r="EPM174" s="537"/>
      <c r="EPN174" s="537"/>
      <c r="EPO174" s="537"/>
      <c r="EPP174" s="537"/>
      <c r="EPQ174" s="537"/>
      <c r="EPR174" s="537"/>
      <c r="EPS174" s="537"/>
      <c r="EPT174" s="537"/>
      <c r="EPU174" s="537"/>
      <c r="EPV174" s="537"/>
      <c r="EPW174" s="537"/>
      <c r="EPX174" s="537"/>
      <c r="EPY174" s="537"/>
      <c r="EPZ174" s="537"/>
      <c r="EQA174" s="537"/>
      <c r="EQB174" s="537"/>
      <c r="EQC174" s="537"/>
      <c r="EQD174" s="537"/>
      <c r="EQE174" s="537"/>
      <c r="EQF174" s="537"/>
      <c r="EQG174" s="537"/>
      <c r="EQH174" s="537"/>
      <c r="EQI174" s="537"/>
      <c r="EQJ174" s="537"/>
      <c r="EQK174" s="537"/>
      <c r="EQL174" s="537"/>
      <c r="EQM174" s="537"/>
      <c r="EQN174" s="537"/>
      <c r="EQO174" s="537"/>
      <c r="EQP174" s="537"/>
      <c r="EQQ174" s="537"/>
      <c r="EQR174" s="537"/>
      <c r="EQS174" s="537"/>
      <c r="EQT174" s="537"/>
      <c r="EQU174" s="537"/>
      <c r="EQV174" s="537"/>
      <c r="EQW174" s="537"/>
      <c r="EQX174" s="537"/>
      <c r="EQY174" s="537"/>
      <c r="EQZ174" s="537"/>
      <c r="ERA174" s="537"/>
      <c r="ERB174" s="537"/>
      <c r="ERC174" s="537"/>
      <c r="ERD174" s="537"/>
      <c r="ERE174" s="537"/>
      <c r="ERF174" s="537"/>
      <c r="ERG174" s="537"/>
      <c r="ERH174" s="537"/>
      <c r="ERI174" s="537"/>
      <c r="ERJ174" s="537"/>
      <c r="ERK174" s="537"/>
      <c r="ERL174" s="537"/>
      <c r="ERM174" s="537"/>
      <c r="ERN174" s="537"/>
      <c r="ERO174" s="537"/>
      <c r="ERP174" s="537"/>
      <c r="ERQ174" s="537"/>
      <c r="ERR174" s="537"/>
      <c r="ERS174" s="537"/>
      <c r="ERT174" s="537"/>
      <c r="ERU174" s="537"/>
      <c r="ERV174" s="537"/>
      <c r="ERW174" s="537"/>
      <c r="ERX174" s="537"/>
      <c r="ERY174" s="537"/>
      <c r="ERZ174" s="537"/>
      <c r="ESA174" s="537"/>
      <c r="ESB174" s="537"/>
      <c r="ESC174" s="537"/>
      <c r="ESD174" s="537"/>
      <c r="ESE174" s="537"/>
      <c r="ESF174" s="537"/>
      <c r="ESG174" s="537"/>
      <c r="ESH174" s="537"/>
      <c r="ESI174" s="537"/>
      <c r="ESJ174" s="537"/>
      <c r="ESK174" s="537"/>
      <c r="ESL174" s="537"/>
      <c r="ESM174" s="537"/>
      <c r="ESN174" s="537"/>
      <c r="ESO174" s="537"/>
      <c r="ESP174" s="537"/>
      <c r="ESQ174" s="537"/>
      <c r="ESR174" s="537"/>
      <c r="ESS174" s="537"/>
      <c r="EST174" s="537"/>
      <c r="ESU174" s="537"/>
      <c r="ESV174" s="537"/>
      <c r="ESW174" s="537"/>
      <c r="ESX174" s="537"/>
      <c r="ESY174" s="537"/>
      <c r="ESZ174" s="537"/>
      <c r="ETA174" s="537"/>
      <c r="ETB174" s="537"/>
      <c r="ETC174" s="537"/>
      <c r="ETD174" s="537"/>
      <c r="ETE174" s="537"/>
      <c r="ETF174" s="537"/>
      <c r="ETG174" s="537"/>
      <c r="ETH174" s="537"/>
      <c r="ETI174" s="537"/>
      <c r="ETJ174" s="537"/>
      <c r="ETK174" s="537"/>
      <c r="ETL174" s="537"/>
      <c r="ETM174" s="537"/>
      <c r="ETN174" s="537"/>
      <c r="ETO174" s="537"/>
      <c r="ETP174" s="537"/>
      <c r="ETQ174" s="537"/>
      <c r="ETR174" s="537"/>
      <c r="ETS174" s="537"/>
      <c r="ETT174" s="537"/>
      <c r="ETU174" s="537"/>
      <c r="ETV174" s="537"/>
      <c r="ETW174" s="537"/>
      <c r="ETX174" s="537"/>
      <c r="ETY174" s="537"/>
      <c r="ETZ174" s="537"/>
      <c r="EUA174" s="537"/>
      <c r="EUB174" s="537"/>
      <c r="EUC174" s="537"/>
      <c r="EUD174" s="537"/>
      <c r="EUE174" s="537"/>
      <c r="EUF174" s="537"/>
      <c r="EUG174" s="537"/>
      <c r="EUH174" s="537"/>
      <c r="EUI174" s="537"/>
      <c r="EUJ174" s="537"/>
      <c r="EUK174" s="537"/>
      <c r="EUL174" s="537"/>
      <c r="EUM174" s="537"/>
      <c r="EUN174" s="537"/>
      <c r="EUO174" s="537"/>
      <c r="EUP174" s="537"/>
      <c r="EUQ174" s="537"/>
      <c r="EUR174" s="537"/>
      <c r="EUS174" s="537"/>
      <c r="EUT174" s="537"/>
      <c r="EUU174" s="537"/>
      <c r="EUV174" s="537"/>
      <c r="EUW174" s="537"/>
      <c r="EUX174" s="537"/>
      <c r="EUY174" s="537"/>
      <c r="EUZ174" s="537"/>
      <c r="EVA174" s="537"/>
      <c r="EVB174" s="537"/>
      <c r="EVC174" s="537"/>
      <c r="EVD174" s="537"/>
      <c r="EVE174" s="537"/>
      <c r="EVF174" s="537"/>
      <c r="EVG174" s="537"/>
      <c r="EVH174" s="537"/>
      <c r="EVI174" s="537"/>
      <c r="EVJ174" s="537"/>
      <c r="EVK174" s="537"/>
      <c r="EVL174" s="537"/>
      <c r="EVM174" s="537"/>
      <c r="EVN174" s="537"/>
      <c r="EVO174" s="537"/>
      <c r="EVP174" s="537"/>
      <c r="EVQ174" s="537"/>
      <c r="EVR174" s="537"/>
      <c r="EVS174" s="537"/>
      <c r="EVT174" s="537"/>
      <c r="EVU174" s="537"/>
      <c r="EVV174" s="537"/>
      <c r="EVW174" s="537"/>
      <c r="EVX174" s="537"/>
      <c r="EVY174" s="537"/>
      <c r="EVZ174" s="537"/>
      <c r="EWA174" s="537"/>
      <c r="EWB174" s="537"/>
      <c r="EWC174" s="537"/>
      <c r="EWD174" s="537"/>
      <c r="EWE174" s="537"/>
      <c r="EWF174" s="537"/>
      <c r="EWG174" s="537"/>
      <c r="EWH174" s="537"/>
      <c r="EWI174" s="537"/>
      <c r="EWJ174" s="537"/>
      <c r="EWK174" s="537"/>
      <c r="EWL174" s="537"/>
      <c r="EWM174" s="537"/>
      <c r="EWN174" s="537"/>
      <c r="EWO174" s="537"/>
      <c r="EWP174" s="537"/>
      <c r="EWQ174" s="537"/>
      <c r="EWR174" s="537"/>
      <c r="EWS174" s="537"/>
      <c r="EWT174" s="537"/>
      <c r="EWU174" s="537"/>
      <c r="EWV174" s="537"/>
      <c r="EWW174" s="537"/>
      <c r="EWX174" s="537"/>
      <c r="EWY174" s="537"/>
      <c r="EWZ174" s="537"/>
      <c r="EXA174" s="537"/>
      <c r="EXB174" s="537"/>
      <c r="EXC174" s="537"/>
      <c r="EXD174" s="537"/>
      <c r="EXE174" s="537"/>
      <c r="EXF174" s="537"/>
      <c r="EXG174" s="537"/>
      <c r="EXH174" s="537"/>
      <c r="EXI174" s="537"/>
      <c r="EXJ174" s="537"/>
      <c r="EXK174" s="537"/>
      <c r="EXL174" s="537"/>
      <c r="EXM174" s="537"/>
      <c r="EXN174" s="537"/>
      <c r="EXO174" s="537"/>
      <c r="EXP174" s="537"/>
      <c r="EXQ174" s="537"/>
      <c r="EXR174" s="537"/>
      <c r="EXS174" s="537"/>
      <c r="EXT174" s="537"/>
      <c r="EXU174" s="537"/>
      <c r="EXV174" s="537"/>
      <c r="EXW174" s="537"/>
      <c r="EXX174" s="537"/>
      <c r="EXY174" s="537"/>
      <c r="EXZ174" s="537"/>
      <c r="EYA174" s="537"/>
      <c r="EYB174" s="537"/>
      <c r="EYC174" s="537"/>
      <c r="EYD174" s="537"/>
      <c r="EYE174" s="537"/>
      <c r="EYF174" s="537"/>
      <c r="EYG174" s="537"/>
      <c r="EYH174" s="537"/>
      <c r="EYI174" s="537"/>
      <c r="EYJ174" s="537"/>
      <c r="EYK174" s="537"/>
      <c r="EYL174" s="537"/>
      <c r="EYM174" s="537"/>
      <c r="EYN174" s="537"/>
      <c r="EYO174" s="537"/>
      <c r="EYP174" s="537"/>
      <c r="EYQ174" s="537"/>
      <c r="EYR174" s="537"/>
      <c r="EYS174" s="537"/>
      <c r="EYT174" s="537"/>
      <c r="EYU174" s="537"/>
      <c r="EYV174" s="537"/>
      <c r="EYW174" s="537"/>
      <c r="EYX174" s="537"/>
      <c r="EYY174" s="537"/>
      <c r="EYZ174" s="537"/>
      <c r="EZA174" s="537"/>
      <c r="EZB174" s="537"/>
      <c r="EZC174" s="537"/>
      <c r="EZD174" s="537"/>
      <c r="EZE174" s="537"/>
      <c r="EZF174" s="537"/>
      <c r="EZG174" s="537"/>
      <c r="EZH174" s="537"/>
      <c r="EZI174" s="537"/>
      <c r="EZJ174" s="537"/>
      <c r="EZK174" s="537"/>
      <c r="EZL174" s="537"/>
      <c r="EZM174" s="537"/>
      <c r="EZN174" s="537"/>
      <c r="EZO174" s="537"/>
      <c r="EZP174" s="537"/>
      <c r="EZQ174" s="537"/>
      <c r="EZR174" s="537"/>
      <c r="EZS174" s="537"/>
      <c r="EZT174" s="537"/>
      <c r="EZU174" s="537"/>
      <c r="EZV174" s="537"/>
      <c r="EZW174" s="537"/>
      <c r="EZX174" s="537"/>
      <c r="EZY174" s="537"/>
      <c r="EZZ174" s="537"/>
      <c r="FAA174" s="537"/>
      <c r="FAB174" s="537"/>
      <c r="FAC174" s="537"/>
      <c r="FAD174" s="537"/>
      <c r="FAE174" s="537"/>
      <c r="FAF174" s="537"/>
      <c r="FAG174" s="537"/>
      <c r="FAH174" s="537"/>
      <c r="FAI174" s="537"/>
      <c r="FAJ174" s="537"/>
      <c r="FAK174" s="537"/>
      <c r="FAL174" s="537"/>
      <c r="FAM174" s="537"/>
      <c r="FAN174" s="537"/>
      <c r="FAO174" s="537"/>
      <c r="FAP174" s="537"/>
      <c r="FAQ174" s="537"/>
      <c r="FAR174" s="537"/>
      <c r="FAS174" s="537"/>
      <c r="FAT174" s="537"/>
      <c r="FAU174" s="537"/>
      <c r="FAV174" s="537"/>
      <c r="FAW174" s="537"/>
      <c r="FAX174" s="537"/>
      <c r="FAY174" s="537"/>
      <c r="FAZ174" s="537"/>
      <c r="FBA174" s="537"/>
      <c r="FBB174" s="537"/>
      <c r="FBC174" s="537"/>
      <c r="FBD174" s="537"/>
      <c r="FBE174" s="537"/>
      <c r="FBF174" s="537"/>
      <c r="FBG174" s="537"/>
      <c r="FBH174" s="537"/>
      <c r="FBI174" s="537"/>
      <c r="FBJ174" s="537"/>
      <c r="FBK174" s="537"/>
      <c r="FBL174" s="537"/>
      <c r="FBM174" s="537"/>
      <c r="FBN174" s="537"/>
      <c r="FBO174" s="537"/>
      <c r="FBP174" s="537"/>
      <c r="FBQ174" s="537"/>
      <c r="FBR174" s="537"/>
      <c r="FBS174" s="537"/>
      <c r="FBT174" s="537"/>
      <c r="FBU174" s="537"/>
      <c r="FBV174" s="537"/>
      <c r="FBW174" s="537"/>
      <c r="FBX174" s="537"/>
      <c r="FBY174" s="537"/>
      <c r="FBZ174" s="537"/>
      <c r="FCA174" s="537"/>
      <c r="FCB174" s="537"/>
      <c r="FCC174" s="537"/>
      <c r="FCD174" s="537"/>
      <c r="FCE174" s="537"/>
      <c r="FCF174" s="537"/>
      <c r="FCG174" s="537"/>
      <c r="FCH174" s="537"/>
      <c r="FCI174" s="537"/>
      <c r="FCJ174" s="537"/>
      <c r="FCK174" s="537"/>
      <c r="FCL174" s="537"/>
      <c r="FCM174" s="537"/>
      <c r="FCN174" s="537"/>
      <c r="FCO174" s="537"/>
      <c r="FCP174" s="537"/>
      <c r="FCQ174" s="537"/>
      <c r="FCR174" s="537"/>
      <c r="FCS174" s="537"/>
      <c r="FCT174" s="537"/>
      <c r="FCU174" s="537"/>
      <c r="FCV174" s="537"/>
      <c r="FCW174" s="537"/>
      <c r="FCX174" s="537"/>
      <c r="FCY174" s="537"/>
      <c r="FCZ174" s="537"/>
      <c r="FDA174" s="537"/>
      <c r="FDB174" s="537"/>
      <c r="FDC174" s="537"/>
      <c r="FDD174" s="537"/>
      <c r="FDE174" s="537"/>
      <c r="FDF174" s="537"/>
      <c r="FDG174" s="537"/>
      <c r="FDH174" s="537"/>
      <c r="FDI174" s="537"/>
      <c r="FDJ174" s="537"/>
      <c r="FDK174" s="537"/>
      <c r="FDL174" s="537"/>
      <c r="FDM174" s="537"/>
      <c r="FDN174" s="537"/>
      <c r="FDO174" s="537"/>
      <c r="FDP174" s="537"/>
      <c r="FDQ174" s="537"/>
      <c r="FDR174" s="537"/>
      <c r="FDS174" s="537"/>
      <c r="FDT174" s="537"/>
      <c r="FDU174" s="537"/>
      <c r="FDV174" s="537"/>
      <c r="FDW174" s="537"/>
      <c r="FDX174" s="537"/>
      <c r="FDY174" s="537"/>
      <c r="FDZ174" s="537"/>
      <c r="FEA174" s="537"/>
      <c r="FEB174" s="537"/>
      <c r="FEC174" s="537"/>
      <c r="FED174" s="537"/>
      <c r="FEE174" s="537"/>
      <c r="FEF174" s="537"/>
      <c r="FEG174" s="537"/>
      <c r="FEH174" s="537"/>
      <c r="FEI174" s="537"/>
      <c r="FEJ174" s="537"/>
      <c r="FEK174" s="537"/>
      <c r="FEL174" s="537"/>
      <c r="FEM174" s="537"/>
      <c r="FEN174" s="537"/>
      <c r="FEO174" s="537"/>
      <c r="FEP174" s="537"/>
      <c r="FEQ174" s="537"/>
      <c r="FER174" s="537"/>
      <c r="FES174" s="537"/>
      <c r="FET174" s="537"/>
      <c r="FEU174" s="537"/>
      <c r="FEV174" s="537"/>
      <c r="FEW174" s="537"/>
      <c r="FEX174" s="537"/>
      <c r="FEY174" s="537"/>
      <c r="FEZ174" s="537"/>
      <c r="FFA174" s="537"/>
      <c r="FFB174" s="537"/>
      <c r="FFC174" s="537"/>
      <c r="FFD174" s="537"/>
      <c r="FFE174" s="537"/>
      <c r="FFF174" s="537"/>
      <c r="FFG174" s="537"/>
      <c r="FFH174" s="537"/>
      <c r="FFI174" s="537"/>
      <c r="FFJ174" s="537"/>
      <c r="FFK174" s="537"/>
      <c r="FFL174" s="537"/>
      <c r="FFM174" s="537"/>
      <c r="FFN174" s="537"/>
      <c r="FFO174" s="537"/>
      <c r="FFP174" s="537"/>
      <c r="FFQ174" s="537"/>
      <c r="FFR174" s="537"/>
      <c r="FFS174" s="537"/>
      <c r="FFT174" s="537"/>
      <c r="FFU174" s="537"/>
      <c r="FFV174" s="537"/>
      <c r="FFW174" s="537"/>
      <c r="FFX174" s="537"/>
      <c r="FFY174" s="537"/>
      <c r="FFZ174" s="537"/>
      <c r="FGA174" s="537"/>
      <c r="FGB174" s="537"/>
      <c r="FGC174" s="537"/>
      <c r="FGD174" s="537"/>
      <c r="FGE174" s="537"/>
      <c r="FGF174" s="537"/>
      <c r="FGG174" s="537"/>
      <c r="FGH174" s="537"/>
      <c r="FGI174" s="537"/>
      <c r="FGJ174" s="537"/>
      <c r="FGK174" s="537"/>
      <c r="FGL174" s="537"/>
      <c r="FGM174" s="537"/>
      <c r="FGN174" s="537"/>
      <c r="FGO174" s="537"/>
      <c r="FGP174" s="537"/>
      <c r="FGQ174" s="537"/>
      <c r="FGR174" s="537"/>
      <c r="FGS174" s="537"/>
      <c r="FGT174" s="537"/>
      <c r="FGU174" s="537"/>
      <c r="FGV174" s="537"/>
      <c r="FGW174" s="537"/>
      <c r="FGX174" s="537"/>
      <c r="FGY174" s="537"/>
      <c r="FGZ174" s="537"/>
      <c r="FHA174" s="537"/>
      <c r="FHB174" s="537"/>
      <c r="FHC174" s="537"/>
      <c r="FHD174" s="537"/>
      <c r="FHE174" s="537"/>
      <c r="FHF174" s="537"/>
      <c r="FHG174" s="537"/>
      <c r="FHH174" s="537"/>
      <c r="FHI174" s="537"/>
      <c r="FHJ174" s="537"/>
      <c r="FHK174" s="537"/>
      <c r="FHL174" s="537"/>
      <c r="FHM174" s="537"/>
      <c r="FHN174" s="537"/>
      <c r="FHO174" s="537"/>
      <c r="FHP174" s="537"/>
      <c r="FHQ174" s="537"/>
      <c r="FHR174" s="537"/>
      <c r="FHS174" s="537"/>
      <c r="FHT174" s="537"/>
      <c r="FHU174" s="537"/>
      <c r="FHV174" s="537"/>
      <c r="FHW174" s="537"/>
      <c r="FHX174" s="537"/>
      <c r="FHY174" s="537"/>
      <c r="FHZ174" s="537"/>
      <c r="FIA174" s="537"/>
      <c r="FIB174" s="537"/>
      <c r="FIC174" s="537"/>
      <c r="FID174" s="537"/>
      <c r="FIE174" s="537"/>
      <c r="FIF174" s="537"/>
      <c r="FIG174" s="537"/>
      <c r="FIH174" s="537"/>
      <c r="FII174" s="537"/>
      <c r="FIJ174" s="537"/>
      <c r="FIK174" s="537"/>
      <c r="FIL174" s="537"/>
      <c r="FIM174" s="537"/>
      <c r="FIN174" s="537"/>
      <c r="FIO174" s="537"/>
      <c r="FIP174" s="537"/>
      <c r="FIQ174" s="537"/>
      <c r="FIR174" s="537"/>
      <c r="FIS174" s="537"/>
      <c r="FIT174" s="537"/>
      <c r="FIU174" s="537"/>
      <c r="FIV174" s="537"/>
      <c r="FIW174" s="537"/>
      <c r="FIX174" s="537"/>
      <c r="FIY174" s="537"/>
      <c r="FIZ174" s="537"/>
      <c r="FJA174" s="537"/>
      <c r="FJB174" s="537"/>
      <c r="FJC174" s="537"/>
      <c r="FJD174" s="537"/>
      <c r="FJE174" s="537"/>
      <c r="FJF174" s="537"/>
      <c r="FJG174" s="537"/>
      <c r="FJH174" s="537"/>
      <c r="FJI174" s="537"/>
      <c r="FJJ174" s="537"/>
      <c r="FJK174" s="537"/>
      <c r="FJL174" s="537"/>
      <c r="FJM174" s="537"/>
      <c r="FJN174" s="537"/>
      <c r="FJO174" s="537"/>
      <c r="FJP174" s="537"/>
      <c r="FJQ174" s="537"/>
      <c r="FJR174" s="537"/>
      <c r="FJS174" s="537"/>
      <c r="FJT174" s="537"/>
      <c r="FJU174" s="537"/>
      <c r="FJV174" s="537"/>
      <c r="FJW174" s="537"/>
      <c r="FJX174" s="537"/>
      <c r="FJY174" s="537"/>
      <c r="FJZ174" s="537"/>
      <c r="FKA174" s="537"/>
      <c r="FKB174" s="537"/>
      <c r="FKC174" s="537"/>
      <c r="FKD174" s="537"/>
      <c r="FKE174" s="537"/>
      <c r="FKF174" s="537"/>
      <c r="FKG174" s="537"/>
      <c r="FKH174" s="537"/>
      <c r="FKI174" s="537"/>
      <c r="FKJ174" s="537"/>
      <c r="FKK174" s="537"/>
      <c r="FKL174" s="537"/>
      <c r="FKM174" s="537"/>
      <c r="FKN174" s="537"/>
      <c r="FKO174" s="537"/>
      <c r="FKP174" s="537"/>
      <c r="FKQ174" s="537"/>
      <c r="FKR174" s="537"/>
      <c r="FKS174" s="537"/>
      <c r="FKT174" s="537"/>
      <c r="FKU174" s="537"/>
      <c r="FKV174" s="537"/>
      <c r="FKW174" s="537"/>
      <c r="FKX174" s="537"/>
      <c r="FKY174" s="537"/>
      <c r="FKZ174" s="537"/>
      <c r="FLA174" s="537"/>
      <c r="FLB174" s="537"/>
      <c r="FLC174" s="537"/>
      <c r="FLD174" s="537"/>
      <c r="FLE174" s="537"/>
      <c r="FLF174" s="537"/>
      <c r="FLG174" s="537"/>
      <c r="FLH174" s="537"/>
      <c r="FLI174" s="537"/>
      <c r="FLJ174" s="537"/>
      <c r="FLK174" s="537"/>
      <c r="FLL174" s="537"/>
      <c r="FLM174" s="537"/>
      <c r="FLN174" s="537"/>
      <c r="FLO174" s="537"/>
      <c r="FLP174" s="537"/>
      <c r="FLQ174" s="537"/>
      <c r="FLR174" s="537"/>
      <c r="FLS174" s="537"/>
      <c r="FLT174" s="537"/>
      <c r="FLU174" s="537"/>
      <c r="FLV174" s="537"/>
      <c r="FLW174" s="537"/>
      <c r="FLX174" s="537"/>
      <c r="FLY174" s="537"/>
      <c r="FLZ174" s="537"/>
      <c r="FMA174" s="537"/>
      <c r="FMB174" s="537"/>
      <c r="FMC174" s="537"/>
      <c r="FMD174" s="537"/>
      <c r="FME174" s="537"/>
      <c r="FMF174" s="537"/>
      <c r="FMG174" s="537"/>
      <c r="FMH174" s="537"/>
      <c r="FMI174" s="537"/>
      <c r="FMJ174" s="537"/>
      <c r="FMK174" s="537"/>
      <c r="FML174" s="537"/>
      <c r="FMM174" s="537"/>
      <c r="FMN174" s="537"/>
      <c r="FMO174" s="537"/>
      <c r="FMP174" s="537"/>
      <c r="FMQ174" s="537"/>
      <c r="FMR174" s="537"/>
      <c r="FMS174" s="537"/>
      <c r="FMT174" s="537"/>
      <c r="FMU174" s="537"/>
      <c r="FMV174" s="537"/>
      <c r="FMW174" s="537"/>
      <c r="FMX174" s="537"/>
      <c r="FMY174" s="537"/>
      <c r="FMZ174" s="537"/>
      <c r="FNA174" s="537"/>
      <c r="FNB174" s="537"/>
      <c r="FNC174" s="537"/>
      <c r="FND174" s="537"/>
      <c r="FNE174" s="537"/>
      <c r="FNF174" s="537"/>
      <c r="FNG174" s="537"/>
      <c r="FNH174" s="537"/>
      <c r="FNI174" s="537"/>
      <c r="FNJ174" s="537"/>
      <c r="FNK174" s="537"/>
      <c r="FNL174" s="537"/>
      <c r="FNM174" s="537"/>
      <c r="FNN174" s="537"/>
      <c r="FNO174" s="537"/>
      <c r="FNP174" s="537"/>
      <c r="FNQ174" s="537"/>
      <c r="FNR174" s="537"/>
      <c r="FNS174" s="537"/>
      <c r="FNT174" s="537"/>
      <c r="FNU174" s="537"/>
      <c r="FNV174" s="537"/>
      <c r="FNW174" s="537"/>
      <c r="FNX174" s="537"/>
      <c r="FNY174" s="537"/>
      <c r="FNZ174" s="537"/>
      <c r="FOA174" s="537"/>
      <c r="FOB174" s="537"/>
      <c r="FOC174" s="537"/>
      <c r="FOD174" s="537"/>
      <c r="FOE174" s="537"/>
      <c r="FOF174" s="537"/>
      <c r="FOG174" s="537"/>
      <c r="FOH174" s="537"/>
      <c r="FOI174" s="537"/>
      <c r="FOJ174" s="537"/>
      <c r="FOK174" s="537"/>
      <c r="FOL174" s="537"/>
      <c r="FOM174" s="537"/>
      <c r="FON174" s="537"/>
      <c r="FOO174" s="537"/>
      <c r="FOP174" s="537"/>
      <c r="FOQ174" s="537"/>
      <c r="FOR174" s="537"/>
      <c r="FOS174" s="537"/>
      <c r="FOT174" s="537"/>
      <c r="FOU174" s="537"/>
      <c r="FOV174" s="537"/>
      <c r="FOW174" s="537"/>
      <c r="FOX174" s="537"/>
      <c r="FOY174" s="537"/>
      <c r="FOZ174" s="537"/>
      <c r="FPA174" s="537"/>
      <c r="FPB174" s="537"/>
      <c r="FPC174" s="537"/>
      <c r="FPD174" s="537"/>
      <c r="FPE174" s="537"/>
      <c r="FPF174" s="537"/>
      <c r="FPG174" s="537"/>
      <c r="FPH174" s="537"/>
      <c r="FPI174" s="537"/>
      <c r="FPJ174" s="537"/>
      <c r="FPK174" s="537"/>
      <c r="FPL174" s="537"/>
      <c r="FPM174" s="537"/>
      <c r="FPN174" s="537"/>
      <c r="FPO174" s="537"/>
      <c r="FPP174" s="537"/>
      <c r="FPQ174" s="537"/>
      <c r="FPR174" s="537"/>
      <c r="FPS174" s="537"/>
      <c r="FPT174" s="537"/>
      <c r="FPU174" s="537"/>
      <c r="FPV174" s="537"/>
      <c r="FPW174" s="537"/>
      <c r="FPX174" s="537"/>
      <c r="FPY174" s="537"/>
      <c r="FPZ174" s="537"/>
      <c r="FQA174" s="537"/>
      <c r="FQB174" s="537"/>
      <c r="FQC174" s="537"/>
      <c r="FQD174" s="537"/>
      <c r="FQE174" s="537"/>
      <c r="FQF174" s="537"/>
      <c r="FQG174" s="537"/>
      <c r="FQH174" s="537"/>
      <c r="FQI174" s="537"/>
      <c r="FQJ174" s="537"/>
      <c r="FQK174" s="537"/>
      <c r="FQL174" s="537"/>
      <c r="FQM174" s="537"/>
      <c r="FQN174" s="537"/>
      <c r="FQO174" s="537"/>
      <c r="FQP174" s="537"/>
      <c r="FQQ174" s="537"/>
      <c r="FQR174" s="537"/>
      <c r="FQS174" s="537"/>
      <c r="FQT174" s="537"/>
      <c r="FQU174" s="537"/>
      <c r="FQV174" s="537"/>
      <c r="FQW174" s="537"/>
      <c r="FQX174" s="537"/>
      <c r="FQY174" s="537"/>
      <c r="FQZ174" s="537"/>
      <c r="FRA174" s="537"/>
      <c r="FRB174" s="537"/>
      <c r="FRC174" s="537"/>
      <c r="FRD174" s="537"/>
      <c r="FRE174" s="537"/>
      <c r="FRF174" s="537"/>
      <c r="FRG174" s="537"/>
      <c r="FRH174" s="537"/>
      <c r="FRI174" s="537"/>
      <c r="FRJ174" s="537"/>
      <c r="FRK174" s="537"/>
      <c r="FRL174" s="537"/>
      <c r="FRM174" s="537"/>
      <c r="FRN174" s="537"/>
      <c r="FRO174" s="537"/>
      <c r="FRP174" s="537"/>
      <c r="FRQ174" s="537"/>
      <c r="FRR174" s="537"/>
      <c r="FRS174" s="537"/>
      <c r="FRT174" s="537"/>
      <c r="FRU174" s="537"/>
      <c r="FRV174" s="537"/>
      <c r="FRW174" s="537"/>
      <c r="FRX174" s="537"/>
      <c r="FRY174" s="537"/>
      <c r="FRZ174" s="537"/>
      <c r="FSA174" s="537"/>
      <c r="FSB174" s="537"/>
      <c r="FSC174" s="537"/>
      <c r="FSD174" s="537"/>
      <c r="FSE174" s="537"/>
      <c r="FSF174" s="537"/>
      <c r="FSG174" s="537"/>
      <c r="FSH174" s="537"/>
      <c r="FSI174" s="537"/>
      <c r="FSJ174" s="537"/>
      <c r="FSK174" s="537"/>
      <c r="FSL174" s="537"/>
      <c r="FSM174" s="537"/>
      <c r="FSN174" s="537"/>
      <c r="FSO174" s="537"/>
      <c r="FSP174" s="537"/>
      <c r="FSQ174" s="537"/>
      <c r="FSR174" s="537"/>
      <c r="FSS174" s="537"/>
      <c r="FST174" s="537"/>
      <c r="FSU174" s="537"/>
      <c r="FSV174" s="537"/>
      <c r="FSW174" s="537"/>
      <c r="FSX174" s="537"/>
      <c r="FSY174" s="537"/>
      <c r="FSZ174" s="537"/>
      <c r="FTA174" s="537"/>
      <c r="FTB174" s="537"/>
      <c r="FTC174" s="537"/>
      <c r="FTD174" s="537"/>
      <c r="FTE174" s="537"/>
      <c r="FTF174" s="537"/>
      <c r="FTG174" s="537"/>
      <c r="FTH174" s="537"/>
      <c r="FTI174" s="537"/>
      <c r="FTJ174" s="537"/>
      <c r="FTK174" s="537"/>
      <c r="FTL174" s="537"/>
      <c r="FTM174" s="537"/>
      <c r="FTN174" s="537"/>
      <c r="FTO174" s="537"/>
      <c r="FTP174" s="537"/>
      <c r="FTQ174" s="537"/>
      <c r="FTR174" s="537"/>
      <c r="FTS174" s="537"/>
      <c r="FTT174" s="537"/>
      <c r="FTU174" s="537"/>
      <c r="FTV174" s="537"/>
      <c r="FTW174" s="537"/>
      <c r="FTX174" s="537"/>
      <c r="FTY174" s="537"/>
      <c r="FTZ174" s="537"/>
      <c r="FUA174" s="537"/>
      <c r="FUB174" s="537"/>
      <c r="FUC174" s="537"/>
      <c r="FUD174" s="537"/>
      <c r="FUE174" s="537"/>
      <c r="FUF174" s="537"/>
      <c r="FUG174" s="537"/>
      <c r="FUH174" s="537"/>
      <c r="FUI174" s="537"/>
      <c r="FUJ174" s="537"/>
      <c r="FUK174" s="537"/>
      <c r="FUL174" s="537"/>
      <c r="FUM174" s="537"/>
      <c r="FUN174" s="537"/>
      <c r="FUO174" s="537"/>
      <c r="FUP174" s="537"/>
      <c r="FUQ174" s="537"/>
      <c r="FUR174" s="537"/>
      <c r="FUS174" s="537"/>
      <c r="FUT174" s="537"/>
      <c r="FUU174" s="537"/>
      <c r="FUV174" s="537"/>
      <c r="FUW174" s="537"/>
      <c r="FUX174" s="537"/>
      <c r="FUY174" s="537"/>
      <c r="FUZ174" s="537"/>
      <c r="FVA174" s="537"/>
      <c r="FVB174" s="537"/>
      <c r="FVC174" s="537"/>
      <c r="FVD174" s="537"/>
      <c r="FVE174" s="537"/>
      <c r="FVF174" s="537"/>
      <c r="FVG174" s="537"/>
      <c r="FVH174" s="537"/>
      <c r="FVI174" s="537"/>
      <c r="FVJ174" s="537"/>
      <c r="FVK174" s="537"/>
      <c r="FVL174" s="537"/>
      <c r="FVM174" s="537"/>
      <c r="FVN174" s="537"/>
      <c r="FVO174" s="537"/>
      <c r="FVP174" s="537"/>
      <c r="FVQ174" s="537"/>
      <c r="FVR174" s="537"/>
      <c r="FVS174" s="537"/>
      <c r="FVT174" s="537"/>
      <c r="FVU174" s="537"/>
      <c r="FVV174" s="537"/>
      <c r="FVW174" s="537"/>
      <c r="FVX174" s="537"/>
      <c r="FVY174" s="537"/>
      <c r="FVZ174" s="537"/>
      <c r="FWA174" s="537"/>
      <c r="FWB174" s="537"/>
      <c r="FWC174" s="537"/>
      <c r="FWD174" s="537"/>
      <c r="FWE174" s="537"/>
      <c r="FWF174" s="537"/>
      <c r="FWG174" s="537"/>
      <c r="FWH174" s="537"/>
      <c r="FWI174" s="537"/>
      <c r="FWJ174" s="537"/>
      <c r="FWK174" s="537"/>
      <c r="FWL174" s="537"/>
      <c r="FWM174" s="537"/>
      <c r="FWN174" s="537"/>
      <c r="FWO174" s="537"/>
      <c r="FWP174" s="537"/>
      <c r="FWQ174" s="537"/>
      <c r="FWR174" s="537"/>
      <c r="FWS174" s="537"/>
      <c r="FWT174" s="537"/>
      <c r="FWU174" s="537"/>
      <c r="FWV174" s="537"/>
      <c r="FWW174" s="537"/>
      <c r="FWX174" s="537"/>
      <c r="FWY174" s="537"/>
      <c r="FWZ174" s="537"/>
      <c r="FXA174" s="537"/>
      <c r="FXB174" s="537"/>
      <c r="FXC174" s="537"/>
      <c r="FXD174" s="537"/>
      <c r="FXE174" s="537"/>
      <c r="FXF174" s="537"/>
      <c r="FXG174" s="537"/>
      <c r="FXH174" s="537"/>
      <c r="FXI174" s="537"/>
      <c r="FXJ174" s="537"/>
      <c r="FXK174" s="537"/>
      <c r="FXL174" s="537"/>
      <c r="FXM174" s="537"/>
      <c r="FXN174" s="537"/>
      <c r="FXO174" s="537"/>
      <c r="FXP174" s="537"/>
      <c r="FXQ174" s="537"/>
      <c r="FXR174" s="537"/>
      <c r="FXS174" s="537"/>
      <c r="FXT174" s="537"/>
      <c r="FXU174" s="537"/>
      <c r="FXV174" s="537"/>
      <c r="FXW174" s="537"/>
      <c r="FXX174" s="537"/>
      <c r="FXY174" s="537"/>
      <c r="FXZ174" s="537"/>
      <c r="FYA174" s="537"/>
      <c r="FYB174" s="537"/>
      <c r="FYC174" s="537"/>
      <c r="FYD174" s="537"/>
      <c r="FYE174" s="537"/>
      <c r="FYF174" s="537"/>
      <c r="FYG174" s="537"/>
      <c r="FYH174" s="537"/>
      <c r="FYI174" s="537"/>
      <c r="FYJ174" s="537"/>
      <c r="FYK174" s="537"/>
      <c r="FYL174" s="537"/>
      <c r="FYM174" s="537"/>
      <c r="FYN174" s="537"/>
      <c r="FYO174" s="537"/>
      <c r="FYP174" s="537"/>
      <c r="FYQ174" s="537"/>
      <c r="FYR174" s="537"/>
      <c r="FYS174" s="537"/>
      <c r="FYT174" s="537"/>
      <c r="FYU174" s="537"/>
      <c r="FYV174" s="537"/>
      <c r="FYW174" s="537"/>
      <c r="FYX174" s="537"/>
      <c r="FYY174" s="537"/>
      <c r="FYZ174" s="537"/>
      <c r="FZA174" s="537"/>
      <c r="FZB174" s="537"/>
      <c r="FZC174" s="537"/>
      <c r="FZD174" s="537"/>
      <c r="FZE174" s="537"/>
      <c r="FZF174" s="537"/>
      <c r="FZG174" s="537"/>
      <c r="FZH174" s="537"/>
      <c r="FZI174" s="537"/>
      <c r="FZJ174" s="537"/>
      <c r="FZK174" s="537"/>
      <c r="FZL174" s="537"/>
      <c r="FZM174" s="537"/>
      <c r="FZN174" s="537"/>
      <c r="FZO174" s="537"/>
      <c r="FZP174" s="537"/>
      <c r="FZQ174" s="537"/>
      <c r="FZR174" s="537"/>
      <c r="FZS174" s="537"/>
      <c r="FZT174" s="537"/>
      <c r="FZU174" s="537"/>
      <c r="FZV174" s="537"/>
      <c r="FZW174" s="537"/>
      <c r="FZX174" s="537"/>
      <c r="FZY174" s="537"/>
      <c r="FZZ174" s="537"/>
      <c r="GAA174" s="537"/>
      <c r="GAB174" s="537"/>
      <c r="GAC174" s="537"/>
      <c r="GAD174" s="537"/>
      <c r="GAE174" s="537"/>
      <c r="GAF174" s="537"/>
      <c r="GAG174" s="537"/>
      <c r="GAH174" s="537"/>
      <c r="GAI174" s="537"/>
      <c r="GAJ174" s="537"/>
      <c r="GAK174" s="537"/>
      <c r="GAL174" s="537"/>
      <c r="GAM174" s="537"/>
      <c r="GAN174" s="537"/>
      <c r="GAO174" s="537"/>
      <c r="GAP174" s="537"/>
      <c r="GAQ174" s="537"/>
      <c r="GAR174" s="537"/>
      <c r="GAS174" s="537"/>
      <c r="GAT174" s="537"/>
      <c r="GAU174" s="537"/>
      <c r="GAV174" s="537"/>
      <c r="GAW174" s="537"/>
      <c r="GAX174" s="537"/>
      <c r="GAY174" s="537"/>
      <c r="GAZ174" s="537"/>
      <c r="GBA174" s="537"/>
      <c r="GBB174" s="537"/>
      <c r="GBC174" s="537"/>
      <c r="GBD174" s="537"/>
      <c r="GBE174" s="537"/>
      <c r="GBF174" s="537"/>
      <c r="GBG174" s="537"/>
      <c r="GBH174" s="537"/>
      <c r="GBI174" s="537"/>
      <c r="GBJ174" s="537"/>
      <c r="GBK174" s="537"/>
      <c r="GBL174" s="537"/>
      <c r="GBM174" s="537"/>
      <c r="GBN174" s="537"/>
      <c r="GBO174" s="537"/>
      <c r="GBP174" s="537"/>
      <c r="GBQ174" s="537"/>
      <c r="GBR174" s="537"/>
      <c r="GBS174" s="537"/>
      <c r="GBT174" s="537"/>
      <c r="GBU174" s="537"/>
      <c r="GBV174" s="537"/>
      <c r="GBW174" s="537"/>
      <c r="GBX174" s="537"/>
      <c r="GBY174" s="537"/>
      <c r="GBZ174" s="537"/>
      <c r="GCA174" s="537"/>
      <c r="GCB174" s="537"/>
      <c r="GCC174" s="537"/>
      <c r="GCD174" s="537"/>
      <c r="GCE174" s="537"/>
      <c r="GCF174" s="537"/>
      <c r="GCG174" s="537"/>
      <c r="GCH174" s="537"/>
      <c r="GCI174" s="537"/>
      <c r="GCJ174" s="537"/>
      <c r="GCK174" s="537"/>
      <c r="GCL174" s="537"/>
      <c r="GCM174" s="537"/>
      <c r="GCN174" s="537"/>
      <c r="GCO174" s="537"/>
      <c r="GCP174" s="537"/>
      <c r="GCQ174" s="537"/>
      <c r="GCR174" s="537"/>
      <c r="GCS174" s="537"/>
      <c r="GCT174" s="537"/>
      <c r="GCU174" s="537"/>
      <c r="GCV174" s="537"/>
      <c r="GCW174" s="537"/>
      <c r="GCX174" s="537"/>
      <c r="GCY174" s="537"/>
      <c r="GCZ174" s="537"/>
      <c r="GDA174" s="537"/>
      <c r="GDB174" s="537"/>
      <c r="GDC174" s="537"/>
      <c r="GDD174" s="537"/>
      <c r="GDE174" s="537"/>
      <c r="GDF174" s="537"/>
      <c r="GDG174" s="537"/>
      <c r="GDH174" s="537"/>
      <c r="GDI174" s="537"/>
      <c r="GDJ174" s="537"/>
      <c r="GDK174" s="537"/>
      <c r="GDL174" s="537"/>
      <c r="GDM174" s="537"/>
      <c r="GDN174" s="537"/>
      <c r="GDO174" s="537"/>
      <c r="GDP174" s="537"/>
      <c r="GDQ174" s="537"/>
      <c r="GDR174" s="537"/>
      <c r="GDS174" s="537"/>
      <c r="GDT174" s="537"/>
      <c r="GDU174" s="537"/>
      <c r="GDV174" s="537"/>
      <c r="GDW174" s="537"/>
      <c r="GDX174" s="537"/>
      <c r="GDY174" s="537"/>
      <c r="GDZ174" s="537"/>
      <c r="GEA174" s="537"/>
      <c r="GEB174" s="537"/>
      <c r="GEC174" s="537"/>
      <c r="GED174" s="537"/>
      <c r="GEE174" s="537"/>
      <c r="GEF174" s="537"/>
      <c r="GEG174" s="537"/>
      <c r="GEH174" s="537"/>
      <c r="GEI174" s="537"/>
      <c r="GEJ174" s="537"/>
      <c r="GEK174" s="537"/>
      <c r="GEL174" s="537"/>
      <c r="GEM174" s="537"/>
      <c r="GEN174" s="537"/>
      <c r="GEO174" s="537"/>
      <c r="GEP174" s="537"/>
      <c r="GEQ174" s="537"/>
      <c r="GER174" s="537"/>
      <c r="GES174" s="537"/>
      <c r="GET174" s="537"/>
      <c r="GEU174" s="537"/>
      <c r="GEV174" s="537"/>
      <c r="GEW174" s="537"/>
      <c r="GEX174" s="537"/>
      <c r="GEY174" s="537"/>
      <c r="GEZ174" s="537"/>
      <c r="GFA174" s="537"/>
      <c r="GFB174" s="537"/>
      <c r="GFC174" s="537"/>
      <c r="GFD174" s="537"/>
      <c r="GFE174" s="537"/>
      <c r="GFF174" s="537"/>
      <c r="GFG174" s="537"/>
      <c r="GFH174" s="537"/>
      <c r="GFI174" s="537"/>
      <c r="GFJ174" s="537"/>
      <c r="GFK174" s="537"/>
      <c r="GFL174" s="537"/>
      <c r="GFM174" s="537"/>
      <c r="GFN174" s="537"/>
      <c r="GFO174" s="537"/>
      <c r="GFP174" s="537"/>
      <c r="GFQ174" s="537"/>
      <c r="GFR174" s="537"/>
      <c r="GFS174" s="537"/>
      <c r="GFT174" s="537"/>
      <c r="GFU174" s="537"/>
      <c r="GFV174" s="537"/>
      <c r="GFW174" s="537"/>
      <c r="GFX174" s="537"/>
      <c r="GFY174" s="537"/>
      <c r="GFZ174" s="537"/>
      <c r="GGA174" s="537"/>
      <c r="GGB174" s="537"/>
      <c r="GGC174" s="537"/>
      <c r="GGD174" s="537"/>
      <c r="GGE174" s="537"/>
      <c r="GGF174" s="537"/>
      <c r="GGG174" s="537"/>
      <c r="GGH174" s="537"/>
      <c r="GGI174" s="537"/>
      <c r="GGJ174" s="537"/>
      <c r="GGK174" s="537"/>
      <c r="GGL174" s="537"/>
      <c r="GGM174" s="537"/>
      <c r="GGN174" s="537"/>
      <c r="GGO174" s="537"/>
      <c r="GGP174" s="537"/>
      <c r="GGQ174" s="537"/>
      <c r="GGR174" s="537"/>
      <c r="GGS174" s="537"/>
      <c r="GGT174" s="537"/>
      <c r="GGU174" s="537"/>
      <c r="GGV174" s="537"/>
      <c r="GGW174" s="537"/>
      <c r="GGX174" s="537"/>
      <c r="GGY174" s="537"/>
      <c r="GGZ174" s="537"/>
      <c r="GHA174" s="537"/>
      <c r="GHB174" s="537"/>
      <c r="GHC174" s="537"/>
      <c r="GHD174" s="537"/>
      <c r="GHE174" s="537"/>
      <c r="GHF174" s="537"/>
      <c r="GHG174" s="537"/>
      <c r="GHH174" s="537"/>
      <c r="GHI174" s="537"/>
      <c r="GHJ174" s="537"/>
      <c r="GHK174" s="537"/>
      <c r="GHL174" s="537"/>
      <c r="GHM174" s="537"/>
      <c r="GHN174" s="537"/>
      <c r="GHO174" s="537"/>
      <c r="GHP174" s="537"/>
      <c r="GHQ174" s="537"/>
      <c r="GHR174" s="537"/>
      <c r="GHS174" s="537"/>
      <c r="GHT174" s="537"/>
      <c r="GHU174" s="537"/>
      <c r="GHV174" s="537"/>
      <c r="GHW174" s="537"/>
      <c r="GHX174" s="537"/>
      <c r="GHY174" s="537"/>
      <c r="GHZ174" s="537"/>
      <c r="GIA174" s="537"/>
      <c r="GIB174" s="537"/>
      <c r="GIC174" s="537"/>
      <c r="GID174" s="537"/>
      <c r="GIE174" s="537"/>
      <c r="GIF174" s="537"/>
      <c r="GIG174" s="537"/>
      <c r="GIH174" s="537"/>
      <c r="GII174" s="537"/>
      <c r="GIJ174" s="537"/>
      <c r="GIK174" s="537"/>
      <c r="GIL174" s="537"/>
      <c r="GIM174" s="537"/>
      <c r="GIN174" s="537"/>
      <c r="GIO174" s="537"/>
      <c r="GIP174" s="537"/>
      <c r="GIQ174" s="537"/>
      <c r="GIR174" s="537"/>
      <c r="GIS174" s="537"/>
      <c r="GIT174" s="537"/>
      <c r="GIU174" s="537"/>
      <c r="GIV174" s="537"/>
      <c r="GIW174" s="537"/>
      <c r="GIX174" s="537"/>
      <c r="GIY174" s="537"/>
      <c r="GIZ174" s="537"/>
      <c r="GJA174" s="537"/>
      <c r="GJB174" s="537"/>
      <c r="GJC174" s="537"/>
      <c r="GJD174" s="537"/>
      <c r="GJE174" s="537"/>
      <c r="GJF174" s="537"/>
      <c r="GJG174" s="537"/>
      <c r="GJH174" s="537"/>
      <c r="GJI174" s="537"/>
      <c r="GJJ174" s="537"/>
      <c r="GJK174" s="537"/>
      <c r="GJL174" s="537"/>
      <c r="GJM174" s="537"/>
      <c r="GJN174" s="537"/>
      <c r="GJO174" s="537"/>
      <c r="GJP174" s="537"/>
      <c r="GJQ174" s="537"/>
      <c r="GJR174" s="537"/>
      <c r="GJS174" s="537"/>
      <c r="GJT174" s="537"/>
      <c r="GJU174" s="537"/>
      <c r="GJV174" s="537"/>
      <c r="GJW174" s="537"/>
      <c r="GJX174" s="537"/>
      <c r="GJY174" s="537"/>
      <c r="GJZ174" s="537"/>
      <c r="GKA174" s="537"/>
      <c r="GKB174" s="537"/>
      <c r="GKC174" s="537"/>
      <c r="GKD174" s="537"/>
      <c r="GKE174" s="537"/>
      <c r="GKF174" s="537"/>
      <c r="GKG174" s="537"/>
      <c r="GKH174" s="537"/>
      <c r="GKI174" s="537"/>
      <c r="GKJ174" s="537"/>
      <c r="GKK174" s="537"/>
      <c r="GKL174" s="537"/>
      <c r="GKM174" s="537"/>
      <c r="GKN174" s="537"/>
      <c r="GKO174" s="537"/>
      <c r="GKP174" s="537"/>
      <c r="GKQ174" s="537"/>
      <c r="GKR174" s="537"/>
      <c r="GKS174" s="537"/>
      <c r="GKT174" s="537"/>
      <c r="GKU174" s="537"/>
      <c r="GKV174" s="537"/>
      <c r="GKW174" s="537"/>
      <c r="GKX174" s="537"/>
      <c r="GKY174" s="537"/>
      <c r="GKZ174" s="537"/>
      <c r="GLA174" s="537"/>
      <c r="GLB174" s="537"/>
      <c r="GLC174" s="537"/>
      <c r="GLD174" s="537"/>
      <c r="GLE174" s="537"/>
      <c r="GLF174" s="537"/>
      <c r="GLG174" s="537"/>
      <c r="GLH174" s="537"/>
      <c r="GLI174" s="537"/>
      <c r="GLJ174" s="537"/>
      <c r="GLK174" s="537"/>
      <c r="GLL174" s="537"/>
      <c r="GLM174" s="537"/>
      <c r="GLN174" s="537"/>
      <c r="GLO174" s="537"/>
      <c r="GLP174" s="537"/>
      <c r="GLQ174" s="537"/>
      <c r="GLR174" s="537"/>
      <c r="GLS174" s="537"/>
      <c r="GLT174" s="537"/>
      <c r="GLU174" s="537"/>
      <c r="GLV174" s="537"/>
      <c r="GLW174" s="537"/>
      <c r="GLX174" s="537"/>
      <c r="GLY174" s="537"/>
      <c r="GLZ174" s="537"/>
      <c r="GMA174" s="537"/>
      <c r="GMB174" s="537"/>
      <c r="GMC174" s="537"/>
      <c r="GMD174" s="537"/>
      <c r="GME174" s="537"/>
      <c r="GMF174" s="537"/>
      <c r="GMG174" s="537"/>
      <c r="GMH174" s="537"/>
      <c r="GMI174" s="537"/>
      <c r="GMJ174" s="537"/>
      <c r="GMK174" s="537"/>
      <c r="GML174" s="537"/>
      <c r="GMM174" s="537"/>
      <c r="GMN174" s="537"/>
      <c r="GMO174" s="537"/>
      <c r="GMP174" s="537"/>
      <c r="GMQ174" s="537"/>
      <c r="GMR174" s="537"/>
      <c r="GMS174" s="537"/>
      <c r="GMT174" s="537"/>
      <c r="GMU174" s="537"/>
      <c r="GMV174" s="537"/>
      <c r="GMW174" s="537"/>
      <c r="GMX174" s="537"/>
      <c r="GMY174" s="537"/>
      <c r="GMZ174" s="537"/>
      <c r="GNA174" s="537"/>
      <c r="GNB174" s="537"/>
      <c r="GNC174" s="537"/>
      <c r="GND174" s="537"/>
      <c r="GNE174" s="537"/>
      <c r="GNF174" s="537"/>
      <c r="GNG174" s="537"/>
      <c r="GNH174" s="537"/>
      <c r="GNI174" s="537"/>
      <c r="GNJ174" s="537"/>
      <c r="GNK174" s="537"/>
      <c r="GNL174" s="537"/>
      <c r="GNM174" s="537"/>
      <c r="GNN174" s="537"/>
      <c r="GNO174" s="537"/>
      <c r="GNP174" s="537"/>
      <c r="GNQ174" s="537"/>
      <c r="GNR174" s="537"/>
      <c r="GNS174" s="537"/>
      <c r="GNT174" s="537"/>
      <c r="GNU174" s="537"/>
      <c r="GNV174" s="537"/>
      <c r="GNW174" s="537"/>
      <c r="GNX174" s="537"/>
      <c r="GNY174" s="537"/>
      <c r="GNZ174" s="537"/>
      <c r="GOA174" s="537"/>
      <c r="GOB174" s="537"/>
      <c r="GOC174" s="537"/>
      <c r="GOD174" s="537"/>
      <c r="GOE174" s="537"/>
      <c r="GOF174" s="537"/>
      <c r="GOG174" s="537"/>
      <c r="GOH174" s="537"/>
      <c r="GOI174" s="537"/>
      <c r="GOJ174" s="537"/>
      <c r="GOK174" s="537"/>
      <c r="GOL174" s="537"/>
      <c r="GOM174" s="537"/>
      <c r="GON174" s="537"/>
      <c r="GOO174" s="537"/>
      <c r="GOP174" s="537"/>
      <c r="GOQ174" s="537"/>
      <c r="GOR174" s="537"/>
      <c r="GOS174" s="537"/>
      <c r="GOT174" s="537"/>
      <c r="GOU174" s="537"/>
      <c r="GOV174" s="537"/>
      <c r="GOW174" s="537"/>
      <c r="GOX174" s="537"/>
      <c r="GOY174" s="537"/>
      <c r="GOZ174" s="537"/>
      <c r="GPA174" s="537"/>
      <c r="GPB174" s="537"/>
      <c r="GPC174" s="537"/>
      <c r="GPD174" s="537"/>
      <c r="GPE174" s="537"/>
      <c r="GPF174" s="537"/>
      <c r="GPG174" s="537"/>
      <c r="GPH174" s="537"/>
      <c r="GPI174" s="537"/>
      <c r="GPJ174" s="537"/>
      <c r="GPK174" s="537"/>
      <c r="GPL174" s="537"/>
      <c r="GPM174" s="537"/>
      <c r="GPN174" s="537"/>
      <c r="GPO174" s="537"/>
      <c r="GPP174" s="537"/>
      <c r="GPQ174" s="537"/>
      <c r="GPR174" s="537"/>
      <c r="GPS174" s="537"/>
      <c r="GPT174" s="537"/>
      <c r="GPU174" s="537"/>
      <c r="GPV174" s="537"/>
      <c r="GPW174" s="537"/>
      <c r="GPX174" s="537"/>
      <c r="GPY174" s="537"/>
      <c r="GPZ174" s="537"/>
      <c r="GQA174" s="537"/>
      <c r="GQB174" s="537"/>
      <c r="GQC174" s="537"/>
      <c r="GQD174" s="537"/>
      <c r="GQE174" s="537"/>
      <c r="GQF174" s="537"/>
      <c r="GQG174" s="537"/>
      <c r="GQH174" s="537"/>
      <c r="GQI174" s="537"/>
      <c r="GQJ174" s="537"/>
      <c r="GQK174" s="537"/>
      <c r="GQL174" s="537"/>
      <c r="GQM174" s="537"/>
      <c r="GQN174" s="537"/>
      <c r="GQO174" s="537"/>
      <c r="GQP174" s="537"/>
      <c r="GQQ174" s="537"/>
      <c r="GQR174" s="537"/>
      <c r="GQS174" s="537"/>
      <c r="GQT174" s="537"/>
      <c r="GQU174" s="537"/>
      <c r="GQV174" s="537"/>
      <c r="GQW174" s="537"/>
      <c r="GQX174" s="537"/>
      <c r="GQY174" s="537"/>
      <c r="GQZ174" s="537"/>
      <c r="GRA174" s="537"/>
      <c r="GRB174" s="537"/>
      <c r="GRC174" s="537"/>
      <c r="GRD174" s="537"/>
      <c r="GRE174" s="537"/>
      <c r="GRF174" s="537"/>
      <c r="GRG174" s="537"/>
      <c r="GRH174" s="537"/>
      <c r="GRI174" s="537"/>
      <c r="GRJ174" s="537"/>
      <c r="GRK174" s="537"/>
      <c r="GRL174" s="537"/>
      <c r="GRM174" s="537"/>
      <c r="GRN174" s="537"/>
      <c r="GRO174" s="537"/>
      <c r="GRP174" s="537"/>
      <c r="GRQ174" s="537"/>
      <c r="GRR174" s="537"/>
      <c r="GRS174" s="537"/>
      <c r="GRT174" s="537"/>
      <c r="GRU174" s="537"/>
      <c r="GRV174" s="537"/>
      <c r="GRW174" s="537"/>
      <c r="GRX174" s="537"/>
      <c r="GRY174" s="537"/>
      <c r="GRZ174" s="537"/>
      <c r="GSA174" s="537"/>
      <c r="GSB174" s="537"/>
      <c r="GSC174" s="537"/>
      <c r="GSD174" s="537"/>
      <c r="GSE174" s="537"/>
      <c r="GSF174" s="537"/>
      <c r="GSG174" s="537"/>
      <c r="GSH174" s="537"/>
      <c r="GSI174" s="537"/>
      <c r="GSJ174" s="537"/>
      <c r="GSK174" s="537"/>
      <c r="GSL174" s="537"/>
      <c r="GSM174" s="537"/>
      <c r="GSN174" s="537"/>
      <c r="GSO174" s="537"/>
      <c r="GSP174" s="537"/>
      <c r="GSQ174" s="537"/>
      <c r="GSR174" s="537"/>
      <c r="GSS174" s="537"/>
      <c r="GST174" s="537"/>
      <c r="GSU174" s="537"/>
      <c r="GSV174" s="537"/>
      <c r="GSW174" s="537"/>
      <c r="GSX174" s="537"/>
      <c r="GSY174" s="537"/>
      <c r="GSZ174" s="537"/>
      <c r="GTA174" s="537"/>
      <c r="GTB174" s="537"/>
      <c r="GTC174" s="537"/>
      <c r="GTD174" s="537"/>
      <c r="GTE174" s="537"/>
      <c r="GTF174" s="537"/>
      <c r="GTG174" s="537"/>
      <c r="GTH174" s="537"/>
      <c r="GTI174" s="537"/>
      <c r="GTJ174" s="537"/>
      <c r="GTK174" s="537"/>
      <c r="GTL174" s="537"/>
      <c r="GTM174" s="537"/>
      <c r="GTN174" s="537"/>
      <c r="GTO174" s="537"/>
      <c r="GTP174" s="537"/>
      <c r="GTQ174" s="537"/>
      <c r="GTR174" s="537"/>
      <c r="GTS174" s="537"/>
      <c r="GTT174" s="537"/>
      <c r="GTU174" s="537"/>
      <c r="GTV174" s="537"/>
      <c r="GTW174" s="537"/>
      <c r="GTX174" s="537"/>
      <c r="GTY174" s="537"/>
      <c r="GTZ174" s="537"/>
      <c r="GUA174" s="537"/>
      <c r="GUB174" s="537"/>
      <c r="GUC174" s="537"/>
      <c r="GUD174" s="537"/>
      <c r="GUE174" s="537"/>
      <c r="GUF174" s="537"/>
      <c r="GUG174" s="537"/>
      <c r="GUH174" s="537"/>
      <c r="GUI174" s="537"/>
      <c r="GUJ174" s="537"/>
      <c r="GUK174" s="537"/>
      <c r="GUL174" s="537"/>
      <c r="GUM174" s="537"/>
      <c r="GUN174" s="537"/>
      <c r="GUO174" s="537"/>
      <c r="GUP174" s="537"/>
      <c r="GUQ174" s="537"/>
      <c r="GUR174" s="537"/>
      <c r="GUS174" s="537"/>
      <c r="GUT174" s="537"/>
      <c r="GUU174" s="537"/>
      <c r="GUV174" s="537"/>
      <c r="GUW174" s="537"/>
      <c r="GUX174" s="537"/>
      <c r="GUY174" s="537"/>
      <c r="GUZ174" s="537"/>
      <c r="GVA174" s="537"/>
      <c r="GVB174" s="537"/>
      <c r="GVC174" s="537"/>
      <c r="GVD174" s="537"/>
      <c r="GVE174" s="537"/>
      <c r="GVF174" s="537"/>
      <c r="GVG174" s="537"/>
      <c r="GVH174" s="537"/>
      <c r="GVI174" s="537"/>
      <c r="GVJ174" s="537"/>
      <c r="GVK174" s="537"/>
      <c r="GVL174" s="537"/>
      <c r="GVM174" s="537"/>
      <c r="GVN174" s="537"/>
      <c r="GVO174" s="537"/>
      <c r="GVP174" s="537"/>
      <c r="GVQ174" s="537"/>
      <c r="GVR174" s="537"/>
      <c r="GVS174" s="537"/>
      <c r="GVT174" s="537"/>
      <c r="GVU174" s="537"/>
      <c r="GVV174" s="537"/>
      <c r="GVW174" s="537"/>
      <c r="GVX174" s="537"/>
      <c r="GVY174" s="537"/>
      <c r="GVZ174" s="537"/>
      <c r="GWA174" s="537"/>
      <c r="GWB174" s="537"/>
      <c r="GWC174" s="537"/>
      <c r="GWD174" s="537"/>
      <c r="GWE174" s="537"/>
      <c r="GWF174" s="537"/>
      <c r="GWG174" s="537"/>
      <c r="GWH174" s="537"/>
      <c r="GWI174" s="537"/>
      <c r="GWJ174" s="537"/>
      <c r="GWK174" s="537"/>
      <c r="GWL174" s="537"/>
      <c r="GWM174" s="537"/>
      <c r="GWN174" s="537"/>
      <c r="GWO174" s="537"/>
      <c r="GWP174" s="537"/>
      <c r="GWQ174" s="537"/>
      <c r="GWR174" s="537"/>
      <c r="GWS174" s="537"/>
      <c r="GWT174" s="537"/>
      <c r="GWU174" s="537"/>
      <c r="GWV174" s="537"/>
      <c r="GWW174" s="537"/>
      <c r="GWX174" s="537"/>
      <c r="GWY174" s="537"/>
      <c r="GWZ174" s="537"/>
      <c r="GXA174" s="537"/>
      <c r="GXB174" s="537"/>
      <c r="GXC174" s="537"/>
      <c r="GXD174" s="537"/>
      <c r="GXE174" s="537"/>
      <c r="GXF174" s="537"/>
      <c r="GXG174" s="537"/>
      <c r="GXH174" s="537"/>
      <c r="GXI174" s="537"/>
      <c r="GXJ174" s="537"/>
      <c r="GXK174" s="537"/>
      <c r="GXL174" s="537"/>
      <c r="GXM174" s="537"/>
      <c r="GXN174" s="537"/>
      <c r="GXO174" s="537"/>
      <c r="GXP174" s="537"/>
      <c r="GXQ174" s="537"/>
      <c r="GXR174" s="537"/>
      <c r="GXS174" s="537"/>
      <c r="GXT174" s="537"/>
      <c r="GXU174" s="537"/>
      <c r="GXV174" s="537"/>
      <c r="GXW174" s="537"/>
      <c r="GXX174" s="537"/>
      <c r="GXY174" s="537"/>
      <c r="GXZ174" s="537"/>
      <c r="GYA174" s="537"/>
      <c r="GYB174" s="537"/>
      <c r="GYC174" s="537"/>
      <c r="GYD174" s="537"/>
      <c r="GYE174" s="537"/>
      <c r="GYF174" s="537"/>
      <c r="GYG174" s="537"/>
      <c r="GYH174" s="537"/>
      <c r="GYI174" s="537"/>
      <c r="GYJ174" s="537"/>
      <c r="GYK174" s="537"/>
      <c r="GYL174" s="537"/>
      <c r="GYM174" s="537"/>
      <c r="GYN174" s="537"/>
      <c r="GYO174" s="537"/>
      <c r="GYP174" s="537"/>
      <c r="GYQ174" s="537"/>
      <c r="GYR174" s="537"/>
      <c r="GYS174" s="537"/>
      <c r="GYT174" s="537"/>
      <c r="GYU174" s="537"/>
      <c r="GYV174" s="537"/>
      <c r="GYW174" s="537"/>
      <c r="GYX174" s="537"/>
      <c r="GYY174" s="537"/>
      <c r="GYZ174" s="537"/>
      <c r="GZA174" s="537"/>
      <c r="GZB174" s="537"/>
      <c r="GZC174" s="537"/>
      <c r="GZD174" s="537"/>
      <c r="GZE174" s="537"/>
      <c r="GZF174" s="537"/>
      <c r="GZG174" s="537"/>
      <c r="GZH174" s="537"/>
      <c r="GZI174" s="537"/>
      <c r="GZJ174" s="537"/>
      <c r="GZK174" s="537"/>
      <c r="GZL174" s="537"/>
      <c r="GZM174" s="537"/>
      <c r="GZN174" s="537"/>
      <c r="GZO174" s="537"/>
      <c r="GZP174" s="537"/>
      <c r="GZQ174" s="537"/>
      <c r="GZR174" s="537"/>
      <c r="GZS174" s="537"/>
      <c r="GZT174" s="537"/>
      <c r="GZU174" s="537"/>
      <c r="GZV174" s="537"/>
      <c r="GZW174" s="537"/>
      <c r="GZX174" s="537"/>
      <c r="GZY174" s="537"/>
      <c r="GZZ174" s="537"/>
      <c r="HAA174" s="537"/>
      <c r="HAB174" s="537"/>
      <c r="HAC174" s="537"/>
      <c r="HAD174" s="537"/>
      <c r="HAE174" s="537"/>
      <c r="HAF174" s="537"/>
      <c r="HAG174" s="537"/>
      <c r="HAH174" s="537"/>
      <c r="HAI174" s="537"/>
      <c r="HAJ174" s="537"/>
      <c r="HAK174" s="537"/>
      <c r="HAL174" s="537"/>
      <c r="HAM174" s="537"/>
      <c r="HAN174" s="537"/>
      <c r="HAO174" s="537"/>
      <c r="HAP174" s="537"/>
      <c r="HAQ174" s="537"/>
      <c r="HAR174" s="537"/>
      <c r="HAS174" s="537"/>
      <c r="HAT174" s="537"/>
      <c r="HAU174" s="537"/>
      <c r="HAV174" s="537"/>
      <c r="HAW174" s="537"/>
      <c r="HAX174" s="537"/>
      <c r="HAY174" s="537"/>
      <c r="HAZ174" s="537"/>
      <c r="HBA174" s="537"/>
      <c r="HBB174" s="537"/>
      <c r="HBC174" s="537"/>
      <c r="HBD174" s="537"/>
      <c r="HBE174" s="537"/>
      <c r="HBF174" s="537"/>
      <c r="HBG174" s="537"/>
      <c r="HBH174" s="537"/>
      <c r="HBI174" s="537"/>
      <c r="HBJ174" s="537"/>
      <c r="HBK174" s="537"/>
      <c r="HBL174" s="537"/>
      <c r="HBM174" s="537"/>
      <c r="HBN174" s="537"/>
      <c r="HBO174" s="537"/>
      <c r="HBP174" s="537"/>
      <c r="HBQ174" s="537"/>
      <c r="HBR174" s="537"/>
      <c r="HBS174" s="537"/>
      <c r="HBT174" s="537"/>
      <c r="HBU174" s="537"/>
      <c r="HBV174" s="537"/>
      <c r="HBW174" s="537"/>
      <c r="HBX174" s="537"/>
      <c r="HBY174" s="537"/>
      <c r="HBZ174" s="537"/>
      <c r="HCA174" s="537"/>
      <c r="HCB174" s="537"/>
      <c r="HCC174" s="537"/>
      <c r="HCD174" s="537"/>
      <c r="HCE174" s="537"/>
      <c r="HCF174" s="537"/>
      <c r="HCG174" s="537"/>
      <c r="HCH174" s="537"/>
      <c r="HCI174" s="537"/>
      <c r="HCJ174" s="537"/>
      <c r="HCK174" s="537"/>
      <c r="HCL174" s="537"/>
      <c r="HCM174" s="537"/>
      <c r="HCN174" s="537"/>
      <c r="HCO174" s="537"/>
      <c r="HCP174" s="537"/>
      <c r="HCQ174" s="537"/>
      <c r="HCR174" s="537"/>
      <c r="HCS174" s="537"/>
      <c r="HCT174" s="537"/>
      <c r="HCU174" s="537"/>
      <c r="HCV174" s="537"/>
      <c r="HCW174" s="537"/>
      <c r="HCX174" s="537"/>
      <c r="HCY174" s="537"/>
      <c r="HCZ174" s="537"/>
      <c r="HDA174" s="537"/>
      <c r="HDB174" s="537"/>
      <c r="HDC174" s="537"/>
      <c r="HDD174" s="537"/>
      <c r="HDE174" s="537"/>
      <c r="HDF174" s="537"/>
      <c r="HDG174" s="537"/>
      <c r="HDH174" s="537"/>
      <c r="HDI174" s="537"/>
      <c r="HDJ174" s="537"/>
      <c r="HDK174" s="537"/>
      <c r="HDL174" s="537"/>
      <c r="HDM174" s="537"/>
      <c r="HDN174" s="537"/>
      <c r="HDO174" s="537"/>
      <c r="HDP174" s="537"/>
      <c r="HDQ174" s="537"/>
      <c r="HDR174" s="537"/>
      <c r="HDS174" s="537"/>
      <c r="HDT174" s="537"/>
      <c r="HDU174" s="537"/>
      <c r="HDV174" s="537"/>
      <c r="HDW174" s="537"/>
      <c r="HDX174" s="537"/>
      <c r="HDY174" s="537"/>
      <c r="HDZ174" s="537"/>
      <c r="HEA174" s="537"/>
      <c r="HEB174" s="537"/>
      <c r="HEC174" s="537"/>
      <c r="HED174" s="537"/>
      <c r="HEE174" s="537"/>
      <c r="HEF174" s="537"/>
      <c r="HEG174" s="537"/>
      <c r="HEH174" s="537"/>
      <c r="HEI174" s="537"/>
      <c r="HEJ174" s="537"/>
      <c r="HEK174" s="537"/>
      <c r="HEL174" s="537"/>
      <c r="HEM174" s="537"/>
      <c r="HEN174" s="537"/>
      <c r="HEO174" s="537"/>
      <c r="HEP174" s="537"/>
      <c r="HEQ174" s="537"/>
      <c r="HER174" s="537"/>
      <c r="HES174" s="537"/>
      <c r="HET174" s="537"/>
      <c r="HEU174" s="537"/>
      <c r="HEV174" s="537"/>
      <c r="HEW174" s="537"/>
      <c r="HEX174" s="537"/>
      <c r="HEY174" s="537"/>
      <c r="HEZ174" s="537"/>
      <c r="HFA174" s="537"/>
      <c r="HFB174" s="537"/>
      <c r="HFC174" s="537"/>
      <c r="HFD174" s="537"/>
      <c r="HFE174" s="537"/>
      <c r="HFF174" s="537"/>
      <c r="HFG174" s="537"/>
      <c r="HFH174" s="537"/>
      <c r="HFI174" s="537"/>
      <c r="HFJ174" s="537"/>
      <c r="HFK174" s="537"/>
      <c r="HFL174" s="537"/>
      <c r="HFM174" s="537"/>
      <c r="HFN174" s="537"/>
      <c r="HFO174" s="537"/>
      <c r="HFP174" s="537"/>
      <c r="HFQ174" s="537"/>
      <c r="HFR174" s="537"/>
      <c r="HFS174" s="537"/>
      <c r="HFT174" s="537"/>
      <c r="HFU174" s="537"/>
      <c r="HFV174" s="537"/>
      <c r="HFW174" s="537"/>
      <c r="HFX174" s="537"/>
      <c r="HFY174" s="537"/>
      <c r="HFZ174" s="537"/>
      <c r="HGA174" s="537"/>
      <c r="HGB174" s="537"/>
      <c r="HGC174" s="537"/>
      <c r="HGD174" s="537"/>
      <c r="HGE174" s="537"/>
      <c r="HGF174" s="537"/>
      <c r="HGG174" s="537"/>
      <c r="HGH174" s="537"/>
      <c r="HGI174" s="537"/>
      <c r="HGJ174" s="537"/>
      <c r="HGK174" s="537"/>
      <c r="HGL174" s="537"/>
      <c r="HGM174" s="537"/>
      <c r="HGN174" s="537"/>
      <c r="HGO174" s="537"/>
      <c r="HGP174" s="537"/>
      <c r="HGQ174" s="537"/>
      <c r="HGR174" s="537"/>
      <c r="HGS174" s="537"/>
      <c r="HGT174" s="537"/>
      <c r="HGU174" s="537"/>
      <c r="HGV174" s="537"/>
      <c r="HGW174" s="537"/>
      <c r="HGX174" s="537"/>
      <c r="HGY174" s="537"/>
      <c r="HGZ174" s="537"/>
      <c r="HHA174" s="537"/>
      <c r="HHB174" s="537"/>
      <c r="HHC174" s="537"/>
      <c r="HHD174" s="537"/>
      <c r="HHE174" s="537"/>
      <c r="HHF174" s="537"/>
      <c r="HHG174" s="537"/>
      <c r="HHH174" s="537"/>
      <c r="HHI174" s="537"/>
      <c r="HHJ174" s="537"/>
      <c r="HHK174" s="537"/>
      <c r="HHL174" s="537"/>
      <c r="HHM174" s="537"/>
      <c r="HHN174" s="537"/>
      <c r="HHO174" s="537"/>
      <c r="HHP174" s="537"/>
      <c r="HHQ174" s="537"/>
      <c r="HHR174" s="537"/>
      <c r="HHS174" s="537"/>
      <c r="HHT174" s="537"/>
      <c r="HHU174" s="537"/>
      <c r="HHV174" s="537"/>
      <c r="HHW174" s="537"/>
      <c r="HHX174" s="537"/>
      <c r="HHY174" s="537"/>
      <c r="HHZ174" s="537"/>
      <c r="HIA174" s="537"/>
      <c r="HIB174" s="537"/>
      <c r="HIC174" s="537"/>
      <c r="HID174" s="537"/>
      <c r="HIE174" s="537"/>
      <c r="HIF174" s="537"/>
      <c r="HIG174" s="537"/>
      <c r="HIH174" s="537"/>
      <c r="HII174" s="537"/>
      <c r="HIJ174" s="537"/>
      <c r="HIK174" s="537"/>
      <c r="HIL174" s="537"/>
      <c r="HIM174" s="537"/>
      <c r="HIN174" s="537"/>
      <c r="HIO174" s="537"/>
      <c r="HIP174" s="537"/>
      <c r="HIQ174" s="537"/>
      <c r="HIR174" s="537"/>
      <c r="HIS174" s="537"/>
      <c r="HIT174" s="537"/>
      <c r="HIU174" s="537"/>
      <c r="HIV174" s="537"/>
      <c r="HIW174" s="537"/>
      <c r="HIX174" s="537"/>
      <c r="HIY174" s="537"/>
      <c r="HIZ174" s="537"/>
      <c r="HJA174" s="537"/>
      <c r="HJB174" s="537"/>
      <c r="HJC174" s="537"/>
      <c r="HJD174" s="537"/>
      <c r="HJE174" s="537"/>
      <c r="HJF174" s="537"/>
      <c r="HJG174" s="537"/>
      <c r="HJH174" s="537"/>
      <c r="HJI174" s="537"/>
      <c r="HJJ174" s="537"/>
      <c r="HJK174" s="537"/>
      <c r="HJL174" s="537"/>
      <c r="HJM174" s="537"/>
      <c r="HJN174" s="537"/>
      <c r="HJO174" s="537"/>
      <c r="HJP174" s="537"/>
      <c r="HJQ174" s="537"/>
      <c r="HJR174" s="537"/>
      <c r="HJS174" s="537"/>
      <c r="HJT174" s="537"/>
      <c r="HJU174" s="537"/>
      <c r="HJV174" s="537"/>
      <c r="HJW174" s="537"/>
      <c r="HJX174" s="537"/>
      <c r="HJY174" s="537"/>
      <c r="HJZ174" s="537"/>
      <c r="HKA174" s="537"/>
      <c r="HKB174" s="537"/>
      <c r="HKC174" s="537"/>
      <c r="HKD174" s="537"/>
      <c r="HKE174" s="537"/>
      <c r="HKF174" s="537"/>
      <c r="HKG174" s="537"/>
      <c r="HKH174" s="537"/>
      <c r="HKI174" s="537"/>
      <c r="HKJ174" s="537"/>
      <c r="HKK174" s="537"/>
      <c r="HKL174" s="537"/>
      <c r="HKM174" s="537"/>
      <c r="HKN174" s="537"/>
      <c r="HKO174" s="537"/>
      <c r="HKP174" s="537"/>
      <c r="HKQ174" s="537"/>
      <c r="HKR174" s="537"/>
      <c r="HKS174" s="537"/>
      <c r="HKT174" s="537"/>
      <c r="HKU174" s="537"/>
      <c r="HKV174" s="537"/>
      <c r="HKW174" s="537"/>
      <c r="HKX174" s="537"/>
      <c r="HKY174" s="537"/>
      <c r="HKZ174" s="537"/>
      <c r="HLA174" s="537"/>
      <c r="HLB174" s="537"/>
      <c r="HLC174" s="537"/>
      <c r="HLD174" s="537"/>
      <c r="HLE174" s="537"/>
      <c r="HLF174" s="537"/>
      <c r="HLG174" s="537"/>
      <c r="HLH174" s="537"/>
      <c r="HLI174" s="537"/>
      <c r="HLJ174" s="537"/>
      <c r="HLK174" s="537"/>
      <c r="HLL174" s="537"/>
      <c r="HLM174" s="537"/>
      <c r="HLN174" s="537"/>
      <c r="HLO174" s="537"/>
      <c r="HLP174" s="537"/>
      <c r="HLQ174" s="537"/>
      <c r="HLR174" s="537"/>
      <c r="HLS174" s="537"/>
      <c r="HLT174" s="537"/>
      <c r="HLU174" s="537"/>
      <c r="HLV174" s="537"/>
      <c r="HLW174" s="537"/>
      <c r="HLX174" s="537"/>
      <c r="HLY174" s="537"/>
      <c r="HLZ174" s="537"/>
      <c r="HMA174" s="537"/>
      <c r="HMB174" s="537"/>
      <c r="HMC174" s="537"/>
      <c r="HMD174" s="537"/>
      <c r="HME174" s="537"/>
      <c r="HMF174" s="537"/>
      <c r="HMG174" s="537"/>
      <c r="HMH174" s="537"/>
      <c r="HMI174" s="537"/>
      <c r="HMJ174" s="537"/>
      <c r="HMK174" s="537"/>
      <c r="HML174" s="537"/>
      <c r="HMM174" s="537"/>
      <c r="HMN174" s="537"/>
      <c r="HMO174" s="537"/>
      <c r="HMP174" s="537"/>
      <c r="HMQ174" s="537"/>
      <c r="HMR174" s="537"/>
      <c r="HMS174" s="537"/>
      <c r="HMT174" s="537"/>
      <c r="HMU174" s="537"/>
      <c r="HMV174" s="537"/>
      <c r="HMW174" s="537"/>
      <c r="HMX174" s="537"/>
      <c r="HMY174" s="537"/>
      <c r="HMZ174" s="537"/>
      <c r="HNA174" s="537"/>
      <c r="HNB174" s="537"/>
      <c r="HNC174" s="537"/>
      <c r="HND174" s="537"/>
      <c r="HNE174" s="537"/>
      <c r="HNF174" s="537"/>
      <c r="HNG174" s="537"/>
      <c r="HNH174" s="537"/>
      <c r="HNI174" s="537"/>
      <c r="HNJ174" s="537"/>
      <c r="HNK174" s="537"/>
      <c r="HNL174" s="537"/>
      <c r="HNM174" s="537"/>
      <c r="HNN174" s="537"/>
      <c r="HNO174" s="537"/>
      <c r="HNP174" s="537"/>
      <c r="HNQ174" s="537"/>
      <c r="HNR174" s="537"/>
      <c r="HNS174" s="537"/>
      <c r="HNT174" s="537"/>
      <c r="HNU174" s="537"/>
      <c r="HNV174" s="537"/>
      <c r="HNW174" s="537"/>
      <c r="HNX174" s="537"/>
      <c r="HNY174" s="537"/>
      <c r="HNZ174" s="537"/>
      <c r="HOA174" s="537"/>
      <c r="HOB174" s="537"/>
      <c r="HOC174" s="537"/>
      <c r="HOD174" s="537"/>
      <c r="HOE174" s="537"/>
      <c r="HOF174" s="537"/>
      <c r="HOG174" s="537"/>
      <c r="HOH174" s="537"/>
      <c r="HOI174" s="537"/>
      <c r="HOJ174" s="537"/>
      <c r="HOK174" s="537"/>
      <c r="HOL174" s="537"/>
      <c r="HOM174" s="537"/>
      <c r="HON174" s="537"/>
      <c r="HOO174" s="537"/>
      <c r="HOP174" s="537"/>
      <c r="HOQ174" s="537"/>
      <c r="HOR174" s="537"/>
      <c r="HOS174" s="537"/>
      <c r="HOT174" s="537"/>
      <c r="HOU174" s="537"/>
      <c r="HOV174" s="537"/>
      <c r="HOW174" s="537"/>
      <c r="HOX174" s="537"/>
      <c r="HOY174" s="537"/>
      <c r="HOZ174" s="537"/>
      <c r="HPA174" s="537"/>
      <c r="HPB174" s="537"/>
      <c r="HPC174" s="537"/>
      <c r="HPD174" s="537"/>
      <c r="HPE174" s="537"/>
      <c r="HPF174" s="537"/>
      <c r="HPG174" s="537"/>
      <c r="HPH174" s="537"/>
      <c r="HPI174" s="537"/>
      <c r="HPJ174" s="537"/>
      <c r="HPK174" s="537"/>
      <c r="HPL174" s="537"/>
      <c r="HPM174" s="537"/>
      <c r="HPN174" s="537"/>
      <c r="HPO174" s="537"/>
      <c r="HPP174" s="537"/>
      <c r="HPQ174" s="537"/>
      <c r="HPR174" s="537"/>
      <c r="HPS174" s="537"/>
      <c r="HPT174" s="537"/>
      <c r="HPU174" s="537"/>
      <c r="HPV174" s="537"/>
      <c r="HPW174" s="537"/>
      <c r="HPX174" s="537"/>
      <c r="HPY174" s="537"/>
      <c r="HPZ174" s="537"/>
      <c r="HQA174" s="537"/>
      <c r="HQB174" s="537"/>
      <c r="HQC174" s="537"/>
      <c r="HQD174" s="537"/>
      <c r="HQE174" s="537"/>
      <c r="HQF174" s="537"/>
      <c r="HQG174" s="537"/>
      <c r="HQH174" s="537"/>
      <c r="HQI174" s="537"/>
      <c r="HQJ174" s="537"/>
      <c r="HQK174" s="537"/>
      <c r="HQL174" s="537"/>
      <c r="HQM174" s="537"/>
      <c r="HQN174" s="537"/>
      <c r="HQO174" s="537"/>
      <c r="HQP174" s="537"/>
      <c r="HQQ174" s="537"/>
      <c r="HQR174" s="537"/>
      <c r="HQS174" s="537"/>
      <c r="HQT174" s="537"/>
      <c r="HQU174" s="537"/>
      <c r="HQV174" s="537"/>
      <c r="HQW174" s="537"/>
      <c r="HQX174" s="537"/>
      <c r="HQY174" s="537"/>
      <c r="HQZ174" s="537"/>
      <c r="HRA174" s="537"/>
      <c r="HRB174" s="537"/>
      <c r="HRC174" s="537"/>
      <c r="HRD174" s="537"/>
      <c r="HRE174" s="537"/>
      <c r="HRF174" s="537"/>
      <c r="HRG174" s="537"/>
      <c r="HRH174" s="537"/>
      <c r="HRI174" s="537"/>
      <c r="HRJ174" s="537"/>
      <c r="HRK174" s="537"/>
      <c r="HRL174" s="537"/>
      <c r="HRM174" s="537"/>
      <c r="HRN174" s="537"/>
      <c r="HRO174" s="537"/>
      <c r="HRP174" s="537"/>
      <c r="HRQ174" s="537"/>
      <c r="HRR174" s="537"/>
      <c r="HRS174" s="537"/>
      <c r="HRT174" s="537"/>
      <c r="HRU174" s="537"/>
      <c r="HRV174" s="537"/>
      <c r="HRW174" s="537"/>
      <c r="HRX174" s="537"/>
      <c r="HRY174" s="537"/>
      <c r="HRZ174" s="537"/>
      <c r="HSA174" s="537"/>
      <c r="HSB174" s="537"/>
      <c r="HSC174" s="537"/>
      <c r="HSD174" s="537"/>
      <c r="HSE174" s="537"/>
      <c r="HSF174" s="537"/>
      <c r="HSG174" s="537"/>
      <c r="HSH174" s="537"/>
      <c r="HSI174" s="537"/>
      <c r="HSJ174" s="537"/>
      <c r="HSK174" s="537"/>
      <c r="HSL174" s="537"/>
      <c r="HSM174" s="537"/>
      <c r="HSN174" s="537"/>
      <c r="HSO174" s="537"/>
      <c r="HSP174" s="537"/>
      <c r="HSQ174" s="537"/>
      <c r="HSR174" s="537"/>
      <c r="HSS174" s="537"/>
      <c r="HST174" s="537"/>
      <c r="HSU174" s="537"/>
      <c r="HSV174" s="537"/>
      <c r="HSW174" s="537"/>
      <c r="HSX174" s="537"/>
      <c r="HSY174" s="537"/>
      <c r="HSZ174" s="537"/>
      <c r="HTA174" s="537"/>
      <c r="HTB174" s="537"/>
      <c r="HTC174" s="537"/>
      <c r="HTD174" s="537"/>
      <c r="HTE174" s="537"/>
      <c r="HTF174" s="537"/>
      <c r="HTG174" s="537"/>
      <c r="HTH174" s="537"/>
      <c r="HTI174" s="537"/>
      <c r="HTJ174" s="537"/>
      <c r="HTK174" s="537"/>
      <c r="HTL174" s="537"/>
      <c r="HTM174" s="537"/>
      <c r="HTN174" s="537"/>
      <c r="HTO174" s="537"/>
      <c r="HTP174" s="537"/>
      <c r="HTQ174" s="537"/>
      <c r="HTR174" s="537"/>
      <c r="HTS174" s="537"/>
      <c r="HTT174" s="537"/>
      <c r="HTU174" s="537"/>
      <c r="HTV174" s="537"/>
      <c r="HTW174" s="537"/>
      <c r="HTX174" s="537"/>
      <c r="HTY174" s="537"/>
      <c r="HTZ174" s="537"/>
      <c r="HUA174" s="537"/>
      <c r="HUB174" s="537"/>
      <c r="HUC174" s="537"/>
      <c r="HUD174" s="537"/>
      <c r="HUE174" s="537"/>
      <c r="HUF174" s="537"/>
      <c r="HUG174" s="537"/>
      <c r="HUH174" s="537"/>
      <c r="HUI174" s="537"/>
      <c r="HUJ174" s="537"/>
      <c r="HUK174" s="537"/>
      <c r="HUL174" s="537"/>
      <c r="HUM174" s="537"/>
      <c r="HUN174" s="537"/>
      <c r="HUO174" s="537"/>
      <c r="HUP174" s="537"/>
      <c r="HUQ174" s="537"/>
      <c r="HUR174" s="537"/>
      <c r="HUS174" s="537"/>
      <c r="HUT174" s="537"/>
      <c r="HUU174" s="537"/>
      <c r="HUV174" s="537"/>
      <c r="HUW174" s="537"/>
      <c r="HUX174" s="537"/>
      <c r="HUY174" s="537"/>
      <c r="HUZ174" s="537"/>
      <c r="HVA174" s="537"/>
      <c r="HVB174" s="537"/>
      <c r="HVC174" s="537"/>
      <c r="HVD174" s="537"/>
      <c r="HVE174" s="537"/>
      <c r="HVF174" s="537"/>
      <c r="HVG174" s="537"/>
      <c r="HVH174" s="537"/>
      <c r="HVI174" s="537"/>
      <c r="HVJ174" s="537"/>
      <c r="HVK174" s="537"/>
      <c r="HVL174" s="537"/>
      <c r="HVM174" s="537"/>
      <c r="HVN174" s="537"/>
      <c r="HVO174" s="537"/>
      <c r="HVP174" s="537"/>
      <c r="HVQ174" s="537"/>
      <c r="HVR174" s="537"/>
      <c r="HVS174" s="537"/>
      <c r="HVT174" s="537"/>
      <c r="HVU174" s="537"/>
      <c r="HVV174" s="537"/>
      <c r="HVW174" s="537"/>
      <c r="HVX174" s="537"/>
      <c r="HVY174" s="537"/>
      <c r="HVZ174" s="537"/>
      <c r="HWA174" s="537"/>
      <c r="HWB174" s="537"/>
      <c r="HWC174" s="537"/>
      <c r="HWD174" s="537"/>
      <c r="HWE174" s="537"/>
      <c r="HWF174" s="537"/>
      <c r="HWG174" s="537"/>
      <c r="HWH174" s="537"/>
      <c r="HWI174" s="537"/>
      <c r="HWJ174" s="537"/>
      <c r="HWK174" s="537"/>
      <c r="HWL174" s="537"/>
      <c r="HWM174" s="537"/>
      <c r="HWN174" s="537"/>
      <c r="HWO174" s="537"/>
      <c r="HWP174" s="537"/>
      <c r="HWQ174" s="537"/>
      <c r="HWR174" s="537"/>
      <c r="HWS174" s="537"/>
      <c r="HWT174" s="537"/>
      <c r="HWU174" s="537"/>
      <c r="HWV174" s="537"/>
      <c r="HWW174" s="537"/>
      <c r="HWX174" s="537"/>
      <c r="HWY174" s="537"/>
      <c r="HWZ174" s="537"/>
      <c r="HXA174" s="537"/>
      <c r="HXB174" s="537"/>
      <c r="HXC174" s="537"/>
      <c r="HXD174" s="537"/>
      <c r="HXE174" s="537"/>
      <c r="HXF174" s="537"/>
      <c r="HXG174" s="537"/>
      <c r="HXH174" s="537"/>
      <c r="HXI174" s="537"/>
      <c r="HXJ174" s="537"/>
      <c r="HXK174" s="537"/>
      <c r="HXL174" s="537"/>
      <c r="HXM174" s="537"/>
      <c r="HXN174" s="537"/>
      <c r="HXO174" s="537"/>
      <c r="HXP174" s="537"/>
      <c r="HXQ174" s="537"/>
      <c r="HXR174" s="537"/>
      <c r="HXS174" s="537"/>
      <c r="HXT174" s="537"/>
      <c r="HXU174" s="537"/>
      <c r="HXV174" s="537"/>
      <c r="HXW174" s="537"/>
      <c r="HXX174" s="537"/>
      <c r="HXY174" s="537"/>
      <c r="HXZ174" s="537"/>
      <c r="HYA174" s="537"/>
      <c r="HYB174" s="537"/>
      <c r="HYC174" s="537"/>
      <c r="HYD174" s="537"/>
      <c r="HYE174" s="537"/>
      <c r="HYF174" s="537"/>
      <c r="HYG174" s="537"/>
      <c r="HYH174" s="537"/>
      <c r="HYI174" s="537"/>
      <c r="HYJ174" s="537"/>
      <c r="HYK174" s="537"/>
      <c r="HYL174" s="537"/>
      <c r="HYM174" s="537"/>
      <c r="HYN174" s="537"/>
      <c r="HYO174" s="537"/>
      <c r="HYP174" s="537"/>
      <c r="HYQ174" s="537"/>
      <c r="HYR174" s="537"/>
      <c r="HYS174" s="537"/>
      <c r="HYT174" s="537"/>
      <c r="HYU174" s="537"/>
      <c r="HYV174" s="537"/>
      <c r="HYW174" s="537"/>
      <c r="HYX174" s="537"/>
      <c r="HYY174" s="537"/>
      <c r="HYZ174" s="537"/>
      <c r="HZA174" s="537"/>
      <c r="HZB174" s="537"/>
      <c r="HZC174" s="537"/>
      <c r="HZD174" s="537"/>
      <c r="HZE174" s="537"/>
      <c r="HZF174" s="537"/>
      <c r="HZG174" s="537"/>
      <c r="HZH174" s="537"/>
      <c r="HZI174" s="537"/>
      <c r="HZJ174" s="537"/>
      <c r="HZK174" s="537"/>
      <c r="HZL174" s="537"/>
      <c r="HZM174" s="537"/>
      <c r="HZN174" s="537"/>
      <c r="HZO174" s="537"/>
      <c r="HZP174" s="537"/>
      <c r="HZQ174" s="537"/>
      <c r="HZR174" s="537"/>
      <c r="HZS174" s="537"/>
      <c r="HZT174" s="537"/>
      <c r="HZU174" s="537"/>
      <c r="HZV174" s="537"/>
      <c r="HZW174" s="537"/>
      <c r="HZX174" s="537"/>
      <c r="HZY174" s="537"/>
      <c r="HZZ174" s="537"/>
      <c r="IAA174" s="537"/>
      <c r="IAB174" s="537"/>
      <c r="IAC174" s="537"/>
      <c r="IAD174" s="537"/>
      <c r="IAE174" s="537"/>
      <c r="IAF174" s="537"/>
      <c r="IAG174" s="537"/>
      <c r="IAH174" s="537"/>
      <c r="IAI174" s="537"/>
      <c r="IAJ174" s="537"/>
      <c r="IAK174" s="537"/>
      <c r="IAL174" s="537"/>
      <c r="IAM174" s="537"/>
      <c r="IAN174" s="537"/>
      <c r="IAO174" s="537"/>
      <c r="IAP174" s="537"/>
      <c r="IAQ174" s="537"/>
      <c r="IAR174" s="537"/>
      <c r="IAS174" s="537"/>
      <c r="IAT174" s="537"/>
      <c r="IAU174" s="537"/>
      <c r="IAV174" s="537"/>
      <c r="IAW174" s="537"/>
      <c r="IAX174" s="537"/>
      <c r="IAY174" s="537"/>
      <c r="IAZ174" s="537"/>
      <c r="IBA174" s="537"/>
      <c r="IBB174" s="537"/>
      <c r="IBC174" s="537"/>
      <c r="IBD174" s="537"/>
      <c r="IBE174" s="537"/>
      <c r="IBF174" s="537"/>
      <c r="IBG174" s="537"/>
      <c r="IBH174" s="537"/>
      <c r="IBI174" s="537"/>
      <c r="IBJ174" s="537"/>
      <c r="IBK174" s="537"/>
      <c r="IBL174" s="537"/>
      <c r="IBM174" s="537"/>
      <c r="IBN174" s="537"/>
      <c r="IBO174" s="537"/>
      <c r="IBP174" s="537"/>
      <c r="IBQ174" s="537"/>
      <c r="IBR174" s="537"/>
      <c r="IBS174" s="537"/>
      <c r="IBT174" s="537"/>
      <c r="IBU174" s="537"/>
      <c r="IBV174" s="537"/>
      <c r="IBW174" s="537"/>
      <c r="IBX174" s="537"/>
      <c r="IBY174" s="537"/>
      <c r="IBZ174" s="537"/>
      <c r="ICA174" s="537"/>
      <c r="ICB174" s="537"/>
      <c r="ICC174" s="537"/>
      <c r="ICD174" s="537"/>
      <c r="ICE174" s="537"/>
      <c r="ICF174" s="537"/>
      <c r="ICG174" s="537"/>
      <c r="ICH174" s="537"/>
      <c r="ICI174" s="537"/>
      <c r="ICJ174" s="537"/>
      <c r="ICK174" s="537"/>
      <c r="ICL174" s="537"/>
      <c r="ICM174" s="537"/>
      <c r="ICN174" s="537"/>
      <c r="ICO174" s="537"/>
      <c r="ICP174" s="537"/>
      <c r="ICQ174" s="537"/>
      <c r="ICR174" s="537"/>
      <c r="ICS174" s="537"/>
      <c r="ICT174" s="537"/>
      <c r="ICU174" s="537"/>
      <c r="ICV174" s="537"/>
      <c r="ICW174" s="537"/>
      <c r="ICX174" s="537"/>
      <c r="ICY174" s="537"/>
      <c r="ICZ174" s="537"/>
      <c r="IDA174" s="537"/>
      <c r="IDB174" s="537"/>
      <c r="IDC174" s="537"/>
      <c r="IDD174" s="537"/>
      <c r="IDE174" s="537"/>
      <c r="IDF174" s="537"/>
      <c r="IDG174" s="537"/>
      <c r="IDH174" s="537"/>
      <c r="IDI174" s="537"/>
      <c r="IDJ174" s="537"/>
      <c r="IDK174" s="537"/>
      <c r="IDL174" s="537"/>
      <c r="IDM174" s="537"/>
      <c r="IDN174" s="537"/>
      <c r="IDO174" s="537"/>
      <c r="IDP174" s="537"/>
      <c r="IDQ174" s="537"/>
      <c r="IDR174" s="537"/>
      <c r="IDS174" s="537"/>
      <c r="IDT174" s="537"/>
      <c r="IDU174" s="537"/>
      <c r="IDV174" s="537"/>
      <c r="IDW174" s="537"/>
      <c r="IDX174" s="537"/>
      <c r="IDY174" s="537"/>
      <c r="IDZ174" s="537"/>
      <c r="IEA174" s="537"/>
      <c r="IEB174" s="537"/>
      <c r="IEC174" s="537"/>
      <c r="IED174" s="537"/>
      <c r="IEE174" s="537"/>
      <c r="IEF174" s="537"/>
      <c r="IEG174" s="537"/>
      <c r="IEH174" s="537"/>
      <c r="IEI174" s="537"/>
      <c r="IEJ174" s="537"/>
      <c r="IEK174" s="537"/>
      <c r="IEL174" s="537"/>
      <c r="IEM174" s="537"/>
      <c r="IEN174" s="537"/>
      <c r="IEO174" s="537"/>
      <c r="IEP174" s="537"/>
      <c r="IEQ174" s="537"/>
      <c r="IER174" s="537"/>
      <c r="IES174" s="537"/>
      <c r="IET174" s="537"/>
      <c r="IEU174" s="537"/>
      <c r="IEV174" s="537"/>
      <c r="IEW174" s="537"/>
      <c r="IEX174" s="537"/>
      <c r="IEY174" s="537"/>
      <c r="IEZ174" s="537"/>
      <c r="IFA174" s="537"/>
      <c r="IFB174" s="537"/>
      <c r="IFC174" s="537"/>
      <c r="IFD174" s="537"/>
      <c r="IFE174" s="537"/>
      <c r="IFF174" s="537"/>
      <c r="IFG174" s="537"/>
      <c r="IFH174" s="537"/>
      <c r="IFI174" s="537"/>
      <c r="IFJ174" s="537"/>
      <c r="IFK174" s="537"/>
      <c r="IFL174" s="537"/>
      <c r="IFM174" s="537"/>
      <c r="IFN174" s="537"/>
      <c r="IFO174" s="537"/>
      <c r="IFP174" s="537"/>
      <c r="IFQ174" s="537"/>
      <c r="IFR174" s="537"/>
      <c r="IFS174" s="537"/>
      <c r="IFT174" s="537"/>
      <c r="IFU174" s="537"/>
      <c r="IFV174" s="537"/>
      <c r="IFW174" s="537"/>
      <c r="IFX174" s="537"/>
      <c r="IFY174" s="537"/>
      <c r="IFZ174" s="537"/>
      <c r="IGA174" s="537"/>
      <c r="IGB174" s="537"/>
      <c r="IGC174" s="537"/>
      <c r="IGD174" s="537"/>
      <c r="IGE174" s="537"/>
      <c r="IGF174" s="537"/>
      <c r="IGG174" s="537"/>
      <c r="IGH174" s="537"/>
      <c r="IGI174" s="537"/>
      <c r="IGJ174" s="537"/>
      <c r="IGK174" s="537"/>
      <c r="IGL174" s="537"/>
      <c r="IGM174" s="537"/>
      <c r="IGN174" s="537"/>
      <c r="IGO174" s="537"/>
      <c r="IGP174" s="537"/>
      <c r="IGQ174" s="537"/>
      <c r="IGR174" s="537"/>
      <c r="IGS174" s="537"/>
      <c r="IGT174" s="537"/>
      <c r="IGU174" s="537"/>
      <c r="IGV174" s="537"/>
      <c r="IGW174" s="537"/>
      <c r="IGX174" s="537"/>
      <c r="IGY174" s="537"/>
      <c r="IGZ174" s="537"/>
      <c r="IHA174" s="537"/>
      <c r="IHB174" s="537"/>
      <c r="IHC174" s="537"/>
      <c r="IHD174" s="537"/>
      <c r="IHE174" s="537"/>
      <c r="IHF174" s="537"/>
      <c r="IHG174" s="537"/>
      <c r="IHH174" s="537"/>
      <c r="IHI174" s="537"/>
      <c r="IHJ174" s="537"/>
      <c r="IHK174" s="537"/>
      <c r="IHL174" s="537"/>
      <c r="IHM174" s="537"/>
      <c r="IHN174" s="537"/>
      <c r="IHO174" s="537"/>
      <c r="IHP174" s="537"/>
      <c r="IHQ174" s="537"/>
      <c r="IHR174" s="537"/>
      <c r="IHS174" s="537"/>
      <c r="IHT174" s="537"/>
      <c r="IHU174" s="537"/>
      <c r="IHV174" s="537"/>
      <c r="IHW174" s="537"/>
      <c r="IHX174" s="537"/>
      <c r="IHY174" s="537"/>
      <c r="IHZ174" s="537"/>
      <c r="IIA174" s="537"/>
      <c r="IIB174" s="537"/>
      <c r="IIC174" s="537"/>
      <c r="IID174" s="537"/>
      <c r="IIE174" s="537"/>
      <c r="IIF174" s="537"/>
      <c r="IIG174" s="537"/>
      <c r="IIH174" s="537"/>
      <c r="III174" s="537"/>
      <c r="IIJ174" s="537"/>
      <c r="IIK174" s="537"/>
      <c r="IIL174" s="537"/>
      <c r="IIM174" s="537"/>
      <c r="IIN174" s="537"/>
      <c r="IIO174" s="537"/>
      <c r="IIP174" s="537"/>
      <c r="IIQ174" s="537"/>
      <c r="IIR174" s="537"/>
      <c r="IIS174" s="537"/>
      <c r="IIT174" s="537"/>
      <c r="IIU174" s="537"/>
      <c r="IIV174" s="537"/>
      <c r="IIW174" s="537"/>
      <c r="IIX174" s="537"/>
      <c r="IIY174" s="537"/>
      <c r="IIZ174" s="537"/>
      <c r="IJA174" s="537"/>
      <c r="IJB174" s="537"/>
      <c r="IJC174" s="537"/>
      <c r="IJD174" s="537"/>
      <c r="IJE174" s="537"/>
      <c r="IJF174" s="537"/>
      <c r="IJG174" s="537"/>
      <c r="IJH174" s="537"/>
      <c r="IJI174" s="537"/>
      <c r="IJJ174" s="537"/>
      <c r="IJK174" s="537"/>
      <c r="IJL174" s="537"/>
      <c r="IJM174" s="537"/>
      <c r="IJN174" s="537"/>
      <c r="IJO174" s="537"/>
      <c r="IJP174" s="537"/>
      <c r="IJQ174" s="537"/>
      <c r="IJR174" s="537"/>
      <c r="IJS174" s="537"/>
      <c r="IJT174" s="537"/>
      <c r="IJU174" s="537"/>
      <c r="IJV174" s="537"/>
      <c r="IJW174" s="537"/>
      <c r="IJX174" s="537"/>
      <c r="IJY174" s="537"/>
      <c r="IJZ174" s="537"/>
      <c r="IKA174" s="537"/>
      <c r="IKB174" s="537"/>
      <c r="IKC174" s="537"/>
      <c r="IKD174" s="537"/>
      <c r="IKE174" s="537"/>
      <c r="IKF174" s="537"/>
      <c r="IKG174" s="537"/>
      <c r="IKH174" s="537"/>
      <c r="IKI174" s="537"/>
      <c r="IKJ174" s="537"/>
      <c r="IKK174" s="537"/>
      <c r="IKL174" s="537"/>
      <c r="IKM174" s="537"/>
      <c r="IKN174" s="537"/>
      <c r="IKO174" s="537"/>
      <c r="IKP174" s="537"/>
      <c r="IKQ174" s="537"/>
      <c r="IKR174" s="537"/>
      <c r="IKS174" s="537"/>
      <c r="IKT174" s="537"/>
      <c r="IKU174" s="537"/>
      <c r="IKV174" s="537"/>
      <c r="IKW174" s="537"/>
      <c r="IKX174" s="537"/>
      <c r="IKY174" s="537"/>
      <c r="IKZ174" s="537"/>
      <c r="ILA174" s="537"/>
      <c r="ILB174" s="537"/>
      <c r="ILC174" s="537"/>
      <c r="ILD174" s="537"/>
      <c r="ILE174" s="537"/>
      <c r="ILF174" s="537"/>
      <c r="ILG174" s="537"/>
      <c r="ILH174" s="537"/>
      <c r="ILI174" s="537"/>
      <c r="ILJ174" s="537"/>
      <c r="ILK174" s="537"/>
      <c r="ILL174" s="537"/>
      <c r="ILM174" s="537"/>
      <c r="ILN174" s="537"/>
      <c r="ILO174" s="537"/>
      <c r="ILP174" s="537"/>
      <c r="ILQ174" s="537"/>
      <c r="ILR174" s="537"/>
      <c r="ILS174" s="537"/>
      <c r="ILT174" s="537"/>
      <c r="ILU174" s="537"/>
      <c r="ILV174" s="537"/>
      <c r="ILW174" s="537"/>
      <c r="ILX174" s="537"/>
      <c r="ILY174" s="537"/>
      <c r="ILZ174" s="537"/>
      <c r="IMA174" s="537"/>
      <c r="IMB174" s="537"/>
      <c r="IMC174" s="537"/>
      <c r="IMD174" s="537"/>
      <c r="IME174" s="537"/>
      <c r="IMF174" s="537"/>
      <c r="IMG174" s="537"/>
      <c r="IMH174" s="537"/>
      <c r="IMI174" s="537"/>
      <c r="IMJ174" s="537"/>
      <c r="IMK174" s="537"/>
      <c r="IML174" s="537"/>
      <c r="IMM174" s="537"/>
      <c r="IMN174" s="537"/>
      <c r="IMO174" s="537"/>
      <c r="IMP174" s="537"/>
      <c r="IMQ174" s="537"/>
      <c r="IMR174" s="537"/>
      <c r="IMS174" s="537"/>
      <c r="IMT174" s="537"/>
      <c r="IMU174" s="537"/>
      <c r="IMV174" s="537"/>
      <c r="IMW174" s="537"/>
      <c r="IMX174" s="537"/>
      <c r="IMY174" s="537"/>
      <c r="IMZ174" s="537"/>
      <c r="INA174" s="537"/>
      <c r="INB174" s="537"/>
      <c r="INC174" s="537"/>
      <c r="IND174" s="537"/>
      <c r="INE174" s="537"/>
      <c r="INF174" s="537"/>
      <c r="ING174" s="537"/>
      <c r="INH174" s="537"/>
      <c r="INI174" s="537"/>
      <c r="INJ174" s="537"/>
      <c r="INK174" s="537"/>
      <c r="INL174" s="537"/>
      <c r="INM174" s="537"/>
      <c r="INN174" s="537"/>
      <c r="INO174" s="537"/>
      <c r="INP174" s="537"/>
      <c r="INQ174" s="537"/>
      <c r="INR174" s="537"/>
      <c r="INS174" s="537"/>
      <c r="INT174" s="537"/>
      <c r="INU174" s="537"/>
      <c r="INV174" s="537"/>
      <c r="INW174" s="537"/>
      <c r="INX174" s="537"/>
      <c r="INY174" s="537"/>
      <c r="INZ174" s="537"/>
      <c r="IOA174" s="537"/>
      <c r="IOB174" s="537"/>
      <c r="IOC174" s="537"/>
      <c r="IOD174" s="537"/>
      <c r="IOE174" s="537"/>
      <c r="IOF174" s="537"/>
      <c r="IOG174" s="537"/>
      <c r="IOH174" s="537"/>
      <c r="IOI174" s="537"/>
      <c r="IOJ174" s="537"/>
      <c r="IOK174" s="537"/>
      <c r="IOL174" s="537"/>
      <c r="IOM174" s="537"/>
      <c r="ION174" s="537"/>
      <c r="IOO174" s="537"/>
      <c r="IOP174" s="537"/>
      <c r="IOQ174" s="537"/>
      <c r="IOR174" s="537"/>
      <c r="IOS174" s="537"/>
      <c r="IOT174" s="537"/>
      <c r="IOU174" s="537"/>
      <c r="IOV174" s="537"/>
      <c r="IOW174" s="537"/>
      <c r="IOX174" s="537"/>
      <c r="IOY174" s="537"/>
      <c r="IOZ174" s="537"/>
      <c r="IPA174" s="537"/>
      <c r="IPB174" s="537"/>
      <c r="IPC174" s="537"/>
      <c r="IPD174" s="537"/>
      <c r="IPE174" s="537"/>
      <c r="IPF174" s="537"/>
      <c r="IPG174" s="537"/>
      <c r="IPH174" s="537"/>
      <c r="IPI174" s="537"/>
      <c r="IPJ174" s="537"/>
      <c r="IPK174" s="537"/>
      <c r="IPL174" s="537"/>
      <c r="IPM174" s="537"/>
      <c r="IPN174" s="537"/>
      <c r="IPO174" s="537"/>
      <c r="IPP174" s="537"/>
      <c r="IPQ174" s="537"/>
      <c r="IPR174" s="537"/>
      <c r="IPS174" s="537"/>
      <c r="IPT174" s="537"/>
      <c r="IPU174" s="537"/>
      <c r="IPV174" s="537"/>
      <c r="IPW174" s="537"/>
      <c r="IPX174" s="537"/>
      <c r="IPY174" s="537"/>
      <c r="IPZ174" s="537"/>
      <c r="IQA174" s="537"/>
      <c r="IQB174" s="537"/>
      <c r="IQC174" s="537"/>
      <c r="IQD174" s="537"/>
      <c r="IQE174" s="537"/>
      <c r="IQF174" s="537"/>
      <c r="IQG174" s="537"/>
      <c r="IQH174" s="537"/>
      <c r="IQI174" s="537"/>
      <c r="IQJ174" s="537"/>
      <c r="IQK174" s="537"/>
      <c r="IQL174" s="537"/>
      <c r="IQM174" s="537"/>
      <c r="IQN174" s="537"/>
      <c r="IQO174" s="537"/>
      <c r="IQP174" s="537"/>
      <c r="IQQ174" s="537"/>
      <c r="IQR174" s="537"/>
      <c r="IQS174" s="537"/>
      <c r="IQT174" s="537"/>
      <c r="IQU174" s="537"/>
      <c r="IQV174" s="537"/>
      <c r="IQW174" s="537"/>
      <c r="IQX174" s="537"/>
      <c r="IQY174" s="537"/>
      <c r="IQZ174" s="537"/>
      <c r="IRA174" s="537"/>
      <c r="IRB174" s="537"/>
      <c r="IRC174" s="537"/>
      <c r="IRD174" s="537"/>
      <c r="IRE174" s="537"/>
      <c r="IRF174" s="537"/>
      <c r="IRG174" s="537"/>
      <c r="IRH174" s="537"/>
      <c r="IRI174" s="537"/>
      <c r="IRJ174" s="537"/>
      <c r="IRK174" s="537"/>
      <c r="IRL174" s="537"/>
      <c r="IRM174" s="537"/>
      <c r="IRN174" s="537"/>
      <c r="IRO174" s="537"/>
      <c r="IRP174" s="537"/>
      <c r="IRQ174" s="537"/>
      <c r="IRR174" s="537"/>
      <c r="IRS174" s="537"/>
      <c r="IRT174" s="537"/>
      <c r="IRU174" s="537"/>
      <c r="IRV174" s="537"/>
      <c r="IRW174" s="537"/>
      <c r="IRX174" s="537"/>
      <c r="IRY174" s="537"/>
      <c r="IRZ174" s="537"/>
      <c r="ISA174" s="537"/>
      <c r="ISB174" s="537"/>
      <c r="ISC174" s="537"/>
      <c r="ISD174" s="537"/>
      <c r="ISE174" s="537"/>
      <c r="ISF174" s="537"/>
      <c r="ISG174" s="537"/>
      <c r="ISH174" s="537"/>
      <c r="ISI174" s="537"/>
      <c r="ISJ174" s="537"/>
      <c r="ISK174" s="537"/>
      <c r="ISL174" s="537"/>
      <c r="ISM174" s="537"/>
      <c r="ISN174" s="537"/>
      <c r="ISO174" s="537"/>
      <c r="ISP174" s="537"/>
      <c r="ISQ174" s="537"/>
      <c r="ISR174" s="537"/>
      <c r="ISS174" s="537"/>
      <c r="IST174" s="537"/>
      <c r="ISU174" s="537"/>
      <c r="ISV174" s="537"/>
      <c r="ISW174" s="537"/>
      <c r="ISX174" s="537"/>
      <c r="ISY174" s="537"/>
      <c r="ISZ174" s="537"/>
      <c r="ITA174" s="537"/>
      <c r="ITB174" s="537"/>
      <c r="ITC174" s="537"/>
      <c r="ITD174" s="537"/>
      <c r="ITE174" s="537"/>
      <c r="ITF174" s="537"/>
      <c r="ITG174" s="537"/>
      <c r="ITH174" s="537"/>
      <c r="ITI174" s="537"/>
      <c r="ITJ174" s="537"/>
      <c r="ITK174" s="537"/>
      <c r="ITL174" s="537"/>
      <c r="ITM174" s="537"/>
      <c r="ITN174" s="537"/>
      <c r="ITO174" s="537"/>
      <c r="ITP174" s="537"/>
      <c r="ITQ174" s="537"/>
      <c r="ITR174" s="537"/>
      <c r="ITS174" s="537"/>
      <c r="ITT174" s="537"/>
      <c r="ITU174" s="537"/>
      <c r="ITV174" s="537"/>
      <c r="ITW174" s="537"/>
      <c r="ITX174" s="537"/>
      <c r="ITY174" s="537"/>
      <c r="ITZ174" s="537"/>
      <c r="IUA174" s="537"/>
      <c r="IUB174" s="537"/>
      <c r="IUC174" s="537"/>
      <c r="IUD174" s="537"/>
      <c r="IUE174" s="537"/>
      <c r="IUF174" s="537"/>
      <c r="IUG174" s="537"/>
      <c r="IUH174" s="537"/>
      <c r="IUI174" s="537"/>
      <c r="IUJ174" s="537"/>
      <c r="IUK174" s="537"/>
      <c r="IUL174" s="537"/>
      <c r="IUM174" s="537"/>
      <c r="IUN174" s="537"/>
      <c r="IUO174" s="537"/>
      <c r="IUP174" s="537"/>
      <c r="IUQ174" s="537"/>
      <c r="IUR174" s="537"/>
      <c r="IUS174" s="537"/>
      <c r="IUT174" s="537"/>
      <c r="IUU174" s="537"/>
      <c r="IUV174" s="537"/>
      <c r="IUW174" s="537"/>
      <c r="IUX174" s="537"/>
      <c r="IUY174" s="537"/>
      <c r="IUZ174" s="537"/>
      <c r="IVA174" s="537"/>
      <c r="IVB174" s="537"/>
      <c r="IVC174" s="537"/>
      <c r="IVD174" s="537"/>
      <c r="IVE174" s="537"/>
      <c r="IVF174" s="537"/>
      <c r="IVG174" s="537"/>
      <c r="IVH174" s="537"/>
      <c r="IVI174" s="537"/>
      <c r="IVJ174" s="537"/>
      <c r="IVK174" s="537"/>
      <c r="IVL174" s="537"/>
      <c r="IVM174" s="537"/>
      <c r="IVN174" s="537"/>
      <c r="IVO174" s="537"/>
      <c r="IVP174" s="537"/>
      <c r="IVQ174" s="537"/>
      <c r="IVR174" s="537"/>
      <c r="IVS174" s="537"/>
      <c r="IVT174" s="537"/>
      <c r="IVU174" s="537"/>
      <c r="IVV174" s="537"/>
      <c r="IVW174" s="537"/>
      <c r="IVX174" s="537"/>
      <c r="IVY174" s="537"/>
      <c r="IVZ174" s="537"/>
      <c r="IWA174" s="537"/>
      <c r="IWB174" s="537"/>
      <c r="IWC174" s="537"/>
      <c r="IWD174" s="537"/>
      <c r="IWE174" s="537"/>
      <c r="IWF174" s="537"/>
      <c r="IWG174" s="537"/>
      <c r="IWH174" s="537"/>
      <c r="IWI174" s="537"/>
      <c r="IWJ174" s="537"/>
      <c r="IWK174" s="537"/>
      <c r="IWL174" s="537"/>
      <c r="IWM174" s="537"/>
      <c r="IWN174" s="537"/>
      <c r="IWO174" s="537"/>
      <c r="IWP174" s="537"/>
      <c r="IWQ174" s="537"/>
      <c r="IWR174" s="537"/>
      <c r="IWS174" s="537"/>
      <c r="IWT174" s="537"/>
      <c r="IWU174" s="537"/>
      <c r="IWV174" s="537"/>
      <c r="IWW174" s="537"/>
      <c r="IWX174" s="537"/>
      <c r="IWY174" s="537"/>
      <c r="IWZ174" s="537"/>
      <c r="IXA174" s="537"/>
      <c r="IXB174" s="537"/>
      <c r="IXC174" s="537"/>
      <c r="IXD174" s="537"/>
      <c r="IXE174" s="537"/>
      <c r="IXF174" s="537"/>
      <c r="IXG174" s="537"/>
      <c r="IXH174" s="537"/>
      <c r="IXI174" s="537"/>
      <c r="IXJ174" s="537"/>
      <c r="IXK174" s="537"/>
      <c r="IXL174" s="537"/>
      <c r="IXM174" s="537"/>
      <c r="IXN174" s="537"/>
      <c r="IXO174" s="537"/>
      <c r="IXP174" s="537"/>
      <c r="IXQ174" s="537"/>
      <c r="IXR174" s="537"/>
      <c r="IXS174" s="537"/>
      <c r="IXT174" s="537"/>
      <c r="IXU174" s="537"/>
      <c r="IXV174" s="537"/>
      <c r="IXW174" s="537"/>
      <c r="IXX174" s="537"/>
      <c r="IXY174" s="537"/>
      <c r="IXZ174" s="537"/>
      <c r="IYA174" s="537"/>
      <c r="IYB174" s="537"/>
      <c r="IYC174" s="537"/>
      <c r="IYD174" s="537"/>
      <c r="IYE174" s="537"/>
      <c r="IYF174" s="537"/>
      <c r="IYG174" s="537"/>
      <c r="IYH174" s="537"/>
      <c r="IYI174" s="537"/>
      <c r="IYJ174" s="537"/>
      <c r="IYK174" s="537"/>
      <c r="IYL174" s="537"/>
      <c r="IYM174" s="537"/>
      <c r="IYN174" s="537"/>
      <c r="IYO174" s="537"/>
      <c r="IYP174" s="537"/>
      <c r="IYQ174" s="537"/>
      <c r="IYR174" s="537"/>
      <c r="IYS174" s="537"/>
      <c r="IYT174" s="537"/>
      <c r="IYU174" s="537"/>
      <c r="IYV174" s="537"/>
      <c r="IYW174" s="537"/>
      <c r="IYX174" s="537"/>
      <c r="IYY174" s="537"/>
      <c r="IYZ174" s="537"/>
      <c r="IZA174" s="537"/>
      <c r="IZB174" s="537"/>
      <c r="IZC174" s="537"/>
      <c r="IZD174" s="537"/>
      <c r="IZE174" s="537"/>
      <c r="IZF174" s="537"/>
      <c r="IZG174" s="537"/>
      <c r="IZH174" s="537"/>
      <c r="IZI174" s="537"/>
      <c r="IZJ174" s="537"/>
      <c r="IZK174" s="537"/>
      <c r="IZL174" s="537"/>
      <c r="IZM174" s="537"/>
      <c r="IZN174" s="537"/>
      <c r="IZO174" s="537"/>
      <c r="IZP174" s="537"/>
      <c r="IZQ174" s="537"/>
      <c r="IZR174" s="537"/>
      <c r="IZS174" s="537"/>
      <c r="IZT174" s="537"/>
      <c r="IZU174" s="537"/>
      <c r="IZV174" s="537"/>
      <c r="IZW174" s="537"/>
      <c r="IZX174" s="537"/>
      <c r="IZY174" s="537"/>
      <c r="IZZ174" s="537"/>
      <c r="JAA174" s="537"/>
      <c r="JAB174" s="537"/>
      <c r="JAC174" s="537"/>
      <c r="JAD174" s="537"/>
      <c r="JAE174" s="537"/>
      <c r="JAF174" s="537"/>
      <c r="JAG174" s="537"/>
      <c r="JAH174" s="537"/>
      <c r="JAI174" s="537"/>
      <c r="JAJ174" s="537"/>
      <c r="JAK174" s="537"/>
      <c r="JAL174" s="537"/>
      <c r="JAM174" s="537"/>
      <c r="JAN174" s="537"/>
      <c r="JAO174" s="537"/>
      <c r="JAP174" s="537"/>
      <c r="JAQ174" s="537"/>
      <c r="JAR174" s="537"/>
      <c r="JAS174" s="537"/>
      <c r="JAT174" s="537"/>
      <c r="JAU174" s="537"/>
      <c r="JAV174" s="537"/>
      <c r="JAW174" s="537"/>
      <c r="JAX174" s="537"/>
      <c r="JAY174" s="537"/>
      <c r="JAZ174" s="537"/>
      <c r="JBA174" s="537"/>
      <c r="JBB174" s="537"/>
      <c r="JBC174" s="537"/>
      <c r="JBD174" s="537"/>
      <c r="JBE174" s="537"/>
      <c r="JBF174" s="537"/>
      <c r="JBG174" s="537"/>
      <c r="JBH174" s="537"/>
      <c r="JBI174" s="537"/>
      <c r="JBJ174" s="537"/>
      <c r="JBK174" s="537"/>
      <c r="JBL174" s="537"/>
      <c r="JBM174" s="537"/>
      <c r="JBN174" s="537"/>
      <c r="JBO174" s="537"/>
      <c r="JBP174" s="537"/>
      <c r="JBQ174" s="537"/>
      <c r="JBR174" s="537"/>
      <c r="JBS174" s="537"/>
      <c r="JBT174" s="537"/>
      <c r="JBU174" s="537"/>
      <c r="JBV174" s="537"/>
      <c r="JBW174" s="537"/>
      <c r="JBX174" s="537"/>
      <c r="JBY174" s="537"/>
      <c r="JBZ174" s="537"/>
      <c r="JCA174" s="537"/>
      <c r="JCB174" s="537"/>
      <c r="JCC174" s="537"/>
      <c r="JCD174" s="537"/>
      <c r="JCE174" s="537"/>
      <c r="JCF174" s="537"/>
      <c r="JCG174" s="537"/>
      <c r="JCH174" s="537"/>
      <c r="JCI174" s="537"/>
      <c r="JCJ174" s="537"/>
      <c r="JCK174" s="537"/>
      <c r="JCL174" s="537"/>
      <c r="JCM174" s="537"/>
      <c r="JCN174" s="537"/>
      <c r="JCO174" s="537"/>
      <c r="JCP174" s="537"/>
      <c r="JCQ174" s="537"/>
      <c r="JCR174" s="537"/>
      <c r="JCS174" s="537"/>
      <c r="JCT174" s="537"/>
      <c r="JCU174" s="537"/>
      <c r="JCV174" s="537"/>
      <c r="JCW174" s="537"/>
      <c r="JCX174" s="537"/>
      <c r="JCY174" s="537"/>
      <c r="JCZ174" s="537"/>
      <c r="JDA174" s="537"/>
      <c r="JDB174" s="537"/>
      <c r="JDC174" s="537"/>
      <c r="JDD174" s="537"/>
      <c r="JDE174" s="537"/>
      <c r="JDF174" s="537"/>
      <c r="JDG174" s="537"/>
      <c r="JDH174" s="537"/>
      <c r="JDI174" s="537"/>
      <c r="JDJ174" s="537"/>
      <c r="JDK174" s="537"/>
      <c r="JDL174" s="537"/>
      <c r="JDM174" s="537"/>
      <c r="JDN174" s="537"/>
      <c r="JDO174" s="537"/>
      <c r="JDP174" s="537"/>
      <c r="JDQ174" s="537"/>
      <c r="JDR174" s="537"/>
      <c r="JDS174" s="537"/>
      <c r="JDT174" s="537"/>
      <c r="JDU174" s="537"/>
      <c r="JDV174" s="537"/>
      <c r="JDW174" s="537"/>
      <c r="JDX174" s="537"/>
      <c r="JDY174" s="537"/>
      <c r="JDZ174" s="537"/>
      <c r="JEA174" s="537"/>
      <c r="JEB174" s="537"/>
      <c r="JEC174" s="537"/>
      <c r="JED174" s="537"/>
      <c r="JEE174" s="537"/>
      <c r="JEF174" s="537"/>
      <c r="JEG174" s="537"/>
      <c r="JEH174" s="537"/>
      <c r="JEI174" s="537"/>
      <c r="JEJ174" s="537"/>
      <c r="JEK174" s="537"/>
      <c r="JEL174" s="537"/>
      <c r="JEM174" s="537"/>
      <c r="JEN174" s="537"/>
      <c r="JEO174" s="537"/>
      <c r="JEP174" s="537"/>
      <c r="JEQ174" s="537"/>
      <c r="JER174" s="537"/>
      <c r="JES174" s="537"/>
      <c r="JET174" s="537"/>
      <c r="JEU174" s="537"/>
      <c r="JEV174" s="537"/>
      <c r="JEW174" s="537"/>
      <c r="JEX174" s="537"/>
      <c r="JEY174" s="537"/>
      <c r="JEZ174" s="537"/>
      <c r="JFA174" s="537"/>
      <c r="JFB174" s="537"/>
      <c r="JFC174" s="537"/>
      <c r="JFD174" s="537"/>
      <c r="JFE174" s="537"/>
      <c r="JFF174" s="537"/>
      <c r="JFG174" s="537"/>
      <c r="JFH174" s="537"/>
      <c r="JFI174" s="537"/>
      <c r="JFJ174" s="537"/>
      <c r="JFK174" s="537"/>
      <c r="JFL174" s="537"/>
      <c r="JFM174" s="537"/>
      <c r="JFN174" s="537"/>
      <c r="JFO174" s="537"/>
      <c r="JFP174" s="537"/>
      <c r="JFQ174" s="537"/>
      <c r="JFR174" s="537"/>
      <c r="JFS174" s="537"/>
      <c r="JFT174" s="537"/>
      <c r="JFU174" s="537"/>
      <c r="JFV174" s="537"/>
      <c r="JFW174" s="537"/>
      <c r="JFX174" s="537"/>
      <c r="JFY174" s="537"/>
      <c r="JFZ174" s="537"/>
      <c r="JGA174" s="537"/>
      <c r="JGB174" s="537"/>
      <c r="JGC174" s="537"/>
      <c r="JGD174" s="537"/>
      <c r="JGE174" s="537"/>
      <c r="JGF174" s="537"/>
      <c r="JGG174" s="537"/>
      <c r="JGH174" s="537"/>
      <c r="JGI174" s="537"/>
      <c r="JGJ174" s="537"/>
      <c r="JGK174" s="537"/>
      <c r="JGL174" s="537"/>
      <c r="JGM174" s="537"/>
      <c r="JGN174" s="537"/>
      <c r="JGO174" s="537"/>
      <c r="JGP174" s="537"/>
      <c r="JGQ174" s="537"/>
      <c r="JGR174" s="537"/>
      <c r="JGS174" s="537"/>
      <c r="JGT174" s="537"/>
      <c r="JGU174" s="537"/>
      <c r="JGV174" s="537"/>
      <c r="JGW174" s="537"/>
      <c r="JGX174" s="537"/>
      <c r="JGY174" s="537"/>
      <c r="JGZ174" s="537"/>
      <c r="JHA174" s="537"/>
      <c r="JHB174" s="537"/>
      <c r="JHC174" s="537"/>
      <c r="JHD174" s="537"/>
      <c r="JHE174" s="537"/>
      <c r="JHF174" s="537"/>
      <c r="JHG174" s="537"/>
      <c r="JHH174" s="537"/>
      <c r="JHI174" s="537"/>
      <c r="JHJ174" s="537"/>
      <c r="JHK174" s="537"/>
      <c r="JHL174" s="537"/>
      <c r="JHM174" s="537"/>
      <c r="JHN174" s="537"/>
      <c r="JHO174" s="537"/>
      <c r="JHP174" s="537"/>
      <c r="JHQ174" s="537"/>
      <c r="JHR174" s="537"/>
      <c r="JHS174" s="537"/>
      <c r="JHT174" s="537"/>
      <c r="JHU174" s="537"/>
      <c r="JHV174" s="537"/>
      <c r="JHW174" s="537"/>
      <c r="JHX174" s="537"/>
      <c r="JHY174" s="537"/>
      <c r="JHZ174" s="537"/>
      <c r="JIA174" s="537"/>
      <c r="JIB174" s="537"/>
      <c r="JIC174" s="537"/>
      <c r="JID174" s="537"/>
      <c r="JIE174" s="537"/>
      <c r="JIF174" s="537"/>
      <c r="JIG174" s="537"/>
      <c r="JIH174" s="537"/>
      <c r="JII174" s="537"/>
      <c r="JIJ174" s="537"/>
      <c r="JIK174" s="537"/>
      <c r="JIL174" s="537"/>
      <c r="JIM174" s="537"/>
      <c r="JIN174" s="537"/>
      <c r="JIO174" s="537"/>
      <c r="JIP174" s="537"/>
      <c r="JIQ174" s="537"/>
      <c r="JIR174" s="537"/>
      <c r="JIS174" s="537"/>
      <c r="JIT174" s="537"/>
      <c r="JIU174" s="537"/>
      <c r="JIV174" s="537"/>
      <c r="JIW174" s="537"/>
      <c r="JIX174" s="537"/>
      <c r="JIY174" s="537"/>
      <c r="JIZ174" s="537"/>
      <c r="JJA174" s="537"/>
      <c r="JJB174" s="537"/>
      <c r="JJC174" s="537"/>
      <c r="JJD174" s="537"/>
      <c r="JJE174" s="537"/>
      <c r="JJF174" s="537"/>
      <c r="JJG174" s="537"/>
      <c r="JJH174" s="537"/>
      <c r="JJI174" s="537"/>
      <c r="JJJ174" s="537"/>
      <c r="JJK174" s="537"/>
      <c r="JJL174" s="537"/>
      <c r="JJM174" s="537"/>
      <c r="JJN174" s="537"/>
      <c r="JJO174" s="537"/>
      <c r="JJP174" s="537"/>
      <c r="JJQ174" s="537"/>
      <c r="JJR174" s="537"/>
      <c r="JJS174" s="537"/>
      <c r="JJT174" s="537"/>
      <c r="JJU174" s="537"/>
      <c r="JJV174" s="537"/>
      <c r="JJW174" s="537"/>
      <c r="JJX174" s="537"/>
      <c r="JJY174" s="537"/>
      <c r="JJZ174" s="537"/>
      <c r="JKA174" s="537"/>
      <c r="JKB174" s="537"/>
      <c r="JKC174" s="537"/>
      <c r="JKD174" s="537"/>
      <c r="JKE174" s="537"/>
      <c r="JKF174" s="537"/>
      <c r="JKG174" s="537"/>
      <c r="JKH174" s="537"/>
      <c r="JKI174" s="537"/>
      <c r="JKJ174" s="537"/>
      <c r="JKK174" s="537"/>
      <c r="JKL174" s="537"/>
      <c r="JKM174" s="537"/>
      <c r="JKN174" s="537"/>
      <c r="JKO174" s="537"/>
      <c r="JKP174" s="537"/>
      <c r="JKQ174" s="537"/>
      <c r="JKR174" s="537"/>
      <c r="JKS174" s="537"/>
      <c r="JKT174" s="537"/>
      <c r="JKU174" s="537"/>
      <c r="JKV174" s="537"/>
      <c r="JKW174" s="537"/>
      <c r="JKX174" s="537"/>
      <c r="JKY174" s="537"/>
      <c r="JKZ174" s="537"/>
      <c r="JLA174" s="537"/>
      <c r="JLB174" s="537"/>
      <c r="JLC174" s="537"/>
      <c r="JLD174" s="537"/>
      <c r="JLE174" s="537"/>
      <c r="JLF174" s="537"/>
      <c r="JLG174" s="537"/>
      <c r="JLH174" s="537"/>
      <c r="JLI174" s="537"/>
      <c r="JLJ174" s="537"/>
      <c r="JLK174" s="537"/>
      <c r="JLL174" s="537"/>
      <c r="JLM174" s="537"/>
      <c r="JLN174" s="537"/>
      <c r="JLO174" s="537"/>
      <c r="JLP174" s="537"/>
      <c r="JLQ174" s="537"/>
      <c r="JLR174" s="537"/>
      <c r="JLS174" s="537"/>
      <c r="JLT174" s="537"/>
      <c r="JLU174" s="537"/>
      <c r="JLV174" s="537"/>
      <c r="JLW174" s="537"/>
      <c r="JLX174" s="537"/>
      <c r="JLY174" s="537"/>
      <c r="JLZ174" s="537"/>
      <c r="JMA174" s="537"/>
      <c r="JMB174" s="537"/>
      <c r="JMC174" s="537"/>
      <c r="JMD174" s="537"/>
      <c r="JME174" s="537"/>
      <c r="JMF174" s="537"/>
      <c r="JMG174" s="537"/>
      <c r="JMH174" s="537"/>
      <c r="JMI174" s="537"/>
      <c r="JMJ174" s="537"/>
      <c r="JMK174" s="537"/>
      <c r="JML174" s="537"/>
      <c r="JMM174" s="537"/>
      <c r="JMN174" s="537"/>
      <c r="JMO174" s="537"/>
      <c r="JMP174" s="537"/>
      <c r="JMQ174" s="537"/>
      <c r="JMR174" s="537"/>
      <c r="JMS174" s="537"/>
      <c r="JMT174" s="537"/>
      <c r="JMU174" s="537"/>
      <c r="JMV174" s="537"/>
      <c r="JMW174" s="537"/>
      <c r="JMX174" s="537"/>
      <c r="JMY174" s="537"/>
      <c r="JMZ174" s="537"/>
      <c r="JNA174" s="537"/>
      <c r="JNB174" s="537"/>
      <c r="JNC174" s="537"/>
      <c r="JND174" s="537"/>
      <c r="JNE174" s="537"/>
      <c r="JNF174" s="537"/>
      <c r="JNG174" s="537"/>
      <c r="JNH174" s="537"/>
      <c r="JNI174" s="537"/>
      <c r="JNJ174" s="537"/>
      <c r="JNK174" s="537"/>
      <c r="JNL174" s="537"/>
      <c r="JNM174" s="537"/>
      <c r="JNN174" s="537"/>
      <c r="JNO174" s="537"/>
      <c r="JNP174" s="537"/>
      <c r="JNQ174" s="537"/>
      <c r="JNR174" s="537"/>
      <c r="JNS174" s="537"/>
      <c r="JNT174" s="537"/>
      <c r="JNU174" s="537"/>
      <c r="JNV174" s="537"/>
      <c r="JNW174" s="537"/>
      <c r="JNX174" s="537"/>
      <c r="JNY174" s="537"/>
      <c r="JNZ174" s="537"/>
      <c r="JOA174" s="537"/>
      <c r="JOB174" s="537"/>
      <c r="JOC174" s="537"/>
      <c r="JOD174" s="537"/>
      <c r="JOE174" s="537"/>
      <c r="JOF174" s="537"/>
      <c r="JOG174" s="537"/>
      <c r="JOH174" s="537"/>
      <c r="JOI174" s="537"/>
      <c r="JOJ174" s="537"/>
      <c r="JOK174" s="537"/>
      <c r="JOL174" s="537"/>
      <c r="JOM174" s="537"/>
      <c r="JON174" s="537"/>
      <c r="JOO174" s="537"/>
      <c r="JOP174" s="537"/>
      <c r="JOQ174" s="537"/>
      <c r="JOR174" s="537"/>
      <c r="JOS174" s="537"/>
      <c r="JOT174" s="537"/>
      <c r="JOU174" s="537"/>
      <c r="JOV174" s="537"/>
      <c r="JOW174" s="537"/>
      <c r="JOX174" s="537"/>
      <c r="JOY174" s="537"/>
      <c r="JOZ174" s="537"/>
      <c r="JPA174" s="537"/>
      <c r="JPB174" s="537"/>
      <c r="JPC174" s="537"/>
      <c r="JPD174" s="537"/>
      <c r="JPE174" s="537"/>
      <c r="JPF174" s="537"/>
      <c r="JPG174" s="537"/>
      <c r="JPH174" s="537"/>
      <c r="JPI174" s="537"/>
      <c r="JPJ174" s="537"/>
      <c r="JPK174" s="537"/>
      <c r="JPL174" s="537"/>
      <c r="JPM174" s="537"/>
      <c r="JPN174" s="537"/>
      <c r="JPO174" s="537"/>
      <c r="JPP174" s="537"/>
      <c r="JPQ174" s="537"/>
      <c r="JPR174" s="537"/>
      <c r="JPS174" s="537"/>
      <c r="JPT174" s="537"/>
      <c r="JPU174" s="537"/>
      <c r="JPV174" s="537"/>
      <c r="JPW174" s="537"/>
      <c r="JPX174" s="537"/>
      <c r="JPY174" s="537"/>
      <c r="JPZ174" s="537"/>
      <c r="JQA174" s="537"/>
      <c r="JQB174" s="537"/>
      <c r="JQC174" s="537"/>
      <c r="JQD174" s="537"/>
      <c r="JQE174" s="537"/>
      <c r="JQF174" s="537"/>
      <c r="JQG174" s="537"/>
      <c r="JQH174" s="537"/>
      <c r="JQI174" s="537"/>
      <c r="JQJ174" s="537"/>
      <c r="JQK174" s="537"/>
      <c r="JQL174" s="537"/>
      <c r="JQM174" s="537"/>
      <c r="JQN174" s="537"/>
      <c r="JQO174" s="537"/>
      <c r="JQP174" s="537"/>
      <c r="JQQ174" s="537"/>
      <c r="JQR174" s="537"/>
      <c r="JQS174" s="537"/>
      <c r="JQT174" s="537"/>
      <c r="JQU174" s="537"/>
      <c r="JQV174" s="537"/>
      <c r="JQW174" s="537"/>
      <c r="JQX174" s="537"/>
      <c r="JQY174" s="537"/>
      <c r="JQZ174" s="537"/>
      <c r="JRA174" s="537"/>
      <c r="JRB174" s="537"/>
      <c r="JRC174" s="537"/>
      <c r="JRD174" s="537"/>
      <c r="JRE174" s="537"/>
      <c r="JRF174" s="537"/>
      <c r="JRG174" s="537"/>
      <c r="JRH174" s="537"/>
      <c r="JRI174" s="537"/>
      <c r="JRJ174" s="537"/>
      <c r="JRK174" s="537"/>
      <c r="JRL174" s="537"/>
      <c r="JRM174" s="537"/>
      <c r="JRN174" s="537"/>
      <c r="JRO174" s="537"/>
      <c r="JRP174" s="537"/>
      <c r="JRQ174" s="537"/>
      <c r="JRR174" s="537"/>
      <c r="JRS174" s="537"/>
      <c r="JRT174" s="537"/>
      <c r="JRU174" s="537"/>
      <c r="JRV174" s="537"/>
      <c r="JRW174" s="537"/>
      <c r="JRX174" s="537"/>
      <c r="JRY174" s="537"/>
      <c r="JRZ174" s="537"/>
      <c r="JSA174" s="537"/>
      <c r="JSB174" s="537"/>
      <c r="JSC174" s="537"/>
      <c r="JSD174" s="537"/>
      <c r="JSE174" s="537"/>
      <c r="JSF174" s="537"/>
      <c r="JSG174" s="537"/>
      <c r="JSH174" s="537"/>
      <c r="JSI174" s="537"/>
      <c r="JSJ174" s="537"/>
      <c r="JSK174" s="537"/>
      <c r="JSL174" s="537"/>
      <c r="JSM174" s="537"/>
      <c r="JSN174" s="537"/>
      <c r="JSO174" s="537"/>
      <c r="JSP174" s="537"/>
      <c r="JSQ174" s="537"/>
      <c r="JSR174" s="537"/>
      <c r="JSS174" s="537"/>
      <c r="JST174" s="537"/>
      <c r="JSU174" s="537"/>
      <c r="JSV174" s="537"/>
      <c r="JSW174" s="537"/>
      <c r="JSX174" s="537"/>
      <c r="JSY174" s="537"/>
      <c r="JSZ174" s="537"/>
      <c r="JTA174" s="537"/>
      <c r="JTB174" s="537"/>
      <c r="JTC174" s="537"/>
      <c r="JTD174" s="537"/>
      <c r="JTE174" s="537"/>
      <c r="JTF174" s="537"/>
      <c r="JTG174" s="537"/>
      <c r="JTH174" s="537"/>
      <c r="JTI174" s="537"/>
      <c r="JTJ174" s="537"/>
      <c r="JTK174" s="537"/>
      <c r="JTL174" s="537"/>
      <c r="JTM174" s="537"/>
      <c r="JTN174" s="537"/>
      <c r="JTO174" s="537"/>
      <c r="JTP174" s="537"/>
      <c r="JTQ174" s="537"/>
      <c r="JTR174" s="537"/>
      <c r="JTS174" s="537"/>
      <c r="JTT174" s="537"/>
      <c r="JTU174" s="537"/>
      <c r="JTV174" s="537"/>
      <c r="JTW174" s="537"/>
      <c r="JTX174" s="537"/>
      <c r="JTY174" s="537"/>
      <c r="JTZ174" s="537"/>
      <c r="JUA174" s="537"/>
      <c r="JUB174" s="537"/>
      <c r="JUC174" s="537"/>
      <c r="JUD174" s="537"/>
      <c r="JUE174" s="537"/>
      <c r="JUF174" s="537"/>
      <c r="JUG174" s="537"/>
      <c r="JUH174" s="537"/>
      <c r="JUI174" s="537"/>
      <c r="JUJ174" s="537"/>
      <c r="JUK174" s="537"/>
      <c r="JUL174" s="537"/>
      <c r="JUM174" s="537"/>
      <c r="JUN174" s="537"/>
      <c r="JUO174" s="537"/>
      <c r="JUP174" s="537"/>
      <c r="JUQ174" s="537"/>
      <c r="JUR174" s="537"/>
      <c r="JUS174" s="537"/>
      <c r="JUT174" s="537"/>
      <c r="JUU174" s="537"/>
      <c r="JUV174" s="537"/>
      <c r="JUW174" s="537"/>
      <c r="JUX174" s="537"/>
      <c r="JUY174" s="537"/>
      <c r="JUZ174" s="537"/>
      <c r="JVA174" s="537"/>
      <c r="JVB174" s="537"/>
      <c r="JVC174" s="537"/>
      <c r="JVD174" s="537"/>
      <c r="JVE174" s="537"/>
      <c r="JVF174" s="537"/>
      <c r="JVG174" s="537"/>
      <c r="JVH174" s="537"/>
      <c r="JVI174" s="537"/>
      <c r="JVJ174" s="537"/>
      <c r="JVK174" s="537"/>
      <c r="JVL174" s="537"/>
      <c r="JVM174" s="537"/>
      <c r="JVN174" s="537"/>
      <c r="JVO174" s="537"/>
      <c r="JVP174" s="537"/>
      <c r="JVQ174" s="537"/>
      <c r="JVR174" s="537"/>
      <c r="JVS174" s="537"/>
      <c r="JVT174" s="537"/>
      <c r="JVU174" s="537"/>
      <c r="JVV174" s="537"/>
      <c r="JVW174" s="537"/>
      <c r="JVX174" s="537"/>
      <c r="JVY174" s="537"/>
      <c r="JVZ174" s="537"/>
      <c r="JWA174" s="537"/>
      <c r="JWB174" s="537"/>
      <c r="JWC174" s="537"/>
      <c r="JWD174" s="537"/>
      <c r="JWE174" s="537"/>
      <c r="JWF174" s="537"/>
      <c r="JWG174" s="537"/>
      <c r="JWH174" s="537"/>
      <c r="JWI174" s="537"/>
      <c r="JWJ174" s="537"/>
      <c r="JWK174" s="537"/>
      <c r="JWL174" s="537"/>
      <c r="JWM174" s="537"/>
      <c r="JWN174" s="537"/>
      <c r="JWO174" s="537"/>
      <c r="JWP174" s="537"/>
      <c r="JWQ174" s="537"/>
      <c r="JWR174" s="537"/>
      <c r="JWS174" s="537"/>
      <c r="JWT174" s="537"/>
      <c r="JWU174" s="537"/>
      <c r="JWV174" s="537"/>
      <c r="JWW174" s="537"/>
      <c r="JWX174" s="537"/>
      <c r="JWY174" s="537"/>
      <c r="JWZ174" s="537"/>
      <c r="JXA174" s="537"/>
      <c r="JXB174" s="537"/>
      <c r="JXC174" s="537"/>
      <c r="JXD174" s="537"/>
      <c r="JXE174" s="537"/>
      <c r="JXF174" s="537"/>
      <c r="JXG174" s="537"/>
      <c r="JXH174" s="537"/>
      <c r="JXI174" s="537"/>
      <c r="JXJ174" s="537"/>
      <c r="JXK174" s="537"/>
      <c r="JXL174" s="537"/>
      <c r="JXM174" s="537"/>
      <c r="JXN174" s="537"/>
      <c r="JXO174" s="537"/>
      <c r="JXP174" s="537"/>
      <c r="JXQ174" s="537"/>
      <c r="JXR174" s="537"/>
      <c r="JXS174" s="537"/>
      <c r="JXT174" s="537"/>
      <c r="JXU174" s="537"/>
      <c r="JXV174" s="537"/>
      <c r="JXW174" s="537"/>
      <c r="JXX174" s="537"/>
      <c r="JXY174" s="537"/>
      <c r="JXZ174" s="537"/>
      <c r="JYA174" s="537"/>
      <c r="JYB174" s="537"/>
      <c r="JYC174" s="537"/>
      <c r="JYD174" s="537"/>
      <c r="JYE174" s="537"/>
      <c r="JYF174" s="537"/>
      <c r="JYG174" s="537"/>
      <c r="JYH174" s="537"/>
      <c r="JYI174" s="537"/>
      <c r="JYJ174" s="537"/>
      <c r="JYK174" s="537"/>
      <c r="JYL174" s="537"/>
      <c r="JYM174" s="537"/>
      <c r="JYN174" s="537"/>
      <c r="JYO174" s="537"/>
      <c r="JYP174" s="537"/>
      <c r="JYQ174" s="537"/>
      <c r="JYR174" s="537"/>
      <c r="JYS174" s="537"/>
      <c r="JYT174" s="537"/>
      <c r="JYU174" s="537"/>
      <c r="JYV174" s="537"/>
      <c r="JYW174" s="537"/>
      <c r="JYX174" s="537"/>
      <c r="JYY174" s="537"/>
      <c r="JYZ174" s="537"/>
      <c r="JZA174" s="537"/>
      <c r="JZB174" s="537"/>
      <c r="JZC174" s="537"/>
      <c r="JZD174" s="537"/>
      <c r="JZE174" s="537"/>
      <c r="JZF174" s="537"/>
      <c r="JZG174" s="537"/>
      <c r="JZH174" s="537"/>
      <c r="JZI174" s="537"/>
      <c r="JZJ174" s="537"/>
      <c r="JZK174" s="537"/>
      <c r="JZL174" s="537"/>
      <c r="JZM174" s="537"/>
      <c r="JZN174" s="537"/>
      <c r="JZO174" s="537"/>
      <c r="JZP174" s="537"/>
      <c r="JZQ174" s="537"/>
      <c r="JZR174" s="537"/>
      <c r="JZS174" s="537"/>
      <c r="JZT174" s="537"/>
      <c r="JZU174" s="537"/>
      <c r="JZV174" s="537"/>
      <c r="JZW174" s="537"/>
      <c r="JZX174" s="537"/>
      <c r="JZY174" s="537"/>
      <c r="JZZ174" s="537"/>
      <c r="KAA174" s="537"/>
      <c r="KAB174" s="537"/>
      <c r="KAC174" s="537"/>
      <c r="KAD174" s="537"/>
      <c r="KAE174" s="537"/>
      <c r="KAF174" s="537"/>
      <c r="KAG174" s="537"/>
      <c r="KAH174" s="537"/>
      <c r="KAI174" s="537"/>
      <c r="KAJ174" s="537"/>
      <c r="KAK174" s="537"/>
      <c r="KAL174" s="537"/>
      <c r="KAM174" s="537"/>
      <c r="KAN174" s="537"/>
      <c r="KAO174" s="537"/>
      <c r="KAP174" s="537"/>
      <c r="KAQ174" s="537"/>
      <c r="KAR174" s="537"/>
      <c r="KAS174" s="537"/>
      <c r="KAT174" s="537"/>
      <c r="KAU174" s="537"/>
      <c r="KAV174" s="537"/>
      <c r="KAW174" s="537"/>
      <c r="KAX174" s="537"/>
      <c r="KAY174" s="537"/>
      <c r="KAZ174" s="537"/>
      <c r="KBA174" s="537"/>
      <c r="KBB174" s="537"/>
      <c r="KBC174" s="537"/>
      <c r="KBD174" s="537"/>
      <c r="KBE174" s="537"/>
      <c r="KBF174" s="537"/>
      <c r="KBG174" s="537"/>
      <c r="KBH174" s="537"/>
      <c r="KBI174" s="537"/>
      <c r="KBJ174" s="537"/>
      <c r="KBK174" s="537"/>
      <c r="KBL174" s="537"/>
      <c r="KBM174" s="537"/>
      <c r="KBN174" s="537"/>
      <c r="KBO174" s="537"/>
      <c r="KBP174" s="537"/>
      <c r="KBQ174" s="537"/>
      <c r="KBR174" s="537"/>
      <c r="KBS174" s="537"/>
      <c r="KBT174" s="537"/>
      <c r="KBU174" s="537"/>
      <c r="KBV174" s="537"/>
      <c r="KBW174" s="537"/>
      <c r="KBX174" s="537"/>
      <c r="KBY174" s="537"/>
      <c r="KBZ174" s="537"/>
      <c r="KCA174" s="537"/>
      <c r="KCB174" s="537"/>
      <c r="KCC174" s="537"/>
      <c r="KCD174" s="537"/>
      <c r="KCE174" s="537"/>
      <c r="KCF174" s="537"/>
      <c r="KCG174" s="537"/>
      <c r="KCH174" s="537"/>
      <c r="KCI174" s="537"/>
      <c r="KCJ174" s="537"/>
      <c r="KCK174" s="537"/>
      <c r="KCL174" s="537"/>
      <c r="KCM174" s="537"/>
      <c r="KCN174" s="537"/>
      <c r="KCO174" s="537"/>
      <c r="KCP174" s="537"/>
      <c r="KCQ174" s="537"/>
      <c r="KCR174" s="537"/>
      <c r="KCS174" s="537"/>
      <c r="KCT174" s="537"/>
      <c r="KCU174" s="537"/>
      <c r="KCV174" s="537"/>
      <c r="KCW174" s="537"/>
      <c r="KCX174" s="537"/>
      <c r="KCY174" s="537"/>
      <c r="KCZ174" s="537"/>
      <c r="KDA174" s="537"/>
      <c r="KDB174" s="537"/>
      <c r="KDC174" s="537"/>
      <c r="KDD174" s="537"/>
      <c r="KDE174" s="537"/>
      <c r="KDF174" s="537"/>
      <c r="KDG174" s="537"/>
      <c r="KDH174" s="537"/>
      <c r="KDI174" s="537"/>
      <c r="KDJ174" s="537"/>
      <c r="KDK174" s="537"/>
      <c r="KDL174" s="537"/>
      <c r="KDM174" s="537"/>
      <c r="KDN174" s="537"/>
      <c r="KDO174" s="537"/>
      <c r="KDP174" s="537"/>
      <c r="KDQ174" s="537"/>
      <c r="KDR174" s="537"/>
      <c r="KDS174" s="537"/>
      <c r="KDT174" s="537"/>
      <c r="KDU174" s="537"/>
      <c r="KDV174" s="537"/>
      <c r="KDW174" s="537"/>
      <c r="KDX174" s="537"/>
      <c r="KDY174" s="537"/>
      <c r="KDZ174" s="537"/>
      <c r="KEA174" s="537"/>
      <c r="KEB174" s="537"/>
      <c r="KEC174" s="537"/>
      <c r="KED174" s="537"/>
      <c r="KEE174" s="537"/>
      <c r="KEF174" s="537"/>
      <c r="KEG174" s="537"/>
      <c r="KEH174" s="537"/>
      <c r="KEI174" s="537"/>
      <c r="KEJ174" s="537"/>
      <c r="KEK174" s="537"/>
      <c r="KEL174" s="537"/>
      <c r="KEM174" s="537"/>
      <c r="KEN174" s="537"/>
      <c r="KEO174" s="537"/>
      <c r="KEP174" s="537"/>
      <c r="KEQ174" s="537"/>
      <c r="KER174" s="537"/>
      <c r="KES174" s="537"/>
      <c r="KET174" s="537"/>
      <c r="KEU174" s="537"/>
      <c r="KEV174" s="537"/>
      <c r="KEW174" s="537"/>
      <c r="KEX174" s="537"/>
      <c r="KEY174" s="537"/>
      <c r="KEZ174" s="537"/>
      <c r="KFA174" s="537"/>
      <c r="KFB174" s="537"/>
      <c r="KFC174" s="537"/>
      <c r="KFD174" s="537"/>
      <c r="KFE174" s="537"/>
      <c r="KFF174" s="537"/>
      <c r="KFG174" s="537"/>
      <c r="KFH174" s="537"/>
      <c r="KFI174" s="537"/>
      <c r="KFJ174" s="537"/>
      <c r="KFK174" s="537"/>
      <c r="KFL174" s="537"/>
      <c r="KFM174" s="537"/>
      <c r="KFN174" s="537"/>
      <c r="KFO174" s="537"/>
      <c r="KFP174" s="537"/>
      <c r="KFQ174" s="537"/>
      <c r="KFR174" s="537"/>
      <c r="KFS174" s="537"/>
      <c r="KFT174" s="537"/>
      <c r="KFU174" s="537"/>
      <c r="KFV174" s="537"/>
      <c r="KFW174" s="537"/>
      <c r="KFX174" s="537"/>
      <c r="KFY174" s="537"/>
      <c r="KFZ174" s="537"/>
      <c r="KGA174" s="537"/>
      <c r="KGB174" s="537"/>
      <c r="KGC174" s="537"/>
      <c r="KGD174" s="537"/>
      <c r="KGE174" s="537"/>
      <c r="KGF174" s="537"/>
      <c r="KGG174" s="537"/>
      <c r="KGH174" s="537"/>
      <c r="KGI174" s="537"/>
      <c r="KGJ174" s="537"/>
      <c r="KGK174" s="537"/>
      <c r="KGL174" s="537"/>
      <c r="KGM174" s="537"/>
      <c r="KGN174" s="537"/>
      <c r="KGO174" s="537"/>
      <c r="KGP174" s="537"/>
      <c r="KGQ174" s="537"/>
      <c r="KGR174" s="537"/>
      <c r="KGS174" s="537"/>
      <c r="KGT174" s="537"/>
      <c r="KGU174" s="537"/>
      <c r="KGV174" s="537"/>
      <c r="KGW174" s="537"/>
      <c r="KGX174" s="537"/>
      <c r="KGY174" s="537"/>
      <c r="KGZ174" s="537"/>
      <c r="KHA174" s="537"/>
      <c r="KHB174" s="537"/>
      <c r="KHC174" s="537"/>
      <c r="KHD174" s="537"/>
      <c r="KHE174" s="537"/>
      <c r="KHF174" s="537"/>
      <c r="KHG174" s="537"/>
      <c r="KHH174" s="537"/>
      <c r="KHI174" s="537"/>
      <c r="KHJ174" s="537"/>
      <c r="KHK174" s="537"/>
      <c r="KHL174" s="537"/>
      <c r="KHM174" s="537"/>
      <c r="KHN174" s="537"/>
      <c r="KHO174" s="537"/>
      <c r="KHP174" s="537"/>
      <c r="KHQ174" s="537"/>
      <c r="KHR174" s="537"/>
      <c r="KHS174" s="537"/>
      <c r="KHT174" s="537"/>
      <c r="KHU174" s="537"/>
      <c r="KHV174" s="537"/>
      <c r="KHW174" s="537"/>
      <c r="KHX174" s="537"/>
      <c r="KHY174" s="537"/>
      <c r="KHZ174" s="537"/>
      <c r="KIA174" s="537"/>
      <c r="KIB174" s="537"/>
      <c r="KIC174" s="537"/>
      <c r="KID174" s="537"/>
      <c r="KIE174" s="537"/>
      <c r="KIF174" s="537"/>
      <c r="KIG174" s="537"/>
      <c r="KIH174" s="537"/>
      <c r="KII174" s="537"/>
      <c r="KIJ174" s="537"/>
      <c r="KIK174" s="537"/>
      <c r="KIL174" s="537"/>
      <c r="KIM174" s="537"/>
      <c r="KIN174" s="537"/>
      <c r="KIO174" s="537"/>
      <c r="KIP174" s="537"/>
      <c r="KIQ174" s="537"/>
      <c r="KIR174" s="537"/>
      <c r="KIS174" s="537"/>
      <c r="KIT174" s="537"/>
      <c r="KIU174" s="537"/>
      <c r="KIV174" s="537"/>
      <c r="KIW174" s="537"/>
      <c r="KIX174" s="537"/>
      <c r="KIY174" s="537"/>
      <c r="KIZ174" s="537"/>
      <c r="KJA174" s="537"/>
      <c r="KJB174" s="537"/>
      <c r="KJC174" s="537"/>
      <c r="KJD174" s="537"/>
      <c r="KJE174" s="537"/>
      <c r="KJF174" s="537"/>
      <c r="KJG174" s="537"/>
      <c r="KJH174" s="537"/>
      <c r="KJI174" s="537"/>
      <c r="KJJ174" s="537"/>
      <c r="KJK174" s="537"/>
      <c r="KJL174" s="537"/>
      <c r="KJM174" s="537"/>
      <c r="KJN174" s="537"/>
      <c r="KJO174" s="537"/>
      <c r="KJP174" s="537"/>
      <c r="KJQ174" s="537"/>
      <c r="KJR174" s="537"/>
      <c r="KJS174" s="537"/>
      <c r="KJT174" s="537"/>
      <c r="KJU174" s="537"/>
      <c r="KJV174" s="537"/>
      <c r="KJW174" s="537"/>
      <c r="KJX174" s="537"/>
      <c r="KJY174" s="537"/>
      <c r="KJZ174" s="537"/>
      <c r="KKA174" s="537"/>
      <c r="KKB174" s="537"/>
      <c r="KKC174" s="537"/>
      <c r="KKD174" s="537"/>
      <c r="KKE174" s="537"/>
      <c r="KKF174" s="537"/>
      <c r="KKG174" s="537"/>
      <c r="KKH174" s="537"/>
      <c r="KKI174" s="537"/>
      <c r="KKJ174" s="537"/>
      <c r="KKK174" s="537"/>
      <c r="KKL174" s="537"/>
      <c r="KKM174" s="537"/>
      <c r="KKN174" s="537"/>
      <c r="KKO174" s="537"/>
      <c r="KKP174" s="537"/>
      <c r="KKQ174" s="537"/>
      <c r="KKR174" s="537"/>
      <c r="KKS174" s="537"/>
      <c r="KKT174" s="537"/>
      <c r="KKU174" s="537"/>
      <c r="KKV174" s="537"/>
      <c r="KKW174" s="537"/>
      <c r="KKX174" s="537"/>
      <c r="KKY174" s="537"/>
      <c r="KKZ174" s="537"/>
      <c r="KLA174" s="537"/>
      <c r="KLB174" s="537"/>
      <c r="KLC174" s="537"/>
      <c r="KLD174" s="537"/>
      <c r="KLE174" s="537"/>
      <c r="KLF174" s="537"/>
      <c r="KLG174" s="537"/>
      <c r="KLH174" s="537"/>
      <c r="KLI174" s="537"/>
      <c r="KLJ174" s="537"/>
      <c r="KLK174" s="537"/>
      <c r="KLL174" s="537"/>
      <c r="KLM174" s="537"/>
      <c r="KLN174" s="537"/>
      <c r="KLO174" s="537"/>
      <c r="KLP174" s="537"/>
      <c r="KLQ174" s="537"/>
      <c r="KLR174" s="537"/>
      <c r="KLS174" s="537"/>
      <c r="KLT174" s="537"/>
      <c r="KLU174" s="537"/>
      <c r="KLV174" s="537"/>
      <c r="KLW174" s="537"/>
      <c r="KLX174" s="537"/>
      <c r="KLY174" s="537"/>
      <c r="KLZ174" s="537"/>
      <c r="KMA174" s="537"/>
      <c r="KMB174" s="537"/>
      <c r="KMC174" s="537"/>
      <c r="KMD174" s="537"/>
      <c r="KME174" s="537"/>
      <c r="KMF174" s="537"/>
      <c r="KMG174" s="537"/>
      <c r="KMH174" s="537"/>
      <c r="KMI174" s="537"/>
      <c r="KMJ174" s="537"/>
      <c r="KMK174" s="537"/>
      <c r="KML174" s="537"/>
      <c r="KMM174" s="537"/>
      <c r="KMN174" s="537"/>
      <c r="KMO174" s="537"/>
      <c r="KMP174" s="537"/>
      <c r="KMQ174" s="537"/>
      <c r="KMR174" s="537"/>
      <c r="KMS174" s="537"/>
      <c r="KMT174" s="537"/>
      <c r="KMU174" s="537"/>
      <c r="KMV174" s="537"/>
      <c r="KMW174" s="537"/>
      <c r="KMX174" s="537"/>
      <c r="KMY174" s="537"/>
      <c r="KMZ174" s="537"/>
      <c r="KNA174" s="537"/>
      <c r="KNB174" s="537"/>
      <c r="KNC174" s="537"/>
      <c r="KND174" s="537"/>
      <c r="KNE174" s="537"/>
      <c r="KNF174" s="537"/>
      <c r="KNG174" s="537"/>
      <c r="KNH174" s="537"/>
      <c r="KNI174" s="537"/>
      <c r="KNJ174" s="537"/>
      <c r="KNK174" s="537"/>
      <c r="KNL174" s="537"/>
      <c r="KNM174" s="537"/>
      <c r="KNN174" s="537"/>
      <c r="KNO174" s="537"/>
      <c r="KNP174" s="537"/>
      <c r="KNQ174" s="537"/>
      <c r="KNR174" s="537"/>
      <c r="KNS174" s="537"/>
      <c r="KNT174" s="537"/>
      <c r="KNU174" s="537"/>
      <c r="KNV174" s="537"/>
      <c r="KNW174" s="537"/>
      <c r="KNX174" s="537"/>
      <c r="KNY174" s="537"/>
      <c r="KNZ174" s="537"/>
      <c r="KOA174" s="537"/>
      <c r="KOB174" s="537"/>
      <c r="KOC174" s="537"/>
      <c r="KOD174" s="537"/>
      <c r="KOE174" s="537"/>
      <c r="KOF174" s="537"/>
      <c r="KOG174" s="537"/>
      <c r="KOH174" s="537"/>
      <c r="KOI174" s="537"/>
      <c r="KOJ174" s="537"/>
      <c r="KOK174" s="537"/>
      <c r="KOL174" s="537"/>
      <c r="KOM174" s="537"/>
      <c r="KON174" s="537"/>
      <c r="KOO174" s="537"/>
      <c r="KOP174" s="537"/>
      <c r="KOQ174" s="537"/>
      <c r="KOR174" s="537"/>
      <c r="KOS174" s="537"/>
      <c r="KOT174" s="537"/>
      <c r="KOU174" s="537"/>
      <c r="KOV174" s="537"/>
      <c r="KOW174" s="537"/>
      <c r="KOX174" s="537"/>
      <c r="KOY174" s="537"/>
      <c r="KOZ174" s="537"/>
      <c r="KPA174" s="537"/>
      <c r="KPB174" s="537"/>
      <c r="KPC174" s="537"/>
      <c r="KPD174" s="537"/>
      <c r="KPE174" s="537"/>
      <c r="KPF174" s="537"/>
      <c r="KPG174" s="537"/>
      <c r="KPH174" s="537"/>
      <c r="KPI174" s="537"/>
      <c r="KPJ174" s="537"/>
      <c r="KPK174" s="537"/>
      <c r="KPL174" s="537"/>
      <c r="KPM174" s="537"/>
      <c r="KPN174" s="537"/>
      <c r="KPO174" s="537"/>
      <c r="KPP174" s="537"/>
      <c r="KPQ174" s="537"/>
      <c r="KPR174" s="537"/>
      <c r="KPS174" s="537"/>
      <c r="KPT174" s="537"/>
      <c r="KPU174" s="537"/>
      <c r="KPV174" s="537"/>
      <c r="KPW174" s="537"/>
      <c r="KPX174" s="537"/>
      <c r="KPY174" s="537"/>
      <c r="KPZ174" s="537"/>
      <c r="KQA174" s="537"/>
      <c r="KQB174" s="537"/>
      <c r="KQC174" s="537"/>
      <c r="KQD174" s="537"/>
      <c r="KQE174" s="537"/>
      <c r="KQF174" s="537"/>
      <c r="KQG174" s="537"/>
      <c r="KQH174" s="537"/>
      <c r="KQI174" s="537"/>
      <c r="KQJ174" s="537"/>
      <c r="KQK174" s="537"/>
      <c r="KQL174" s="537"/>
      <c r="KQM174" s="537"/>
      <c r="KQN174" s="537"/>
      <c r="KQO174" s="537"/>
      <c r="KQP174" s="537"/>
      <c r="KQQ174" s="537"/>
      <c r="KQR174" s="537"/>
      <c r="KQS174" s="537"/>
      <c r="KQT174" s="537"/>
      <c r="KQU174" s="537"/>
      <c r="KQV174" s="537"/>
      <c r="KQW174" s="537"/>
      <c r="KQX174" s="537"/>
      <c r="KQY174" s="537"/>
      <c r="KQZ174" s="537"/>
      <c r="KRA174" s="537"/>
      <c r="KRB174" s="537"/>
      <c r="KRC174" s="537"/>
      <c r="KRD174" s="537"/>
      <c r="KRE174" s="537"/>
      <c r="KRF174" s="537"/>
      <c r="KRG174" s="537"/>
      <c r="KRH174" s="537"/>
      <c r="KRI174" s="537"/>
      <c r="KRJ174" s="537"/>
      <c r="KRK174" s="537"/>
      <c r="KRL174" s="537"/>
      <c r="KRM174" s="537"/>
      <c r="KRN174" s="537"/>
      <c r="KRO174" s="537"/>
      <c r="KRP174" s="537"/>
      <c r="KRQ174" s="537"/>
      <c r="KRR174" s="537"/>
      <c r="KRS174" s="537"/>
      <c r="KRT174" s="537"/>
      <c r="KRU174" s="537"/>
      <c r="KRV174" s="537"/>
      <c r="KRW174" s="537"/>
      <c r="KRX174" s="537"/>
      <c r="KRY174" s="537"/>
      <c r="KRZ174" s="537"/>
      <c r="KSA174" s="537"/>
      <c r="KSB174" s="537"/>
      <c r="KSC174" s="537"/>
      <c r="KSD174" s="537"/>
      <c r="KSE174" s="537"/>
      <c r="KSF174" s="537"/>
      <c r="KSG174" s="537"/>
      <c r="KSH174" s="537"/>
      <c r="KSI174" s="537"/>
      <c r="KSJ174" s="537"/>
      <c r="KSK174" s="537"/>
      <c r="KSL174" s="537"/>
      <c r="KSM174" s="537"/>
      <c r="KSN174" s="537"/>
      <c r="KSO174" s="537"/>
      <c r="KSP174" s="537"/>
      <c r="KSQ174" s="537"/>
      <c r="KSR174" s="537"/>
      <c r="KSS174" s="537"/>
      <c r="KST174" s="537"/>
      <c r="KSU174" s="537"/>
      <c r="KSV174" s="537"/>
      <c r="KSW174" s="537"/>
      <c r="KSX174" s="537"/>
      <c r="KSY174" s="537"/>
      <c r="KSZ174" s="537"/>
      <c r="KTA174" s="537"/>
      <c r="KTB174" s="537"/>
      <c r="KTC174" s="537"/>
      <c r="KTD174" s="537"/>
      <c r="KTE174" s="537"/>
      <c r="KTF174" s="537"/>
      <c r="KTG174" s="537"/>
      <c r="KTH174" s="537"/>
      <c r="KTI174" s="537"/>
      <c r="KTJ174" s="537"/>
      <c r="KTK174" s="537"/>
      <c r="KTL174" s="537"/>
      <c r="KTM174" s="537"/>
      <c r="KTN174" s="537"/>
      <c r="KTO174" s="537"/>
      <c r="KTP174" s="537"/>
      <c r="KTQ174" s="537"/>
      <c r="KTR174" s="537"/>
      <c r="KTS174" s="537"/>
      <c r="KTT174" s="537"/>
      <c r="KTU174" s="537"/>
      <c r="KTV174" s="537"/>
      <c r="KTW174" s="537"/>
      <c r="KTX174" s="537"/>
      <c r="KTY174" s="537"/>
      <c r="KTZ174" s="537"/>
      <c r="KUA174" s="537"/>
      <c r="KUB174" s="537"/>
      <c r="KUC174" s="537"/>
      <c r="KUD174" s="537"/>
      <c r="KUE174" s="537"/>
      <c r="KUF174" s="537"/>
      <c r="KUG174" s="537"/>
      <c r="KUH174" s="537"/>
      <c r="KUI174" s="537"/>
      <c r="KUJ174" s="537"/>
      <c r="KUK174" s="537"/>
      <c r="KUL174" s="537"/>
      <c r="KUM174" s="537"/>
      <c r="KUN174" s="537"/>
      <c r="KUO174" s="537"/>
      <c r="KUP174" s="537"/>
      <c r="KUQ174" s="537"/>
      <c r="KUR174" s="537"/>
      <c r="KUS174" s="537"/>
      <c r="KUT174" s="537"/>
      <c r="KUU174" s="537"/>
      <c r="KUV174" s="537"/>
      <c r="KUW174" s="537"/>
      <c r="KUX174" s="537"/>
      <c r="KUY174" s="537"/>
      <c r="KUZ174" s="537"/>
      <c r="KVA174" s="537"/>
      <c r="KVB174" s="537"/>
      <c r="KVC174" s="537"/>
      <c r="KVD174" s="537"/>
      <c r="KVE174" s="537"/>
      <c r="KVF174" s="537"/>
      <c r="KVG174" s="537"/>
      <c r="KVH174" s="537"/>
      <c r="KVI174" s="537"/>
      <c r="KVJ174" s="537"/>
      <c r="KVK174" s="537"/>
      <c r="KVL174" s="537"/>
      <c r="KVM174" s="537"/>
      <c r="KVN174" s="537"/>
      <c r="KVO174" s="537"/>
      <c r="KVP174" s="537"/>
      <c r="KVQ174" s="537"/>
      <c r="KVR174" s="537"/>
      <c r="KVS174" s="537"/>
      <c r="KVT174" s="537"/>
      <c r="KVU174" s="537"/>
      <c r="KVV174" s="537"/>
      <c r="KVW174" s="537"/>
      <c r="KVX174" s="537"/>
      <c r="KVY174" s="537"/>
      <c r="KVZ174" s="537"/>
      <c r="KWA174" s="537"/>
      <c r="KWB174" s="537"/>
      <c r="KWC174" s="537"/>
      <c r="KWD174" s="537"/>
      <c r="KWE174" s="537"/>
      <c r="KWF174" s="537"/>
      <c r="KWG174" s="537"/>
      <c r="KWH174" s="537"/>
      <c r="KWI174" s="537"/>
      <c r="KWJ174" s="537"/>
      <c r="KWK174" s="537"/>
      <c r="KWL174" s="537"/>
      <c r="KWM174" s="537"/>
      <c r="KWN174" s="537"/>
      <c r="KWO174" s="537"/>
      <c r="KWP174" s="537"/>
      <c r="KWQ174" s="537"/>
      <c r="KWR174" s="537"/>
      <c r="KWS174" s="537"/>
      <c r="KWT174" s="537"/>
      <c r="KWU174" s="537"/>
      <c r="KWV174" s="537"/>
      <c r="KWW174" s="537"/>
      <c r="KWX174" s="537"/>
      <c r="KWY174" s="537"/>
      <c r="KWZ174" s="537"/>
      <c r="KXA174" s="537"/>
      <c r="KXB174" s="537"/>
      <c r="KXC174" s="537"/>
      <c r="KXD174" s="537"/>
      <c r="KXE174" s="537"/>
      <c r="KXF174" s="537"/>
      <c r="KXG174" s="537"/>
      <c r="KXH174" s="537"/>
      <c r="KXI174" s="537"/>
      <c r="KXJ174" s="537"/>
      <c r="KXK174" s="537"/>
      <c r="KXL174" s="537"/>
      <c r="KXM174" s="537"/>
      <c r="KXN174" s="537"/>
      <c r="KXO174" s="537"/>
      <c r="KXP174" s="537"/>
      <c r="KXQ174" s="537"/>
      <c r="KXR174" s="537"/>
      <c r="KXS174" s="537"/>
      <c r="KXT174" s="537"/>
      <c r="KXU174" s="537"/>
      <c r="KXV174" s="537"/>
      <c r="KXW174" s="537"/>
      <c r="KXX174" s="537"/>
      <c r="KXY174" s="537"/>
      <c r="KXZ174" s="537"/>
      <c r="KYA174" s="537"/>
      <c r="KYB174" s="537"/>
      <c r="KYC174" s="537"/>
      <c r="KYD174" s="537"/>
      <c r="KYE174" s="537"/>
      <c r="KYF174" s="537"/>
      <c r="KYG174" s="537"/>
      <c r="KYH174" s="537"/>
      <c r="KYI174" s="537"/>
      <c r="KYJ174" s="537"/>
      <c r="KYK174" s="537"/>
      <c r="KYL174" s="537"/>
      <c r="KYM174" s="537"/>
      <c r="KYN174" s="537"/>
      <c r="KYO174" s="537"/>
      <c r="KYP174" s="537"/>
      <c r="KYQ174" s="537"/>
      <c r="KYR174" s="537"/>
      <c r="KYS174" s="537"/>
      <c r="KYT174" s="537"/>
      <c r="KYU174" s="537"/>
      <c r="KYV174" s="537"/>
      <c r="KYW174" s="537"/>
      <c r="KYX174" s="537"/>
      <c r="KYY174" s="537"/>
      <c r="KYZ174" s="537"/>
      <c r="KZA174" s="537"/>
      <c r="KZB174" s="537"/>
      <c r="KZC174" s="537"/>
      <c r="KZD174" s="537"/>
      <c r="KZE174" s="537"/>
      <c r="KZF174" s="537"/>
      <c r="KZG174" s="537"/>
      <c r="KZH174" s="537"/>
      <c r="KZI174" s="537"/>
      <c r="KZJ174" s="537"/>
      <c r="KZK174" s="537"/>
      <c r="KZL174" s="537"/>
      <c r="KZM174" s="537"/>
      <c r="KZN174" s="537"/>
      <c r="KZO174" s="537"/>
      <c r="KZP174" s="537"/>
      <c r="KZQ174" s="537"/>
      <c r="KZR174" s="537"/>
      <c r="KZS174" s="537"/>
      <c r="KZT174" s="537"/>
      <c r="KZU174" s="537"/>
      <c r="KZV174" s="537"/>
      <c r="KZW174" s="537"/>
      <c r="KZX174" s="537"/>
      <c r="KZY174" s="537"/>
      <c r="KZZ174" s="537"/>
      <c r="LAA174" s="537"/>
      <c r="LAB174" s="537"/>
      <c r="LAC174" s="537"/>
      <c r="LAD174" s="537"/>
      <c r="LAE174" s="537"/>
      <c r="LAF174" s="537"/>
      <c r="LAG174" s="537"/>
      <c r="LAH174" s="537"/>
      <c r="LAI174" s="537"/>
      <c r="LAJ174" s="537"/>
      <c r="LAK174" s="537"/>
      <c r="LAL174" s="537"/>
      <c r="LAM174" s="537"/>
      <c r="LAN174" s="537"/>
      <c r="LAO174" s="537"/>
      <c r="LAP174" s="537"/>
      <c r="LAQ174" s="537"/>
      <c r="LAR174" s="537"/>
      <c r="LAS174" s="537"/>
      <c r="LAT174" s="537"/>
      <c r="LAU174" s="537"/>
      <c r="LAV174" s="537"/>
      <c r="LAW174" s="537"/>
      <c r="LAX174" s="537"/>
      <c r="LAY174" s="537"/>
      <c r="LAZ174" s="537"/>
      <c r="LBA174" s="537"/>
      <c r="LBB174" s="537"/>
      <c r="LBC174" s="537"/>
      <c r="LBD174" s="537"/>
      <c r="LBE174" s="537"/>
      <c r="LBF174" s="537"/>
      <c r="LBG174" s="537"/>
      <c r="LBH174" s="537"/>
      <c r="LBI174" s="537"/>
      <c r="LBJ174" s="537"/>
      <c r="LBK174" s="537"/>
      <c r="LBL174" s="537"/>
      <c r="LBM174" s="537"/>
      <c r="LBN174" s="537"/>
      <c r="LBO174" s="537"/>
      <c r="LBP174" s="537"/>
      <c r="LBQ174" s="537"/>
      <c r="LBR174" s="537"/>
      <c r="LBS174" s="537"/>
      <c r="LBT174" s="537"/>
      <c r="LBU174" s="537"/>
      <c r="LBV174" s="537"/>
      <c r="LBW174" s="537"/>
      <c r="LBX174" s="537"/>
      <c r="LBY174" s="537"/>
      <c r="LBZ174" s="537"/>
      <c r="LCA174" s="537"/>
      <c r="LCB174" s="537"/>
      <c r="LCC174" s="537"/>
      <c r="LCD174" s="537"/>
      <c r="LCE174" s="537"/>
      <c r="LCF174" s="537"/>
      <c r="LCG174" s="537"/>
      <c r="LCH174" s="537"/>
      <c r="LCI174" s="537"/>
      <c r="LCJ174" s="537"/>
      <c r="LCK174" s="537"/>
      <c r="LCL174" s="537"/>
      <c r="LCM174" s="537"/>
      <c r="LCN174" s="537"/>
      <c r="LCO174" s="537"/>
      <c r="LCP174" s="537"/>
      <c r="LCQ174" s="537"/>
      <c r="LCR174" s="537"/>
      <c r="LCS174" s="537"/>
      <c r="LCT174" s="537"/>
      <c r="LCU174" s="537"/>
      <c r="LCV174" s="537"/>
      <c r="LCW174" s="537"/>
      <c r="LCX174" s="537"/>
      <c r="LCY174" s="537"/>
      <c r="LCZ174" s="537"/>
      <c r="LDA174" s="537"/>
      <c r="LDB174" s="537"/>
      <c r="LDC174" s="537"/>
      <c r="LDD174" s="537"/>
      <c r="LDE174" s="537"/>
      <c r="LDF174" s="537"/>
      <c r="LDG174" s="537"/>
      <c r="LDH174" s="537"/>
      <c r="LDI174" s="537"/>
      <c r="LDJ174" s="537"/>
      <c r="LDK174" s="537"/>
      <c r="LDL174" s="537"/>
      <c r="LDM174" s="537"/>
      <c r="LDN174" s="537"/>
      <c r="LDO174" s="537"/>
      <c r="LDP174" s="537"/>
      <c r="LDQ174" s="537"/>
      <c r="LDR174" s="537"/>
      <c r="LDS174" s="537"/>
      <c r="LDT174" s="537"/>
      <c r="LDU174" s="537"/>
      <c r="LDV174" s="537"/>
      <c r="LDW174" s="537"/>
      <c r="LDX174" s="537"/>
      <c r="LDY174" s="537"/>
      <c r="LDZ174" s="537"/>
      <c r="LEA174" s="537"/>
      <c r="LEB174" s="537"/>
      <c r="LEC174" s="537"/>
      <c r="LED174" s="537"/>
      <c r="LEE174" s="537"/>
      <c r="LEF174" s="537"/>
      <c r="LEG174" s="537"/>
      <c r="LEH174" s="537"/>
      <c r="LEI174" s="537"/>
      <c r="LEJ174" s="537"/>
      <c r="LEK174" s="537"/>
      <c r="LEL174" s="537"/>
      <c r="LEM174" s="537"/>
      <c r="LEN174" s="537"/>
      <c r="LEO174" s="537"/>
      <c r="LEP174" s="537"/>
      <c r="LEQ174" s="537"/>
      <c r="LER174" s="537"/>
      <c r="LES174" s="537"/>
      <c r="LET174" s="537"/>
      <c r="LEU174" s="537"/>
      <c r="LEV174" s="537"/>
      <c r="LEW174" s="537"/>
      <c r="LEX174" s="537"/>
      <c r="LEY174" s="537"/>
      <c r="LEZ174" s="537"/>
      <c r="LFA174" s="537"/>
      <c r="LFB174" s="537"/>
      <c r="LFC174" s="537"/>
      <c r="LFD174" s="537"/>
      <c r="LFE174" s="537"/>
      <c r="LFF174" s="537"/>
      <c r="LFG174" s="537"/>
      <c r="LFH174" s="537"/>
      <c r="LFI174" s="537"/>
      <c r="LFJ174" s="537"/>
      <c r="LFK174" s="537"/>
      <c r="LFL174" s="537"/>
      <c r="LFM174" s="537"/>
      <c r="LFN174" s="537"/>
      <c r="LFO174" s="537"/>
      <c r="LFP174" s="537"/>
      <c r="LFQ174" s="537"/>
      <c r="LFR174" s="537"/>
      <c r="LFS174" s="537"/>
      <c r="LFT174" s="537"/>
      <c r="LFU174" s="537"/>
      <c r="LFV174" s="537"/>
      <c r="LFW174" s="537"/>
      <c r="LFX174" s="537"/>
      <c r="LFY174" s="537"/>
      <c r="LFZ174" s="537"/>
      <c r="LGA174" s="537"/>
      <c r="LGB174" s="537"/>
      <c r="LGC174" s="537"/>
      <c r="LGD174" s="537"/>
      <c r="LGE174" s="537"/>
      <c r="LGF174" s="537"/>
      <c r="LGG174" s="537"/>
      <c r="LGH174" s="537"/>
      <c r="LGI174" s="537"/>
      <c r="LGJ174" s="537"/>
      <c r="LGK174" s="537"/>
      <c r="LGL174" s="537"/>
      <c r="LGM174" s="537"/>
      <c r="LGN174" s="537"/>
      <c r="LGO174" s="537"/>
      <c r="LGP174" s="537"/>
      <c r="LGQ174" s="537"/>
      <c r="LGR174" s="537"/>
      <c r="LGS174" s="537"/>
      <c r="LGT174" s="537"/>
      <c r="LGU174" s="537"/>
      <c r="LGV174" s="537"/>
      <c r="LGW174" s="537"/>
      <c r="LGX174" s="537"/>
      <c r="LGY174" s="537"/>
      <c r="LGZ174" s="537"/>
      <c r="LHA174" s="537"/>
      <c r="LHB174" s="537"/>
      <c r="LHC174" s="537"/>
      <c r="LHD174" s="537"/>
      <c r="LHE174" s="537"/>
      <c r="LHF174" s="537"/>
      <c r="LHG174" s="537"/>
      <c r="LHH174" s="537"/>
      <c r="LHI174" s="537"/>
      <c r="LHJ174" s="537"/>
      <c r="LHK174" s="537"/>
      <c r="LHL174" s="537"/>
      <c r="LHM174" s="537"/>
      <c r="LHN174" s="537"/>
      <c r="LHO174" s="537"/>
      <c r="LHP174" s="537"/>
      <c r="LHQ174" s="537"/>
      <c r="LHR174" s="537"/>
      <c r="LHS174" s="537"/>
      <c r="LHT174" s="537"/>
      <c r="LHU174" s="537"/>
      <c r="LHV174" s="537"/>
      <c r="LHW174" s="537"/>
      <c r="LHX174" s="537"/>
      <c r="LHY174" s="537"/>
      <c r="LHZ174" s="537"/>
      <c r="LIA174" s="537"/>
      <c r="LIB174" s="537"/>
      <c r="LIC174" s="537"/>
      <c r="LID174" s="537"/>
      <c r="LIE174" s="537"/>
      <c r="LIF174" s="537"/>
      <c r="LIG174" s="537"/>
      <c r="LIH174" s="537"/>
      <c r="LII174" s="537"/>
      <c r="LIJ174" s="537"/>
      <c r="LIK174" s="537"/>
      <c r="LIL174" s="537"/>
      <c r="LIM174" s="537"/>
      <c r="LIN174" s="537"/>
      <c r="LIO174" s="537"/>
      <c r="LIP174" s="537"/>
      <c r="LIQ174" s="537"/>
      <c r="LIR174" s="537"/>
      <c r="LIS174" s="537"/>
      <c r="LIT174" s="537"/>
      <c r="LIU174" s="537"/>
      <c r="LIV174" s="537"/>
      <c r="LIW174" s="537"/>
      <c r="LIX174" s="537"/>
      <c r="LIY174" s="537"/>
      <c r="LIZ174" s="537"/>
      <c r="LJA174" s="537"/>
      <c r="LJB174" s="537"/>
      <c r="LJC174" s="537"/>
      <c r="LJD174" s="537"/>
      <c r="LJE174" s="537"/>
      <c r="LJF174" s="537"/>
      <c r="LJG174" s="537"/>
      <c r="LJH174" s="537"/>
      <c r="LJI174" s="537"/>
      <c r="LJJ174" s="537"/>
      <c r="LJK174" s="537"/>
      <c r="LJL174" s="537"/>
      <c r="LJM174" s="537"/>
      <c r="LJN174" s="537"/>
      <c r="LJO174" s="537"/>
      <c r="LJP174" s="537"/>
      <c r="LJQ174" s="537"/>
      <c r="LJR174" s="537"/>
      <c r="LJS174" s="537"/>
      <c r="LJT174" s="537"/>
      <c r="LJU174" s="537"/>
      <c r="LJV174" s="537"/>
      <c r="LJW174" s="537"/>
      <c r="LJX174" s="537"/>
      <c r="LJY174" s="537"/>
      <c r="LJZ174" s="537"/>
      <c r="LKA174" s="537"/>
      <c r="LKB174" s="537"/>
      <c r="LKC174" s="537"/>
      <c r="LKD174" s="537"/>
      <c r="LKE174" s="537"/>
      <c r="LKF174" s="537"/>
      <c r="LKG174" s="537"/>
      <c r="LKH174" s="537"/>
      <c r="LKI174" s="537"/>
      <c r="LKJ174" s="537"/>
      <c r="LKK174" s="537"/>
      <c r="LKL174" s="537"/>
      <c r="LKM174" s="537"/>
      <c r="LKN174" s="537"/>
      <c r="LKO174" s="537"/>
      <c r="LKP174" s="537"/>
      <c r="LKQ174" s="537"/>
      <c r="LKR174" s="537"/>
      <c r="LKS174" s="537"/>
      <c r="LKT174" s="537"/>
      <c r="LKU174" s="537"/>
      <c r="LKV174" s="537"/>
      <c r="LKW174" s="537"/>
      <c r="LKX174" s="537"/>
      <c r="LKY174" s="537"/>
      <c r="LKZ174" s="537"/>
      <c r="LLA174" s="537"/>
      <c r="LLB174" s="537"/>
      <c r="LLC174" s="537"/>
      <c r="LLD174" s="537"/>
      <c r="LLE174" s="537"/>
      <c r="LLF174" s="537"/>
      <c r="LLG174" s="537"/>
      <c r="LLH174" s="537"/>
      <c r="LLI174" s="537"/>
      <c r="LLJ174" s="537"/>
      <c r="LLK174" s="537"/>
      <c r="LLL174" s="537"/>
      <c r="LLM174" s="537"/>
      <c r="LLN174" s="537"/>
      <c r="LLO174" s="537"/>
      <c r="LLP174" s="537"/>
      <c r="LLQ174" s="537"/>
      <c r="LLR174" s="537"/>
      <c r="LLS174" s="537"/>
      <c r="LLT174" s="537"/>
      <c r="LLU174" s="537"/>
      <c r="LLV174" s="537"/>
      <c r="LLW174" s="537"/>
      <c r="LLX174" s="537"/>
      <c r="LLY174" s="537"/>
      <c r="LLZ174" s="537"/>
      <c r="LMA174" s="537"/>
      <c r="LMB174" s="537"/>
      <c r="LMC174" s="537"/>
      <c r="LMD174" s="537"/>
      <c r="LME174" s="537"/>
      <c r="LMF174" s="537"/>
      <c r="LMG174" s="537"/>
      <c r="LMH174" s="537"/>
      <c r="LMI174" s="537"/>
      <c r="LMJ174" s="537"/>
      <c r="LMK174" s="537"/>
      <c r="LML174" s="537"/>
      <c r="LMM174" s="537"/>
      <c r="LMN174" s="537"/>
      <c r="LMO174" s="537"/>
      <c r="LMP174" s="537"/>
      <c r="LMQ174" s="537"/>
      <c r="LMR174" s="537"/>
      <c r="LMS174" s="537"/>
      <c r="LMT174" s="537"/>
      <c r="LMU174" s="537"/>
      <c r="LMV174" s="537"/>
      <c r="LMW174" s="537"/>
      <c r="LMX174" s="537"/>
      <c r="LMY174" s="537"/>
      <c r="LMZ174" s="537"/>
      <c r="LNA174" s="537"/>
      <c r="LNB174" s="537"/>
      <c r="LNC174" s="537"/>
      <c r="LND174" s="537"/>
      <c r="LNE174" s="537"/>
      <c r="LNF174" s="537"/>
      <c r="LNG174" s="537"/>
      <c r="LNH174" s="537"/>
      <c r="LNI174" s="537"/>
      <c r="LNJ174" s="537"/>
      <c r="LNK174" s="537"/>
      <c r="LNL174" s="537"/>
      <c r="LNM174" s="537"/>
      <c r="LNN174" s="537"/>
      <c r="LNO174" s="537"/>
      <c r="LNP174" s="537"/>
      <c r="LNQ174" s="537"/>
      <c r="LNR174" s="537"/>
      <c r="LNS174" s="537"/>
      <c r="LNT174" s="537"/>
      <c r="LNU174" s="537"/>
      <c r="LNV174" s="537"/>
      <c r="LNW174" s="537"/>
      <c r="LNX174" s="537"/>
      <c r="LNY174" s="537"/>
      <c r="LNZ174" s="537"/>
      <c r="LOA174" s="537"/>
      <c r="LOB174" s="537"/>
      <c r="LOC174" s="537"/>
      <c r="LOD174" s="537"/>
      <c r="LOE174" s="537"/>
      <c r="LOF174" s="537"/>
      <c r="LOG174" s="537"/>
      <c r="LOH174" s="537"/>
      <c r="LOI174" s="537"/>
      <c r="LOJ174" s="537"/>
      <c r="LOK174" s="537"/>
      <c r="LOL174" s="537"/>
      <c r="LOM174" s="537"/>
      <c r="LON174" s="537"/>
      <c r="LOO174" s="537"/>
      <c r="LOP174" s="537"/>
      <c r="LOQ174" s="537"/>
      <c r="LOR174" s="537"/>
      <c r="LOS174" s="537"/>
      <c r="LOT174" s="537"/>
      <c r="LOU174" s="537"/>
      <c r="LOV174" s="537"/>
      <c r="LOW174" s="537"/>
      <c r="LOX174" s="537"/>
      <c r="LOY174" s="537"/>
      <c r="LOZ174" s="537"/>
      <c r="LPA174" s="537"/>
      <c r="LPB174" s="537"/>
      <c r="LPC174" s="537"/>
      <c r="LPD174" s="537"/>
      <c r="LPE174" s="537"/>
      <c r="LPF174" s="537"/>
      <c r="LPG174" s="537"/>
      <c r="LPH174" s="537"/>
      <c r="LPI174" s="537"/>
      <c r="LPJ174" s="537"/>
      <c r="LPK174" s="537"/>
      <c r="LPL174" s="537"/>
      <c r="LPM174" s="537"/>
      <c r="LPN174" s="537"/>
      <c r="LPO174" s="537"/>
      <c r="LPP174" s="537"/>
      <c r="LPQ174" s="537"/>
      <c r="LPR174" s="537"/>
      <c r="LPS174" s="537"/>
      <c r="LPT174" s="537"/>
      <c r="LPU174" s="537"/>
      <c r="LPV174" s="537"/>
      <c r="LPW174" s="537"/>
      <c r="LPX174" s="537"/>
      <c r="LPY174" s="537"/>
      <c r="LPZ174" s="537"/>
      <c r="LQA174" s="537"/>
      <c r="LQB174" s="537"/>
      <c r="LQC174" s="537"/>
      <c r="LQD174" s="537"/>
      <c r="LQE174" s="537"/>
      <c r="LQF174" s="537"/>
      <c r="LQG174" s="537"/>
      <c r="LQH174" s="537"/>
      <c r="LQI174" s="537"/>
      <c r="LQJ174" s="537"/>
      <c r="LQK174" s="537"/>
      <c r="LQL174" s="537"/>
      <c r="LQM174" s="537"/>
      <c r="LQN174" s="537"/>
      <c r="LQO174" s="537"/>
      <c r="LQP174" s="537"/>
      <c r="LQQ174" s="537"/>
      <c r="LQR174" s="537"/>
      <c r="LQS174" s="537"/>
      <c r="LQT174" s="537"/>
      <c r="LQU174" s="537"/>
      <c r="LQV174" s="537"/>
      <c r="LQW174" s="537"/>
      <c r="LQX174" s="537"/>
      <c r="LQY174" s="537"/>
      <c r="LQZ174" s="537"/>
      <c r="LRA174" s="537"/>
      <c r="LRB174" s="537"/>
      <c r="LRC174" s="537"/>
      <c r="LRD174" s="537"/>
      <c r="LRE174" s="537"/>
      <c r="LRF174" s="537"/>
      <c r="LRG174" s="537"/>
      <c r="LRH174" s="537"/>
      <c r="LRI174" s="537"/>
      <c r="LRJ174" s="537"/>
      <c r="LRK174" s="537"/>
      <c r="LRL174" s="537"/>
      <c r="LRM174" s="537"/>
      <c r="LRN174" s="537"/>
      <c r="LRO174" s="537"/>
      <c r="LRP174" s="537"/>
      <c r="LRQ174" s="537"/>
      <c r="LRR174" s="537"/>
      <c r="LRS174" s="537"/>
      <c r="LRT174" s="537"/>
      <c r="LRU174" s="537"/>
      <c r="LRV174" s="537"/>
      <c r="LRW174" s="537"/>
      <c r="LRX174" s="537"/>
      <c r="LRY174" s="537"/>
      <c r="LRZ174" s="537"/>
      <c r="LSA174" s="537"/>
      <c r="LSB174" s="537"/>
      <c r="LSC174" s="537"/>
      <c r="LSD174" s="537"/>
      <c r="LSE174" s="537"/>
      <c r="LSF174" s="537"/>
      <c r="LSG174" s="537"/>
      <c r="LSH174" s="537"/>
      <c r="LSI174" s="537"/>
      <c r="LSJ174" s="537"/>
      <c r="LSK174" s="537"/>
      <c r="LSL174" s="537"/>
      <c r="LSM174" s="537"/>
      <c r="LSN174" s="537"/>
      <c r="LSO174" s="537"/>
      <c r="LSP174" s="537"/>
      <c r="LSQ174" s="537"/>
      <c r="LSR174" s="537"/>
      <c r="LSS174" s="537"/>
      <c r="LST174" s="537"/>
      <c r="LSU174" s="537"/>
      <c r="LSV174" s="537"/>
      <c r="LSW174" s="537"/>
      <c r="LSX174" s="537"/>
      <c r="LSY174" s="537"/>
      <c r="LSZ174" s="537"/>
      <c r="LTA174" s="537"/>
      <c r="LTB174" s="537"/>
      <c r="LTC174" s="537"/>
      <c r="LTD174" s="537"/>
      <c r="LTE174" s="537"/>
      <c r="LTF174" s="537"/>
      <c r="LTG174" s="537"/>
      <c r="LTH174" s="537"/>
      <c r="LTI174" s="537"/>
      <c r="LTJ174" s="537"/>
      <c r="LTK174" s="537"/>
      <c r="LTL174" s="537"/>
      <c r="LTM174" s="537"/>
      <c r="LTN174" s="537"/>
      <c r="LTO174" s="537"/>
      <c r="LTP174" s="537"/>
      <c r="LTQ174" s="537"/>
      <c r="LTR174" s="537"/>
      <c r="LTS174" s="537"/>
      <c r="LTT174" s="537"/>
      <c r="LTU174" s="537"/>
      <c r="LTV174" s="537"/>
      <c r="LTW174" s="537"/>
      <c r="LTX174" s="537"/>
      <c r="LTY174" s="537"/>
      <c r="LTZ174" s="537"/>
      <c r="LUA174" s="537"/>
      <c r="LUB174" s="537"/>
      <c r="LUC174" s="537"/>
      <c r="LUD174" s="537"/>
      <c r="LUE174" s="537"/>
      <c r="LUF174" s="537"/>
      <c r="LUG174" s="537"/>
      <c r="LUH174" s="537"/>
      <c r="LUI174" s="537"/>
      <c r="LUJ174" s="537"/>
      <c r="LUK174" s="537"/>
      <c r="LUL174" s="537"/>
      <c r="LUM174" s="537"/>
      <c r="LUN174" s="537"/>
      <c r="LUO174" s="537"/>
      <c r="LUP174" s="537"/>
      <c r="LUQ174" s="537"/>
      <c r="LUR174" s="537"/>
      <c r="LUS174" s="537"/>
      <c r="LUT174" s="537"/>
      <c r="LUU174" s="537"/>
      <c r="LUV174" s="537"/>
      <c r="LUW174" s="537"/>
      <c r="LUX174" s="537"/>
      <c r="LUY174" s="537"/>
      <c r="LUZ174" s="537"/>
      <c r="LVA174" s="537"/>
      <c r="LVB174" s="537"/>
      <c r="LVC174" s="537"/>
      <c r="LVD174" s="537"/>
      <c r="LVE174" s="537"/>
      <c r="LVF174" s="537"/>
      <c r="LVG174" s="537"/>
      <c r="LVH174" s="537"/>
      <c r="LVI174" s="537"/>
      <c r="LVJ174" s="537"/>
      <c r="LVK174" s="537"/>
      <c r="LVL174" s="537"/>
      <c r="LVM174" s="537"/>
      <c r="LVN174" s="537"/>
      <c r="LVO174" s="537"/>
      <c r="LVP174" s="537"/>
      <c r="LVQ174" s="537"/>
      <c r="LVR174" s="537"/>
      <c r="LVS174" s="537"/>
      <c r="LVT174" s="537"/>
      <c r="LVU174" s="537"/>
      <c r="LVV174" s="537"/>
      <c r="LVW174" s="537"/>
      <c r="LVX174" s="537"/>
      <c r="LVY174" s="537"/>
      <c r="LVZ174" s="537"/>
      <c r="LWA174" s="537"/>
      <c r="LWB174" s="537"/>
      <c r="LWC174" s="537"/>
      <c r="LWD174" s="537"/>
      <c r="LWE174" s="537"/>
      <c r="LWF174" s="537"/>
      <c r="LWG174" s="537"/>
      <c r="LWH174" s="537"/>
      <c r="LWI174" s="537"/>
      <c r="LWJ174" s="537"/>
      <c r="LWK174" s="537"/>
      <c r="LWL174" s="537"/>
      <c r="LWM174" s="537"/>
      <c r="LWN174" s="537"/>
      <c r="LWO174" s="537"/>
      <c r="LWP174" s="537"/>
      <c r="LWQ174" s="537"/>
      <c r="LWR174" s="537"/>
      <c r="LWS174" s="537"/>
      <c r="LWT174" s="537"/>
      <c r="LWU174" s="537"/>
      <c r="LWV174" s="537"/>
      <c r="LWW174" s="537"/>
      <c r="LWX174" s="537"/>
      <c r="LWY174" s="537"/>
      <c r="LWZ174" s="537"/>
      <c r="LXA174" s="537"/>
      <c r="LXB174" s="537"/>
      <c r="LXC174" s="537"/>
      <c r="LXD174" s="537"/>
      <c r="LXE174" s="537"/>
      <c r="LXF174" s="537"/>
      <c r="LXG174" s="537"/>
      <c r="LXH174" s="537"/>
      <c r="LXI174" s="537"/>
      <c r="LXJ174" s="537"/>
      <c r="LXK174" s="537"/>
      <c r="LXL174" s="537"/>
      <c r="LXM174" s="537"/>
      <c r="LXN174" s="537"/>
      <c r="LXO174" s="537"/>
      <c r="LXP174" s="537"/>
      <c r="LXQ174" s="537"/>
      <c r="LXR174" s="537"/>
      <c r="LXS174" s="537"/>
      <c r="LXT174" s="537"/>
      <c r="LXU174" s="537"/>
      <c r="LXV174" s="537"/>
      <c r="LXW174" s="537"/>
      <c r="LXX174" s="537"/>
      <c r="LXY174" s="537"/>
      <c r="LXZ174" s="537"/>
      <c r="LYA174" s="537"/>
      <c r="LYB174" s="537"/>
      <c r="LYC174" s="537"/>
      <c r="LYD174" s="537"/>
      <c r="LYE174" s="537"/>
      <c r="LYF174" s="537"/>
      <c r="LYG174" s="537"/>
      <c r="LYH174" s="537"/>
      <c r="LYI174" s="537"/>
      <c r="LYJ174" s="537"/>
      <c r="LYK174" s="537"/>
      <c r="LYL174" s="537"/>
      <c r="LYM174" s="537"/>
      <c r="LYN174" s="537"/>
      <c r="LYO174" s="537"/>
      <c r="LYP174" s="537"/>
      <c r="LYQ174" s="537"/>
      <c r="LYR174" s="537"/>
      <c r="LYS174" s="537"/>
      <c r="LYT174" s="537"/>
      <c r="LYU174" s="537"/>
      <c r="LYV174" s="537"/>
      <c r="LYW174" s="537"/>
      <c r="LYX174" s="537"/>
      <c r="LYY174" s="537"/>
      <c r="LYZ174" s="537"/>
      <c r="LZA174" s="537"/>
      <c r="LZB174" s="537"/>
      <c r="LZC174" s="537"/>
      <c r="LZD174" s="537"/>
      <c r="LZE174" s="537"/>
      <c r="LZF174" s="537"/>
      <c r="LZG174" s="537"/>
      <c r="LZH174" s="537"/>
      <c r="LZI174" s="537"/>
      <c r="LZJ174" s="537"/>
      <c r="LZK174" s="537"/>
      <c r="LZL174" s="537"/>
      <c r="LZM174" s="537"/>
      <c r="LZN174" s="537"/>
      <c r="LZO174" s="537"/>
      <c r="LZP174" s="537"/>
      <c r="LZQ174" s="537"/>
      <c r="LZR174" s="537"/>
      <c r="LZS174" s="537"/>
      <c r="LZT174" s="537"/>
      <c r="LZU174" s="537"/>
      <c r="LZV174" s="537"/>
      <c r="LZW174" s="537"/>
      <c r="LZX174" s="537"/>
      <c r="LZY174" s="537"/>
      <c r="LZZ174" s="537"/>
      <c r="MAA174" s="537"/>
      <c r="MAB174" s="537"/>
      <c r="MAC174" s="537"/>
      <c r="MAD174" s="537"/>
      <c r="MAE174" s="537"/>
      <c r="MAF174" s="537"/>
      <c r="MAG174" s="537"/>
      <c r="MAH174" s="537"/>
      <c r="MAI174" s="537"/>
      <c r="MAJ174" s="537"/>
      <c r="MAK174" s="537"/>
      <c r="MAL174" s="537"/>
      <c r="MAM174" s="537"/>
      <c r="MAN174" s="537"/>
      <c r="MAO174" s="537"/>
      <c r="MAP174" s="537"/>
      <c r="MAQ174" s="537"/>
      <c r="MAR174" s="537"/>
      <c r="MAS174" s="537"/>
      <c r="MAT174" s="537"/>
      <c r="MAU174" s="537"/>
      <c r="MAV174" s="537"/>
      <c r="MAW174" s="537"/>
      <c r="MAX174" s="537"/>
      <c r="MAY174" s="537"/>
      <c r="MAZ174" s="537"/>
      <c r="MBA174" s="537"/>
      <c r="MBB174" s="537"/>
      <c r="MBC174" s="537"/>
      <c r="MBD174" s="537"/>
      <c r="MBE174" s="537"/>
      <c r="MBF174" s="537"/>
      <c r="MBG174" s="537"/>
      <c r="MBH174" s="537"/>
      <c r="MBI174" s="537"/>
      <c r="MBJ174" s="537"/>
      <c r="MBK174" s="537"/>
      <c r="MBL174" s="537"/>
      <c r="MBM174" s="537"/>
      <c r="MBN174" s="537"/>
      <c r="MBO174" s="537"/>
      <c r="MBP174" s="537"/>
      <c r="MBQ174" s="537"/>
      <c r="MBR174" s="537"/>
      <c r="MBS174" s="537"/>
      <c r="MBT174" s="537"/>
      <c r="MBU174" s="537"/>
      <c r="MBV174" s="537"/>
      <c r="MBW174" s="537"/>
      <c r="MBX174" s="537"/>
      <c r="MBY174" s="537"/>
      <c r="MBZ174" s="537"/>
      <c r="MCA174" s="537"/>
      <c r="MCB174" s="537"/>
      <c r="MCC174" s="537"/>
      <c r="MCD174" s="537"/>
      <c r="MCE174" s="537"/>
      <c r="MCF174" s="537"/>
      <c r="MCG174" s="537"/>
      <c r="MCH174" s="537"/>
      <c r="MCI174" s="537"/>
      <c r="MCJ174" s="537"/>
      <c r="MCK174" s="537"/>
      <c r="MCL174" s="537"/>
      <c r="MCM174" s="537"/>
      <c r="MCN174" s="537"/>
      <c r="MCO174" s="537"/>
      <c r="MCP174" s="537"/>
      <c r="MCQ174" s="537"/>
      <c r="MCR174" s="537"/>
      <c r="MCS174" s="537"/>
      <c r="MCT174" s="537"/>
      <c r="MCU174" s="537"/>
      <c r="MCV174" s="537"/>
      <c r="MCW174" s="537"/>
      <c r="MCX174" s="537"/>
      <c r="MCY174" s="537"/>
      <c r="MCZ174" s="537"/>
      <c r="MDA174" s="537"/>
      <c r="MDB174" s="537"/>
      <c r="MDC174" s="537"/>
      <c r="MDD174" s="537"/>
      <c r="MDE174" s="537"/>
      <c r="MDF174" s="537"/>
      <c r="MDG174" s="537"/>
      <c r="MDH174" s="537"/>
      <c r="MDI174" s="537"/>
      <c r="MDJ174" s="537"/>
      <c r="MDK174" s="537"/>
      <c r="MDL174" s="537"/>
      <c r="MDM174" s="537"/>
      <c r="MDN174" s="537"/>
      <c r="MDO174" s="537"/>
      <c r="MDP174" s="537"/>
      <c r="MDQ174" s="537"/>
      <c r="MDR174" s="537"/>
      <c r="MDS174" s="537"/>
      <c r="MDT174" s="537"/>
      <c r="MDU174" s="537"/>
      <c r="MDV174" s="537"/>
      <c r="MDW174" s="537"/>
      <c r="MDX174" s="537"/>
      <c r="MDY174" s="537"/>
      <c r="MDZ174" s="537"/>
      <c r="MEA174" s="537"/>
      <c r="MEB174" s="537"/>
      <c r="MEC174" s="537"/>
      <c r="MED174" s="537"/>
      <c r="MEE174" s="537"/>
      <c r="MEF174" s="537"/>
      <c r="MEG174" s="537"/>
      <c r="MEH174" s="537"/>
      <c r="MEI174" s="537"/>
      <c r="MEJ174" s="537"/>
      <c r="MEK174" s="537"/>
      <c r="MEL174" s="537"/>
      <c r="MEM174" s="537"/>
      <c r="MEN174" s="537"/>
      <c r="MEO174" s="537"/>
      <c r="MEP174" s="537"/>
      <c r="MEQ174" s="537"/>
      <c r="MER174" s="537"/>
      <c r="MES174" s="537"/>
      <c r="MET174" s="537"/>
      <c r="MEU174" s="537"/>
      <c r="MEV174" s="537"/>
      <c r="MEW174" s="537"/>
      <c r="MEX174" s="537"/>
      <c r="MEY174" s="537"/>
      <c r="MEZ174" s="537"/>
      <c r="MFA174" s="537"/>
      <c r="MFB174" s="537"/>
      <c r="MFC174" s="537"/>
      <c r="MFD174" s="537"/>
      <c r="MFE174" s="537"/>
      <c r="MFF174" s="537"/>
      <c r="MFG174" s="537"/>
      <c r="MFH174" s="537"/>
      <c r="MFI174" s="537"/>
      <c r="MFJ174" s="537"/>
      <c r="MFK174" s="537"/>
      <c r="MFL174" s="537"/>
      <c r="MFM174" s="537"/>
      <c r="MFN174" s="537"/>
      <c r="MFO174" s="537"/>
      <c r="MFP174" s="537"/>
      <c r="MFQ174" s="537"/>
      <c r="MFR174" s="537"/>
      <c r="MFS174" s="537"/>
      <c r="MFT174" s="537"/>
      <c r="MFU174" s="537"/>
      <c r="MFV174" s="537"/>
      <c r="MFW174" s="537"/>
      <c r="MFX174" s="537"/>
      <c r="MFY174" s="537"/>
      <c r="MFZ174" s="537"/>
      <c r="MGA174" s="537"/>
      <c r="MGB174" s="537"/>
      <c r="MGC174" s="537"/>
      <c r="MGD174" s="537"/>
      <c r="MGE174" s="537"/>
      <c r="MGF174" s="537"/>
      <c r="MGG174" s="537"/>
      <c r="MGH174" s="537"/>
      <c r="MGI174" s="537"/>
      <c r="MGJ174" s="537"/>
      <c r="MGK174" s="537"/>
      <c r="MGL174" s="537"/>
      <c r="MGM174" s="537"/>
      <c r="MGN174" s="537"/>
      <c r="MGO174" s="537"/>
      <c r="MGP174" s="537"/>
      <c r="MGQ174" s="537"/>
      <c r="MGR174" s="537"/>
      <c r="MGS174" s="537"/>
      <c r="MGT174" s="537"/>
      <c r="MGU174" s="537"/>
      <c r="MGV174" s="537"/>
      <c r="MGW174" s="537"/>
      <c r="MGX174" s="537"/>
      <c r="MGY174" s="537"/>
      <c r="MGZ174" s="537"/>
      <c r="MHA174" s="537"/>
      <c r="MHB174" s="537"/>
      <c r="MHC174" s="537"/>
      <c r="MHD174" s="537"/>
      <c r="MHE174" s="537"/>
      <c r="MHF174" s="537"/>
      <c r="MHG174" s="537"/>
      <c r="MHH174" s="537"/>
      <c r="MHI174" s="537"/>
      <c r="MHJ174" s="537"/>
      <c r="MHK174" s="537"/>
      <c r="MHL174" s="537"/>
      <c r="MHM174" s="537"/>
      <c r="MHN174" s="537"/>
      <c r="MHO174" s="537"/>
      <c r="MHP174" s="537"/>
      <c r="MHQ174" s="537"/>
      <c r="MHR174" s="537"/>
      <c r="MHS174" s="537"/>
      <c r="MHT174" s="537"/>
      <c r="MHU174" s="537"/>
      <c r="MHV174" s="537"/>
      <c r="MHW174" s="537"/>
      <c r="MHX174" s="537"/>
      <c r="MHY174" s="537"/>
      <c r="MHZ174" s="537"/>
      <c r="MIA174" s="537"/>
      <c r="MIB174" s="537"/>
      <c r="MIC174" s="537"/>
      <c r="MID174" s="537"/>
      <c r="MIE174" s="537"/>
      <c r="MIF174" s="537"/>
      <c r="MIG174" s="537"/>
      <c r="MIH174" s="537"/>
      <c r="MII174" s="537"/>
      <c r="MIJ174" s="537"/>
      <c r="MIK174" s="537"/>
      <c r="MIL174" s="537"/>
      <c r="MIM174" s="537"/>
      <c r="MIN174" s="537"/>
      <c r="MIO174" s="537"/>
      <c r="MIP174" s="537"/>
      <c r="MIQ174" s="537"/>
      <c r="MIR174" s="537"/>
      <c r="MIS174" s="537"/>
      <c r="MIT174" s="537"/>
      <c r="MIU174" s="537"/>
      <c r="MIV174" s="537"/>
      <c r="MIW174" s="537"/>
      <c r="MIX174" s="537"/>
      <c r="MIY174" s="537"/>
      <c r="MIZ174" s="537"/>
      <c r="MJA174" s="537"/>
      <c r="MJB174" s="537"/>
      <c r="MJC174" s="537"/>
      <c r="MJD174" s="537"/>
      <c r="MJE174" s="537"/>
      <c r="MJF174" s="537"/>
      <c r="MJG174" s="537"/>
      <c r="MJH174" s="537"/>
      <c r="MJI174" s="537"/>
      <c r="MJJ174" s="537"/>
      <c r="MJK174" s="537"/>
      <c r="MJL174" s="537"/>
      <c r="MJM174" s="537"/>
      <c r="MJN174" s="537"/>
      <c r="MJO174" s="537"/>
      <c r="MJP174" s="537"/>
      <c r="MJQ174" s="537"/>
      <c r="MJR174" s="537"/>
      <c r="MJS174" s="537"/>
      <c r="MJT174" s="537"/>
      <c r="MJU174" s="537"/>
      <c r="MJV174" s="537"/>
      <c r="MJW174" s="537"/>
      <c r="MJX174" s="537"/>
      <c r="MJY174" s="537"/>
      <c r="MJZ174" s="537"/>
      <c r="MKA174" s="537"/>
      <c r="MKB174" s="537"/>
      <c r="MKC174" s="537"/>
      <c r="MKD174" s="537"/>
      <c r="MKE174" s="537"/>
      <c r="MKF174" s="537"/>
      <c r="MKG174" s="537"/>
      <c r="MKH174" s="537"/>
      <c r="MKI174" s="537"/>
      <c r="MKJ174" s="537"/>
      <c r="MKK174" s="537"/>
      <c r="MKL174" s="537"/>
      <c r="MKM174" s="537"/>
      <c r="MKN174" s="537"/>
      <c r="MKO174" s="537"/>
      <c r="MKP174" s="537"/>
      <c r="MKQ174" s="537"/>
      <c r="MKR174" s="537"/>
      <c r="MKS174" s="537"/>
      <c r="MKT174" s="537"/>
      <c r="MKU174" s="537"/>
      <c r="MKV174" s="537"/>
      <c r="MKW174" s="537"/>
      <c r="MKX174" s="537"/>
      <c r="MKY174" s="537"/>
      <c r="MKZ174" s="537"/>
      <c r="MLA174" s="537"/>
      <c r="MLB174" s="537"/>
      <c r="MLC174" s="537"/>
      <c r="MLD174" s="537"/>
      <c r="MLE174" s="537"/>
      <c r="MLF174" s="537"/>
      <c r="MLG174" s="537"/>
      <c r="MLH174" s="537"/>
      <c r="MLI174" s="537"/>
      <c r="MLJ174" s="537"/>
      <c r="MLK174" s="537"/>
      <c r="MLL174" s="537"/>
      <c r="MLM174" s="537"/>
      <c r="MLN174" s="537"/>
      <c r="MLO174" s="537"/>
      <c r="MLP174" s="537"/>
      <c r="MLQ174" s="537"/>
      <c r="MLR174" s="537"/>
      <c r="MLS174" s="537"/>
      <c r="MLT174" s="537"/>
      <c r="MLU174" s="537"/>
      <c r="MLV174" s="537"/>
      <c r="MLW174" s="537"/>
      <c r="MLX174" s="537"/>
      <c r="MLY174" s="537"/>
      <c r="MLZ174" s="537"/>
      <c r="MMA174" s="537"/>
      <c r="MMB174" s="537"/>
      <c r="MMC174" s="537"/>
      <c r="MMD174" s="537"/>
      <c r="MME174" s="537"/>
      <c r="MMF174" s="537"/>
      <c r="MMG174" s="537"/>
      <c r="MMH174" s="537"/>
      <c r="MMI174" s="537"/>
      <c r="MMJ174" s="537"/>
      <c r="MMK174" s="537"/>
      <c r="MML174" s="537"/>
      <c r="MMM174" s="537"/>
      <c r="MMN174" s="537"/>
      <c r="MMO174" s="537"/>
      <c r="MMP174" s="537"/>
      <c r="MMQ174" s="537"/>
      <c r="MMR174" s="537"/>
      <c r="MMS174" s="537"/>
      <c r="MMT174" s="537"/>
      <c r="MMU174" s="537"/>
      <c r="MMV174" s="537"/>
      <c r="MMW174" s="537"/>
      <c r="MMX174" s="537"/>
      <c r="MMY174" s="537"/>
      <c r="MMZ174" s="537"/>
      <c r="MNA174" s="537"/>
      <c r="MNB174" s="537"/>
      <c r="MNC174" s="537"/>
      <c r="MND174" s="537"/>
      <c r="MNE174" s="537"/>
      <c r="MNF174" s="537"/>
      <c r="MNG174" s="537"/>
      <c r="MNH174" s="537"/>
      <c r="MNI174" s="537"/>
      <c r="MNJ174" s="537"/>
      <c r="MNK174" s="537"/>
      <c r="MNL174" s="537"/>
      <c r="MNM174" s="537"/>
      <c r="MNN174" s="537"/>
      <c r="MNO174" s="537"/>
      <c r="MNP174" s="537"/>
      <c r="MNQ174" s="537"/>
      <c r="MNR174" s="537"/>
      <c r="MNS174" s="537"/>
      <c r="MNT174" s="537"/>
      <c r="MNU174" s="537"/>
      <c r="MNV174" s="537"/>
      <c r="MNW174" s="537"/>
      <c r="MNX174" s="537"/>
      <c r="MNY174" s="537"/>
      <c r="MNZ174" s="537"/>
      <c r="MOA174" s="537"/>
      <c r="MOB174" s="537"/>
      <c r="MOC174" s="537"/>
      <c r="MOD174" s="537"/>
      <c r="MOE174" s="537"/>
      <c r="MOF174" s="537"/>
      <c r="MOG174" s="537"/>
      <c r="MOH174" s="537"/>
      <c r="MOI174" s="537"/>
      <c r="MOJ174" s="537"/>
      <c r="MOK174" s="537"/>
      <c r="MOL174" s="537"/>
      <c r="MOM174" s="537"/>
      <c r="MON174" s="537"/>
      <c r="MOO174" s="537"/>
      <c r="MOP174" s="537"/>
      <c r="MOQ174" s="537"/>
      <c r="MOR174" s="537"/>
      <c r="MOS174" s="537"/>
      <c r="MOT174" s="537"/>
      <c r="MOU174" s="537"/>
      <c r="MOV174" s="537"/>
      <c r="MOW174" s="537"/>
      <c r="MOX174" s="537"/>
      <c r="MOY174" s="537"/>
      <c r="MOZ174" s="537"/>
      <c r="MPA174" s="537"/>
      <c r="MPB174" s="537"/>
      <c r="MPC174" s="537"/>
      <c r="MPD174" s="537"/>
      <c r="MPE174" s="537"/>
      <c r="MPF174" s="537"/>
      <c r="MPG174" s="537"/>
      <c r="MPH174" s="537"/>
      <c r="MPI174" s="537"/>
      <c r="MPJ174" s="537"/>
      <c r="MPK174" s="537"/>
      <c r="MPL174" s="537"/>
      <c r="MPM174" s="537"/>
      <c r="MPN174" s="537"/>
      <c r="MPO174" s="537"/>
      <c r="MPP174" s="537"/>
      <c r="MPQ174" s="537"/>
      <c r="MPR174" s="537"/>
      <c r="MPS174" s="537"/>
      <c r="MPT174" s="537"/>
      <c r="MPU174" s="537"/>
      <c r="MPV174" s="537"/>
      <c r="MPW174" s="537"/>
      <c r="MPX174" s="537"/>
      <c r="MPY174" s="537"/>
      <c r="MPZ174" s="537"/>
      <c r="MQA174" s="537"/>
      <c r="MQB174" s="537"/>
      <c r="MQC174" s="537"/>
      <c r="MQD174" s="537"/>
      <c r="MQE174" s="537"/>
      <c r="MQF174" s="537"/>
      <c r="MQG174" s="537"/>
      <c r="MQH174" s="537"/>
      <c r="MQI174" s="537"/>
      <c r="MQJ174" s="537"/>
      <c r="MQK174" s="537"/>
      <c r="MQL174" s="537"/>
      <c r="MQM174" s="537"/>
      <c r="MQN174" s="537"/>
      <c r="MQO174" s="537"/>
      <c r="MQP174" s="537"/>
      <c r="MQQ174" s="537"/>
      <c r="MQR174" s="537"/>
      <c r="MQS174" s="537"/>
      <c r="MQT174" s="537"/>
      <c r="MQU174" s="537"/>
      <c r="MQV174" s="537"/>
      <c r="MQW174" s="537"/>
      <c r="MQX174" s="537"/>
      <c r="MQY174" s="537"/>
      <c r="MQZ174" s="537"/>
      <c r="MRA174" s="537"/>
      <c r="MRB174" s="537"/>
      <c r="MRC174" s="537"/>
      <c r="MRD174" s="537"/>
      <c r="MRE174" s="537"/>
      <c r="MRF174" s="537"/>
      <c r="MRG174" s="537"/>
      <c r="MRH174" s="537"/>
      <c r="MRI174" s="537"/>
      <c r="MRJ174" s="537"/>
      <c r="MRK174" s="537"/>
      <c r="MRL174" s="537"/>
      <c r="MRM174" s="537"/>
      <c r="MRN174" s="537"/>
      <c r="MRO174" s="537"/>
      <c r="MRP174" s="537"/>
      <c r="MRQ174" s="537"/>
      <c r="MRR174" s="537"/>
      <c r="MRS174" s="537"/>
      <c r="MRT174" s="537"/>
      <c r="MRU174" s="537"/>
      <c r="MRV174" s="537"/>
      <c r="MRW174" s="537"/>
      <c r="MRX174" s="537"/>
      <c r="MRY174" s="537"/>
      <c r="MRZ174" s="537"/>
      <c r="MSA174" s="537"/>
      <c r="MSB174" s="537"/>
      <c r="MSC174" s="537"/>
      <c r="MSD174" s="537"/>
      <c r="MSE174" s="537"/>
      <c r="MSF174" s="537"/>
      <c r="MSG174" s="537"/>
      <c r="MSH174" s="537"/>
      <c r="MSI174" s="537"/>
      <c r="MSJ174" s="537"/>
      <c r="MSK174" s="537"/>
      <c r="MSL174" s="537"/>
      <c r="MSM174" s="537"/>
      <c r="MSN174" s="537"/>
      <c r="MSO174" s="537"/>
      <c r="MSP174" s="537"/>
      <c r="MSQ174" s="537"/>
      <c r="MSR174" s="537"/>
      <c r="MSS174" s="537"/>
      <c r="MST174" s="537"/>
      <c r="MSU174" s="537"/>
      <c r="MSV174" s="537"/>
      <c r="MSW174" s="537"/>
      <c r="MSX174" s="537"/>
      <c r="MSY174" s="537"/>
      <c r="MSZ174" s="537"/>
      <c r="MTA174" s="537"/>
      <c r="MTB174" s="537"/>
      <c r="MTC174" s="537"/>
      <c r="MTD174" s="537"/>
      <c r="MTE174" s="537"/>
      <c r="MTF174" s="537"/>
      <c r="MTG174" s="537"/>
      <c r="MTH174" s="537"/>
      <c r="MTI174" s="537"/>
      <c r="MTJ174" s="537"/>
      <c r="MTK174" s="537"/>
      <c r="MTL174" s="537"/>
      <c r="MTM174" s="537"/>
      <c r="MTN174" s="537"/>
      <c r="MTO174" s="537"/>
      <c r="MTP174" s="537"/>
      <c r="MTQ174" s="537"/>
      <c r="MTR174" s="537"/>
      <c r="MTS174" s="537"/>
      <c r="MTT174" s="537"/>
      <c r="MTU174" s="537"/>
      <c r="MTV174" s="537"/>
      <c r="MTW174" s="537"/>
      <c r="MTX174" s="537"/>
      <c r="MTY174" s="537"/>
      <c r="MTZ174" s="537"/>
      <c r="MUA174" s="537"/>
      <c r="MUB174" s="537"/>
      <c r="MUC174" s="537"/>
      <c r="MUD174" s="537"/>
      <c r="MUE174" s="537"/>
      <c r="MUF174" s="537"/>
      <c r="MUG174" s="537"/>
      <c r="MUH174" s="537"/>
      <c r="MUI174" s="537"/>
      <c r="MUJ174" s="537"/>
      <c r="MUK174" s="537"/>
      <c r="MUL174" s="537"/>
      <c r="MUM174" s="537"/>
      <c r="MUN174" s="537"/>
      <c r="MUO174" s="537"/>
      <c r="MUP174" s="537"/>
      <c r="MUQ174" s="537"/>
      <c r="MUR174" s="537"/>
      <c r="MUS174" s="537"/>
      <c r="MUT174" s="537"/>
      <c r="MUU174" s="537"/>
      <c r="MUV174" s="537"/>
      <c r="MUW174" s="537"/>
      <c r="MUX174" s="537"/>
      <c r="MUY174" s="537"/>
      <c r="MUZ174" s="537"/>
      <c r="MVA174" s="537"/>
      <c r="MVB174" s="537"/>
      <c r="MVC174" s="537"/>
      <c r="MVD174" s="537"/>
      <c r="MVE174" s="537"/>
      <c r="MVF174" s="537"/>
      <c r="MVG174" s="537"/>
      <c r="MVH174" s="537"/>
      <c r="MVI174" s="537"/>
      <c r="MVJ174" s="537"/>
      <c r="MVK174" s="537"/>
      <c r="MVL174" s="537"/>
      <c r="MVM174" s="537"/>
      <c r="MVN174" s="537"/>
      <c r="MVO174" s="537"/>
      <c r="MVP174" s="537"/>
      <c r="MVQ174" s="537"/>
      <c r="MVR174" s="537"/>
      <c r="MVS174" s="537"/>
      <c r="MVT174" s="537"/>
      <c r="MVU174" s="537"/>
      <c r="MVV174" s="537"/>
      <c r="MVW174" s="537"/>
      <c r="MVX174" s="537"/>
      <c r="MVY174" s="537"/>
      <c r="MVZ174" s="537"/>
      <c r="MWA174" s="537"/>
      <c r="MWB174" s="537"/>
      <c r="MWC174" s="537"/>
      <c r="MWD174" s="537"/>
      <c r="MWE174" s="537"/>
      <c r="MWF174" s="537"/>
      <c r="MWG174" s="537"/>
      <c r="MWH174" s="537"/>
      <c r="MWI174" s="537"/>
      <c r="MWJ174" s="537"/>
      <c r="MWK174" s="537"/>
      <c r="MWL174" s="537"/>
      <c r="MWM174" s="537"/>
      <c r="MWN174" s="537"/>
      <c r="MWO174" s="537"/>
      <c r="MWP174" s="537"/>
      <c r="MWQ174" s="537"/>
      <c r="MWR174" s="537"/>
      <c r="MWS174" s="537"/>
      <c r="MWT174" s="537"/>
      <c r="MWU174" s="537"/>
      <c r="MWV174" s="537"/>
      <c r="MWW174" s="537"/>
      <c r="MWX174" s="537"/>
      <c r="MWY174" s="537"/>
      <c r="MWZ174" s="537"/>
      <c r="MXA174" s="537"/>
      <c r="MXB174" s="537"/>
      <c r="MXC174" s="537"/>
      <c r="MXD174" s="537"/>
      <c r="MXE174" s="537"/>
      <c r="MXF174" s="537"/>
      <c r="MXG174" s="537"/>
      <c r="MXH174" s="537"/>
      <c r="MXI174" s="537"/>
      <c r="MXJ174" s="537"/>
      <c r="MXK174" s="537"/>
      <c r="MXL174" s="537"/>
      <c r="MXM174" s="537"/>
      <c r="MXN174" s="537"/>
      <c r="MXO174" s="537"/>
      <c r="MXP174" s="537"/>
      <c r="MXQ174" s="537"/>
      <c r="MXR174" s="537"/>
      <c r="MXS174" s="537"/>
      <c r="MXT174" s="537"/>
      <c r="MXU174" s="537"/>
      <c r="MXV174" s="537"/>
      <c r="MXW174" s="537"/>
      <c r="MXX174" s="537"/>
      <c r="MXY174" s="537"/>
      <c r="MXZ174" s="537"/>
      <c r="MYA174" s="537"/>
      <c r="MYB174" s="537"/>
      <c r="MYC174" s="537"/>
      <c r="MYD174" s="537"/>
      <c r="MYE174" s="537"/>
      <c r="MYF174" s="537"/>
      <c r="MYG174" s="537"/>
      <c r="MYH174" s="537"/>
      <c r="MYI174" s="537"/>
      <c r="MYJ174" s="537"/>
      <c r="MYK174" s="537"/>
      <c r="MYL174" s="537"/>
      <c r="MYM174" s="537"/>
      <c r="MYN174" s="537"/>
      <c r="MYO174" s="537"/>
      <c r="MYP174" s="537"/>
      <c r="MYQ174" s="537"/>
      <c r="MYR174" s="537"/>
      <c r="MYS174" s="537"/>
      <c r="MYT174" s="537"/>
      <c r="MYU174" s="537"/>
      <c r="MYV174" s="537"/>
      <c r="MYW174" s="537"/>
      <c r="MYX174" s="537"/>
      <c r="MYY174" s="537"/>
      <c r="MYZ174" s="537"/>
      <c r="MZA174" s="537"/>
      <c r="MZB174" s="537"/>
      <c r="MZC174" s="537"/>
      <c r="MZD174" s="537"/>
      <c r="MZE174" s="537"/>
      <c r="MZF174" s="537"/>
      <c r="MZG174" s="537"/>
      <c r="MZH174" s="537"/>
      <c r="MZI174" s="537"/>
      <c r="MZJ174" s="537"/>
      <c r="MZK174" s="537"/>
      <c r="MZL174" s="537"/>
      <c r="MZM174" s="537"/>
      <c r="MZN174" s="537"/>
      <c r="MZO174" s="537"/>
      <c r="MZP174" s="537"/>
      <c r="MZQ174" s="537"/>
      <c r="MZR174" s="537"/>
      <c r="MZS174" s="537"/>
      <c r="MZT174" s="537"/>
      <c r="MZU174" s="537"/>
      <c r="MZV174" s="537"/>
      <c r="MZW174" s="537"/>
      <c r="MZX174" s="537"/>
      <c r="MZY174" s="537"/>
      <c r="MZZ174" s="537"/>
      <c r="NAA174" s="537"/>
      <c r="NAB174" s="537"/>
      <c r="NAC174" s="537"/>
      <c r="NAD174" s="537"/>
      <c r="NAE174" s="537"/>
      <c r="NAF174" s="537"/>
      <c r="NAG174" s="537"/>
      <c r="NAH174" s="537"/>
      <c r="NAI174" s="537"/>
      <c r="NAJ174" s="537"/>
      <c r="NAK174" s="537"/>
      <c r="NAL174" s="537"/>
      <c r="NAM174" s="537"/>
      <c r="NAN174" s="537"/>
      <c r="NAO174" s="537"/>
      <c r="NAP174" s="537"/>
      <c r="NAQ174" s="537"/>
      <c r="NAR174" s="537"/>
      <c r="NAS174" s="537"/>
      <c r="NAT174" s="537"/>
      <c r="NAU174" s="537"/>
      <c r="NAV174" s="537"/>
      <c r="NAW174" s="537"/>
      <c r="NAX174" s="537"/>
      <c r="NAY174" s="537"/>
      <c r="NAZ174" s="537"/>
      <c r="NBA174" s="537"/>
      <c r="NBB174" s="537"/>
      <c r="NBC174" s="537"/>
      <c r="NBD174" s="537"/>
      <c r="NBE174" s="537"/>
      <c r="NBF174" s="537"/>
      <c r="NBG174" s="537"/>
      <c r="NBH174" s="537"/>
      <c r="NBI174" s="537"/>
      <c r="NBJ174" s="537"/>
      <c r="NBK174" s="537"/>
      <c r="NBL174" s="537"/>
      <c r="NBM174" s="537"/>
      <c r="NBN174" s="537"/>
      <c r="NBO174" s="537"/>
      <c r="NBP174" s="537"/>
      <c r="NBQ174" s="537"/>
      <c r="NBR174" s="537"/>
      <c r="NBS174" s="537"/>
      <c r="NBT174" s="537"/>
      <c r="NBU174" s="537"/>
      <c r="NBV174" s="537"/>
      <c r="NBW174" s="537"/>
      <c r="NBX174" s="537"/>
      <c r="NBY174" s="537"/>
      <c r="NBZ174" s="537"/>
      <c r="NCA174" s="537"/>
      <c r="NCB174" s="537"/>
      <c r="NCC174" s="537"/>
      <c r="NCD174" s="537"/>
      <c r="NCE174" s="537"/>
      <c r="NCF174" s="537"/>
      <c r="NCG174" s="537"/>
      <c r="NCH174" s="537"/>
      <c r="NCI174" s="537"/>
      <c r="NCJ174" s="537"/>
      <c r="NCK174" s="537"/>
      <c r="NCL174" s="537"/>
      <c r="NCM174" s="537"/>
      <c r="NCN174" s="537"/>
      <c r="NCO174" s="537"/>
      <c r="NCP174" s="537"/>
      <c r="NCQ174" s="537"/>
      <c r="NCR174" s="537"/>
      <c r="NCS174" s="537"/>
      <c r="NCT174" s="537"/>
      <c r="NCU174" s="537"/>
      <c r="NCV174" s="537"/>
      <c r="NCW174" s="537"/>
      <c r="NCX174" s="537"/>
      <c r="NCY174" s="537"/>
      <c r="NCZ174" s="537"/>
      <c r="NDA174" s="537"/>
      <c r="NDB174" s="537"/>
      <c r="NDC174" s="537"/>
      <c r="NDD174" s="537"/>
      <c r="NDE174" s="537"/>
      <c r="NDF174" s="537"/>
      <c r="NDG174" s="537"/>
      <c r="NDH174" s="537"/>
      <c r="NDI174" s="537"/>
      <c r="NDJ174" s="537"/>
      <c r="NDK174" s="537"/>
      <c r="NDL174" s="537"/>
      <c r="NDM174" s="537"/>
      <c r="NDN174" s="537"/>
      <c r="NDO174" s="537"/>
      <c r="NDP174" s="537"/>
      <c r="NDQ174" s="537"/>
      <c r="NDR174" s="537"/>
      <c r="NDS174" s="537"/>
      <c r="NDT174" s="537"/>
      <c r="NDU174" s="537"/>
      <c r="NDV174" s="537"/>
      <c r="NDW174" s="537"/>
      <c r="NDX174" s="537"/>
      <c r="NDY174" s="537"/>
      <c r="NDZ174" s="537"/>
      <c r="NEA174" s="537"/>
      <c r="NEB174" s="537"/>
      <c r="NEC174" s="537"/>
      <c r="NED174" s="537"/>
      <c r="NEE174" s="537"/>
      <c r="NEF174" s="537"/>
      <c r="NEG174" s="537"/>
      <c r="NEH174" s="537"/>
      <c r="NEI174" s="537"/>
      <c r="NEJ174" s="537"/>
      <c r="NEK174" s="537"/>
      <c r="NEL174" s="537"/>
      <c r="NEM174" s="537"/>
      <c r="NEN174" s="537"/>
      <c r="NEO174" s="537"/>
      <c r="NEP174" s="537"/>
      <c r="NEQ174" s="537"/>
      <c r="NER174" s="537"/>
      <c r="NES174" s="537"/>
      <c r="NET174" s="537"/>
      <c r="NEU174" s="537"/>
      <c r="NEV174" s="537"/>
      <c r="NEW174" s="537"/>
      <c r="NEX174" s="537"/>
      <c r="NEY174" s="537"/>
      <c r="NEZ174" s="537"/>
      <c r="NFA174" s="537"/>
      <c r="NFB174" s="537"/>
      <c r="NFC174" s="537"/>
      <c r="NFD174" s="537"/>
      <c r="NFE174" s="537"/>
      <c r="NFF174" s="537"/>
      <c r="NFG174" s="537"/>
      <c r="NFH174" s="537"/>
      <c r="NFI174" s="537"/>
      <c r="NFJ174" s="537"/>
      <c r="NFK174" s="537"/>
      <c r="NFL174" s="537"/>
      <c r="NFM174" s="537"/>
      <c r="NFN174" s="537"/>
      <c r="NFO174" s="537"/>
      <c r="NFP174" s="537"/>
      <c r="NFQ174" s="537"/>
      <c r="NFR174" s="537"/>
      <c r="NFS174" s="537"/>
      <c r="NFT174" s="537"/>
      <c r="NFU174" s="537"/>
      <c r="NFV174" s="537"/>
      <c r="NFW174" s="537"/>
      <c r="NFX174" s="537"/>
      <c r="NFY174" s="537"/>
      <c r="NFZ174" s="537"/>
      <c r="NGA174" s="537"/>
      <c r="NGB174" s="537"/>
      <c r="NGC174" s="537"/>
      <c r="NGD174" s="537"/>
      <c r="NGE174" s="537"/>
      <c r="NGF174" s="537"/>
      <c r="NGG174" s="537"/>
      <c r="NGH174" s="537"/>
      <c r="NGI174" s="537"/>
      <c r="NGJ174" s="537"/>
      <c r="NGK174" s="537"/>
      <c r="NGL174" s="537"/>
      <c r="NGM174" s="537"/>
      <c r="NGN174" s="537"/>
      <c r="NGO174" s="537"/>
      <c r="NGP174" s="537"/>
      <c r="NGQ174" s="537"/>
      <c r="NGR174" s="537"/>
      <c r="NGS174" s="537"/>
      <c r="NGT174" s="537"/>
      <c r="NGU174" s="537"/>
      <c r="NGV174" s="537"/>
      <c r="NGW174" s="537"/>
      <c r="NGX174" s="537"/>
      <c r="NGY174" s="537"/>
      <c r="NGZ174" s="537"/>
      <c r="NHA174" s="537"/>
      <c r="NHB174" s="537"/>
      <c r="NHC174" s="537"/>
      <c r="NHD174" s="537"/>
      <c r="NHE174" s="537"/>
      <c r="NHF174" s="537"/>
      <c r="NHG174" s="537"/>
      <c r="NHH174" s="537"/>
      <c r="NHI174" s="537"/>
      <c r="NHJ174" s="537"/>
      <c r="NHK174" s="537"/>
      <c r="NHL174" s="537"/>
      <c r="NHM174" s="537"/>
      <c r="NHN174" s="537"/>
      <c r="NHO174" s="537"/>
      <c r="NHP174" s="537"/>
      <c r="NHQ174" s="537"/>
      <c r="NHR174" s="537"/>
      <c r="NHS174" s="537"/>
      <c r="NHT174" s="537"/>
      <c r="NHU174" s="537"/>
      <c r="NHV174" s="537"/>
      <c r="NHW174" s="537"/>
      <c r="NHX174" s="537"/>
      <c r="NHY174" s="537"/>
      <c r="NHZ174" s="537"/>
      <c r="NIA174" s="537"/>
      <c r="NIB174" s="537"/>
      <c r="NIC174" s="537"/>
      <c r="NID174" s="537"/>
      <c r="NIE174" s="537"/>
      <c r="NIF174" s="537"/>
      <c r="NIG174" s="537"/>
      <c r="NIH174" s="537"/>
      <c r="NII174" s="537"/>
      <c r="NIJ174" s="537"/>
      <c r="NIK174" s="537"/>
      <c r="NIL174" s="537"/>
      <c r="NIM174" s="537"/>
      <c r="NIN174" s="537"/>
      <c r="NIO174" s="537"/>
      <c r="NIP174" s="537"/>
      <c r="NIQ174" s="537"/>
      <c r="NIR174" s="537"/>
      <c r="NIS174" s="537"/>
      <c r="NIT174" s="537"/>
      <c r="NIU174" s="537"/>
      <c r="NIV174" s="537"/>
      <c r="NIW174" s="537"/>
      <c r="NIX174" s="537"/>
      <c r="NIY174" s="537"/>
      <c r="NIZ174" s="537"/>
      <c r="NJA174" s="537"/>
      <c r="NJB174" s="537"/>
      <c r="NJC174" s="537"/>
      <c r="NJD174" s="537"/>
      <c r="NJE174" s="537"/>
      <c r="NJF174" s="537"/>
      <c r="NJG174" s="537"/>
      <c r="NJH174" s="537"/>
      <c r="NJI174" s="537"/>
      <c r="NJJ174" s="537"/>
      <c r="NJK174" s="537"/>
      <c r="NJL174" s="537"/>
      <c r="NJM174" s="537"/>
      <c r="NJN174" s="537"/>
      <c r="NJO174" s="537"/>
      <c r="NJP174" s="537"/>
      <c r="NJQ174" s="537"/>
      <c r="NJR174" s="537"/>
      <c r="NJS174" s="537"/>
      <c r="NJT174" s="537"/>
      <c r="NJU174" s="537"/>
      <c r="NJV174" s="537"/>
      <c r="NJW174" s="537"/>
      <c r="NJX174" s="537"/>
      <c r="NJY174" s="537"/>
      <c r="NJZ174" s="537"/>
      <c r="NKA174" s="537"/>
      <c r="NKB174" s="537"/>
      <c r="NKC174" s="537"/>
      <c r="NKD174" s="537"/>
      <c r="NKE174" s="537"/>
      <c r="NKF174" s="537"/>
      <c r="NKG174" s="537"/>
      <c r="NKH174" s="537"/>
      <c r="NKI174" s="537"/>
      <c r="NKJ174" s="537"/>
      <c r="NKK174" s="537"/>
      <c r="NKL174" s="537"/>
      <c r="NKM174" s="537"/>
      <c r="NKN174" s="537"/>
      <c r="NKO174" s="537"/>
      <c r="NKP174" s="537"/>
      <c r="NKQ174" s="537"/>
      <c r="NKR174" s="537"/>
      <c r="NKS174" s="537"/>
      <c r="NKT174" s="537"/>
      <c r="NKU174" s="537"/>
      <c r="NKV174" s="537"/>
      <c r="NKW174" s="537"/>
      <c r="NKX174" s="537"/>
      <c r="NKY174" s="537"/>
      <c r="NKZ174" s="537"/>
      <c r="NLA174" s="537"/>
      <c r="NLB174" s="537"/>
      <c r="NLC174" s="537"/>
      <c r="NLD174" s="537"/>
      <c r="NLE174" s="537"/>
      <c r="NLF174" s="537"/>
      <c r="NLG174" s="537"/>
      <c r="NLH174" s="537"/>
      <c r="NLI174" s="537"/>
      <c r="NLJ174" s="537"/>
      <c r="NLK174" s="537"/>
      <c r="NLL174" s="537"/>
      <c r="NLM174" s="537"/>
      <c r="NLN174" s="537"/>
      <c r="NLO174" s="537"/>
      <c r="NLP174" s="537"/>
      <c r="NLQ174" s="537"/>
      <c r="NLR174" s="537"/>
      <c r="NLS174" s="537"/>
      <c r="NLT174" s="537"/>
      <c r="NLU174" s="537"/>
      <c r="NLV174" s="537"/>
      <c r="NLW174" s="537"/>
      <c r="NLX174" s="537"/>
      <c r="NLY174" s="537"/>
      <c r="NLZ174" s="537"/>
      <c r="NMA174" s="537"/>
      <c r="NMB174" s="537"/>
      <c r="NMC174" s="537"/>
      <c r="NMD174" s="537"/>
      <c r="NME174" s="537"/>
      <c r="NMF174" s="537"/>
      <c r="NMG174" s="537"/>
      <c r="NMH174" s="537"/>
      <c r="NMI174" s="537"/>
      <c r="NMJ174" s="537"/>
      <c r="NMK174" s="537"/>
      <c r="NML174" s="537"/>
      <c r="NMM174" s="537"/>
      <c r="NMN174" s="537"/>
      <c r="NMO174" s="537"/>
      <c r="NMP174" s="537"/>
      <c r="NMQ174" s="537"/>
      <c r="NMR174" s="537"/>
      <c r="NMS174" s="537"/>
      <c r="NMT174" s="537"/>
      <c r="NMU174" s="537"/>
      <c r="NMV174" s="537"/>
      <c r="NMW174" s="537"/>
      <c r="NMX174" s="537"/>
      <c r="NMY174" s="537"/>
      <c r="NMZ174" s="537"/>
      <c r="NNA174" s="537"/>
      <c r="NNB174" s="537"/>
      <c r="NNC174" s="537"/>
      <c r="NND174" s="537"/>
      <c r="NNE174" s="537"/>
      <c r="NNF174" s="537"/>
      <c r="NNG174" s="537"/>
      <c r="NNH174" s="537"/>
      <c r="NNI174" s="537"/>
      <c r="NNJ174" s="537"/>
      <c r="NNK174" s="537"/>
      <c r="NNL174" s="537"/>
      <c r="NNM174" s="537"/>
      <c r="NNN174" s="537"/>
      <c r="NNO174" s="537"/>
      <c r="NNP174" s="537"/>
      <c r="NNQ174" s="537"/>
      <c r="NNR174" s="537"/>
      <c r="NNS174" s="537"/>
      <c r="NNT174" s="537"/>
      <c r="NNU174" s="537"/>
      <c r="NNV174" s="537"/>
      <c r="NNW174" s="537"/>
      <c r="NNX174" s="537"/>
      <c r="NNY174" s="537"/>
      <c r="NNZ174" s="537"/>
      <c r="NOA174" s="537"/>
      <c r="NOB174" s="537"/>
      <c r="NOC174" s="537"/>
      <c r="NOD174" s="537"/>
      <c r="NOE174" s="537"/>
      <c r="NOF174" s="537"/>
      <c r="NOG174" s="537"/>
      <c r="NOH174" s="537"/>
      <c r="NOI174" s="537"/>
      <c r="NOJ174" s="537"/>
      <c r="NOK174" s="537"/>
      <c r="NOL174" s="537"/>
      <c r="NOM174" s="537"/>
      <c r="NON174" s="537"/>
      <c r="NOO174" s="537"/>
      <c r="NOP174" s="537"/>
      <c r="NOQ174" s="537"/>
      <c r="NOR174" s="537"/>
      <c r="NOS174" s="537"/>
      <c r="NOT174" s="537"/>
      <c r="NOU174" s="537"/>
      <c r="NOV174" s="537"/>
      <c r="NOW174" s="537"/>
      <c r="NOX174" s="537"/>
      <c r="NOY174" s="537"/>
      <c r="NOZ174" s="537"/>
      <c r="NPA174" s="537"/>
      <c r="NPB174" s="537"/>
      <c r="NPC174" s="537"/>
      <c r="NPD174" s="537"/>
      <c r="NPE174" s="537"/>
      <c r="NPF174" s="537"/>
      <c r="NPG174" s="537"/>
      <c r="NPH174" s="537"/>
      <c r="NPI174" s="537"/>
      <c r="NPJ174" s="537"/>
      <c r="NPK174" s="537"/>
      <c r="NPL174" s="537"/>
      <c r="NPM174" s="537"/>
      <c r="NPN174" s="537"/>
      <c r="NPO174" s="537"/>
      <c r="NPP174" s="537"/>
      <c r="NPQ174" s="537"/>
      <c r="NPR174" s="537"/>
      <c r="NPS174" s="537"/>
      <c r="NPT174" s="537"/>
      <c r="NPU174" s="537"/>
      <c r="NPV174" s="537"/>
      <c r="NPW174" s="537"/>
      <c r="NPX174" s="537"/>
      <c r="NPY174" s="537"/>
      <c r="NPZ174" s="537"/>
      <c r="NQA174" s="537"/>
      <c r="NQB174" s="537"/>
      <c r="NQC174" s="537"/>
      <c r="NQD174" s="537"/>
      <c r="NQE174" s="537"/>
      <c r="NQF174" s="537"/>
      <c r="NQG174" s="537"/>
      <c r="NQH174" s="537"/>
      <c r="NQI174" s="537"/>
      <c r="NQJ174" s="537"/>
      <c r="NQK174" s="537"/>
      <c r="NQL174" s="537"/>
      <c r="NQM174" s="537"/>
      <c r="NQN174" s="537"/>
      <c r="NQO174" s="537"/>
      <c r="NQP174" s="537"/>
      <c r="NQQ174" s="537"/>
      <c r="NQR174" s="537"/>
      <c r="NQS174" s="537"/>
      <c r="NQT174" s="537"/>
      <c r="NQU174" s="537"/>
      <c r="NQV174" s="537"/>
      <c r="NQW174" s="537"/>
      <c r="NQX174" s="537"/>
      <c r="NQY174" s="537"/>
      <c r="NQZ174" s="537"/>
      <c r="NRA174" s="537"/>
      <c r="NRB174" s="537"/>
      <c r="NRC174" s="537"/>
      <c r="NRD174" s="537"/>
      <c r="NRE174" s="537"/>
      <c r="NRF174" s="537"/>
      <c r="NRG174" s="537"/>
      <c r="NRH174" s="537"/>
      <c r="NRI174" s="537"/>
      <c r="NRJ174" s="537"/>
      <c r="NRK174" s="537"/>
      <c r="NRL174" s="537"/>
      <c r="NRM174" s="537"/>
      <c r="NRN174" s="537"/>
      <c r="NRO174" s="537"/>
      <c r="NRP174" s="537"/>
      <c r="NRQ174" s="537"/>
      <c r="NRR174" s="537"/>
      <c r="NRS174" s="537"/>
      <c r="NRT174" s="537"/>
      <c r="NRU174" s="537"/>
      <c r="NRV174" s="537"/>
      <c r="NRW174" s="537"/>
      <c r="NRX174" s="537"/>
      <c r="NRY174" s="537"/>
      <c r="NRZ174" s="537"/>
      <c r="NSA174" s="537"/>
      <c r="NSB174" s="537"/>
      <c r="NSC174" s="537"/>
      <c r="NSD174" s="537"/>
      <c r="NSE174" s="537"/>
      <c r="NSF174" s="537"/>
      <c r="NSG174" s="537"/>
      <c r="NSH174" s="537"/>
      <c r="NSI174" s="537"/>
      <c r="NSJ174" s="537"/>
      <c r="NSK174" s="537"/>
      <c r="NSL174" s="537"/>
      <c r="NSM174" s="537"/>
      <c r="NSN174" s="537"/>
      <c r="NSO174" s="537"/>
      <c r="NSP174" s="537"/>
      <c r="NSQ174" s="537"/>
      <c r="NSR174" s="537"/>
      <c r="NSS174" s="537"/>
      <c r="NST174" s="537"/>
      <c r="NSU174" s="537"/>
      <c r="NSV174" s="537"/>
      <c r="NSW174" s="537"/>
      <c r="NSX174" s="537"/>
      <c r="NSY174" s="537"/>
      <c r="NSZ174" s="537"/>
      <c r="NTA174" s="537"/>
      <c r="NTB174" s="537"/>
      <c r="NTC174" s="537"/>
      <c r="NTD174" s="537"/>
      <c r="NTE174" s="537"/>
      <c r="NTF174" s="537"/>
      <c r="NTG174" s="537"/>
      <c r="NTH174" s="537"/>
      <c r="NTI174" s="537"/>
      <c r="NTJ174" s="537"/>
      <c r="NTK174" s="537"/>
      <c r="NTL174" s="537"/>
      <c r="NTM174" s="537"/>
      <c r="NTN174" s="537"/>
      <c r="NTO174" s="537"/>
      <c r="NTP174" s="537"/>
      <c r="NTQ174" s="537"/>
      <c r="NTR174" s="537"/>
      <c r="NTS174" s="537"/>
      <c r="NTT174" s="537"/>
      <c r="NTU174" s="537"/>
      <c r="NTV174" s="537"/>
      <c r="NTW174" s="537"/>
      <c r="NTX174" s="537"/>
      <c r="NTY174" s="537"/>
      <c r="NTZ174" s="537"/>
      <c r="NUA174" s="537"/>
      <c r="NUB174" s="537"/>
      <c r="NUC174" s="537"/>
      <c r="NUD174" s="537"/>
      <c r="NUE174" s="537"/>
      <c r="NUF174" s="537"/>
      <c r="NUG174" s="537"/>
      <c r="NUH174" s="537"/>
      <c r="NUI174" s="537"/>
      <c r="NUJ174" s="537"/>
      <c r="NUK174" s="537"/>
      <c r="NUL174" s="537"/>
      <c r="NUM174" s="537"/>
      <c r="NUN174" s="537"/>
      <c r="NUO174" s="537"/>
      <c r="NUP174" s="537"/>
      <c r="NUQ174" s="537"/>
      <c r="NUR174" s="537"/>
      <c r="NUS174" s="537"/>
      <c r="NUT174" s="537"/>
      <c r="NUU174" s="537"/>
      <c r="NUV174" s="537"/>
      <c r="NUW174" s="537"/>
      <c r="NUX174" s="537"/>
      <c r="NUY174" s="537"/>
      <c r="NUZ174" s="537"/>
      <c r="NVA174" s="537"/>
      <c r="NVB174" s="537"/>
      <c r="NVC174" s="537"/>
      <c r="NVD174" s="537"/>
      <c r="NVE174" s="537"/>
      <c r="NVF174" s="537"/>
      <c r="NVG174" s="537"/>
      <c r="NVH174" s="537"/>
      <c r="NVI174" s="537"/>
      <c r="NVJ174" s="537"/>
      <c r="NVK174" s="537"/>
      <c r="NVL174" s="537"/>
      <c r="NVM174" s="537"/>
      <c r="NVN174" s="537"/>
      <c r="NVO174" s="537"/>
      <c r="NVP174" s="537"/>
      <c r="NVQ174" s="537"/>
      <c r="NVR174" s="537"/>
      <c r="NVS174" s="537"/>
      <c r="NVT174" s="537"/>
      <c r="NVU174" s="537"/>
      <c r="NVV174" s="537"/>
      <c r="NVW174" s="537"/>
      <c r="NVX174" s="537"/>
      <c r="NVY174" s="537"/>
      <c r="NVZ174" s="537"/>
      <c r="NWA174" s="537"/>
      <c r="NWB174" s="537"/>
      <c r="NWC174" s="537"/>
      <c r="NWD174" s="537"/>
      <c r="NWE174" s="537"/>
      <c r="NWF174" s="537"/>
      <c r="NWG174" s="537"/>
      <c r="NWH174" s="537"/>
      <c r="NWI174" s="537"/>
      <c r="NWJ174" s="537"/>
      <c r="NWK174" s="537"/>
      <c r="NWL174" s="537"/>
      <c r="NWM174" s="537"/>
      <c r="NWN174" s="537"/>
      <c r="NWO174" s="537"/>
      <c r="NWP174" s="537"/>
      <c r="NWQ174" s="537"/>
      <c r="NWR174" s="537"/>
      <c r="NWS174" s="537"/>
      <c r="NWT174" s="537"/>
      <c r="NWU174" s="537"/>
      <c r="NWV174" s="537"/>
      <c r="NWW174" s="537"/>
      <c r="NWX174" s="537"/>
      <c r="NWY174" s="537"/>
      <c r="NWZ174" s="537"/>
      <c r="NXA174" s="537"/>
      <c r="NXB174" s="537"/>
      <c r="NXC174" s="537"/>
      <c r="NXD174" s="537"/>
      <c r="NXE174" s="537"/>
      <c r="NXF174" s="537"/>
      <c r="NXG174" s="537"/>
      <c r="NXH174" s="537"/>
      <c r="NXI174" s="537"/>
      <c r="NXJ174" s="537"/>
      <c r="NXK174" s="537"/>
      <c r="NXL174" s="537"/>
      <c r="NXM174" s="537"/>
      <c r="NXN174" s="537"/>
      <c r="NXO174" s="537"/>
      <c r="NXP174" s="537"/>
      <c r="NXQ174" s="537"/>
      <c r="NXR174" s="537"/>
      <c r="NXS174" s="537"/>
      <c r="NXT174" s="537"/>
      <c r="NXU174" s="537"/>
      <c r="NXV174" s="537"/>
      <c r="NXW174" s="537"/>
      <c r="NXX174" s="537"/>
      <c r="NXY174" s="537"/>
      <c r="NXZ174" s="537"/>
      <c r="NYA174" s="537"/>
      <c r="NYB174" s="537"/>
      <c r="NYC174" s="537"/>
      <c r="NYD174" s="537"/>
      <c r="NYE174" s="537"/>
      <c r="NYF174" s="537"/>
      <c r="NYG174" s="537"/>
      <c r="NYH174" s="537"/>
      <c r="NYI174" s="537"/>
      <c r="NYJ174" s="537"/>
      <c r="NYK174" s="537"/>
      <c r="NYL174" s="537"/>
      <c r="NYM174" s="537"/>
      <c r="NYN174" s="537"/>
      <c r="NYO174" s="537"/>
      <c r="NYP174" s="537"/>
      <c r="NYQ174" s="537"/>
      <c r="NYR174" s="537"/>
      <c r="NYS174" s="537"/>
      <c r="NYT174" s="537"/>
      <c r="NYU174" s="537"/>
      <c r="NYV174" s="537"/>
      <c r="NYW174" s="537"/>
      <c r="NYX174" s="537"/>
      <c r="NYY174" s="537"/>
      <c r="NYZ174" s="537"/>
      <c r="NZA174" s="537"/>
      <c r="NZB174" s="537"/>
      <c r="NZC174" s="537"/>
      <c r="NZD174" s="537"/>
      <c r="NZE174" s="537"/>
      <c r="NZF174" s="537"/>
      <c r="NZG174" s="537"/>
      <c r="NZH174" s="537"/>
      <c r="NZI174" s="537"/>
      <c r="NZJ174" s="537"/>
      <c r="NZK174" s="537"/>
      <c r="NZL174" s="537"/>
      <c r="NZM174" s="537"/>
      <c r="NZN174" s="537"/>
      <c r="NZO174" s="537"/>
      <c r="NZP174" s="537"/>
      <c r="NZQ174" s="537"/>
      <c r="NZR174" s="537"/>
      <c r="NZS174" s="537"/>
      <c r="NZT174" s="537"/>
      <c r="NZU174" s="537"/>
      <c r="NZV174" s="537"/>
      <c r="NZW174" s="537"/>
      <c r="NZX174" s="537"/>
      <c r="NZY174" s="537"/>
      <c r="NZZ174" s="537"/>
      <c r="OAA174" s="537"/>
      <c r="OAB174" s="537"/>
      <c r="OAC174" s="537"/>
      <c r="OAD174" s="537"/>
      <c r="OAE174" s="537"/>
      <c r="OAF174" s="537"/>
      <c r="OAG174" s="537"/>
      <c r="OAH174" s="537"/>
      <c r="OAI174" s="537"/>
      <c r="OAJ174" s="537"/>
      <c r="OAK174" s="537"/>
      <c r="OAL174" s="537"/>
      <c r="OAM174" s="537"/>
      <c r="OAN174" s="537"/>
      <c r="OAO174" s="537"/>
      <c r="OAP174" s="537"/>
      <c r="OAQ174" s="537"/>
      <c r="OAR174" s="537"/>
      <c r="OAS174" s="537"/>
      <c r="OAT174" s="537"/>
      <c r="OAU174" s="537"/>
      <c r="OAV174" s="537"/>
      <c r="OAW174" s="537"/>
      <c r="OAX174" s="537"/>
      <c r="OAY174" s="537"/>
      <c r="OAZ174" s="537"/>
      <c r="OBA174" s="537"/>
      <c r="OBB174" s="537"/>
      <c r="OBC174" s="537"/>
      <c r="OBD174" s="537"/>
      <c r="OBE174" s="537"/>
      <c r="OBF174" s="537"/>
      <c r="OBG174" s="537"/>
      <c r="OBH174" s="537"/>
      <c r="OBI174" s="537"/>
      <c r="OBJ174" s="537"/>
      <c r="OBK174" s="537"/>
      <c r="OBL174" s="537"/>
      <c r="OBM174" s="537"/>
      <c r="OBN174" s="537"/>
      <c r="OBO174" s="537"/>
      <c r="OBP174" s="537"/>
      <c r="OBQ174" s="537"/>
      <c r="OBR174" s="537"/>
      <c r="OBS174" s="537"/>
      <c r="OBT174" s="537"/>
      <c r="OBU174" s="537"/>
      <c r="OBV174" s="537"/>
      <c r="OBW174" s="537"/>
      <c r="OBX174" s="537"/>
      <c r="OBY174" s="537"/>
      <c r="OBZ174" s="537"/>
      <c r="OCA174" s="537"/>
      <c r="OCB174" s="537"/>
      <c r="OCC174" s="537"/>
      <c r="OCD174" s="537"/>
      <c r="OCE174" s="537"/>
      <c r="OCF174" s="537"/>
      <c r="OCG174" s="537"/>
      <c r="OCH174" s="537"/>
      <c r="OCI174" s="537"/>
      <c r="OCJ174" s="537"/>
      <c r="OCK174" s="537"/>
      <c r="OCL174" s="537"/>
      <c r="OCM174" s="537"/>
      <c r="OCN174" s="537"/>
      <c r="OCO174" s="537"/>
      <c r="OCP174" s="537"/>
      <c r="OCQ174" s="537"/>
      <c r="OCR174" s="537"/>
      <c r="OCS174" s="537"/>
      <c r="OCT174" s="537"/>
      <c r="OCU174" s="537"/>
      <c r="OCV174" s="537"/>
      <c r="OCW174" s="537"/>
      <c r="OCX174" s="537"/>
      <c r="OCY174" s="537"/>
      <c r="OCZ174" s="537"/>
      <c r="ODA174" s="537"/>
      <c r="ODB174" s="537"/>
      <c r="ODC174" s="537"/>
      <c r="ODD174" s="537"/>
      <c r="ODE174" s="537"/>
      <c r="ODF174" s="537"/>
      <c r="ODG174" s="537"/>
      <c r="ODH174" s="537"/>
      <c r="ODI174" s="537"/>
      <c r="ODJ174" s="537"/>
      <c r="ODK174" s="537"/>
      <c r="ODL174" s="537"/>
      <c r="ODM174" s="537"/>
      <c r="ODN174" s="537"/>
      <c r="ODO174" s="537"/>
      <c r="ODP174" s="537"/>
      <c r="ODQ174" s="537"/>
      <c r="ODR174" s="537"/>
      <c r="ODS174" s="537"/>
      <c r="ODT174" s="537"/>
      <c r="ODU174" s="537"/>
      <c r="ODV174" s="537"/>
      <c r="ODW174" s="537"/>
      <c r="ODX174" s="537"/>
      <c r="ODY174" s="537"/>
      <c r="ODZ174" s="537"/>
      <c r="OEA174" s="537"/>
      <c r="OEB174" s="537"/>
      <c r="OEC174" s="537"/>
      <c r="OED174" s="537"/>
      <c r="OEE174" s="537"/>
      <c r="OEF174" s="537"/>
      <c r="OEG174" s="537"/>
      <c r="OEH174" s="537"/>
      <c r="OEI174" s="537"/>
      <c r="OEJ174" s="537"/>
      <c r="OEK174" s="537"/>
      <c r="OEL174" s="537"/>
      <c r="OEM174" s="537"/>
      <c r="OEN174" s="537"/>
      <c r="OEO174" s="537"/>
      <c r="OEP174" s="537"/>
      <c r="OEQ174" s="537"/>
      <c r="OER174" s="537"/>
      <c r="OES174" s="537"/>
      <c r="OET174" s="537"/>
      <c r="OEU174" s="537"/>
      <c r="OEV174" s="537"/>
      <c r="OEW174" s="537"/>
      <c r="OEX174" s="537"/>
      <c r="OEY174" s="537"/>
      <c r="OEZ174" s="537"/>
      <c r="OFA174" s="537"/>
      <c r="OFB174" s="537"/>
      <c r="OFC174" s="537"/>
      <c r="OFD174" s="537"/>
      <c r="OFE174" s="537"/>
      <c r="OFF174" s="537"/>
      <c r="OFG174" s="537"/>
      <c r="OFH174" s="537"/>
      <c r="OFI174" s="537"/>
      <c r="OFJ174" s="537"/>
      <c r="OFK174" s="537"/>
      <c r="OFL174" s="537"/>
      <c r="OFM174" s="537"/>
      <c r="OFN174" s="537"/>
      <c r="OFO174" s="537"/>
      <c r="OFP174" s="537"/>
      <c r="OFQ174" s="537"/>
      <c r="OFR174" s="537"/>
      <c r="OFS174" s="537"/>
      <c r="OFT174" s="537"/>
      <c r="OFU174" s="537"/>
      <c r="OFV174" s="537"/>
      <c r="OFW174" s="537"/>
      <c r="OFX174" s="537"/>
      <c r="OFY174" s="537"/>
      <c r="OFZ174" s="537"/>
      <c r="OGA174" s="537"/>
      <c r="OGB174" s="537"/>
      <c r="OGC174" s="537"/>
      <c r="OGD174" s="537"/>
      <c r="OGE174" s="537"/>
      <c r="OGF174" s="537"/>
      <c r="OGG174" s="537"/>
      <c r="OGH174" s="537"/>
      <c r="OGI174" s="537"/>
      <c r="OGJ174" s="537"/>
      <c r="OGK174" s="537"/>
      <c r="OGL174" s="537"/>
      <c r="OGM174" s="537"/>
      <c r="OGN174" s="537"/>
      <c r="OGO174" s="537"/>
      <c r="OGP174" s="537"/>
      <c r="OGQ174" s="537"/>
      <c r="OGR174" s="537"/>
      <c r="OGS174" s="537"/>
      <c r="OGT174" s="537"/>
      <c r="OGU174" s="537"/>
      <c r="OGV174" s="537"/>
      <c r="OGW174" s="537"/>
      <c r="OGX174" s="537"/>
      <c r="OGY174" s="537"/>
      <c r="OGZ174" s="537"/>
      <c r="OHA174" s="537"/>
      <c r="OHB174" s="537"/>
      <c r="OHC174" s="537"/>
      <c r="OHD174" s="537"/>
      <c r="OHE174" s="537"/>
      <c r="OHF174" s="537"/>
      <c r="OHG174" s="537"/>
      <c r="OHH174" s="537"/>
      <c r="OHI174" s="537"/>
      <c r="OHJ174" s="537"/>
      <c r="OHK174" s="537"/>
      <c r="OHL174" s="537"/>
      <c r="OHM174" s="537"/>
      <c r="OHN174" s="537"/>
      <c r="OHO174" s="537"/>
      <c r="OHP174" s="537"/>
      <c r="OHQ174" s="537"/>
      <c r="OHR174" s="537"/>
      <c r="OHS174" s="537"/>
      <c r="OHT174" s="537"/>
      <c r="OHU174" s="537"/>
      <c r="OHV174" s="537"/>
      <c r="OHW174" s="537"/>
      <c r="OHX174" s="537"/>
      <c r="OHY174" s="537"/>
      <c r="OHZ174" s="537"/>
      <c r="OIA174" s="537"/>
      <c r="OIB174" s="537"/>
      <c r="OIC174" s="537"/>
      <c r="OID174" s="537"/>
      <c r="OIE174" s="537"/>
      <c r="OIF174" s="537"/>
      <c r="OIG174" s="537"/>
      <c r="OIH174" s="537"/>
      <c r="OII174" s="537"/>
      <c r="OIJ174" s="537"/>
      <c r="OIK174" s="537"/>
      <c r="OIL174" s="537"/>
      <c r="OIM174" s="537"/>
      <c r="OIN174" s="537"/>
      <c r="OIO174" s="537"/>
      <c r="OIP174" s="537"/>
      <c r="OIQ174" s="537"/>
      <c r="OIR174" s="537"/>
      <c r="OIS174" s="537"/>
      <c r="OIT174" s="537"/>
      <c r="OIU174" s="537"/>
      <c r="OIV174" s="537"/>
      <c r="OIW174" s="537"/>
      <c r="OIX174" s="537"/>
      <c r="OIY174" s="537"/>
      <c r="OIZ174" s="537"/>
      <c r="OJA174" s="537"/>
      <c r="OJB174" s="537"/>
      <c r="OJC174" s="537"/>
      <c r="OJD174" s="537"/>
      <c r="OJE174" s="537"/>
      <c r="OJF174" s="537"/>
      <c r="OJG174" s="537"/>
      <c r="OJH174" s="537"/>
      <c r="OJI174" s="537"/>
      <c r="OJJ174" s="537"/>
      <c r="OJK174" s="537"/>
      <c r="OJL174" s="537"/>
      <c r="OJM174" s="537"/>
      <c r="OJN174" s="537"/>
      <c r="OJO174" s="537"/>
      <c r="OJP174" s="537"/>
      <c r="OJQ174" s="537"/>
      <c r="OJR174" s="537"/>
      <c r="OJS174" s="537"/>
      <c r="OJT174" s="537"/>
      <c r="OJU174" s="537"/>
      <c r="OJV174" s="537"/>
      <c r="OJW174" s="537"/>
      <c r="OJX174" s="537"/>
      <c r="OJY174" s="537"/>
      <c r="OJZ174" s="537"/>
      <c r="OKA174" s="537"/>
      <c r="OKB174" s="537"/>
      <c r="OKC174" s="537"/>
      <c r="OKD174" s="537"/>
      <c r="OKE174" s="537"/>
      <c r="OKF174" s="537"/>
      <c r="OKG174" s="537"/>
      <c r="OKH174" s="537"/>
      <c r="OKI174" s="537"/>
      <c r="OKJ174" s="537"/>
      <c r="OKK174" s="537"/>
      <c r="OKL174" s="537"/>
      <c r="OKM174" s="537"/>
      <c r="OKN174" s="537"/>
      <c r="OKO174" s="537"/>
      <c r="OKP174" s="537"/>
      <c r="OKQ174" s="537"/>
      <c r="OKR174" s="537"/>
      <c r="OKS174" s="537"/>
      <c r="OKT174" s="537"/>
      <c r="OKU174" s="537"/>
      <c r="OKV174" s="537"/>
      <c r="OKW174" s="537"/>
      <c r="OKX174" s="537"/>
      <c r="OKY174" s="537"/>
      <c r="OKZ174" s="537"/>
      <c r="OLA174" s="537"/>
      <c r="OLB174" s="537"/>
      <c r="OLC174" s="537"/>
      <c r="OLD174" s="537"/>
      <c r="OLE174" s="537"/>
      <c r="OLF174" s="537"/>
      <c r="OLG174" s="537"/>
      <c r="OLH174" s="537"/>
      <c r="OLI174" s="537"/>
      <c r="OLJ174" s="537"/>
      <c r="OLK174" s="537"/>
      <c r="OLL174" s="537"/>
      <c r="OLM174" s="537"/>
      <c r="OLN174" s="537"/>
      <c r="OLO174" s="537"/>
      <c r="OLP174" s="537"/>
      <c r="OLQ174" s="537"/>
      <c r="OLR174" s="537"/>
      <c r="OLS174" s="537"/>
      <c r="OLT174" s="537"/>
      <c r="OLU174" s="537"/>
      <c r="OLV174" s="537"/>
      <c r="OLW174" s="537"/>
      <c r="OLX174" s="537"/>
      <c r="OLY174" s="537"/>
      <c r="OLZ174" s="537"/>
      <c r="OMA174" s="537"/>
      <c r="OMB174" s="537"/>
      <c r="OMC174" s="537"/>
      <c r="OMD174" s="537"/>
      <c r="OME174" s="537"/>
      <c r="OMF174" s="537"/>
      <c r="OMG174" s="537"/>
      <c r="OMH174" s="537"/>
      <c r="OMI174" s="537"/>
      <c r="OMJ174" s="537"/>
      <c r="OMK174" s="537"/>
      <c r="OML174" s="537"/>
      <c r="OMM174" s="537"/>
      <c r="OMN174" s="537"/>
      <c r="OMO174" s="537"/>
      <c r="OMP174" s="537"/>
      <c r="OMQ174" s="537"/>
      <c r="OMR174" s="537"/>
      <c r="OMS174" s="537"/>
      <c r="OMT174" s="537"/>
      <c r="OMU174" s="537"/>
      <c r="OMV174" s="537"/>
      <c r="OMW174" s="537"/>
      <c r="OMX174" s="537"/>
      <c r="OMY174" s="537"/>
      <c r="OMZ174" s="537"/>
      <c r="ONA174" s="537"/>
      <c r="ONB174" s="537"/>
      <c r="ONC174" s="537"/>
      <c r="OND174" s="537"/>
      <c r="ONE174" s="537"/>
      <c r="ONF174" s="537"/>
      <c r="ONG174" s="537"/>
      <c r="ONH174" s="537"/>
      <c r="ONI174" s="537"/>
      <c r="ONJ174" s="537"/>
      <c r="ONK174" s="537"/>
      <c r="ONL174" s="537"/>
      <c r="ONM174" s="537"/>
      <c r="ONN174" s="537"/>
      <c r="ONO174" s="537"/>
      <c r="ONP174" s="537"/>
      <c r="ONQ174" s="537"/>
      <c r="ONR174" s="537"/>
      <c r="ONS174" s="537"/>
      <c r="ONT174" s="537"/>
      <c r="ONU174" s="537"/>
      <c r="ONV174" s="537"/>
      <c r="ONW174" s="537"/>
      <c r="ONX174" s="537"/>
      <c r="ONY174" s="537"/>
      <c r="ONZ174" s="537"/>
      <c r="OOA174" s="537"/>
      <c r="OOB174" s="537"/>
      <c r="OOC174" s="537"/>
      <c r="OOD174" s="537"/>
      <c r="OOE174" s="537"/>
      <c r="OOF174" s="537"/>
      <c r="OOG174" s="537"/>
      <c r="OOH174" s="537"/>
      <c r="OOI174" s="537"/>
      <c r="OOJ174" s="537"/>
      <c r="OOK174" s="537"/>
      <c r="OOL174" s="537"/>
      <c r="OOM174" s="537"/>
      <c r="OON174" s="537"/>
      <c r="OOO174" s="537"/>
      <c r="OOP174" s="537"/>
      <c r="OOQ174" s="537"/>
      <c r="OOR174" s="537"/>
      <c r="OOS174" s="537"/>
      <c r="OOT174" s="537"/>
      <c r="OOU174" s="537"/>
      <c r="OOV174" s="537"/>
      <c r="OOW174" s="537"/>
      <c r="OOX174" s="537"/>
      <c r="OOY174" s="537"/>
      <c r="OOZ174" s="537"/>
      <c r="OPA174" s="537"/>
      <c r="OPB174" s="537"/>
      <c r="OPC174" s="537"/>
      <c r="OPD174" s="537"/>
      <c r="OPE174" s="537"/>
      <c r="OPF174" s="537"/>
      <c r="OPG174" s="537"/>
      <c r="OPH174" s="537"/>
      <c r="OPI174" s="537"/>
      <c r="OPJ174" s="537"/>
      <c r="OPK174" s="537"/>
      <c r="OPL174" s="537"/>
      <c r="OPM174" s="537"/>
      <c r="OPN174" s="537"/>
      <c r="OPO174" s="537"/>
      <c r="OPP174" s="537"/>
      <c r="OPQ174" s="537"/>
      <c r="OPR174" s="537"/>
      <c r="OPS174" s="537"/>
      <c r="OPT174" s="537"/>
      <c r="OPU174" s="537"/>
      <c r="OPV174" s="537"/>
      <c r="OPW174" s="537"/>
      <c r="OPX174" s="537"/>
      <c r="OPY174" s="537"/>
      <c r="OPZ174" s="537"/>
      <c r="OQA174" s="537"/>
      <c r="OQB174" s="537"/>
      <c r="OQC174" s="537"/>
      <c r="OQD174" s="537"/>
      <c r="OQE174" s="537"/>
      <c r="OQF174" s="537"/>
      <c r="OQG174" s="537"/>
      <c r="OQH174" s="537"/>
      <c r="OQI174" s="537"/>
      <c r="OQJ174" s="537"/>
      <c r="OQK174" s="537"/>
      <c r="OQL174" s="537"/>
      <c r="OQM174" s="537"/>
      <c r="OQN174" s="537"/>
      <c r="OQO174" s="537"/>
      <c r="OQP174" s="537"/>
      <c r="OQQ174" s="537"/>
      <c r="OQR174" s="537"/>
      <c r="OQS174" s="537"/>
      <c r="OQT174" s="537"/>
      <c r="OQU174" s="537"/>
      <c r="OQV174" s="537"/>
      <c r="OQW174" s="537"/>
      <c r="OQX174" s="537"/>
      <c r="OQY174" s="537"/>
      <c r="OQZ174" s="537"/>
      <c r="ORA174" s="537"/>
      <c r="ORB174" s="537"/>
      <c r="ORC174" s="537"/>
      <c r="ORD174" s="537"/>
      <c r="ORE174" s="537"/>
      <c r="ORF174" s="537"/>
      <c r="ORG174" s="537"/>
      <c r="ORH174" s="537"/>
      <c r="ORI174" s="537"/>
      <c r="ORJ174" s="537"/>
      <c r="ORK174" s="537"/>
      <c r="ORL174" s="537"/>
      <c r="ORM174" s="537"/>
      <c r="ORN174" s="537"/>
      <c r="ORO174" s="537"/>
      <c r="ORP174" s="537"/>
      <c r="ORQ174" s="537"/>
      <c r="ORR174" s="537"/>
      <c r="ORS174" s="537"/>
      <c r="ORT174" s="537"/>
      <c r="ORU174" s="537"/>
      <c r="ORV174" s="537"/>
      <c r="ORW174" s="537"/>
      <c r="ORX174" s="537"/>
      <c r="ORY174" s="537"/>
      <c r="ORZ174" s="537"/>
      <c r="OSA174" s="537"/>
      <c r="OSB174" s="537"/>
      <c r="OSC174" s="537"/>
      <c r="OSD174" s="537"/>
      <c r="OSE174" s="537"/>
      <c r="OSF174" s="537"/>
      <c r="OSG174" s="537"/>
      <c r="OSH174" s="537"/>
      <c r="OSI174" s="537"/>
      <c r="OSJ174" s="537"/>
      <c r="OSK174" s="537"/>
      <c r="OSL174" s="537"/>
      <c r="OSM174" s="537"/>
      <c r="OSN174" s="537"/>
      <c r="OSO174" s="537"/>
      <c r="OSP174" s="537"/>
      <c r="OSQ174" s="537"/>
      <c r="OSR174" s="537"/>
      <c r="OSS174" s="537"/>
      <c r="OST174" s="537"/>
      <c r="OSU174" s="537"/>
      <c r="OSV174" s="537"/>
      <c r="OSW174" s="537"/>
      <c r="OSX174" s="537"/>
      <c r="OSY174" s="537"/>
      <c r="OSZ174" s="537"/>
      <c r="OTA174" s="537"/>
      <c r="OTB174" s="537"/>
      <c r="OTC174" s="537"/>
      <c r="OTD174" s="537"/>
      <c r="OTE174" s="537"/>
      <c r="OTF174" s="537"/>
      <c r="OTG174" s="537"/>
      <c r="OTH174" s="537"/>
      <c r="OTI174" s="537"/>
      <c r="OTJ174" s="537"/>
      <c r="OTK174" s="537"/>
      <c r="OTL174" s="537"/>
      <c r="OTM174" s="537"/>
      <c r="OTN174" s="537"/>
      <c r="OTO174" s="537"/>
      <c r="OTP174" s="537"/>
      <c r="OTQ174" s="537"/>
      <c r="OTR174" s="537"/>
      <c r="OTS174" s="537"/>
      <c r="OTT174" s="537"/>
      <c r="OTU174" s="537"/>
      <c r="OTV174" s="537"/>
      <c r="OTW174" s="537"/>
      <c r="OTX174" s="537"/>
      <c r="OTY174" s="537"/>
      <c r="OTZ174" s="537"/>
      <c r="OUA174" s="537"/>
      <c r="OUB174" s="537"/>
      <c r="OUC174" s="537"/>
      <c r="OUD174" s="537"/>
      <c r="OUE174" s="537"/>
      <c r="OUF174" s="537"/>
      <c r="OUG174" s="537"/>
      <c r="OUH174" s="537"/>
      <c r="OUI174" s="537"/>
      <c r="OUJ174" s="537"/>
      <c r="OUK174" s="537"/>
      <c r="OUL174" s="537"/>
      <c r="OUM174" s="537"/>
      <c r="OUN174" s="537"/>
      <c r="OUO174" s="537"/>
      <c r="OUP174" s="537"/>
      <c r="OUQ174" s="537"/>
      <c r="OUR174" s="537"/>
      <c r="OUS174" s="537"/>
      <c r="OUT174" s="537"/>
      <c r="OUU174" s="537"/>
      <c r="OUV174" s="537"/>
      <c r="OUW174" s="537"/>
      <c r="OUX174" s="537"/>
      <c r="OUY174" s="537"/>
      <c r="OUZ174" s="537"/>
      <c r="OVA174" s="537"/>
      <c r="OVB174" s="537"/>
      <c r="OVC174" s="537"/>
      <c r="OVD174" s="537"/>
      <c r="OVE174" s="537"/>
      <c r="OVF174" s="537"/>
      <c r="OVG174" s="537"/>
      <c r="OVH174" s="537"/>
      <c r="OVI174" s="537"/>
      <c r="OVJ174" s="537"/>
      <c r="OVK174" s="537"/>
      <c r="OVL174" s="537"/>
      <c r="OVM174" s="537"/>
      <c r="OVN174" s="537"/>
      <c r="OVO174" s="537"/>
      <c r="OVP174" s="537"/>
      <c r="OVQ174" s="537"/>
      <c r="OVR174" s="537"/>
      <c r="OVS174" s="537"/>
      <c r="OVT174" s="537"/>
      <c r="OVU174" s="537"/>
      <c r="OVV174" s="537"/>
      <c r="OVW174" s="537"/>
      <c r="OVX174" s="537"/>
      <c r="OVY174" s="537"/>
      <c r="OVZ174" s="537"/>
      <c r="OWA174" s="537"/>
      <c r="OWB174" s="537"/>
      <c r="OWC174" s="537"/>
      <c r="OWD174" s="537"/>
      <c r="OWE174" s="537"/>
      <c r="OWF174" s="537"/>
      <c r="OWG174" s="537"/>
      <c r="OWH174" s="537"/>
      <c r="OWI174" s="537"/>
      <c r="OWJ174" s="537"/>
      <c r="OWK174" s="537"/>
      <c r="OWL174" s="537"/>
      <c r="OWM174" s="537"/>
      <c r="OWN174" s="537"/>
      <c r="OWO174" s="537"/>
      <c r="OWP174" s="537"/>
      <c r="OWQ174" s="537"/>
      <c r="OWR174" s="537"/>
      <c r="OWS174" s="537"/>
      <c r="OWT174" s="537"/>
      <c r="OWU174" s="537"/>
      <c r="OWV174" s="537"/>
      <c r="OWW174" s="537"/>
      <c r="OWX174" s="537"/>
      <c r="OWY174" s="537"/>
      <c r="OWZ174" s="537"/>
      <c r="OXA174" s="537"/>
      <c r="OXB174" s="537"/>
      <c r="OXC174" s="537"/>
      <c r="OXD174" s="537"/>
      <c r="OXE174" s="537"/>
      <c r="OXF174" s="537"/>
      <c r="OXG174" s="537"/>
      <c r="OXH174" s="537"/>
      <c r="OXI174" s="537"/>
      <c r="OXJ174" s="537"/>
      <c r="OXK174" s="537"/>
      <c r="OXL174" s="537"/>
      <c r="OXM174" s="537"/>
      <c r="OXN174" s="537"/>
      <c r="OXO174" s="537"/>
      <c r="OXP174" s="537"/>
      <c r="OXQ174" s="537"/>
      <c r="OXR174" s="537"/>
      <c r="OXS174" s="537"/>
      <c r="OXT174" s="537"/>
      <c r="OXU174" s="537"/>
      <c r="OXV174" s="537"/>
      <c r="OXW174" s="537"/>
      <c r="OXX174" s="537"/>
      <c r="OXY174" s="537"/>
      <c r="OXZ174" s="537"/>
      <c r="OYA174" s="537"/>
      <c r="OYB174" s="537"/>
      <c r="OYC174" s="537"/>
      <c r="OYD174" s="537"/>
      <c r="OYE174" s="537"/>
      <c r="OYF174" s="537"/>
      <c r="OYG174" s="537"/>
      <c r="OYH174" s="537"/>
      <c r="OYI174" s="537"/>
      <c r="OYJ174" s="537"/>
      <c r="OYK174" s="537"/>
      <c r="OYL174" s="537"/>
      <c r="OYM174" s="537"/>
      <c r="OYN174" s="537"/>
      <c r="OYO174" s="537"/>
      <c r="OYP174" s="537"/>
      <c r="OYQ174" s="537"/>
      <c r="OYR174" s="537"/>
      <c r="OYS174" s="537"/>
      <c r="OYT174" s="537"/>
      <c r="OYU174" s="537"/>
      <c r="OYV174" s="537"/>
      <c r="OYW174" s="537"/>
      <c r="OYX174" s="537"/>
      <c r="OYY174" s="537"/>
      <c r="OYZ174" s="537"/>
      <c r="OZA174" s="537"/>
      <c r="OZB174" s="537"/>
      <c r="OZC174" s="537"/>
      <c r="OZD174" s="537"/>
      <c r="OZE174" s="537"/>
      <c r="OZF174" s="537"/>
      <c r="OZG174" s="537"/>
      <c r="OZH174" s="537"/>
      <c r="OZI174" s="537"/>
      <c r="OZJ174" s="537"/>
      <c r="OZK174" s="537"/>
      <c r="OZL174" s="537"/>
      <c r="OZM174" s="537"/>
      <c r="OZN174" s="537"/>
      <c r="OZO174" s="537"/>
      <c r="OZP174" s="537"/>
      <c r="OZQ174" s="537"/>
      <c r="OZR174" s="537"/>
      <c r="OZS174" s="537"/>
      <c r="OZT174" s="537"/>
      <c r="OZU174" s="537"/>
      <c r="OZV174" s="537"/>
      <c r="OZW174" s="537"/>
      <c r="OZX174" s="537"/>
      <c r="OZY174" s="537"/>
      <c r="OZZ174" s="537"/>
      <c r="PAA174" s="537"/>
      <c r="PAB174" s="537"/>
      <c r="PAC174" s="537"/>
      <c r="PAD174" s="537"/>
      <c r="PAE174" s="537"/>
      <c r="PAF174" s="537"/>
      <c r="PAG174" s="537"/>
      <c r="PAH174" s="537"/>
      <c r="PAI174" s="537"/>
      <c r="PAJ174" s="537"/>
      <c r="PAK174" s="537"/>
      <c r="PAL174" s="537"/>
      <c r="PAM174" s="537"/>
      <c r="PAN174" s="537"/>
      <c r="PAO174" s="537"/>
      <c r="PAP174" s="537"/>
      <c r="PAQ174" s="537"/>
      <c r="PAR174" s="537"/>
      <c r="PAS174" s="537"/>
      <c r="PAT174" s="537"/>
      <c r="PAU174" s="537"/>
      <c r="PAV174" s="537"/>
      <c r="PAW174" s="537"/>
      <c r="PAX174" s="537"/>
      <c r="PAY174" s="537"/>
      <c r="PAZ174" s="537"/>
      <c r="PBA174" s="537"/>
      <c r="PBB174" s="537"/>
      <c r="PBC174" s="537"/>
      <c r="PBD174" s="537"/>
      <c r="PBE174" s="537"/>
      <c r="PBF174" s="537"/>
      <c r="PBG174" s="537"/>
      <c r="PBH174" s="537"/>
      <c r="PBI174" s="537"/>
      <c r="PBJ174" s="537"/>
      <c r="PBK174" s="537"/>
      <c r="PBL174" s="537"/>
      <c r="PBM174" s="537"/>
      <c r="PBN174" s="537"/>
      <c r="PBO174" s="537"/>
      <c r="PBP174" s="537"/>
      <c r="PBQ174" s="537"/>
      <c r="PBR174" s="537"/>
      <c r="PBS174" s="537"/>
      <c r="PBT174" s="537"/>
      <c r="PBU174" s="537"/>
      <c r="PBV174" s="537"/>
      <c r="PBW174" s="537"/>
      <c r="PBX174" s="537"/>
      <c r="PBY174" s="537"/>
      <c r="PBZ174" s="537"/>
      <c r="PCA174" s="537"/>
      <c r="PCB174" s="537"/>
      <c r="PCC174" s="537"/>
      <c r="PCD174" s="537"/>
      <c r="PCE174" s="537"/>
      <c r="PCF174" s="537"/>
      <c r="PCG174" s="537"/>
      <c r="PCH174" s="537"/>
      <c r="PCI174" s="537"/>
      <c r="PCJ174" s="537"/>
      <c r="PCK174" s="537"/>
      <c r="PCL174" s="537"/>
      <c r="PCM174" s="537"/>
      <c r="PCN174" s="537"/>
      <c r="PCO174" s="537"/>
      <c r="PCP174" s="537"/>
      <c r="PCQ174" s="537"/>
      <c r="PCR174" s="537"/>
      <c r="PCS174" s="537"/>
      <c r="PCT174" s="537"/>
      <c r="PCU174" s="537"/>
      <c r="PCV174" s="537"/>
      <c r="PCW174" s="537"/>
      <c r="PCX174" s="537"/>
      <c r="PCY174" s="537"/>
      <c r="PCZ174" s="537"/>
      <c r="PDA174" s="537"/>
      <c r="PDB174" s="537"/>
      <c r="PDC174" s="537"/>
      <c r="PDD174" s="537"/>
      <c r="PDE174" s="537"/>
      <c r="PDF174" s="537"/>
      <c r="PDG174" s="537"/>
      <c r="PDH174" s="537"/>
      <c r="PDI174" s="537"/>
      <c r="PDJ174" s="537"/>
      <c r="PDK174" s="537"/>
      <c r="PDL174" s="537"/>
      <c r="PDM174" s="537"/>
      <c r="PDN174" s="537"/>
      <c r="PDO174" s="537"/>
      <c r="PDP174" s="537"/>
      <c r="PDQ174" s="537"/>
      <c r="PDR174" s="537"/>
      <c r="PDS174" s="537"/>
      <c r="PDT174" s="537"/>
      <c r="PDU174" s="537"/>
      <c r="PDV174" s="537"/>
      <c r="PDW174" s="537"/>
      <c r="PDX174" s="537"/>
      <c r="PDY174" s="537"/>
      <c r="PDZ174" s="537"/>
      <c r="PEA174" s="537"/>
      <c r="PEB174" s="537"/>
      <c r="PEC174" s="537"/>
      <c r="PED174" s="537"/>
      <c r="PEE174" s="537"/>
      <c r="PEF174" s="537"/>
      <c r="PEG174" s="537"/>
      <c r="PEH174" s="537"/>
      <c r="PEI174" s="537"/>
      <c r="PEJ174" s="537"/>
      <c r="PEK174" s="537"/>
      <c r="PEL174" s="537"/>
      <c r="PEM174" s="537"/>
      <c r="PEN174" s="537"/>
      <c r="PEO174" s="537"/>
      <c r="PEP174" s="537"/>
      <c r="PEQ174" s="537"/>
      <c r="PER174" s="537"/>
      <c r="PES174" s="537"/>
      <c r="PET174" s="537"/>
      <c r="PEU174" s="537"/>
      <c r="PEV174" s="537"/>
      <c r="PEW174" s="537"/>
      <c r="PEX174" s="537"/>
      <c r="PEY174" s="537"/>
      <c r="PEZ174" s="537"/>
      <c r="PFA174" s="537"/>
      <c r="PFB174" s="537"/>
      <c r="PFC174" s="537"/>
      <c r="PFD174" s="537"/>
      <c r="PFE174" s="537"/>
      <c r="PFF174" s="537"/>
      <c r="PFG174" s="537"/>
      <c r="PFH174" s="537"/>
      <c r="PFI174" s="537"/>
      <c r="PFJ174" s="537"/>
      <c r="PFK174" s="537"/>
      <c r="PFL174" s="537"/>
      <c r="PFM174" s="537"/>
      <c r="PFN174" s="537"/>
      <c r="PFO174" s="537"/>
      <c r="PFP174" s="537"/>
      <c r="PFQ174" s="537"/>
      <c r="PFR174" s="537"/>
      <c r="PFS174" s="537"/>
      <c r="PFT174" s="537"/>
      <c r="PFU174" s="537"/>
      <c r="PFV174" s="537"/>
      <c r="PFW174" s="537"/>
      <c r="PFX174" s="537"/>
      <c r="PFY174" s="537"/>
      <c r="PFZ174" s="537"/>
      <c r="PGA174" s="537"/>
      <c r="PGB174" s="537"/>
      <c r="PGC174" s="537"/>
      <c r="PGD174" s="537"/>
      <c r="PGE174" s="537"/>
      <c r="PGF174" s="537"/>
      <c r="PGG174" s="537"/>
      <c r="PGH174" s="537"/>
      <c r="PGI174" s="537"/>
      <c r="PGJ174" s="537"/>
      <c r="PGK174" s="537"/>
      <c r="PGL174" s="537"/>
      <c r="PGM174" s="537"/>
      <c r="PGN174" s="537"/>
      <c r="PGO174" s="537"/>
      <c r="PGP174" s="537"/>
      <c r="PGQ174" s="537"/>
      <c r="PGR174" s="537"/>
      <c r="PGS174" s="537"/>
      <c r="PGT174" s="537"/>
      <c r="PGU174" s="537"/>
      <c r="PGV174" s="537"/>
      <c r="PGW174" s="537"/>
      <c r="PGX174" s="537"/>
      <c r="PGY174" s="537"/>
      <c r="PGZ174" s="537"/>
      <c r="PHA174" s="537"/>
      <c r="PHB174" s="537"/>
      <c r="PHC174" s="537"/>
      <c r="PHD174" s="537"/>
      <c r="PHE174" s="537"/>
      <c r="PHF174" s="537"/>
      <c r="PHG174" s="537"/>
      <c r="PHH174" s="537"/>
      <c r="PHI174" s="537"/>
      <c r="PHJ174" s="537"/>
      <c r="PHK174" s="537"/>
      <c r="PHL174" s="537"/>
      <c r="PHM174" s="537"/>
      <c r="PHN174" s="537"/>
      <c r="PHO174" s="537"/>
      <c r="PHP174" s="537"/>
      <c r="PHQ174" s="537"/>
      <c r="PHR174" s="537"/>
      <c r="PHS174" s="537"/>
      <c r="PHT174" s="537"/>
      <c r="PHU174" s="537"/>
      <c r="PHV174" s="537"/>
      <c r="PHW174" s="537"/>
      <c r="PHX174" s="537"/>
      <c r="PHY174" s="537"/>
      <c r="PHZ174" s="537"/>
      <c r="PIA174" s="537"/>
      <c r="PIB174" s="537"/>
      <c r="PIC174" s="537"/>
      <c r="PID174" s="537"/>
      <c r="PIE174" s="537"/>
      <c r="PIF174" s="537"/>
      <c r="PIG174" s="537"/>
      <c r="PIH174" s="537"/>
      <c r="PII174" s="537"/>
      <c r="PIJ174" s="537"/>
      <c r="PIK174" s="537"/>
      <c r="PIL174" s="537"/>
      <c r="PIM174" s="537"/>
      <c r="PIN174" s="537"/>
      <c r="PIO174" s="537"/>
      <c r="PIP174" s="537"/>
      <c r="PIQ174" s="537"/>
      <c r="PIR174" s="537"/>
      <c r="PIS174" s="537"/>
      <c r="PIT174" s="537"/>
      <c r="PIU174" s="537"/>
      <c r="PIV174" s="537"/>
      <c r="PIW174" s="537"/>
      <c r="PIX174" s="537"/>
      <c r="PIY174" s="537"/>
      <c r="PIZ174" s="537"/>
      <c r="PJA174" s="537"/>
      <c r="PJB174" s="537"/>
      <c r="PJC174" s="537"/>
      <c r="PJD174" s="537"/>
      <c r="PJE174" s="537"/>
      <c r="PJF174" s="537"/>
      <c r="PJG174" s="537"/>
      <c r="PJH174" s="537"/>
      <c r="PJI174" s="537"/>
      <c r="PJJ174" s="537"/>
      <c r="PJK174" s="537"/>
      <c r="PJL174" s="537"/>
      <c r="PJM174" s="537"/>
      <c r="PJN174" s="537"/>
      <c r="PJO174" s="537"/>
      <c r="PJP174" s="537"/>
      <c r="PJQ174" s="537"/>
      <c r="PJR174" s="537"/>
      <c r="PJS174" s="537"/>
      <c r="PJT174" s="537"/>
      <c r="PJU174" s="537"/>
      <c r="PJV174" s="537"/>
      <c r="PJW174" s="537"/>
      <c r="PJX174" s="537"/>
      <c r="PJY174" s="537"/>
      <c r="PJZ174" s="537"/>
      <c r="PKA174" s="537"/>
      <c r="PKB174" s="537"/>
      <c r="PKC174" s="537"/>
      <c r="PKD174" s="537"/>
      <c r="PKE174" s="537"/>
      <c r="PKF174" s="537"/>
      <c r="PKG174" s="537"/>
      <c r="PKH174" s="537"/>
      <c r="PKI174" s="537"/>
      <c r="PKJ174" s="537"/>
      <c r="PKK174" s="537"/>
      <c r="PKL174" s="537"/>
      <c r="PKM174" s="537"/>
      <c r="PKN174" s="537"/>
      <c r="PKO174" s="537"/>
      <c r="PKP174" s="537"/>
      <c r="PKQ174" s="537"/>
      <c r="PKR174" s="537"/>
      <c r="PKS174" s="537"/>
      <c r="PKT174" s="537"/>
      <c r="PKU174" s="537"/>
      <c r="PKV174" s="537"/>
      <c r="PKW174" s="537"/>
      <c r="PKX174" s="537"/>
      <c r="PKY174" s="537"/>
      <c r="PKZ174" s="537"/>
      <c r="PLA174" s="537"/>
      <c r="PLB174" s="537"/>
      <c r="PLC174" s="537"/>
      <c r="PLD174" s="537"/>
      <c r="PLE174" s="537"/>
      <c r="PLF174" s="537"/>
      <c r="PLG174" s="537"/>
      <c r="PLH174" s="537"/>
      <c r="PLI174" s="537"/>
      <c r="PLJ174" s="537"/>
      <c r="PLK174" s="537"/>
      <c r="PLL174" s="537"/>
      <c r="PLM174" s="537"/>
      <c r="PLN174" s="537"/>
      <c r="PLO174" s="537"/>
      <c r="PLP174" s="537"/>
      <c r="PLQ174" s="537"/>
      <c r="PLR174" s="537"/>
      <c r="PLS174" s="537"/>
      <c r="PLT174" s="537"/>
      <c r="PLU174" s="537"/>
      <c r="PLV174" s="537"/>
      <c r="PLW174" s="537"/>
      <c r="PLX174" s="537"/>
      <c r="PLY174" s="537"/>
      <c r="PLZ174" s="537"/>
      <c r="PMA174" s="537"/>
      <c r="PMB174" s="537"/>
      <c r="PMC174" s="537"/>
      <c r="PMD174" s="537"/>
      <c r="PME174" s="537"/>
      <c r="PMF174" s="537"/>
      <c r="PMG174" s="537"/>
      <c r="PMH174" s="537"/>
      <c r="PMI174" s="537"/>
      <c r="PMJ174" s="537"/>
      <c r="PMK174" s="537"/>
      <c r="PML174" s="537"/>
      <c r="PMM174" s="537"/>
      <c r="PMN174" s="537"/>
      <c r="PMO174" s="537"/>
      <c r="PMP174" s="537"/>
      <c r="PMQ174" s="537"/>
      <c r="PMR174" s="537"/>
      <c r="PMS174" s="537"/>
      <c r="PMT174" s="537"/>
      <c r="PMU174" s="537"/>
      <c r="PMV174" s="537"/>
      <c r="PMW174" s="537"/>
      <c r="PMX174" s="537"/>
      <c r="PMY174" s="537"/>
      <c r="PMZ174" s="537"/>
      <c r="PNA174" s="537"/>
      <c r="PNB174" s="537"/>
      <c r="PNC174" s="537"/>
      <c r="PND174" s="537"/>
      <c r="PNE174" s="537"/>
      <c r="PNF174" s="537"/>
      <c r="PNG174" s="537"/>
      <c r="PNH174" s="537"/>
      <c r="PNI174" s="537"/>
      <c r="PNJ174" s="537"/>
      <c r="PNK174" s="537"/>
      <c r="PNL174" s="537"/>
      <c r="PNM174" s="537"/>
      <c r="PNN174" s="537"/>
      <c r="PNO174" s="537"/>
      <c r="PNP174" s="537"/>
      <c r="PNQ174" s="537"/>
      <c r="PNR174" s="537"/>
      <c r="PNS174" s="537"/>
      <c r="PNT174" s="537"/>
      <c r="PNU174" s="537"/>
      <c r="PNV174" s="537"/>
      <c r="PNW174" s="537"/>
      <c r="PNX174" s="537"/>
      <c r="PNY174" s="537"/>
      <c r="PNZ174" s="537"/>
      <c r="POA174" s="537"/>
      <c r="POB174" s="537"/>
      <c r="POC174" s="537"/>
      <c r="POD174" s="537"/>
      <c r="POE174" s="537"/>
      <c r="POF174" s="537"/>
      <c r="POG174" s="537"/>
      <c r="POH174" s="537"/>
      <c r="POI174" s="537"/>
      <c r="POJ174" s="537"/>
      <c r="POK174" s="537"/>
      <c r="POL174" s="537"/>
      <c r="POM174" s="537"/>
      <c r="PON174" s="537"/>
      <c r="POO174" s="537"/>
      <c r="POP174" s="537"/>
      <c r="POQ174" s="537"/>
      <c r="POR174" s="537"/>
      <c r="POS174" s="537"/>
      <c r="POT174" s="537"/>
      <c r="POU174" s="537"/>
      <c r="POV174" s="537"/>
      <c r="POW174" s="537"/>
      <c r="POX174" s="537"/>
      <c r="POY174" s="537"/>
      <c r="POZ174" s="537"/>
      <c r="PPA174" s="537"/>
      <c r="PPB174" s="537"/>
      <c r="PPC174" s="537"/>
      <c r="PPD174" s="537"/>
      <c r="PPE174" s="537"/>
      <c r="PPF174" s="537"/>
      <c r="PPG174" s="537"/>
      <c r="PPH174" s="537"/>
      <c r="PPI174" s="537"/>
      <c r="PPJ174" s="537"/>
      <c r="PPK174" s="537"/>
      <c r="PPL174" s="537"/>
      <c r="PPM174" s="537"/>
      <c r="PPN174" s="537"/>
      <c r="PPO174" s="537"/>
      <c r="PPP174" s="537"/>
      <c r="PPQ174" s="537"/>
      <c r="PPR174" s="537"/>
      <c r="PPS174" s="537"/>
      <c r="PPT174" s="537"/>
      <c r="PPU174" s="537"/>
      <c r="PPV174" s="537"/>
      <c r="PPW174" s="537"/>
      <c r="PPX174" s="537"/>
      <c r="PPY174" s="537"/>
      <c r="PPZ174" s="537"/>
      <c r="PQA174" s="537"/>
      <c r="PQB174" s="537"/>
      <c r="PQC174" s="537"/>
      <c r="PQD174" s="537"/>
      <c r="PQE174" s="537"/>
      <c r="PQF174" s="537"/>
      <c r="PQG174" s="537"/>
      <c r="PQH174" s="537"/>
      <c r="PQI174" s="537"/>
      <c r="PQJ174" s="537"/>
      <c r="PQK174" s="537"/>
      <c r="PQL174" s="537"/>
      <c r="PQM174" s="537"/>
      <c r="PQN174" s="537"/>
      <c r="PQO174" s="537"/>
      <c r="PQP174" s="537"/>
      <c r="PQQ174" s="537"/>
      <c r="PQR174" s="537"/>
      <c r="PQS174" s="537"/>
      <c r="PQT174" s="537"/>
      <c r="PQU174" s="537"/>
      <c r="PQV174" s="537"/>
      <c r="PQW174" s="537"/>
      <c r="PQX174" s="537"/>
      <c r="PQY174" s="537"/>
      <c r="PQZ174" s="537"/>
      <c r="PRA174" s="537"/>
      <c r="PRB174" s="537"/>
      <c r="PRC174" s="537"/>
      <c r="PRD174" s="537"/>
      <c r="PRE174" s="537"/>
      <c r="PRF174" s="537"/>
      <c r="PRG174" s="537"/>
      <c r="PRH174" s="537"/>
      <c r="PRI174" s="537"/>
      <c r="PRJ174" s="537"/>
      <c r="PRK174" s="537"/>
      <c r="PRL174" s="537"/>
      <c r="PRM174" s="537"/>
      <c r="PRN174" s="537"/>
      <c r="PRO174" s="537"/>
      <c r="PRP174" s="537"/>
      <c r="PRQ174" s="537"/>
      <c r="PRR174" s="537"/>
      <c r="PRS174" s="537"/>
      <c r="PRT174" s="537"/>
      <c r="PRU174" s="537"/>
      <c r="PRV174" s="537"/>
      <c r="PRW174" s="537"/>
      <c r="PRX174" s="537"/>
      <c r="PRY174" s="537"/>
      <c r="PRZ174" s="537"/>
      <c r="PSA174" s="537"/>
      <c r="PSB174" s="537"/>
      <c r="PSC174" s="537"/>
      <c r="PSD174" s="537"/>
      <c r="PSE174" s="537"/>
      <c r="PSF174" s="537"/>
      <c r="PSG174" s="537"/>
      <c r="PSH174" s="537"/>
      <c r="PSI174" s="537"/>
      <c r="PSJ174" s="537"/>
      <c r="PSK174" s="537"/>
      <c r="PSL174" s="537"/>
      <c r="PSM174" s="537"/>
      <c r="PSN174" s="537"/>
      <c r="PSO174" s="537"/>
      <c r="PSP174" s="537"/>
      <c r="PSQ174" s="537"/>
      <c r="PSR174" s="537"/>
      <c r="PSS174" s="537"/>
      <c r="PST174" s="537"/>
      <c r="PSU174" s="537"/>
      <c r="PSV174" s="537"/>
      <c r="PSW174" s="537"/>
      <c r="PSX174" s="537"/>
      <c r="PSY174" s="537"/>
      <c r="PSZ174" s="537"/>
      <c r="PTA174" s="537"/>
      <c r="PTB174" s="537"/>
      <c r="PTC174" s="537"/>
      <c r="PTD174" s="537"/>
      <c r="PTE174" s="537"/>
      <c r="PTF174" s="537"/>
      <c r="PTG174" s="537"/>
      <c r="PTH174" s="537"/>
      <c r="PTI174" s="537"/>
      <c r="PTJ174" s="537"/>
      <c r="PTK174" s="537"/>
      <c r="PTL174" s="537"/>
      <c r="PTM174" s="537"/>
      <c r="PTN174" s="537"/>
      <c r="PTO174" s="537"/>
      <c r="PTP174" s="537"/>
      <c r="PTQ174" s="537"/>
      <c r="PTR174" s="537"/>
      <c r="PTS174" s="537"/>
      <c r="PTT174" s="537"/>
      <c r="PTU174" s="537"/>
      <c r="PTV174" s="537"/>
      <c r="PTW174" s="537"/>
      <c r="PTX174" s="537"/>
      <c r="PTY174" s="537"/>
      <c r="PTZ174" s="537"/>
      <c r="PUA174" s="537"/>
      <c r="PUB174" s="537"/>
      <c r="PUC174" s="537"/>
      <c r="PUD174" s="537"/>
      <c r="PUE174" s="537"/>
      <c r="PUF174" s="537"/>
      <c r="PUG174" s="537"/>
      <c r="PUH174" s="537"/>
      <c r="PUI174" s="537"/>
      <c r="PUJ174" s="537"/>
      <c r="PUK174" s="537"/>
      <c r="PUL174" s="537"/>
      <c r="PUM174" s="537"/>
      <c r="PUN174" s="537"/>
      <c r="PUO174" s="537"/>
      <c r="PUP174" s="537"/>
      <c r="PUQ174" s="537"/>
      <c r="PUR174" s="537"/>
      <c r="PUS174" s="537"/>
      <c r="PUT174" s="537"/>
      <c r="PUU174" s="537"/>
      <c r="PUV174" s="537"/>
      <c r="PUW174" s="537"/>
      <c r="PUX174" s="537"/>
      <c r="PUY174" s="537"/>
      <c r="PUZ174" s="537"/>
      <c r="PVA174" s="537"/>
      <c r="PVB174" s="537"/>
      <c r="PVC174" s="537"/>
      <c r="PVD174" s="537"/>
      <c r="PVE174" s="537"/>
      <c r="PVF174" s="537"/>
      <c r="PVG174" s="537"/>
      <c r="PVH174" s="537"/>
      <c r="PVI174" s="537"/>
      <c r="PVJ174" s="537"/>
      <c r="PVK174" s="537"/>
      <c r="PVL174" s="537"/>
      <c r="PVM174" s="537"/>
      <c r="PVN174" s="537"/>
      <c r="PVO174" s="537"/>
      <c r="PVP174" s="537"/>
      <c r="PVQ174" s="537"/>
      <c r="PVR174" s="537"/>
      <c r="PVS174" s="537"/>
      <c r="PVT174" s="537"/>
      <c r="PVU174" s="537"/>
      <c r="PVV174" s="537"/>
      <c r="PVW174" s="537"/>
      <c r="PVX174" s="537"/>
      <c r="PVY174" s="537"/>
      <c r="PVZ174" s="537"/>
      <c r="PWA174" s="537"/>
      <c r="PWB174" s="537"/>
      <c r="PWC174" s="537"/>
      <c r="PWD174" s="537"/>
      <c r="PWE174" s="537"/>
      <c r="PWF174" s="537"/>
      <c r="PWG174" s="537"/>
      <c r="PWH174" s="537"/>
      <c r="PWI174" s="537"/>
      <c r="PWJ174" s="537"/>
      <c r="PWK174" s="537"/>
      <c r="PWL174" s="537"/>
      <c r="PWM174" s="537"/>
      <c r="PWN174" s="537"/>
      <c r="PWO174" s="537"/>
      <c r="PWP174" s="537"/>
      <c r="PWQ174" s="537"/>
      <c r="PWR174" s="537"/>
      <c r="PWS174" s="537"/>
      <c r="PWT174" s="537"/>
      <c r="PWU174" s="537"/>
      <c r="PWV174" s="537"/>
      <c r="PWW174" s="537"/>
      <c r="PWX174" s="537"/>
      <c r="PWY174" s="537"/>
      <c r="PWZ174" s="537"/>
      <c r="PXA174" s="537"/>
      <c r="PXB174" s="537"/>
      <c r="PXC174" s="537"/>
      <c r="PXD174" s="537"/>
      <c r="PXE174" s="537"/>
      <c r="PXF174" s="537"/>
      <c r="PXG174" s="537"/>
      <c r="PXH174" s="537"/>
      <c r="PXI174" s="537"/>
      <c r="PXJ174" s="537"/>
      <c r="PXK174" s="537"/>
      <c r="PXL174" s="537"/>
      <c r="PXM174" s="537"/>
      <c r="PXN174" s="537"/>
      <c r="PXO174" s="537"/>
      <c r="PXP174" s="537"/>
      <c r="PXQ174" s="537"/>
      <c r="PXR174" s="537"/>
      <c r="PXS174" s="537"/>
      <c r="PXT174" s="537"/>
      <c r="PXU174" s="537"/>
      <c r="PXV174" s="537"/>
      <c r="PXW174" s="537"/>
      <c r="PXX174" s="537"/>
      <c r="PXY174" s="537"/>
      <c r="PXZ174" s="537"/>
      <c r="PYA174" s="537"/>
      <c r="PYB174" s="537"/>
      <c r="PYC174" s="537"/>
      <c r="PYD174" s="537"/>
      <c r="PYE174" s="537"/>
      <c r="PYF174" s="537"/>
      <c r="PYG174" s="537"/>
      <c r="PYH174" s="537"/>
      <c r="PYI174" s="537"/>
      <c r="PYJ174" s="537"/>
      <c r="PYK174" s="537"/>
      <c r="PYL174" s="537"/>
      <c r="PYM174" s="537"/>
      <c r="PYN174" s="537"/>
      <c r="PYO174" s="537"/>
      <c r="PYP174" s="537"/>
      <c r="PYQ174" s="537"/>
      <c r="PYR174" s="537"/>
      <c r="PYS174" s="537"/>
      <c r="PYT174" s="537"/>
      <c r="PYU174" s="537"/>
      <c r="PYV174" s="537"/>
      <c r="PYW174" s="537"/>
      <c r="PYX174" s="537"/>
      <c r="PYY174" s="537"/>
      <c r="PYZ174" s="537"/>
      <c r="PZA174" s="537"/>
      <c r="PZB174" s="537"/>
      <c r="PZC174" s="537"/>
      <c r="PZD174" s="537"/>
      <c r="PZE174" s="537"/>
      <c r="PZF174" s="537"/>
      <c r="PZG174" s="537"/>
      <c r="PZH174" s="537"/>
      <c r="PZI174" s="537"/>
      <c r="PZJ174" s="537"/>
      <c r="PZK174" s="537"/>
      <c r="PZL174" s="537"/>
      <c r="PZM174" s="537"/>
      <c r="PZN174" s="537"/>
      <c r="PZO174" s="537"/>
      <c r="PZP174" s="537"/>
      <c r="PZQ174" s="537"/>
      <c r="PZR174" s="537"/>
      <c r="PZS174" s="537"/>
      <c r="PZT174" s="537"/>
      <c r="PZU174" s="537"/>
      <c r="PZV174" s="537"/>
      <c r="PZW174" s="537"/>
      <c r="PZX174" s="537"/>
      <c r="PZY174" s="537"/>
      <c r="PZZ174" s="537"/>
      <c r="QAA174" s="537"/>
      <c r="QAB174" s="537"/>
      <c r="QAC174" s="537"/>
      <c r="QAD174" s="537"/>
      <c r="QAE174" s="537"/>
      <c r="QAF174" s="537"/>
      <c r="QAG174" s="537"/>
      <c r="QAH174" s="537"/>
      <c r="QAI174" s="537"/>
      <c r="QAJ174" s="537"/>
      <c r="QAK174" s="537"/>
      <c r="QAL174" s="537"/>
      <c r="QAM174" s="537"/>
      <c r="QAN174" s="537"/>
      <c r="QAO174" s="537"/>
      <c r="QAP174" s="537"/>
      <c r="QAQ174" s="537"/>
      <c r="QAR174" s="537"/>
      <c r="QAS174" s="537"/>
      <c r="QAT174" s="537"/>
      <c r="QAU174" s="537"/>
      <c r="QAV174" s="537"/>
      <c r="QAW174" s="537"/>
      <c r="QAX174" s="537"/>
      <c r="QAY174" s="537"/>
      <c r="QAZ174" s="537"/>
      <c r="QBA174" s="537"/>
      <c r="QBB174" s="537"/>
      <c r="QBC174" s="537"/>
      <c r="QBD174" s="537"/>
      <c r="QBE174" s="537"/>
      <c r="QBF174" s="537"/>
      <c r="QBG174" s="537"/>
      <c r="QBH174" s="537"/>
      <c r="QBI174" s="537"/>
      <c r="QBJ174" s="537"/>
      <c r="QBK174" s="537"/>
      <c r="QBL174" s="537"/>
      <c r="QBM174" s="537"/>
      <c r="QBN174" s="537"/>
      <c r="QBO174" s="537"/>
      <c r="QBP174" s="537"/>
      <c r="QBQ174" s="537"/>
      <c r="QBR174" s="537"/>
      <c r="QBS174" s="537"/>
      <c r="QBT174" s="537"/>
      <c r="QBU174" s="537"/>
      <c r="QBV174" s="537"/>
      <c r="QBW174" s="537"/>
      <c r="QBX174" s="537"/>
      <c r="QBY174" s="537"/>
      <c r="QBZ174" s="537"/>
      <c r="QCA174" s="537"/>
      <c r="QCB174" s="537"/>
      <c r="QCC174" s="537"/>
      <c r="QCD174" s="537"/>
      <c r="QCE174" s="537"/>
      <c r="QCF174" s="537"/>
      <c r="QCG174" s="537"/>
      <c r="QCH174" s="537"/>
      <c r="QCI174" s="537"/>
      <c r="QCJ174" s="537"/>
      <c r="QCK174" s="537"/>
      <c r="QCL174" s="537"/>
      <c r="QCM174" s="537"/>
      <c r="QCN174" s="537"/>
      <c r="QCO174" s="537"/>
      <c r="QCP174" s="537"/>
      <c r="QCQ174" s="537"/>
      <c r="QCR174" s="537"/>
      <c r="QCS174" s="537"/>
      <c r="QCT174" s="537"/>
      <c r="QCU174" s="537"/>
      <c r="QCV174" s="537"/>
      <c r="QCW174" s="537"/>
      <c r="QCX174" s="537"/>
      <c r="QCY174" s="537"/>
      <c r="QCZ174" s="537"/>
      <c r="QDA174" s="537"/>
      <c r="QDB174" s="537"/>
      <c r="QDC174" s="537"/>
      <c r="QDD174" s="537"/>
      <c r="QDE174" s="537"/>
      <c r="QDF174" s="537"/>
      <c r="QDG174" s="537"/>
      <c r="QDH174" s="537"/>
      <c r="QDI174" s="537"/>
      <c r="QDJ174" s="537"/>
      <c r="QDK174" s="537"/>
      <c r="QDL174" s="537"/>
      <c r="QDM174" s="537"/>
      <c r="QDN174" s="537"/>
      <c r="QDO174" s="537"/>
      <c r="QDP174" s="537"/>
      <c r="QDQ174" s="537"/>
      <c r="QDR174" s="537"/>
      <c r="QDS174" s="537"/>
      <c r="QDT174" s="537"/>
      <c r="QDU174" s="537"/>
      <c r="QDV174" s="537"/>
      <c r="QDW174" s="537"/>
      <c r="QDX174" s="537"/>
      <c r="QDY174" s="537"/>
      <c r="QDZ174" s="537"/>
      <c r="QEA174" s="537"/>
      <c r="QEB174" s="537"/>
      <c r="QEC174" s="537"/>
      <c r="QED174" s="537"/>
      <c r="QEE174" s="537"/>
      <c r="QEF174" s="537"/>
      <c r="QEG174" s="537"/>
      <c r="QEH174" s="537"/>
      <c r="QEI174" s="537"/>
      <c r="QEJ174" s="537"/>
      <c r="QEK174" s="537"/>
      <c r="QEL174" s="537"/>
      <c r="QEM174" s="537"/>
      <c r="QEN174" s="537"/>
      <c r="QEO174" s="537"/>
      <c r="QEP174" s="537"/>
      <c r="QEQ174" s="537"/>
      <c r="QER174" s="537"/>
      <c r="QES174" s="537"/>
      <c r="QET174" s="537"/>
      <c r="QEU174" s="537"/>
      <c r="QEV174" s="537"/>
      <c r="QEW174" s="537"/>
      <c r="QEX174" s="537"/>
      <c r="QEY174" s="537"/>
      <c r="QEZ174" s="537"/>
      <c r="QFA174" s="537"/>
      <c r="QFB174" s="537"/>
      <c r="QFC174" s="537"/>
      <c r="QFD174" s="537"/>
      <c r="QFE174" s="537"/>
      <c r="QFF174" s="537"/>
      <c r="QFG174" s="537"/>
      <c r="QFH174" s="537"/>
      <c r="QFI174" s="537"/>
      <c r="QFJ174" s="537"/>
      <c r="QFK174" s="537"/>
      <c r="QFL174" s="537"/>
      <c r="QFM174" s="537"/>
      <c r="QFN174" s="537"/>
      <c r="QFO174" s="537"/>
      <c r="QFP174" s="537"/>
      <c r="QFQ174" s="537"/>
      <c r="QFR174" s="537"/>
      <c r="QFS174" s="537"/>
      <c r="QFT174" s="537"/>
      <c r="QFU174" s="537"/>
      <c r="QFV174" s="537"/>
      <c r="QFW174" s="537"/>
      <c r="QFX174" s="537"/>
      <c r="QFY174" s="537"/>
      <c r="QFZ174" s="537"/>
      <c r="QGA174" s="537"/>
      <c r="QGB174" s="537"/>
      <c r="QGC174" s="537"/>
      <c r="QGD174" s="537"/>
      <c r="QGE174" s="537"/>
      <c r="QGF174" s="537"/>
      <c r="QGG174" s="537"/>
      <c r="QGH174" s="537"/>
      <c r="QGI174" s="537"/>
      <c r="QGJ174" s="537"/>
      <c r="QGK174" s="537"/>
      <c r="QGL174" s="537"/>
      <c r="QGM174" s="537"/>
      <c r="QGN174" s="537"/>
      <c r="QGO174" s="537"/>
      <c r="QGP174" s="537"/>
      <c r="QGQ174" s="537"/>
      <c r="QGR174" s="537"/>
      <c r="QGS174" s="537"/>
      <c r="QGT174" s="537"/>
      <c r="QGU174" s="537"/>
      <c r="QGV174" s="537"/>
      <c r="QGW174" s="537"/>
      <c r="QGX174" s="537"/>
      <c r="QGY174" s="537"/>
      <c r="QGZ174" s="537"/>
      <c r="QHA174" s="537"/>
      <c r="QHB174" s="537"/>
      <c r="QHC174" s="537"/>
      <c r="QHD174" s="537"/>
      <c r="QHE174" s="537"/>
      <c r="QHF174" s="537"/>
      <c r="QHG174" s="537"/>
      <c r="QHH174" s="537"/>
      <c r="QHI174" s="537"/>
      <c r="QHJ174" s="537"/>
      <c r="QHK174" s="537"/>
      <c r="QHL174" s="537"/>
      <c r="QHM174" s="537"/>
      <c r="QHN174" s="537"/>
      <c r="QHO174" s="537"/>
      <c r="QHP174" s="537"/>
      <c r="QHQ174" s="537"/>
      <c r="QHR174" s="537"/>
      <c r="QHS174" s="537"/>
      <c r="QHT174" s="537"/>
      <c r="QHU174" s="537"/>
      <c r="QHV174" s="537"/>
      <c r="QHW174" s="537"/>
      <c r="QHX174" s="537"/>
      <c r="QHY174" s="537"/>
      <c r="QHZ174" s="537"/>
      <c r="QIA174" s="537"/>
      <c r="QIB174" s="537"/>
      <c r="QIC174" s="537"/>
      <c r="QID174" s="537"/>
      <c r="QIE174" s="537"/>
      <c r="QIF174" s="537"/>
      <c r="QIG174" s="537"/>
      <c r="QIH174" s="537"/>
      <c r="QII174" s="537"/>
      <c r="QIJ174" s="537"/>
      <c r="QIK174" s="537"/>
      <c r="QIL174" s="537"/>
      <c r="QIM174" s="537"/>
      <c r="QIN174" s="537"/>
      <c r="QIO174" s="537"/>
      <c r="QIP174" s="537"/>
      <c r="QIQ174" s="537"/>
      <c r="QIR174" s="537"/>
      <c r="QIS174" s="537"/>
      <c r="QIT174" s="537"/>
      <c r="QIU174" s="537"/>
      <c r="QIV174" s="537"/>
      <c r="QIW174" s="537"/>
      <c r="QIX174" s="537"/>
      <c r="QIY174" s="537"/>
      <c r="QIZ174" s="537"/>
      <c r="QJA174" s="537"/>
      <c r="QJB174" s="537"/>
      <c r="QJC174" s="537"/>
      <c r="QJD174" s="537"/>
      <c r="QJE174" s="537"/>
      <c r="QJF174" s="537"/>
      <c r="QJG174" s="537"/>
      <c r="QJH174" s="537"/>
      <c r="QJI174" s="537"/>
      <c r="QJJ174" s="537"/>
      <c r="QJK174" s="537"/>
      <c r="QJL174" s="537"/>
      <c r="QJM174" s="537"/>
      <c r="QJN174" s="537"/>
      <c r="QJO174" s="537"/>
      <c r="QJP174" s="537"/>
      <c r="QJQ174" s="537"/>
      <c r="QJR174" s="537"/>
      <c r="QJS174" s="537"/>
      <c r="QJT174" s="537"/>
      <c r="QJU174" s="537"/>
      <c r="QJV174" s="537"/>
      <c r="QJW174" s="537"/>
      <c r="QJX174" s="537"/>
      <c r="QJY174" s="537"/>
      <c r="QJZ174" s="537"/>
      <c r="QKA174" s="537"/>
      <c r="QKB174" s="537"/>
      <c r="QKC174" s="537"/>
      <c r="QKD174" s="537"/>
      <c r="QKE174" s="537"/>
      <c r="QKF174" s="537"/>
      <c r="QKG174" s="537"/>
      <c r="QKH174" s="537"/>
      <c r="QKI174" s="537"/>
      <c r="QKJ174" s="537"/>
      <c r="QKK174" s="537"/>
      <c r="QKL174" s="537"/>
      <c r="QKM174" s="537"/>
      <c r="QKN174" s="537"/>
      <c r="QKO174" s="537"/>
      <c r="QKP174" s="537"/>
      <c r="QKQ174" s="537"/>
      <c r="QKR174" s="537"/>
      <c r="QKS174" s="537"/>
      <c r="QKT174" s="537"/>
      <c r="QKU174" s="537"/>
      <c r="QKV174" s="537"/>
      <c r="QKW174" s="537"/>
      <c r="QKX174" s="537"/>
      <c r="QKY174" s="537"/>
      <c r="QKZ174" s="537"/>
      <c r="QLA174" s="537"/>
      <c r="QLB174" s="537"/>
      <c r="QLC174" s="537"/>
      <c r="QLD174" s="537"/>
      <c r="QLE174" s="537"/>
      <c r="QLF174" s="537"/>
      <c r="QLG174" s="537"/>
      <c r="QLH174" s="537"/>
      <c r="QLI174" s="537"/>
      <c r="QLJ174" s="537"/>
      <c r="QLK174" s="537"/>
      <c r="QLL174" s="537"/>
      <c r="QLM174" s="537"/>
      <c r="QLN174" s="537"/>
      <c r="QLO174" s="537"/>
      <c r="QLP174" s="537"/>
      <c r="QLQ174" s="537"/>
      <c r="QLR174" s="537"/>
      <c r="QLS174" s="537"/>
      <c r="QLT174" s="537"/>
      <c r="QLU174" s="537"/>
      <c r="QLV174" s="537"/>
      <c r="QLW174" s="537"/>
      <c r="QLX174" s="537"/>
      <c r="QLY174" s="537"/>
      <c r="QLZ174" s="537"/>
      <c r="QMA174" s="537"/>
      <c r="QMB174" s="537"/>
      <c r="QMC174" s="537"/>
      <c r="QMD174" s="537"/>
      <c r="QME174" s="537"/>
      <c r="QMF174" s="537"/>
      <c r="QMG174" s="537"/>
      <c r="QMH174" s="537"/>
      <c r="QMI174" s="537"/>
      <c r="QMJ174" s="537"/>
      <c r="QMK174" s="537"/>
      <c r="QML174" s="537"/>
      <c r="QMM174" s="537"/>
      <c r="QMN174" s="537"/>
      <c r="QMO174" s="537"/>
      <c r="QMP174" s="537"/>
      <c r="QMQ174" s="537"/>
      <c r="QMR174" s="537"/>
      <c r="QMS174" s="537"/>
      <c r="QMT174" s="537"/>
      <c r="QMU174" s="537"/>
      <c r="QMV174" s="537"/>
      <c r="QMW174" s="537"/>
      <c r="QMX174" s="537"/>
      <c r="QMY174" s="537"/>
      <c r="QMZ174" s="537"/>
      <c r="QNA174" s="537"/>
      <c r="QNB174" s="537"/>
      <c r="QNC174" s="537"/>
      <c r="QND174" s="537"/>
      <c r="QNE174" s="537"/>
      <c r="QNF174" s="537"/>
      <c r="QNG174" s="537"/>
      <c r="QNH174" s="537"/>
      <c r="QNI174" s="537"/>
      <c r="QNJ174" s="537"/>
      <c r="QNK174" s="537"/>
      <c r="QNL174" s="537"/>
      <c r="QNM174" s="537"/>
      <c r="QNN174" s="537"/>
      <c r="QNO174" s="537"/>
      <c r="QNP174" s="537"/>
      <c r="QNQ174" s="537"/>
      <c r="QNR174" s="537"/>
      <c r="QNS174" s="537"/>
      <c r="QNT174" s="537"/>
      <c r="QNU174" s="537"/>
      <c r="QNV174" s="537"/>
      <c r="QNW174" s="537"/>
      <c r="QNX174" s="537"/>
      <c r="QNY174" s="537"/>
      <c r="QNZ174" s="537"/>
      <c r="QOA174" s="537"/>
      <c r="QOB174" s="537"/>
      <c r="QOC174" s="537"/>
      <c r="QOD174" s="537"/>
      <c r="QOE174" s="537"/>
      <c r="QOF174" s="537"/>
      <c r="QOG174" s="537"/>
      <c r="QOH174" s="537"/>
      <c r="QOI174" s="537"/>
      <c r="QOJ174" s="537"/>
      <c r="QOK174" s="537"/>
      <c r="QOL174" s="537"/>
      <c r="QOM174" s="537"/>
      <c r="QON174" s="537"/>
      <c r="QOO174" s="537"/>
      <c r="QOP174" s="537"/>
      <c r="QOQ174" s="537"/>
      <c r="QOR174" s="537"/>
      <c r="QOS174" s="537"/>
      <c r="QOT174" s="537"/>
      <c r="QOU174" s="537"/>
      <c r="QOV174" s="537"/>
      <c r="QOW174" s="537"/>
      <c r="QOX174" s="537"/>
      <c r="QOY174" s="537"/>
      <c r="QOZ174" s="537"/>
      <c r="QPA174" s="537"/>
      <c r="QPB174" s="537"/>
      <c r="QPC174" s="537"/>
      <c r="QPD174" s="537"/>
      <c r="QPE174" s="537"/>
      <c r="QPF174" s="537"/>
      <c r="QPG174" s="537"/>
      <c r="QPH174" s="537"/>
      <c r="QPI174" s="537"/>
      <c r="QPJ174" s="537"/>
      <c r="QPK174" s="537"/>
      <c r="QPL174" s="537"/>
      <c r="QPM174" s="537"/>
      <c r="QPN174" s="537"/>
      <c r="QPO174" s="537"/>
      <c r="QPP174" s="537"/>
      <c r="QPQ174" s="537"/>
      <c r="QPR174" s="537"/>
      <c r="QPS174" s="537"/>
      <c r="QPT174" s="537"/>
      <c r="QPU174" s="537"/>
      <c r="QPV174" s="537"/>
      <c r="QPW174" s="537"/>
      <c r="QPX174" s="537"/>
      <c r="QPY174" s="537"/>
      <c r="QPZ174" s="537"/>
      <c r="QQA174" s="537"/>
      <c r="QQB174" s="537"/>
      <c r="QQC174" s="537"/>
      <c r="QQD174" s="537"/>
      <c r="QQE174" s="537"/>
      <c r="QQF174" s="537"/>
      <c r="QQG174" s="537"/>
      <c r="QQH174" s="537"/>
      <c r="QQI174" s="537"/>
      <c r="QQJ174" s="537"/>
      <c r="QQK174" s="537"/>
      <c r="QQL174" s="537"/>
      <c r="QQM174" s="537"/>
      <c r="QQN174" s="537"/>
      <c r="QQO174" s="537"/>
      <c r="QQP174" s="537"/>
      <c r="QQQ174" s="537"/>
      <c r="QQR174" s="537"/>
      <c r="QQS174" s="537"/>
      <c r="QQT174" s="537"/>
      <c r="QQU174" s="537"/>
      <c r="QQV174" s="537"/>
      <c r="QQW174" s="537"/>
      <c r="QQX174" s="537"/>
      <c r="QQY174" s="537"/>
      <c r="QQZ174" s="537"/>
      <c r="QRA174" s="537"/>
      <c r="QRB174" s="537"/>
      <c r="QRC174" s="537"/>
      <c r="QRD174" s="537"/>
      <c r="QRE174" s="537"/>
      <c r="QRF174" s="537"/>
      <c r="QRG174" s="537"/>
      <c r="QRH174" s="537"/>
      <c r="QRI174" s="537"/>
      <c r="QRJ174" s="537"/>
      <c r="QRK174" s="537"/>
      <c r="QRL174" s="537"/>
      <c r="QRM174" s="537"/>
      <c r="QRN174" s="537"/>
      <c r="QRO174" s="537"/>
      <c r="QRP174" s="537"/>
      <c r="QRQ174" s="537"/>
      <c r="QRR174" s="537"/>
      <c r="QRS174" s="537"/>
      <c r="QRT174" s="537"/>
      <c r="QRU174" s="537"/>
      <c r="QRV174" s="537"/>
      <c r="QRW174" s="537"/>
      <c r="QRX174" s="537"/>
      <c r="QRY174" s="537"/>
      <c r="QRZ174" s="537"/>
      <c r="QSA174" s="537"/>
      <c r="QSB174" s="537"/>
      <c r="QSC174" s="537"/>
      <c r="QSD174" s="537"/>
      <c r="QSE174" s="537"/>
      <c r="QSF174" s="537"/>
      <c r="QSG174" s="537"/>
      <c r="QSH174" s="537"/>
      <c r="QSI174" s="537"/>
      <c r="QSJ174" s="537"/>
      <c r="QSK174" s="537"/>
      <c r="QSL174" s="537"/>
      <c r="QSM174" s="537"/>
      <c r="QSN174" s="537"/>
      <c r="QSO174" s="537"/>
      <c r="QSP174" s="537"/>
      <c r="QSQ174" s="537"/>
      <c r="QSR174" s="537"/>
      <c r="QSS174" s="537"/>
      <c r="QST174" s="537"/>
      <c r="QSU174" s="537"/>
      <c r="QSV174" s="537"/>
      <c r="QSW174" s="537"/>
      <c r="QSX174" s="537"/>
      <c r="QSY174" s="537"/>
      <c r="QSZ174" s="537"/>
      <c r="QTA174" s="537"/>
      <c r="QTB174" s="537"/>
      <c r="QTC174" s="537"/>
      <c r="QTD174" s="537"/>
      <c r="QTE174" s="537"/>
      <c r="QTF174" s="537"/>
      <c r="QTG174" s="537"/>
      <c r="QTH174" s="537"/>
      <c r="QTI174" s="537"/>
      <c r="QTJ174" s="537"/>
      <c r="QTK174" s="537"/>
      <c r="QTL174" s="537"/>
      <c r="QTM174" s="537"/>
      <c r="QTN174" s="537"/>
      <c r="QTO174" s="537"/>
      <c r="QTP174" s="537"/>
      <c r="QTQ174" s="537"/>
      <c r="QTR174" s="537"/>
      <c r="QTS174" s="537"/>
      <c r="QTT174" s="537"/>
      <c r="QTU174" s="537"/>
      <c r="QTV174" s="537"/>
      <c r="QTW174" s="537"/>
      <c r="QTX174" s="537"/>
      <c r="QTY174" s="537"/>
      <c r="QTZ174" s="537"/>
      <c r="QUA174" s="537"/>
      <c r="QUB174" s="537"/>
      <c r="QUC174" s="537"/>
      <c r="QUD174" s="537"/>
      <c r="QUE174" s="537"/>
      <c r="QUF174" s="537"/>
      <c r="QUG174" s="537"/>
      <c r="QUH174" s="537"/>
      <c r="QUI174" s="537"/>
      <c r="QUJ174" s="537"/>
      <c r="QUK174" s="537"/>
      <c r="QUL174" s="537"/>
      <c r="QUM174" s="537"/>
      <c r="QUN174" s="537"/>
      <c r="QUO174" s="537"/>
      <c r="QUP174" s="537"/>
      <c r="QUQ174" s="537"/>
      <c r="QUR174" s="537"/>
      <c r="QUS174" s="537"/>
      <c r="QUT174" s="537"/>
      <c r="QUU174" s="537"/>
      <c r="QUV174" s="537"/>
      <c r="QUW174" s="537"/>
      <c r="QUX174" s="537"/>
      <c r="QUY174" s="537"/>
      <c r="QUZ174" s="537"/>
      <c r="QVA174" s="537"/>
      <c r="QVB174" s="537"/>
      <c r="QVC174" s="537"/>
      <c r="QVD174" s="537"/>
      <c r="QVE174" s="537"/>
      <c r="QVF174" s="537"/>
      <c r="QVG174" s="537"/>
      <c r="QVH174" s="537"/>
      <c r="QVI174" s="537"/>
      <c r="QVJ174" s="537"/>
      <c r="QVK174" s="537"/>
      <c r="QVL174" s="537"/>
      <c r="QVM174" s="537"/>
      <c r="QVN174" s="537"/>
      <c r="QVO174" s="537"/>
      <c r="QVP174" s="537"/>
      <c r="QVQ174" s="537"/>
      <c r="QVR174" s="537"/>
      <c r="QVS174" s="537"/>
      <c r="QVT174" s="537"/>
      <c r="QVU174" s="537"/>
      <c r="QVV174" s="537"/>
      <c r="QVW174" s="537"/>
      <c r="QVX174" s="537"/>
      <c r="QVY174" s="537"/>
      <c r="QVZ174" s="537"/>
      <c r="QWA174" s="537"/>
      <c r="QWB174" s="537"/>
      <c r="QWC174" s="537"/>
      <c r="QWD174" s="537"/>
      <c r="QWE174" s="537"/>
      <c r="QWF174" s="537"/>
      <c r="QWG174" s="537"/>
      <c r="QWH174" s="537"/>
      <c r="QWI174" s="537"/>
      <c r="QWJ174" s="537"/>
      <c r="QWK174" s="537"/>
      <c r="QWL174" s="537"/>
      <c r="QWM174" s="537"/>
      <c r="QWN174" s="537"/>
      <c r="QWO174" s="537"/>
      <c r="QWP174" s="537"/>
      <c r="QWQ174" s="537"/>
      <c r="QWR174" s="537"/>
      <c r="QWS174" s="537"/>
      <c r="QWT174" s="537"/>
      <c r="QWU174" s="537"/>
      <c r="QWV174" s="537"/>
      <c r="QWW174" s="537"/>
      <c r="QWX174" s="537"/>
      <c r="QWY174" s="537"/>
      <c r="QWZ174" s="537"/>
      <c r="QXA174" s="537"/>
      <c r="QXB174" s="537"/>
      <c r="QXC174" s="537"/>
      <c r="QXD174" s="537"/>
      <c r="QXE174" s="537"/>
      <c r="QXF174" s="537"/>
      <c r="QXG174" s="537"/>
      <c r="QXH174" s="537"/>
      <c r="QXI174" s="537"/>
      <c r="QXJ174" s="537"/>
      <c r="QXK174" s="537"/>
      <c r="QXL174" s="537"/>
      <c r="QXM174" s="537"/>
      <c r="QXN174" s="537"/>
      <c r="QXO174" s="537"/>
      <c r="QXP174" s="537"/>
      <c r="QXQ174" s="537"/>
      <c r="QXR174" s="537"/>
      <c r="QXS174" s="537"/>
      <c r="QXT174" s="537"/>
      <c r="QXU174" s="537"/>
      <c r="QXV174" s="537"/>
      <c r="QXW174" s="537"/>
      <c r="QXX174" s="537"/>
      <c r="QXY174" s="537"/>
      <c r="QXZ174" s="537"/>
      <c r="QYA174" s="537"/>
      <c r="QYB174" s="537"/>
      <c r="QYC174" s="537"/>
      <c r="QYD174" s="537"/>
      <c r="QYE174" s="537"/>
      <c r="QYF174" s="537"/>
      <c r="QYG174" s="537"/>
      <c r="QYH174" s="537"/>
      <c r="QYI174" s="537"/>
      <c r="QYJ174" s="537"/>
      <c r="QYK174" s="537"/>
      <c r="QYL174" s="537"/>
      <c r="QYM174" s="537"/>
      <c r="QYN174" s="537"/>
      <c r="QYO174" s="537"/>
      <c r="QYP174" s="537"/>
      <c r="QYQ174" s="537"/>
      <c r="QYR174" s="537"/>
      <c r="QYS174" s="537"/>
      <c r="QYT174" s="537"/>
      <c r="QYU174" s="537"/>
      <c r="QYV174" s="537"/>
      <c r="QYW174" s="537"/>
      <c r="QYX174" s="537"/>
      <c r="QYY174" s="537"/>
      <c r="QYZ174" s="537"/>
      <c r="QZA174" s="537"/>
      <c r="QZB174" s="537"/>
      <c r="QZC174" s="537"/>
      <c r="QZD174" s="537"/>
      <c r="QZE174" s="537"/>
      <c r="QZF174" s="537"/>
      <c r="QZG174" s="537"/>
      <c r="QZH174" s="537"/>
      <c r="QZI174" s="537"/>
      <c r="QZJ174" s="537"/>
      <c r="QZK174" s="537"/>
      <c r="QZL174" s="537"/>
      <c r="QZM174" s="537"/>
      <c r="QZN174" s="537"/>
      <c r="QZO174" s="537"/>
      <c r="QZP174" s="537"/>
      <c r="QZQ174" s="537"/>
      <c r="QZR174" s="537"/>
      <c r="QZS174" s="537"/>
      <c r="QZT174" s="537"/>
      <c r="QZU174" s="537"/>
      <c r="QZV174" s="537"/>
      <c r="QZW174" s="537"/>
      <c r="QZX174" s="537"/>
      <c r="QZY174" s="537"/>
      <c r="QZZ174" s="537"/>
      <c r="RAA174" s="537"/>
      <c r="RAB174" s="537"/>
      <c r="RAC174" s="537"/>
      <c r="RAD174" s="537"/>
      <c r="RAE174" s="537"/>
      <c r="RAF174" s="537"/>
      <c r="RAG174" s="537"/>
      <c r="RAH174" s="537"/>
      <c r="RAI174" s="537"/>
      <c r="RAJ174" s="537"/>
      <c r="RAK174" s="537"/>
      <c r="RAL174" s="537"/>
      <c r="RAM174" s="537"/>
      <c r="RAN174" s="537"/>
      <c r="RAO174" s="537"/>
      <c r="RAP174" s="537"/>
      <c r="RAQ174" s="537"/>
      <c r="RAR174" s="537"/>
      <c r="RAS174" s="537"/>
      <c r="RAT174" s="537"/>
      <c r="RAU174" s="537"/>
      <c r="RAV174" s="537"/>
      <c r="RAW174" s="537"/>
      <c r="RAX174" s="537"/>
      <c r="RAY174" s="537"/>
      <c r="RAZ174" s="537"/>
      <c r="RBA174" s="537"/>
      <c r="RBB174" s="537"/>
      <c r="RBC174" s="537"/>
      <c r="RBD174" s="537"/>
      <c r="RBE174" s="537"/>
      <c r="RBF174" s="537"/>
      <c r="RBG174" s="537"/>
      <c r="RBH174" s="537"/>
      <c r="RBI174" s="537"/>
      <c r="RBJ174" s="537"/>
      <c r="RBK174" s="537"/>
      <c r="RBL174" s="537"/>
      <c r="RBM174" s="537"/>
      <c r="RBN174" s="537"/>
      <c r="RBO174" s="537"/>
      <c r="RBP174" s="537"/>
      <c r="RBQ174" s="537"/>
      <c r="RBR174" s="537"/>
      <c r="RBS174" s="537"/>
      <c r="RBT174" s="537"/>
      <c r="RBU174" s="537"/>
      <c r="RBV174" s="537"/>
      <c r="RBW174" s="537"/>
      <c r="RBX174" s="537"/>
      <c r="RBY174" s="537"/>
      <c r="RBZ174" s="537"/>
      <c r="RCA174" s="537"/>
      <c r="RCB174" s="537"/>
      <c r="RCC174" s="537"/>
      <c r="RCD174" s="537"/>
      <c r="RCE174" s="537"/>
      <c r="RCF174" s="537"/>
      <c r="RCG174" s="537"/>
      <c r="RCH174" s="537"/>
      <c r="RCI174" s="537"/>
      <c r="RCJ174" s="537"/>
      <c r="RCK174" s="537"/>
      <c r="RCL174" s="537"/>
      <c r="RCM174" s="537"/>
      <c r="RCN174" s="537"/>
      <c r="RCO174" s="537"/>
      <c r="RCP174" s="537"/>
      <c r="RCQ174" s="537"/>
      <c r="RCR174" s="537"/>
      <c r="RCS174" s="537"/>
      <c r="RCT174" s="537"/>
      <c r="RCU174" s="537"/>
      <c r="RCV174" s="537"/>
      <c r="RCW174" s="537"/>
      <c r="RCX174" s="537"/>
      <c r="RCY174" s="537"/>
      <c r="RCZ174" s="537"/>
      <c r="RDA174" s="537"/>
      <c r="RDB174" s="537"/>
      <c r="RDC174" s="537"/>
      <c r="RDD174" s="537"/>
      <c r="RDE174" s="537"/>
      <c r="RDF174" s="537"/>
      <c r="RDG174" s="537"/>
      <c r="RDH174" s="537"/>
      <c r="RDI174" s="537"/>
      <c r="RDJ174" s="537"/>
      <c r="RDK174" s="537"/>
      <c r="RDL174" s="537"/>
      <c r="RDM174" s="537"/>
      <c r="RDN174" s="537"/>
      <c r="RDO174" s="537"/>
      <c r="RDP174" s="537"/>
      <c r="RDQ174" s="537"/>
      <c r="RDR174" s="537"/>
      <c r="RDS174" s="537"/>
      <c r="RDT174" s="537"/>
      <c r="RDU174" s="537"/>
      <c r="RDV174" s="537"/>
      <c r="RDW174" s="537"/>
      <c r="RDX174" s="537"/>
      <c r="RDY174" s="537"/>
      <c r="RDZ174" s="537"/>
      <c r="REA174" s="537"/>
      <c r="REB174" s="537"/>
      <c r="REC174" s="537"/>
      <c r="RED174" s="537"/>
      <c r="REE174" s="537"/>
      <c r="REF174" s="537"/>
      <c r="REG174" s="537"/>
      <c r="REH174" s="537"/>
      <c r="REI174" s="537"/>
      <c r="REJ174" s="537"/>
      <c r="REK174" s="537"/>
      <c r="REL174" s="537"/>
      <c r="REM174" s="537"/>
      <c r="REN174" s="537"/>
      <c r="REO174" s="537"/>
      <c r="REP174" s="537"/>
      <c r="REQ174" s="537"/>
      <c r="RER174" s="537"/>
      <c r="RES174" s="537"/>
      <c r="RET174" s="537"/>
      <c r="REU174" s="537"/>
      <c r="REV174" s="537"/>
      <c r="REW174" s="537"/>
      <c r="REX174" s="537"/>
      <c r="REY174" s="537"/>
      <c r="REZ174" s="537"/>
      <c r="RFA174" s="537"/>
      <c r="RFB174" s="537"/>
      <c r="RFC174" s="537"/>
      <c r="RFD174" s="537"/>
      <c r="RFE174" s="537"/>
      <c r="RFF174" s="537"/>
      <c r="RFG174" s="537"/>
      <c r="RFH174" s="537"/>
      <c r="RFI174" s="537"/>
      <c r="RFJ174" s="537"/>
      <c r="RFK174" s="537"/>
      <c r="RFL174" s="537"/>
      <c r="RFM174" s="537"/>
      <c r="RFN174" s="537"/>
      <c r="RFO174" s="537"/>
      <c r="RFP174" s="537"/>
      <c r="RFQ174" s="537"/>
      <c r="RFR174" s="537"/>
      <c r="RFS174" s="537"/>
      <c r="RFT174" s="537"/>
      <c r="RFU174" s="537"/>
      <c r="RFV174" s="537"/>
      <c r="RFW174" s="537"/>
      <c r="RFX174" s="537"/>
      <c r="RFY174" s="537"/>
      <c r="RFZ174" s="537"/>
      <c r="RGA174" s="537"/>
      <c r="RGB174" s="537"/>
      <c r="RGC174" s="537"/>
      <c r="RGD174" s="537"/>
      <c r="RGE174" s="537"/>
      <c r="RGF174" s="537"/>
      <c r="RGG174" s="537"/>
      <c r="RGH174" s="537"/>
      <c r="RGI174" s="537"/>
      <c r="RGJ174" s="537"/>
      <c r="RGK174" s="537"/>
      <c r="RGL174" s="537"/>
      <c r="RGM174" s="537"/>
      <c r="RGN174" s="537"/>
      <c r="RGO174" s="537"/>
      <c r="RGP174" s="537"/>
      <c r="RGQ174" s="537"/>
      <c r="RGR174" s="537"/>
      <c r="RGS174" s="537"/>
      <c r="RGT174" s="537"/>
      <c r="RGU174" s="537"/>
      <c r="RGV174" s="537"/>
      <c r="RGW174" s="537"/>
      <c r="RGX174" s="537"/>
      <c r="RGY174" s="537"/>
      <c r="RGZ174" s="537"/>
      <c r="RHA174" s="537"/>
      <c r="RHB174" s="537"/>
      <c r="RHC174" s="537"/>
      <c r="RHD174" s="537"/>
      <c r="RHE174" s="537"/>
      <c r="RHF174" s="537"/>
      <c r="RHG174" s="537"/>
      <c r="RHH174" s="537"/>
      <c r="RHI174" s="537"/>
      <c r="RHJ174" s="537"/>
      <c r="RHK174" s="537"/>
      <c r="RHL174" s="537"/>
      <c r="RHM174" s="537"/>
      <c r="RHN174" s="537"/>
      <c r="RHO174" s="537"/>
      <c r="RHP174" s="537"/>
      <c r="RHQ174" s="537"/>
      <c r="RHR174" s="537"/>
      <c r="RHS174" s="537"/>
      <c r="RHT174" s="537"/>
      <c r="RHU174" s="537"/>
      <c r="RHV174" s="537"/>
      <c r="RHW174" s="537"/>
      <c r="RHX174" s="537"/>
      <c r="RHY174" s="537"/>
      <c r="RHZ174" s="537"/>
      <c r="RIA174" s="537"/>
      <c r="RIB174" s="537"/>
      <c r="RIC174" s="537"/>
      <c r="RID174" s="537"/>
      <c r="RIE174" s="537"/>
      <c r="RIF174" s="537"/>
      <c r="RIG174" s="537"/>
      <c r="RIH174" s="537"/>
      <c r="RII174" s="537"/>
      <c r="RIJ174" s="537"/>
      <c r="RIK174" s="537"/>
      <c r="RIL174" s="537"/>
      <c r="RIM174" s="537"/>
      <c r="RIN174" s="537"/>
      <c r="RIO174" s="537"/>
      <c r="RIP174" s="537"/>
      <c r="RIQ174" s="537"/>
      <c r="RIR174" s="537"/>
      <c r="RIS174" s="537"/>
      <c r="RIT174" s="537"/>
      <c r="RIU174" s="537"/>
      <c r="RIV174" s="537"/>
      <c r="RIW174" s="537"/>
      <c r="RIX174" s="537"/>
      <c r="RIY174" s="537"/>
      <c r="RIZ174" s="537"/>
      <c r="RJA174" s="537"/>
      <c r="RJB174" s="537"/>
      <c r="RJC174" s="537"/>
      <c r="RJD174" s="537"/>
      <c r="RJE174" s="537"/>
      <c r="RJF174" s="537"/>
      <c r="RJG174" s="537"/>
      <c r="RJH174" s="537"/>
      <c r="RJI174" s="537"/>
      <c r="RJJ174" s="537"/>
      <c r="RJK174" s="537"/>
      <c r="RJL174" s="537"/>
      <c r="RJM174" s="537"/>
      <c r="RJN174" s="537"/>
      <c r="RJO174" s="537"/>
      <c r="RJP174" s="537"/>
      <c r="RJQ174" s="537"/>
      <c r="RJR174" s="537"/>
      <c r="RJS174" s="537"/>
      <c r="RJT174" s="537"/>
      <c r="RJU174" s="537"/>
      <c r="RJV174" s="537"/>
      <c r="RJW174" s="537"/>
      <c r="RJX174" s="537"/>
      <c r="RJY174" s="537"/>
      <c r="RJZ174" s="537"/>
      <c r="RKA174" s="537"/>
      <c r="RKB174" s="537"/>
      <c r="RKC174" s="537"/>
      <c r="RKD174" s="537"/>
      <c r="RKE174" s="537"/>
      <c r="RKF174" s="537"/>
      <c r="RKG174" s="537"/>
      <c r="RKH174" s="537"/>
      <c r="RKI174" s="537"/>
      <c r="RKJ174" s="537"/>
      <c r="RKK174" s="537"/>
      <c r="RKL174" s="537"/>
      <c r="RKM174" s="537"/>
      <c r="RKN174" s="537"/>
      <c r="RKO174" s="537"/>
      <c r="RKP174" s="537"/>
      <c r="RKQ174" s="537"/>
      <c r="RKR174" s="537"/>
      <c r="RKS174" s="537"/>
      <c r="RKT174" s="537"/>
      <c r="RKU174" s="537"/>
      <c r="RKV174" s="537"/>
      <c r="RKW174" s="537"/>
      <c r="RKX174" s="537"/>
      <c r="RKY174" s="537"/>
      <c r="RKZ174" s="537"/>
      <c r="RLA174" s="537"/>
      <c r="RLB174" s="537"/>
      <c r="RLC174" s="537"/>
      <c r="RLD174" s="537"/>
      <c r="RLE174" s="537"/>
      <c r="RLF174" s="537"/>
      <c r="RLG174" s="537"/>
      <c r="RLH174" s="537"/>
      <c r="RLI174" s="537"/>
      <c r="RLJ174" s="537"/>
      <c r="RLK174" s="537"/>
      <c r="RLL174" s="537"/>
      <c r="RLM174" s="537"/>
      <c r="RLN174" s="537"/>
      <c r="RLO174" s="537"/>
      <c r="RLP174" s="537"/>
      <c r="RLQ174" s="537"/>
      <c r="RLR174" s="537"/>
      <c r="RLS174" s="537"/>
      <c r="RLT174" s="537"/>
      <c r="RLU174" s="537"/>
      <c r="RLV174" s="537"/>
      <c r="RLW174" s="537"/>
      <c r="RLX174" s="537"/>
      <c r="RLY174" s="537"/>
      <c r="RLZ174" s="537"/>
      <c r="RMA174" s="537"/>
      <c r="RMB174" s="537"/>
      <c r="RMC174" s="537"/>
      <c r="RMD174" s="537"/>
      <c r="RME174" s="537"/>
      <c r="RMF174" s="537"/>
      <c r="RMG174" s="537"/>
      <c r="RMH174" s="537"/>
      <c r="RMI174" s="537"/>
      <c r="RMJ174" s="537"/>
      <c r="RMK174" s="537"/>
      <c r="RML174" s="537"/>
      <c r="RMM174" s="537"/>
      <c r="RMN174" s="537"/>
      <c r="RMO174" s="537"/>
      <c r="RMP174" s="537"/>
      <c r="RMQ174" s="537"/>
      <c r="RMR174" s="537"/>
      <c r="RMS174" s="537"/>
      <c r="RMT174" s="537"/>
      <c r="RMU174" s="537"/>
      <c r="RMV174" s="537"/>
      <c r="RMW174" s="537"/>
      <c r="RMX174" s="537"/>
      <c r="RMY174" s="537"/>
      <c r="RMZ174" s="537"/>
      <c r="RNA174" s="537"/>
      <c r="RNB174" s="537"/>
      <c r="RNC174" s="537"/>
      <c r="RND174" s="537"/>
      <c r="RNE174" s="537"/>
      <c r="RNF174" s="537"/>
      <c r="RNG174" s="537"/>
      <c r="RNH174" s="537"/>
      <c r="RNI174" s="537"/>
      <c r="RNJ174" s="537"/>
      <c r="RNK174" s="537"/>
      <c r="RNL174" s="537"/>
      <c r="RNM174" s="537"/>
      <c r="RNN174" s="537"/>
      <c r="RNO174" s="537"/>
      <c r="RNP174" s="537"/>
      <c r="RNQ174" s="537"/>
      <c r="RNR174" s="537"/>
      <c r="RNS174" s="537"/>
      <c r="RNT174" s="537"/>
      <c r="RNU174" s="537"/>
      <c r="RNV174" s="537"/>
      <c r="RNW174" s="537"/>
      <c r="RNX174" s="537"/>
      <c r="RNY174" s="537"/>
      <c r="RNZ174" s="537"/>
      <c r="ROA174" s="537"/>
      <c r="ROB174" s="537"/>
      <c r="ROC174" s="537"/>
      <c r="ROD174" s="537"/>
      <c r="ROE174" s="537"/>
      <c r="ROF174" s="537"/>
      <c r="ROG174" s="537"/>
      <c r="ROH174" s="537"/>
      <c r="ROI174" s="537"/>
      <c r="ROJ174" s="537"/>
      <c r="ROK174" s="537"/>
      <c r="ROL174" s="537"/>
      <c r="ROM174" s="537"/>
      <c r="RON174" s="537"/>
      <c r="ROO174" s="537"/>
      <c r="ROP174" s="537"/>
      <c r="ROQ174" s="537"/>
      <c r="ROR174" s="537"/>
      <c r="ROS174" s="537"/>
      <c r="ROT174" s="537"/>
      <c r="ROU174" s="537"/>
      <c r="ROV174" s="537"/>
      <c r="ROW174" s="537"/>
      <c r="ROX174" s="537"/>
      <c r="ROY174" s="537"/>
      <c r="ROZ174" s="537"/>
      <c r="RPA174" s="537"/>
      <c r="RPB174" s="537"/>
      <c r="RPC174" s="537"/>
      <c r="RPD174" s="537"/>
      <c r="RPE174" s="537"/>
      <c r="RPF174" s="537"/>
      <c r="RPG174" s="537"/>
      <c r="RPH174" s="537"/>
      <c r="RPI174" s="537"/>
      <c r="RPJ174" s="537"/>
      <c r="RPK174" s="537"/>
      <c r="RPL174" s="537"/>
      <c r="RPM174" s="537"/>
      <c r="RPN174" s="537"/>
      <c r="RPO174" s="537"/>
      <c r="RPP174" s="537"/>
      <c r="RPQ174" s="537"/>
      <c r="RPR174" s="537"/>
      <c r="RPS174" s="537"/>
      <c r="RPT174" s="537"/>
      <c r="RPU174" s="537"/>
      <c r="RPV174" s="537"/>
      <c r="RPW174" s="537"/>
      <c r="RPX174" s="537"/>
      <c r="RPY174" s="537"/>
      <c r="RPZ174" s="537"/>
      <c r="RQA174" s="537"/>
      <c r="RQB174" s="537"/>
      <c r="RQC174" s="537"/>
      <c r="RQD174" s="537"/>
      <c r="RQE174" s="537"/>
      <c r="RQF174" s="537"/>
      <c r="RQG174" s="537"/>
      <c r="RQH174" s="537"/>
      <c r="RQI174" s="537"/>
      <c r="RQJ174" s="537"/>
      <c r="RQK174" s="537"/>
      <c r="RQL174" s="537"/>
      <c r="RQM174" s="537"/>
      <c r="RQN174" s="537"/>
      <c r="RQO174" s="537"/>
      <c r="RQP174" s="537"/>
      <c r="RQQ174" s="537"/>
      <c r="RQR174" s="537"/>
      <c r="RQS174" s="537"/>
      <c r="RQT174" s="537"/>
      <c r="RQU174" s="537"/>
      <c r="RQV174" s="537"/>
      <c r="RQW174" s="537"/>
      <c r="RQX174" s="537"/>
      <c r="RQY174" s="537"/>
      <c r="RQZ174" s="537"/>
      <c r="RRA174" s="537"/>
      <c r="RRB174" s="537"/>
      <c r="RRC174" s="537"/>
      <c r="RRD174" s="537"/>
      <c r="RRE174" s="537"/>
      <c r="RRF174" s="537"/>
      <c r="RRG174" s="537"/>
      <c r="RRH174" s="537"/>
      <c r="RRI174" s="537"/>
      <c r="RRJ174" s="537"/>
      <c r="RRK174" s="537"/>
      <c r="RRL174" s="537"/>
      <c r="RRM174" s="537"/>
      <c r="RRN174" s="537"/>
      <c r="RRO174" s="537"/>
      <c r="RRP174" s="537"/>
      <c r="RRQ174" s="537"/>
      <c r="RRR174" s="537"/>
      <c r="RRS174" s="537"/>
      <c r="RRT174" s="537"/>
      <c r="RRU174" s="537"/>
      <c r="RRV174" s="537"/>
      <c r="RRW174" s="537"/>
      <c r="RRX174" s="537"/>
      <c r="RRY174" s="537"/>
      <c r="RRZ174" s="537"/>
      <c r="RSA174" s="537"/>
      <c r="RSB174" s="537"/>
      <c r="RSC174" s="537"/>
      <c r="RSD174" s="537"/>
      <c r="RSE174" s="537"/>
      <c r="RSF174" s="537"/>
      <c r="RSG174" s="537"/>
      <c r="RSH174" s="537"/>
      <c r="RSI174" s="537"/>
      <c r="RSJ174" s="537"/>
      <c r="RSK174" s="537"/>
      <c r="RSL174" s="537"/>
      <c r="RSM174" s="537"/>
      <c r="RSN174" s="537"/>
      <c r="RSO174" s="537"/>
      <c r="RSP174" s="537"/>
      <c r="RSQ174" s="537"/>
      <c r="RSR174" s="537"/>
      <c r="RSS174" s="537"/>
      <c r="RST174" s="537"/>
      <c r="RSU174" s="537"/>
      <c r="RSV174" s="537"/>
      <c r="RSW174" s="537"/>
      <c r="RSX174" s="537"/>
      <c r="RSY174" s="537"/>
      <c r="RSZ174" s="537"/>
      <c r="RTA174" s="537"/>
      <c r="RTB174" s="537"/>
      <c r="RTC174" s="537"/>
      <c r="RTD174" s="537"/>
      <c r="RTE174" s="537"/>
      <c r="RTF174" s="537"/>
      <c r="RTG174" s="537"/>
      <c r="RTH174" s="537"/>
      <c r="RTI174" s="537"/>
      <c r="RTJ174" s="537"/>
      <c r="RTK174" s="537"/>
      <c r="RTL174" s="537"/>
      <c r="RTM174" s="537"/>
      <c r="RTN174" s="537"/>
      <c r="RTO174" s="537"/>
      <c r="RTP174" s="537"/>
      <c r="RTQ174" s="537"/>
      <c r="RTR174" s="537"/>
      <c r="RTS174" s="537"/>
      <c r="RTT174" s="537"/>
      <c r="RTU174" s="537"/>
      <c r="RTV174" s="537"/>
      <c r="RTW174" s="537"/>
      <c r="RTX174" s="537"/>
      <c r="RTY174" s="537"/>
      <c r="RTZ174" s="537"/>
      <c r="RUA174" s="537"/>
      <c r="RUB174" s="537"/>
      <c r="RUC174" s="537"/>
      <c r="RUD174" s="537"/>
      <c r="RUE174" s="537"/>
      <c r="RUF174" s="537"/>
      <c r="RUG174" s="537"/>
      <c r="RUH174" s="537"/>
      <c r="RUI174" s="537"/>
      <c r="RUJ174" s="537"/>
      <c r="RUK174" s="537"/>
      <c r="RUL174" s="537"/>
      <c r="RUM174" s="537"/>
      <c r="RUN174" s="537"/>
      <c r="RUO174" s="537"/>
      <c r="RUP174" s="537"/>
      <c r="RUQ174" s="537"/>
      <c r="RUR174" s="537"/>
      <c r="RUS174" s="537"/>
      <c r="RUT174" s="537"/>
      <c r="RUU174" s="537"/>
      <c r="RUV174" s="537"/>
      <c r="RUW174" s="537"/>
      <c r="RUX174" s="537"/>
      <c r="RUY174" s="537"/>
      <c r="RUZ174" s="537"/>
      <c r="RVA174" s="537"/>
      <c r="RVB174" s="537"/>
      <c r="RVC174" s="537"/>
      <c r="RVD174" s="537"/>
      <c r="RVE174" s="537"/>
      <c r="RVF174" s="537"/>
      <c r="RVG174" s="537"/>
      <c r="RVH174" s="537"/>
      <c r="RVI174" s="537"/>
      <c r="RVJ174" s="537"/>
      <c r="RVK174" s="537"/>
      <c r="RVL174" s="537"/>
      <c r="RVM174" s="537"/>
      <c r="RVN174" s="537"/>
      <c r="RVO174" s="537"/>
      <c r="RVP174" s="537"/>
      <c r="RVQ174" s="537"/>
      <c r="RVR174" s="537"/>
      <c r="RVS174" s="537"/>
      <c r="RVT174" s="537"/>
      <c r="RVU174" s="537"/>
      <c r="RVV174" s="537"/>
      <c r="RVW174" s="537"/>
      <c r="RVX174" s="537"/>
      <c r="RVY174" s="537"/>
      <c r="RVZ174" s="537"/>
      <c r="RWA174" s="537"/>
      <c r="RWB174" s="537"/>
      <c r="RWC174" s="537"/>
      <c r="RWD174" s="537"/>
      <c r="RWE174" s="537"/>
      <c r="RWF174" s="537"/>
      <c r="RWG174" s="537"/>
      <c r="RWH174" s="537"/>
      <c r="RWI174" s="537"/>
      <c r="RWJ174" s="537"/>
      <c r="RWK174" s="537"/>
      <c r="RWL174" s="537"/>
      <c r="RWM174" s="537"/>
      <c r="RWN174" s="537"/>
      <c r="RWO174" s="537"/>
      <c r="RWP174" s="537"/>
      <c r="RWQ174" s="537"/>
      <c r="RWR174" s="537"/>
      <c r="RWS174" s="537"/>
      <c r="RWT174" s="537"/>
      <c r="RWU174" s="537"/>
      <c r="RWV174" s="537"/>
      <c r="RWW174" s="537"/>
      <c r="RWX174" s="537"/>
      <c r="RWY174" s="537"/>
      <c r="RWZ174" s="537"/>
      <c r="RXA174" s="537"/>
      <c r="RXB174" s="537"/>
      <c r="RXC174" s="537"/>
      <c r="RXD174" s="537"/>
      <c r="RXE174" s="537"/>
      <c r="RXF174" s="537"/>
      <c r="RXG174" s="537"/>
      <c r="RXH174" s="537"/>
      <c r="RXI174" s="537"/>
      <c r="RXJ174" s="537"/>
      <c r="RXK174" s="537"/>
      <c r="RXL174" s="537"/>
      <c r="RXM174" s="537"/>
      <c r="RXN174" s="537"/>
      <c r="RXO174" s="537"/>
      <c r="RXP174" s="537"/>
      <c r="RXQ174" s="537"/>
      <c r="RXR174" s="537"/>
      <c r="RXS174" s="537"/>
      <c r="RXT174" s="537"/>
      <c r="RXU174" s="537"/>
      <c r="RXV174" s="537"/>
      <c r="RXW174" s="537"/>
      <c r="RXX174" s="537"/>
      <c r="RXY174" s="537"/>
      <c r="RXZ174" s="537"/>
      <c r="RYA174" s="537"/>
      <c r="RYB174" s="537"/>
      <c r="RYC174" s="537"/>
      <c r="RYD174" s="537"/>
      <c r="RYE174" s="537"/>
      <c r="RYF174" s="537"/>
      <c r="RYG174" s="537"/>
      <c r="RYH174" s="537"/>
      <c r="RYI174" s="537"/>
      <c r="RYJ174" s="537"/>
      <c r="RYK174" s="537"/>
      <c r="RYL174" s="537"/>
      <c r="RYM174" s="537"/>
      <c r="RYN174" s="537"/>
      <c r="RYO174" s="537"/>
      <c r="RYP174" s="537"/>
      <c r="RYQ174" s="537"/>
      <c r="RYR174" s="537"/>
      <c r="RYS174" s="537"/>
      <c r="RYT174" s="537"/>
      <c r="RYU174" s="537"/>
      <c r="RYV174" s="537"/>
      <c r="RYW174" s="537"/>
      <c r="RYX174" s="537"/>
      <c r="RYY174" s="537"/>
      <c r="RYZ174" s="537"/>
      <c r="RZA174" s="537"/>
      <c r="RZB174" s="537"/>
      <c r="RZC174" s="537"/>
      <c r="RZD174" s="537"/>
      <c r="RZE174" s="537"/>
      <c r="RZF174" s="537"/>
      <c r="RZG174" s="537"/>
      <c r="RZH174" s="537"/>
      <c r="RZI174" s="537"/>
      <c r="RZJ174" s="537"/>
      <c r="RZK174" s="537"/>
      <c r="RZL174" s="537"/>
      <c r="RZM174" s="537"/>
      <c r="RZN174" s="537"/>
      <c r="RZO174" s="537"/>
      <c r="RZP174" s="537"/>
      <c r="RZQ174" s="537"/>
      <c r="RZR174" s="537"/>
      <c r="RZS174" s="537"/>
      <c r="RZT174" s="537"/>
      <c r="RZU174" s="537"/>
      <c r="RZV174" s="537"/>
      <c r="RZW174" s="537"/>
      <c r="RZX174" s="537"/>
      <c r="RZY174" s="537"/>
      <c r="RZZ174" s="537"/>
      <c r="SAA174" s="537"/>
      <c r="SAB174" s="537"/>
      <c r="SAC174" s="537"/>
      <c r="SAD174" s="537"/>
      <c r="SAE174" s="537"/>
      <c r="SAF174" s="537"/>
      <c r="SAG174" s="537"/>
      <c r="SAH174" s="537"/>
      <c r="SAI174" s="537"/>
      <c r="SAJ174" s="537"/>
      <c r="SAK174" s="537"/>
      <c r="SAL174" s="537"/>
      <c r="SAM174" s="537"/>
      <c r="SAN174" s="537"/>
      <c r="SAO174" s="537"/>
      <c r="SAP174" s="537"/>
      <c r="SAQ174" s="537"/>
      <c r="SAR174" s="537"/>
      <c r="SAS174" s="537"/>
      <c r="SAT174" s="537"/>
      <c r="SAU174" s="537"/>
      <c r="SAV174" s="537"/>
      <c r="SAW174" s="537"/>
      <c r="SAX174" s="537"/>
      <c r="SAY174" s="537"/>
      <c r="SAZ174" s="537"/>
      <c r="SBA174" s="537"/>
      <c r="SBB174" s="537"/>
      <c r="SBC174" s="537"/>
      <c r="SBD174" s="537"/>
      <c r="SBE174" s="537"/>
      <c r="SBF174" s="537"/>
      <c r="SBG174" s="537"/>
      <c r="SBH174" s="537"/>
      <c r="SBI174" s="537"/>
      <c r="SBJ174" s="537"/>
      <c r="SBK174" s="537"/>
      <c r="SBL174" s="537"/>
      <c r="SBM174" s="537"/>
      <c r="SBN174" s="537"/>
      <c r="SBO174" s="537"/>
      <c r="SBP174" s="537"/>
      <c r="SBQ174" s="537"/>
      <c r="SBR174" s="537"/>
      <c r="SBS174" s="537"/>
      <c r="SBT174" s="537"/>
      <c r="SBU174" s="537"/>
      <c r="SBV174" s="537"/>
      <c r="SBW174" s="537"/>
      <c r="SBX174" s="537"/>
      <c r="SBY174" s="537"/>
      <c r="SBZ174" s="537"/>
      <c r="SCA174" s="537"/>
      <c r="SCB174" s="537"/>
      <c r="SCC174" s="537"/>
      <c r="SCD174" s="537"/>
      <c r="SCE174" s="537"/>
      <c r="SCF174" s="537"/>
      <c r="SCG174" s="537"/>
      <c r="SCH174" s="537"/>
      <c r="SCI174" s="537"/>
      <c r="SCJ174" s="537"/>
      <c r="SCK174" s="537"/>
      <c r="SCL174" s="537"/>
      <c r="SCM174" s="537"/>
      <c r="SCN174" s="537"/>
      <c r="SCO174" s="537"/>
      <c r="SCP174" s="537"/>
      <c r="SCQ174" s="537"/>
      <c r="SCR174" s="537"/>
      <c r="SCS174" s="537"/>
      <c r="SCT174" s="537"/>
      <c r="SCU174" s="537"/>
      <c r="SCV174" s="537"/>
      <c r="SCW174" s="537"/>
      <c r="SCX174" s="537"/>
      <c r="SCY174" s="537"/>
      <c r="SCZ174" s="537"/>
      <c r="SDA174" s="537"/>
      <c r="SDB174" s="537"/>
      <c r="SDC174" s="537"/>
      <c r="SDD174" s="537"/>
      <c r="SDE174" s="537"/>
      <c r="SDF174" s="537"/>
      <c r="SDG174" s="537"/>
      <c r="SDH174" s="537"/>
      <c r="SDI174" s="537"/>
      <c r="SDJ174" s="537"/>
      <c r="SDK174" s="537"/>
      <c r="SDL174" s="537"/>
      <c r="SDM174" s="537"/>
      <c r="SDN174" s="537"/>
      <c r="SDO174" s="537"/>
      <c r="SDP174" s="537"/>
      <c r="SDQ174" s="537"/>
      <c r="SDR174" s="537"/>
      <c r="SDS174" s="537"/>
      <c r="SDT174" s="537"/>
      <c r="SDU174" s="537"/>
      <c r="SDV174" s="537"/>
      <c r="SDW174" s="537"/>
      <c r="SDX174" s="537"/>
      <c r="SDY174" s="537"/>
      <c r="SDZ174" s="537"/>
      <c r="SEA174" s="537"/>
      <c r="SEB174" s="537"/>
      <c r="SEC174" s="537"/>
      <c r="SED174" s="537"/>
      <c r="SEE174" s="537"/>
      <c r="SEF174" s="537"/>
      <c r="SEG174" s="537"/>
      <c r="SEH174" s="537"/>
      <c r="SEI174" s="537"/>
      <c r="SEJ174" s="537"/>
      <c r="SEK174" s="537"/>
      <c r="SEL174" s="537"/>
      <c r="SEM174" s="537"/>
      <c r="SEN174" s="537"/>
      <c r="SEO174" s="537"/>
      <c r="SEP174" s="537"/>
      <c r="SEQ174" s="537"/>
      <c r="SER174" s="537"/>
      <c r="SES174" s="537"/>
      <c r="SET174" s="537"/>
      <c r="SEU174" s="537"/>
      <c r="SEV174" s="537"/>
      <c r="SEW174" s="537"/>
      <c r="SEX174" s="537"/>
      <c r="SEY174" s="537"/>
      <c r="SEZ174" s="537"/>
      <c r="SFA174" s="537"/>
      <c r="SFB174" s="537"/>
      <c r="SFC174" s="537"/>
      <c r="SFD174" s="537"/>
      <c r="SFE174" s="537"/>
      <c r="SFF174" s="537"/>
      <c r="SFG174" s="537"/>
      <c r="SFH174" s="537"/>
      <c r="SFI174" s="537"/>
      <c r="SFJ174" s="537"/>
      <c r="SFK174" s="537"/>
      <c r="SFL174" s="537"/>
      <c r="SFM174" s="537"/>
      <c r="SFN174" s="537"/>
      <c r="SFO174" s="537"/>
      <c r="SFP174" s="537"/>
      <c r="SFQ174" s="537"/>
      <c r="SFR174" s="537"/>
      <c r="SFS174" s="537"/>
      <c r="SFT174" s="537"/>
      <c r="SFU174" s="537"/>
      <c r="SFV174" s="537"/>
      <c r="SFW174" s="537"/>
      <c r="SFX174" s="537"/>
      <c r="SFY174" s="537"/>
      <c r="SFZ174" s="537"/>
      <c r="SGA174" s="537"/>
      <c r="SGB174" s="537"/>
      <c r="SGC174" s="537"/>
      <c r="SGD174" s="537"/>
      <c r="SGE174" s="537"/>
      <c r="SGF174" s="537"/>
      <c r="SGG174" s="537"/>
      <c r="SGH174" s="537"/>
      <c r="SGI174" s="537"/>
      <c r="SGJ174" s="537"/>
      <c r="SGK174" s="537"/>
      <c r="SGL174" s="537"/>
      <c r="SGM174" s="537"/>
      <c r="SGN174" s="537"/>
      <c r="SGO174" s="537"/>
      <c r="SGP174" s="537"/>
      <c r="SGQ174" s="537"/>
      <c r="SGR174" s="537"/>
      <c r="SGS174" s="537"/>
      <c r="SGT174" s="537"/>
      <c r="SGU174" s="537"/>
      <c r="SGV174" s="537"/>
      <c r="SGW174" s="537"/>
      <c r="SGX174" s="537"/>
      <c r="SGY174" s="537"/>
      <c r="SGZ174" s="537"/>
      <c r="SHA174" s="537"/>
      <c r="SHB174" s="537"/>
      <c r="SHC174" s="537"/>
      <c r="SHD174" s="537"/>
      <c r="SHE174" s="537"/>
      <c r="SHF174" s="537"/>
      <c r="SHG174" s="537"/>
      <c r="SHH174" s="537"/>
      <c r="SHI174" s="537"/>
      <c r="SHJ174" s="537"/>
      <c r="SHK174" s="537"/>
      <c r="SHL174" s="537"/>
      <c r="SHM174" s="537"/>
      <c r="SHN174" s="537"/>
      <c r="SHO174" s="537"/>
      <c r="SHP174" s="537"/>
      <c r="SHQ174" s="537"/>
      <c r="SHR174" s="537"/>
      <c r="SHS174" s="537"/>
      <c r="SHT174" s="537"/>
      <c r="SHU174" s="537"/>
      <c r="SHV174" s="537"/>
      <c r="SHW174" s="537"/>
      <c r="SHX174" s="537"/>
      <c r="SHY174" s="537"/>
      <c r="SHZ174" s="537"/>
      <c r="SIA174" s="537"/>
      <c r="SIB174" s="537"/>
      <c r="SIC174" s="537"/>
      <c r="SID174" s="537"/>
      <c r="SIE174" s="537"/>
      <c r="SIF174" s="537"/>
      <c r="SIG174" s="537"/>
      <c r="SIH174" s="537"/>
      <c r="SII174" s="537"/>
      <c r="SIJ174" s="537"/>
      <c r="SIK174" s="537"/>
      <c r="SIL174" s="537"/>
      <c r="SIM174" s="537"/>
      <c r="SIN174" s="537"/>
      <c r="SIO174" s="537"/>
      <c r="SIP174" s="537"/>
      <c r="SIQ174" s="537"/>
      <c r="SIR174" s="537"/>
      <c r="SIS174" s="537"/>
      <c r="SIT174" s="537"/>
      <c r="SIU174" s="537"/>
      <c r="SIV174" s="537"/>
      <c r="SIW174" s="537"/>
      <c r="SIX174" s="537"/>
      <c r="SIY174" s="537"/>
      <c r="SIZ174" s="537"/>
      <c r="SJA174" s="537"/>
      <c r="SJB174" s="537"/>
      <c r="SJC174" s="537"/>
      <c r="SJD174" s="537"/>
      <c r="SJE174" s="537"/>
      <c r="SJF174" s="537"/>
      <c r="SJG174" s="537"/>
      <c r="SJH174" s="537"/>
      <c r="SJI174" s="537"/>
      <c r="SJJ174" s="537"/>
      <c r="SJK174" s="537"/>
      <c r="SJL174" s="537"/>
      <c r="SJM174" s="537"/>
      <c r="SJN174" s="537"/>
      <c r="SJO174" s="537"/>
      <c r="SJP174" s="537"/>
      <c r="SJQ174" s="537"/>
      <c r="SJR174" s="537"/>
      <c r="SJS174" s="537"/>
      <c r="SJT174" s="537"/>
      <c r="SJU174" s="537"/>
      <c r="SJV174" s="537"/>
      <c r="SJW174" s="537"/>
      <c r="SJX174" s="537"/>
      <c r="SJY174" s="537"/>
      <c r="SJZ174" s="537"/>
      <c r="SKA174" s="537"/>
      <c r="SKB174" s="537"/>
      <c r="SKC174" s="537"/>
      <c r="SKD174" s="537"/>
      <c r="SKE174" s="537"/>
      <c r="SKF174" s="537"/>
      <c r="SKG174" s="537"/>
      <c r="SKH174" s="537"/>
      <c r="SKI174" s="537"/>
      <c r="SKJ174" s="537"/>
      <c r="SKK174" s="537"/>
      <c r="SKL174" s="537"/>
      <c r="SKM174" s="537"/>
      <c r="SKN174" s="537"/>
      <c r="SKO174" s="537"/>
      <c r="SKP174" s="537"/>
      <c r="SKQ174" s="537"/>
      <c r="SKR174" s="537"/>
      <c r="SKS174" s="537"/>
      <c r="SKT174" s="537"/>
      <c r="SKU174" s="537"/>
      <c r="SKV174" s="537"/>
      <c r="SKW174" s="537"/>
      <c r="SKX174" s="537"/>
      <c r="SKY174" s="537"/>
      <c r="SKZ174" s="537"/>
      <c r="SLA174" s="537"/>
      <c r="SLB174" s="537"/>
      <c r="SLC174" s="537"/>
      <c r="SLD174" s="537"/>
      <c r="SLE174" s="537"/>
      <c r="SLF174" s="537"/>
      <c r="SLG174" s="537"/>
      <c r="SLH174" s="537"/>
      <c r="SLI174" s="537"/>
      <c r="SLJ174" s="537"/>
      <c r="SLK174" s="537"/>
      <c r="SLL174" s="537"/>
      <c r="SLM174" s="537"/>
      <c r="SLN174" s="537"/>
      <c r="SLO174" s="537"/>
      <c r="SLP174" s="537"/>
      <c r="SLQ174" s="537"/>
      <c r="SLR174" s="537"/>
      <c r="SLS174" s="537"/>
      <c r="SLT174" s="537"/>
      <c r="SLU174" s="537"/>
      <c r="SLV174" s="537"/>
      <c r="SLW174" s="537"/>
      <c r="SLX174" s="537"/>
      <c r="SLY174" s="537"/>
      <c r="SLZ174" s="537"/>
      <c r="SMA174" s="537"/>
      <c r="SMB174" s="537"/>
      <c r="SMC174" s="537"/>
      <c r="SMD174" s="537"/>
      <c r="SME174" s="537"/>
      <c r="SMF174" s="537"/>
      <c r="SMG174" s="537"/>
      <c r="SMH174" s="537"/>
      <c r="SMI174" s="537"/>
      <c r="SMJ174" s="537"/>
      <c r="SMK174" s="537"/>
      <c r="SML174" s="537"/>
      <c r="SMM174" s="537"/>
      <c r="SMN174" s="537"/>
      <c r="SMO174" s="537"/>
      <c r="SMP174" s="537"/>
      <c r="SMQ174" s="537"/>
      <c r="SMR174" s="537"/>
      <c r="SMS174" s="537"/>
      <c r="SMT174" s="537"/>
      <c r="SMU174" s="537"/>
      <c r="SMV174" s="537"/>
      <c r="SMW174" s="537"/>
      <c r="SMX174" s="537"/>
      <c r="SMY174" s="537"/>
      <c r="SMZ174" s="537"/>
      <c r="SNA174" s="537"/>
      <c r="SNB174" s="537"/>
      <c r="SNC174" s="537"/>
      <c r="SND174" s="537"/>
      <c r="SNE174" s="537"/>
      <c r="SNF174" s="537"/>
      <c r="SNG174" s="537"/>
      <c r="SNH174" s="537"/>
      <c r="SNI174" s="537"/>
      <c r="SNJ174" s="537"/>
      <c r="SNK174" s="537"/>
      <c r="SNL174" s="537"/>
      <c r="SNM174" s="537"/>
      <c r="SNN174" s="537"/>
      <c r="SNO174" s="537"/>
      <c r="SNP174" s="537"/>
      <c r="SNQ174" s="537"/>
      <c r="SNR174" s="537"/>
      <c r="SNS174" s="537"/>
      <c r="SNT174" s="537"/>
      <c r="SNU174" s="537"/>
      <c r="SNV174" s="537"/>
      <c r="SNW174" s="537"/>
      <c r="SNX174" s="537"/>
      <c r="SNY174" s="537"/>
      <c r="SNZ174" s="537"/>
      <c r="SOA174" s="537"/>
      <c r="SOB174" s="537"/>
      <c r="SOC174" s="537"/>
      <c r="SOD174" s="537"/>
      <c r="SOE174" s="537"/>
      <c r="SOF174" s="537"/>
      <c r="SOG174" s="537"/>
      <c r="SOH174" s="537"/>
      <c r="SOI174" s="537"/>
      <c r="SOJ174" s="537"/>
      <c r="SOK174" s="537"/>
      <c r="SOL174" s="537"/>
      <c r="SOM174" s="537"/>
      <c r="SON174" s="537"/>
      <c r="SOO174" s="537"/>
      <c r="SOP174" s="537"/>
      <c r="SOQ174" s="537"/>
      <c r="SOR174" s="537"/>
      <c r="SOS174" s="537"/>
      <c r="SOT174" s="537"/>
      <c r="SOU174" s="537"/>
      <c r="SOV174" s="537"/>
      <c r="SOW174" s="537"/>
      <c r="SOX174" s="537"/>
      <c r="SOY174" s="537"/>
      <c r="SOZ174" s="537"/>
      <c r="SPA174" s="537"/>
      <c r="SPB174" s="537"/>
      <c r="SPC174" s="537"/>
      <c r="SPD174" s="537"/>
      <c r="SPE174" s="537"/>
      <c r="SPF174" s="537"/>
      <c r="SPG174" s="537"/>
      <c r="SPH174" s="537"/>
      <c r="SPI174" s="537"/>
      <c r="SPJ174" s="537"/>
      <c r="SPK174" s="537"/>
      <c r="SPL174" s="537"/>
      <c r="SPM174" s="537"/>
      <c r="SPN174" s="537"/>
      <c r="SPO174" s="537"/>
      <c r="SPP174" s="537"/>
      <c r="SPQ174" s="537"/>
      <c r="SPR174" s="537"/>
      <c r="SPS174" s="537"/>
      <c r="SPT174" s="537"/>
      <c r="SPU174" s="537"/>
      <c r="SPV174" s="537"/>
      <c r="SPW174" s="537"/>
      <c r="SPX174" s="537"/>
      <c r="SPY174" s="537"/>
      <c r="SPZ174" s="537"/>
      <c r="SQA174" s="537"/>
      <c r="SQB174" s="537"/>
      <c r="SQC174" s="537"/>
      <c r="SQD174" s="537"/>
      <c r="SQE174" s="537"/>
      <c r="SQF174" s="537"/>
      <c r="SQG174" s="537"/>
      <c r="SQH174" s="537"/>
      <c r="SQI174" s="537"/>
      <c r="SQJ174" s="537"/>
      <c r="SQK174" s="537"/>
      <c r="SQL174" s="537"/>
      <c r="SQM174" s="537"/>
      <c r="SQN174" s="537"/>
      <c r="SQO174" s="537"/>
      <c r="SQP174" s="537"/>
      <c r="SQQ174" s="537"/>
      <c r="SQR174" s="537"/>
      <c r="SQS174" s="537"/>
      <c r="SQT174" s="537"/>
      <c r="SQU174" s="537"/>
      <c r="SQV174" s="537"/>
      <c r="SQW174" s="537"/>
      <c r="SQX174" s="537"/>
      <c r="SQY174" s="537"/>
      <c r="SQZ174" s="537"/>
      <c r="SRA174" s="537"/>
      <c r="SRB174" s="537"/>
      <c r="SRC174" s="537"/>
      <c r="SRD174" s="537"/>
      <c r="SRE174" s="537"/>
      <c r="SRF174" s="537"/>
      <c r="SRG174" s="537"/>
      <c r="SRH174" s="537"/>
      <c r="SRI174" s="537"/>
      <c r="SRJ174" s="537"/>
      <c r="SRK174" s="537"/>
      <c r="SRL174" s="537"/>
      <c r="SRM174" s="537"/>
      <c r="SRN174" s="537"/>
      <c r="SRO174" s="537"/>
      <c r="SRP174" s="537"/>
      <c r="SRQ174" s="537"/>
      <c r="SRR174" s="537"/>
      <c r="SRS174" s="537"/>
      <c r="SRT174" s="537"/>
      <c r="SRU174" s="537"/>
      <c r="SRV174" s="537"/>
      <c r="SRW174" s="537"/>
      <c r="SRX174" s="537"/>
      <c r="SRY174" s="537"/>
      <c r="SRZ174" s="537"/>
      <c r="SSA174" s="537"/>
      <c r="SSB174" s="537"/>
      <c r="SSC174" s="537"/>
      <c r="SSD174" s="537"/>
      <c r="SSE174" s="537"/>
      <c r="SSF174" s="537"/>
      <c r="SSG174" s="537"/>
      <c r="SSH174" s="537"/>
      <c r="SSI174" s="537"/>
      <c r="SSJ174" s="537"/>
      <c r="SSK174" s="537"/>
      <c r="SSL174" s="537"/>
      <c r="SSM174" s="537"/>
      <c r="SSN174" s="537"/>
      <c r="SSO174" s="537"/>
      <c r="SSP174" s="537"/>
      <c r="SSQ174" s="537"/>
      <c r="SSR174" s="537"/>
      <c r="SSS174" s="537"/>
      <c r="SST174" s="537"/>
      <c r="SSU174" s="537"/>
      <c r="SSV174" s="537"/>
      <c r="SSW174" s="537"/>
      <c r="SSX174" s="537"/>
      <c r="SSY174" s="537"/>
      <c r="SSZ174" s="537"/>
      <c r="STA174" s="537"/>
      <c r="STB174" s="537"/>
      <c r="STC174" s="537"/>
      <c r="STD174" s="537"/>
      <c r="STE174" s="537"/>
      <c r="STF174" s="537"/>
      <c r="STG174" s="537"/>
      <c r="STH174" s="537"/>
      <c r="STI174" s="537"/>
      <c r="STJ174" s="537"/>
      <c r="STK174" s="537"/>
      <c r="STL174" s="537"/>
      <c r="STM174" s="537"/>
      <c r="STN174" s="537"/>
      <c r="STO174" s="537"/>
      <c r="STP174" s="537"/>
      <c r="STQ174" s="537"/>
      <c r="STR174" s="537"/>
      <c r="STS174" s="537"/>
      <c r="STT174" s="537"/>
      <c r="STU174" s="537"/>
      <c r="STV174" s="537"/>
      <c r="STW174" s="537"/>
      <c r="STX174" s="537"/>
      <c r="STY174" s="537"/>
      <c r="STZ174" s="537"/>
      <c r="SUA174" s="537"/>
      <c r="SUB174" s="537"/>
      <c r="SUC174" s="537"/>
      <c r="SUD174" s="537"/>
      <c r="SUE174" s="537"/>
      <c r="SUF174" s="537"/>
      <c r="SUG174" s="537"/>
      <c r="SUH174" s="537"/>
      <c r="SUI174" s="537"/>
      <c r="SUJ174" s="537"/>
      <c r="SUK174" s="537"/>
      <c r="SUL174" s="537"/>
      <c r="SUM174" s="537"/>
      <c r="SUN174" s="537"/>
      <c r="SUO174" s="537"/>
      <c r="SUP174" s="537"/>
      <c r="SUQ174" s="537"/>
      <c r="SUR174" s="537"/>
      <c r="SUS174" s="537"/>
      <c r="SUT174" s="537"/>
      <c r="SUU174" s="537"/>
      <c r="SUV174" s="537"/>
      <c r="SUW174" s="537"/>
      <c r="SUX174" s="537"/>
      <c r="SUY174" s="537"/>
      <c r="SUZ174" s="537"/>
      <c r="SVA174" s="537"/>
      <c r="SVB174" s="537"/>
      <c r="SVC174" s="537"/>
      <c r="SVD174" s="537"/>
      <c r="SVE174" s="537"/>
      <c r="SVF174" s="537"/>
      <c r="SVG174" s="537"/>
      <c r="SVH174" s="537"/>
      <c r="SVI174" s="537"/>
      <c r="SVJ174" s="537"/>
      <c r="SVK174" s="537"/>
      <c r="SVL174" s="537"/>
      <c r="SVM174" s="537"/>
      <c r="SVN174" s="537"/>
      <c r="SVO174" s="537"/>
      <c r="SVP174" s="537"/>
      <c r="SVQ174" s="537"/>
      <c r="SVR174" s="537"/>
      <c r="SVS174" s="537"/>
      <c r="SVT174" s="537"/>
      <c r="SVU174" s="537"/>
      <c r="SVV174" s="537"/>
      <c r="SVW174" s="537"/>
      <c r="SVX174" s="537"/>
      <c r="SVY174" s="537"/>
      <c r="SVZ174" s="537"/>
      <c r="SWA174" s="537"/>
      <c r="SWB174" s="537"/>
      <c r="SWC174" s="537"/>
      <c r="SWD174" s="537"/>
      <c r="SWE174" s="537"/>
      <c r="SWF174" s="537"/>
      <c r="SWG174" s="537"/>
      <c r="SWH174" s="537"/>
      <c r="SWI174" s="537"/>
      <c r="SWJ174" s="537"/>
      <c r="SWK174" s="537"/>
      <c r="SWL174" s="537"/>
      <c r="SWM174" s="537"/>
      <c r="SWN174" s="537"/>
      <c r="SWO174" s="537"/>
      <c r="SWP174" s="537"/>
      <c r="SWQ174" s="537"/>
      <c r="SWR174" s="537"/>
      <c r="SWS174" s="537"/>
      <c r="SWT174" s="537"/>
      <c r="SWU174" s="537"/>
      <c r="SWV174" s="537"/>
      <c r="SWW174" s="537"/>
      <c r="SWX174" s="537"/>
      <c r="SWY174" s="537"/>
      <c r="SWZ174" s="537"/>
      <c r="SXA174" s="537"/>
      <c r="SXB174" s="537"/>
      <c r="SXC174" s="537"/>
      <c r="SXD174" s="537"/>
      <c r="SXE174" s="537"/>
      <c r="SXF174" s="537"/>
      <c r="SXG174" s="537"/>
      <c r="SXH174" s="537"/>
      <c r="SXI174" s="537"/>
      <c r="SXJ174" s="537"/>
      <c r="SXK174" s="537"/>
      <c r="SXL174" s="537"/>
      <c r="SXM174" s="537"/>
      <c r="SXN174" s="537"/>
      <c r="SXO174" s="537"/>
      <c r="SXP174" s="537"/>
      <c r="SXQ174" s="537"/>
      <c r="SXR174" s="537"/>
      <c r="SXS174" s="537"/>
      <c r="SXT174" s="537"/>
      <c r="SXU174" s="537"/>
      <c r="SXV174" s="537"/>
      <c r="SXW174" s="537"/>
      <c r="SXX174" s="537"/>
      <c r="SXY174" s="537"/>
      <c r="SXZ174" s="537"/>
      <c r="SYA174" s="537"/>
      <c r="SYB174" s="537"/>
      <c r="SYC174" s="537"/>
      <c r="SYD174" s="537"/>
      <c r="SYE174" s="537"/>
      <c r="SYF174" s="537"/>
      <c r="SYG174" s="537"/>
      <c r="SYH174" s="537"/>
      <c r="SYI174" s="537"/>
      <c r="SYJ174" s="537"/>
      <c r="SYK174" s="537"/>
      <c r="SYL174" s="537"/>
      <c r="SYM174" s="537"/>
      <c r="SYN174" s="537"/>
      <c r="SYO174" s="537"/>
      <c r="SYP174" s="537"/>
      <c r="SYQ174" s="537"/>
      <c r="SYR174" s="537"/>
      <c r="SYS174" s="537"/>
      <c r="SYT174" s="537"/>
      <c r="SYU174" s="537"/>
      <c r="SYV174" s="537"/>
      <c r="SYW174" s="537"/>
      <c r="SYX174" s="537"/>
      <c r="SYY174" s="537"/>
      <c r="SYZ174" s="537"/>
      <c r="SZA174" s="537"/>
      <c r="SZB174" s="537"/>
      <c r="SZC174" s="537"/>
      <c r="SZD174" s="537"/>
      <c r="SZE174" s="537"/>
      <c r="SZF174" s="537"/>
      <c r="SZG174" s="537"/>
      <c r="SZH174" s="537"/>
      <c r="SZI174" s="537"/>
      <c r="SZJ174" s="537"/>
      <c r="SZK174" s="537"/>
      <c r="SZL174" s="537"/>
      <c r="SZM174" s="537"/>
      <c r="SZN174" s="537"/>
      <c r="SZO174" s="537"/>
      <c r="SZP174" s="537"/>
      <c r="SZQ174" s="537"/>
      <c r="SZR174" s="537"/>
      <c r="SZS174" s="537"/>
      <c r="SZT174" s="537"/>
      <c r="SZU174" s="537"/>
      <c r="SZV174" s="537"/>
      <c r="SZW174" s="537"/>
      <c r="SZX174" s="537"/>
      <c r="SZY174" s="537"/>
      <c r="SZZ174" s="537"/>
      <c r="TAA174" s="537"/>
      <c r="TAB174" s="537"/>
      <c r="TAC174" s="537"/>
      <c r="TAD174" s="537"/>
      <c r="TAE174" s="537"/>
      <c r="TAF174" s="537"/>
      <c r="TAG174" s="537"/>
      <c r="TAH174" s="537"/>
      <c r="TAI174" s="537"/>
      <c r="TAJ174" s="537"/>
      <c r="TAK174" s="537"/>
      <c r="TAL174" s="537"/>
      <c r="TAM174" s="537"/>
      <c r="TAN174" s="537"/>
      <c r="TAO174" s="537"/>
      <c r="TAP174" s="537"/>
      <c r="TAQ174" s="537"/>
      <c r="TAR174" s="537"/>
      <c r="TAS174" s="537"/>
      <c r="TAT174" s="537"/>
      <c r="TAU174" s="537"/>
      <c r="TAV174" s="537"/>
      <c r="TAW174" s="537"/>
      <c r="TAX174" s="537"/>
      <c r="TAY174" s="537"/>
      <c r="TAZ174" s="537"/>
      <c r="TBA174" s="537"/>
      <c r="TBB174" s="537"/>
      <c r="TBC174" s="537"/>
      <c r="TBD174" s="537"/>
      <c r="TBE174" s="537"/>
      <c r="TBF174" s="537"/>
      <c r="TBG174" s="537"/>
      <c r="TBH174" s="537"/>
      <c r="TBI174" s="537"/>
      <c r="TBJ174" s="537"/>
      <c r="TBK174" s="537"/>
      <c r="TBL174" s="537"/>
      <c r="TBM174" s="537"/>
      <c r="TBN174" s="537"/>
      <c r="TBO174" s="537"/>
      <c r="TBP174" s="537"/>
      <c r="TBQ174" s="537"/>
      <c r="TBR174" s="537"/>
      <c r="TBS174" s="537"/>
      <c r="TBT174" s="537"/>
      <c r="TBU174" s="537"/>
      <c r="TBV174" s="537"/>
      <c r="TBW174" s="537"/>
      <c r="TBX174" s="537"/>
      <c r="TBY174" s="537"/>
      <c r="TBZ174" s="537"/>
      <c r="TCA174" s="537"/>
      <c r="TCB174" s="537"/>
      <c r="TCC174" s="537"/>
      <c r="TCD174" s="537"/>
      <c r="TCE174" s="537"/>
      <c r="TCF174" s="537"/>
      <c r="TCG174" s="537"/>
      <c r="TCH174" s="537"/>
      <c r="TCI174" s="537"/>
      <c r="TCJ174" s="537"/>
      <c r="TCK174" s="537"/>
      <c r="TCL174" s="537"/>
      <c r="TCM174" s="537"/>
      <c r="TCN174" s="537"/>
      <c r="TCO174" s="537"/>
      <c r="TCP174" s="537"/>
      <c r="TCQ174" s="537"/>
      <c r="TCR174" s="537"/>
      <c r="TCS174" s="537"/>
      <c r="TCT174" s="537"/>
      <c r="TCU174" s="537"/>
      <c r="TCV174" s="537"/>
      <c r="TCW174" s="537"/>
      <c r="TCX174" s="537"/>
      <c r="TCY174" s="537"/>
      <c r="TCZ174" s="537"/>
      <c r="TDA174" s="537"/>
      <c r="TDB174" s="537"/>
      <c r="TDC174" s="537"/>
      <c r="TDD174" s="537"/>
      <c r="TDE174" s="537"/>
      <c r="TDF174" s="537"/>
      <c r="TDG174" s="537"/>
      <c r="TDH174" s="537"/>
      <c r="TDI174" s="537"/>
      <c r="TDJ174" s="537"/>
      <c r="TDK174" s="537"/>
      <c r="TDL174" s="537"/>
      <c r="TDM174" s="537"/>
      <c r="TDN174" s="537"/>
      <c r="TDO174" s="537"/>
      <c r="TDP174" s="537"/>
      <c r="TDQ174" s="537"/>
      <c r="TDR174" s="537"/>
      <c r="TDS174" s="537"/>
      <c r="TDT174" s="537"/>
      <c r="TDU174" s="537"/>
      <c r="TDV174" s="537"/>
      <c r="TDW174" s="537"/>
      <c r="TDX174" s="537"/>
      <c r="TDY174" s="537"/>
      <c r="TDZ174" s="537"/>
      <c r="TEA174" s="537"/>
      <c r="TEB174" s="537"/>
      <c r="TEC174" s="537"/>
      <c r="TED174" s="537"/>
      <c r="TEE174" s="537"/>
      <c r="TEF174" s="537"/>
      <c r="TEG174" s="537"/>
      <c r="TEH174" s="537"/>
      <c r="TEI174" s="537"/>
      <c r="TEJ174" s="537"/>
      <c r="TEK174" s="537"/>
      <c r="TEL174" s="537"/>
      <c r="TEM174" s="537"/>
      <c r="TEN174" s="537"/>
      <c r="TEO174" s="537"/>
      <c r="TEP174" s="537"/>
      <c r="TEQ174" s="537"/>
      <c r="TER174" s="537"/>
      <c r="TES174" s="537"/>
      <c r="TET174" s="537"/>
      <c r="TEU174" s="537"/>
      <c r="TEV174" s="537"/>
      <c r="TEW174" s="537"/>
      <c r="TEX174" s="537"/>
      <c r="TEY174" s="537"/>
      <c r="TEZ174" s="537"/>
      <c r="TFA174" s="537"/>
      <c r="TFB174" s="537"/>
      <c r="TFC174" s="537"/>
      <c r="TFD174" s="537"/>
      <c r="TFE174" s="537"/>
      <c r="TFF174" s="537"/>
      <c r="TFG174" s="537"/>
      <c r="TFH174" s="537"/>
      <c r="TFI174" s="537"/>
      <c r="TFJ174" s="537"/>
      <c r="TFK174" s="537"/>
      <c r="TFL174" s="537"/>
      <c r="TFM174" s="537"/>
      <c r="TFN174" s="537"/>
      <c r="TFO174" s="537"/>
      <c r="TFP174" s="537"/>
      <c r="TFQ174" s="537"/>
      <c r="TFR174" s="537"/>
      <c r="TFS174" s="537"/>
      <c r="TFT174" s="537"/>
      <c r="TFU174" s="537"/>
      <c r="TFV174" s="537"/>
      <c r="TFW174" s="537"/>
      <c r="TFX174" s="537"/>
      <c r="TFY174" s="537"/>
      <c r="TFZ174" s="537"/>
      <c r="TGA174" s="537"/>
      <c r="TGB174" s="537"/>
      <c r="TGC174" s="537"/>
      <c r="TGD174" s="537"/>
      <c r="TGE174" s="537"/>
      <c r="TGF174" s="537"/>
      <c r="TGG174" s="537"/>
      <c r="TGH174" s="537"/>
      <c r="TGI174" s="537"/>
      <c r="TGJ174" s="537"/>
      <c r="TGK174" s="537"/>
      <c r="TGL174" s="537"/>
      <c r="TGM174" s="537"/>
      <c r="TGN174" s="537"/>
      <c r="TGO174" s="537"/>
      <c r="TGP174" s="537"/>
      <c r="TGQ174" s="537"/>
      <c r="TGR174" s="537"/>
      <c r="TGS174" s="537"/>
      <c r="TGT174" s="537"/>
      <c r="TGU174" s="537"/>
      <c r="TGV174" s="537"/>
      <c r="TGW174" s="537"/>
      <c r="TGX174" s="537"/>
      <c r="TGY174" s="537"/>
      <c r="TGZ174" s="537"/>
      <c r="THA174" s="537"/>
      <c r="THB174" s="537"/>
      <c r="THC174" s="537"/>
      <c r="THD174" s="537"/>
      <c r="THE174" s="537"/>
      <c r="THF174" s="537"/>
      <c r="THG174" s="537"/>
      <c r="THH174" s="537"/>
      <c r="THI174" s="537"/>
      <c r="THJ174" s="537"/>
      <c r="THK174" s="537"/>
      <c r="THL174" s="537"/>
      <c r="THM174" s="537"/>
      <c r="THN174" s="537"/>
      <c r="THO174" s="537"/>
      <c r="THP174" s="537"/>
      <c r="THQ174" s="537"/>
      <c r="THR174" s="537"/>
      <c r="THS174" s="537"/>
      <c r="THT174" s="537"/>
      <c r="THU174" s="537"/>
      <c r="THV174" s="537"/>
      <c r="THW174" s="537"/>
      <c r="THX174" s="537"/>
      <c r="THY174" s="537"/>
      <c r="THZ174" s="537"/>
      <c r="TIA174" s="537"/>
      <c r="TIB174" s="537"/>
      <c r="TIC174" s="537"/>
      <c r="TID174" s="537"/>
      <c r="TIE174" s="537"/>
      <c r="TIF174" s="537"/>
      <c r="TIG174" s="537"/>
      <c r="TIH174" s="537"/>
      <c r="TII174" s="537"/>
      <c r="TIJ174" s="537"/>
      <c r="TIK174" s="537"/>
      <c r="TIL174" s="537"/>
      <c r="TIM174" s="537"/>
      <c r="TIN174" s="537"/>
      <c r="TIO174" s="537"/>
      <c r="TIP174" s="537"/>
      <c r="TIQ174" s="537"/>
      <c r="TIR174" s="537"/>
      <c r="TIS174" s="537"/>
      <c r="TIT174" s="537"/>
      <c r="TIU174" s="537"/>
      <c r="TIV174" s="537"/>
      <c r="TIW174" s="537"/>
      <c r="TIX174" s="537"/>
      <c r="TIY174" s="537"/>
      <c r="TIZ174" s="537"/>
      <c r="TJA174" s="537"/>
      <c r="TJB174" s="537"/>
      <c r="TJC174" s="537"/>
      <c r="TJD174" s="537"/>
      <c r="TJE174" s="537"/>
      <c r="TJF174" s="537"/>
      <c r="TJG174" s="537"/>
      <c r="TJH174" s="537"/>
      <c r="TJI174" s="537"/>
      <c r="TJJ174" s="537"/>
      <c r="TJK174" s="537"/>
      <c r="TJL174" s="537"/>
      <c r="TJM174" s="537"/>
      <c r="TJN174" s="537"/>
      <c r="TJO174" s="537"/>
      <c r="TJP174" s="537"/>
      <c r="TJQ174" s="537"/>
      <c r="TJR174" s="537"/>
      <c r="TJS174" s="537"/>
      <c r="TJT174" s="537"/>
      <c r="TJU174" s="537"/>
      <c r="TJV174" s="537"/>
      <c r="TJW174" s="537"/>
      <c r="TJX174" s="537"/>
      <c r="TJY174" s="537"/>
      <c r="TJZ174" s="537"/>
      <c r="TKA174" s="537"/>
      <c r="TKB174" s="537"/>
      <c r="TKC174" s="537"/>
      <c r="TKD174" s="537"/>
      <c r="TKE174" s="537"/>
      <c r="TKF174" s="537"/>
      <c r="TKG174" s="537"/>
      <c r="TKH174" s="537"/>
      <c r="TKI174" s="537"/>
      <c r="TKJ174" s="537"/>
      <c r="TKK174" s="537"/>
      <c r="TKL174" s="537"/>
      <c r="TKM174" s="537"/>
      <c r="TKN174" s="537"/>
      <c r="TKO174" s="537"/>
      <c r="TKP174" s="537"/>
      <c r="TKQ174" s="537"/>
      <c r="TKR174" s="537"/>
      <c r="TKS174" s="537"/>
      <c r="TKT174" s="537"/>
      <c r="TKU174" s="537"/>
      <c r="TKV174" s="537"/>
      <c r="TKW174" s="537"/>
      <c r="TKX174" s="537"/>
      <c r="TKY174" s="537"/>
      <c r="TKZ174" s="537"/>
      <c r="TLA174" s="537"/>
      <c r="TLB174" s="537"/>
      <c r="TLC174" s="537"/>
      <c r="TLD174" s="537"/>
      <c r="TLE174" s="537"/>
      <c r="TLF174" s="537"/>
      <c r="TLG174" s="537"/>
      <c r="TLH174" s="537"/>
      <c r="TLI174" s="537"/>
      <c r="TLJ174" s="537"/>
      <c r="TLK174" s="537"/>
      <c r="TLL174" s="537"/>
      <c r="TLM174" s="537"/>
      <c r="TLN174" s="537"/>
      <c r="TLO174" s="537"/>
      <c r="TLP174" s="537"/>
      <c r="TLQ174" s="537"/>
      <c r="TLR174" s="537"/>
      <c r="TLS174" s="537"/>
      <c r="TLT174" s="537"/>
      <c r="TLU174" s="537"/>
      <c r="TLV174" s="537"/>
      <c r="TLW174" s="537"/>
      <c r="TLX174" s="537"/>
      <c r="TLY174" s="537"/>
      <c r="TLZ174" s="537"/>
      <c r="TMA174" s="537"/>
      <c r="TMB174" s="537"/>
      <c r="TMC174" s="537"/>
      <c r="TMD174" s="537"/>
      <c r="TME174" s="537"/>
      <c r="TMF174" s="537"/>
      <c r="TMG174" s="537"/>
      <c r="TMH174" s="537"/>
      <c r="TMI174" s="537"/>
      <c r="TMJ174" s="537"/>
      <c r="TMK174" s="537"/>
      <c r="TML174" s="537"/>
      <c r="TMM174" s="537"/>
      <c r="TMN174" s="537"/>
      <c r="TMO174" s="537"/>
      <c r="TMP174" s="537"/>
      <c r="TMQ174" s="537"/>
      <c r="TMR174" s="537"/>
      <c r="TMS174" s="537"/>
      <c r="TMT174" s="537"/>
      <c r="TMU174" s="537"/>
      <c r="TMV174" s="537"/>
      <c r="TMW174" s="537"/>
      <c r="TMX174" s="537"/>
      <c r="TMY174" s="537"/>
      <c r="TMZ174" s="537"/>
      <c r="TNA174" s="537"/>
      <c r="TNB174" s="537"/>
      <c r="TNC174" s="537"/>
      <c r="TND174" s="537"/>
      <c r="TNE174" s="537"/>
      <c r="TNF174" s="537"/>
      <c r="TNG174" s="537"/>
      <c r="TNH174" s="537"/>
      <c r="TNI174" s="537"/>
      <c r="TNJ174" s="537"/>
      <c r="TNK174" s="537"/>
      <c r="TNL174" s="537"/>
      <c r="TNM174" s="537"/>
      <c r="TNN174" s="537"/>
      <c r="TNO174" s="537"/>
      <c r="TNP174" s="537"/>
      <c r="TNQ174" s="537"/>
      <c r="TNR174" s="537"/>
      <c r="TNS174" s="537"/>
      <c r="TNT174" s="537"/>
      <c r="TNU174" s="537"/>
      <c r="TNV174" s="537"/>
      <c r="TNW174" s="537"/>
      <c r="TNX174" s="537"/>
      <c r="TNY174" s="537"/>
      <c r="TNZ174" s="537"/>
      <c r="TOA174" s="537"/>
      <c r="TOB174" s="537"/>
      <c r="TOC174" s="537"/>
      <c r="TOD174" s="537"/>
      <c r="TOE174" s="537"/>
      <c r="TOF174" s="537"/>
      <c r="TOG174" s="537"/>
      <c r="TOH174" s="537"/>
      <c r="TOI174" s="537"/>
      <c r="TOJ174" s="537"/>
      <c r="TOK174" s="537"/>
      <c r="TOL174" s="537"/>
      <c r="TOM174" s="537"/>
      <c r="TON174" s="537"/>
      <c r="TOO174" s="537"/>
      <c r="TOP174" s="537"/>
      <c r="TOQ174" s="537"/>
      <c r="TOR174" s="537"/>
      <c r="TOS174" s="537"/>
      <c r="TOT174" s="537"/>
      <c r="TOU174" s="537"/>
      <c r="TOV174" s="537"/>
      <c r="TOW174" s="537"/>
      <c r="TOX174" s="537"/>
      <c r="TOY174" s="537"/>
      <c r="TOZ174" s="537"/>
      <c r="TPA174" s="537"/>
      <c r="TPB174" s="537"/>
      <c r="TPC174" s="537"/>
      <c r="TPD174" s="537"/>
      <c r="TPE174" s="537"/>
      <c r="TPF174" s="537"/>
      <c r="TPG174" s="537"/>
      <c r="TPH174" s="537"/>
      <c r="TPI174" s="537"/>
      <c r="TPJ174" s="537"/>
      <c r="TPK174" s="537"/>
      <c r="TPL174" s="537"/>
      <c r="TPM174" s="537"/>
      <c r="TPN174" s="537"/>
      <c r="TPO174" s="537"/>
      <c r="TPP174" s="537"/>
      <c r="TPQ174" s="537"/>
      <c r="TPR174" s="537"/>
      <c r="TPS174" s="537"/>
      <c r="TPT174" s="537"/>
      <c r="TPU174" s="537"/>
      <c r="TPV174" s="537"/>
      <c r="TPW174" s="537"/>
      <c r="TPX174" s="537"/>
      <c r="TPY174" s="537"/>
      <c r="TPZ174" s="537"/>
      <c r="TQA174" s="537"/>
      <c r="TQB174" s="537"/>
      <c r="TQC174" s="537"/>
      <c r="TQD174" s="537"/>
      <c r="TQE174" s="537"/>
      <c r="TQF174" s="537"/>
      <c r="TQG174" s="537"/>
      <c r="TQH174" s="537"/>
      <c r="TQI174" s="537"/>
      <c r="TQJ174" s="537"/>
      <c r="TQK174" s="537"/>
      <c r="TQL174" s="537"/>
      <c r="TQM174" s="537"/>
      <c r="TQN174" s="537"/>
      <c r="TQO174" s="537"/>
      <c r="TQP174" s="537"/>
      <c r="TQQ174" s="537"/>
      <c r="TQR174" s="537"/>
      <c r="TQS174" s="537"/>
      <c r="TQT174" s="537"/>
      <c r="TQU174" s="537"/>
      <c r="TQV174" s="537"/>
      <c r="TQW174" s="537"/>
      <c r="TQX174" s="537"/>
      <c r="TQY174" s="537"/>
      <c r="TQZ174" s="537"/>
      <c r="TRA174" s="537"/>
      <c r="TRB174" s="537"/>
      <c r="TRC174" s="537"/>
      <c r="TRD174" s="537"/>
      <c r="TRE174" s="537"/>
      <c r="TRF174" s="537"/>
      <c r="TRG174" s="537"/>
      <c r="TRH174" s="537"/>
      <c r="TRI174" s="537"/>
      <c r="TRJ174" s="537"/>
      <c r="TRK174" s="537"/>
      <c r="TRL174" s="537"/>
      <c r="TRM174" s="537"/>
      <c r="TRN174" s="537"/>
      <c r="TRO174" s="537"/>
      <c r="TRP174" s="537"/>
      <c r="TRQ174" s="537"/>
      <c r="TRR174" s="537"/>
      <c r="TRS174" s="537"/>
      <c r="TRT174" s="537"/>
      <c r="TRU174" s="537"/>
      <c r="TRV174" s="537"/>
      <c r="TRW174" s="537"/>
      <c r="TRX174" s="537"/>
      <c r="TRY174" s="537"/>
      <c r="TRZ174" s="537"/>
      <c r="TSA174" s="537"/>
      <c r="TSB174" s="537"/>
      <c r="TSC174" s="537"/>
      <c r="TSD174" s="537"/>
      <c r="TSE174" s="537"/>
      <c r="TSF174" s="537"/>
      <c r="TSG174" s="537"/>
      <c r="TSH174" s="537"/>
      <c r="TSI174" s="537"/>
      <c r="TSJ174" s="537"/>
      <c r="TSK174" s="537"/>
      <c r="TSL174" s="537"/>
      <c r="TSM174" s="537"/>
      <c r="TSN174" s="537"/>
      <c r="TSO174" s="537"/>
      <c r="TSP174" s="537"/>
      <c r="TSQ174" s="537"/>
      <c r="TSR174" s="537"/>
      <c r="TSS174" s="537"/>
      <c r="TST174" s="537"/>
      <c r="TSU174" s="537"/>
      <c r="TSV174" s="537"/>
      <c r="TSW174" s="537"/>
      <c r="TSX174" s="537"/>
      <c r="TSY174" s="537"/>
      <c r="TSZ174" s="537"/>
      <c r="TTA174" s="537"/>
      <c r="TTB174" s="537"/>
      <c r="TTC174" s="537"/>
      <c r="TTD174" s="537"/>
      <c r="TTE174" s="537"/>
      <c r="TTF174" s="537"/>
      <c r="TTG174" s="537"/>
      <c r="TTH174" s="537"/>
      <c r="TTI174" s="537"/>
      <c r="TTJ174" s="537"/>
      <c r="TTK174" s="537"/>
      <c r="TTL174" s="537"/>
      <c r="TTM174" s="537"/>
      <c r="TTN174" s="537"/>
      <c r="TTO174" s="537"/>
      <c r="TTP174" s="537"/>
      <c r="TTQ174" s="537"/>
      <c r="TTR174" s="537"/>
      <c r="TTS174" s="537"/>
      <c r="TTT174" s="537"/>
      <c r="TTU174" s="537"/>
      <c r="TTV174" s="537"/>
      <c r="TTW174" s="537"/>
      <c r="TTX174" s="537"/>
      <c r="TTY174" s="537"/>
      <c r="TTZ174" s="537"/>
      <c r="TUA174" s="537"/>
      <c r="TUB174" s="537"/>
      <c r="TUC174" s="537"/>
      <c r="TUD174" s="537"/>
      <c r="TUE174" s="537"/>
      <c r="TUF174" s="537"/>
      <c r="TUG174" s="537"/>
      <c r="TUH174" s="537"/>
      <c r="TUI174" s="537"/>
      <c r="TUJ174" s="537"/>
      <c r="TUK174" s="537"/>
      <c r="TUL174" s="537"/>
      <c r="TUM174" s="537"/>
      <c r="TUN174" s="537"/>
      <c r="TUO174" s="537"/>
      <c r="TUP174" s="537"/>
      <c r="TUQ174" s="537"/>
      <c r="TUR174" s="537"/>
      <c r="TUS174" s="537"/>
      <c r="TUT174" s="537"/>
      <c r="TUU174" s="537"/>
      <c r="TUV174" s="537"/>
      <c r="TUW174" s="537"/>
      <c r="TUX174" s="537"/>
      <c r="TUY174" s="537"/>
      <c r="TUZ174" s="537"/>
      <c r="TVA174" s="537"/>
      <c r="TVB174" s="537"/>
      <c r="TVC174" s="537"/>
      <c r="TVD174" s="537"/>
      <c r="TVE174" s="537"/>
      <c r="TVF174" s="537"/>
      <c r="TVG174" s="537"/>
      <c r="TVH174" s="537"/>
      <c r="TVI174" s="537"/>
      <c r="TVJ174" s="537"/>
      <c r="TVK174" s="537"/>
      <c r="TVL174" s="537"/>
      <c r="TVM174" s="537"/>
      <c r="TVN174" s="537"/>
      <c r="TVO174" s="537"/>
      <c r="TVP174" s="537"/>
      <c r="TVQ174" s="537"/>
      <c r="TVR174" s="537"/>
      <c r="TVS174" s="537"/>
      <c r="TVT174" s="537"/>
      <c r="TVU174" s="537"/>
      <c r="TVV174" s="537"/>
      <c r="TVW174" s="537"/>
      <c r="TVX174" s="537"/>
      <c r="TVY174" s="537"/>
      <c r="TVZ174" s="537"/>
      <c r="TWA174" s="537"/>
      <c r="TWB174" s="537"/>
      <c r="TWC174" s="537"/>
      <c r="TWD174" s="537"/>
      <c r="TWE174" s="537"/>
      <c r="TWF174" s="537"/>
      <c r="TWG174" s="537"/>
      <c r="TWH174" s="537"/>
      <c r="TWI174" s="537"/>
      <c r="TWJ174" s="537"/>
      <c r="TWK174" s="537"/>
      <c r="TWL174" s="537"/>
      <c r="TWM174" s="537"/>
      <c r="TWN174" s="537"/>
      <c r="TWO174" s="537"/>
      <c r="TWP174" s="537"/>
      <c r="TWQ174" s="537"/>
      <c r="TWR174" s="537"/>
      <c r="TWS174" s="537"/>
      <c r="TWT174" s="537"/>
      <c r="TWU174" s="537"/>
      <c r="TWV174" s="537"/>
      <c r="TWW174" s="537"/>
      <c r="TWX174" s="537"/>
      <c r="TWY174" s="537"/>
      <c r="TWZ174" s="537"/>
      <c r="TXA174" s="537"/>
      <c r="TXB174" s="537"/>
      <c r="TXC174" s="537"/>
      <c r="TXD174" s="537"/>
      <c r="TXE174" s="537"/>
      <c r="TXF174" s="537"/>
      <c r="TXG174" s="537"/>
      <c r="TXH174" s="537"/>
      <c r="TXI174" s="537"/>
      <c r="TXJ174" s="537"/>
      <c r="TXK174" s="537"/>
      <c r="TXL174" s="537"/>
      <c r="TXM174" s="537"/>
      <c r="TXN174" s="537"/>
      <c r="TXO174" s="537"/>
      <c r="TXP174" s="537"/>
      <c r="TXQ174" s="537"/>
      <c r="TXR174" s="537"/>
      <c r="TXS174" s="537"/>
      <c r="TXT174" s="537"/>
      <c r="TXU174" s="537"/>
      <c r="TXV174" s="537"/>
      <c r="TXW174" s="537"/>
      <c r="TXX174" s="537"/>
      <c r="TXY174" s="537"/>
      <c r="TXZ174" s="537"/>
      <c r="TYA174" s="537"/>
      <c r="TYB174" s="537"/>
      <c r="TYC174" s="537"/>
      <c r="TYD174" s="537"/>
      <c r="TYE174" s="537"/>
      <c r="TYF174" s="537"/>
      <c r="TYG174" s="537"/>
      <c r="TYH174" s="537"/>
      <c r="TYI174" s="537"/>
      <c r="TYJ174" s="537"/>
      <c r="TYK174" s="537"/>
      <c r="TYL174" s="537"/>
      <c r="TYM174" s="537"/>
      <c r="TYN174" s="537"/>
      <c r="TYO174" s="537"/>
      <c r="TYP174" s="537"/>
      <c r="TYQ174" s="537"/>
      <c r="TYR174" s="537"/>
      <c r="TYS174" s="537"/>
      <c r="TYT174" s="537"/>
      <c r="TYU174" s="537"/>
      <c r="TYV174" s="537"/>
      <c r="TYW174" s="537"/>
      <c r="TYX174" s="537"/>
      <c r="TYY174" s="537"/>
      <c r="TYZ174" s="537"/>
      <c r="TZA174" s="537"/>
      <c r="TZB174" s="537"/>
      <c r="TZC174" s="537"/>
      <c r="TZD174" s="537"/>
      <c r="TZE174" s="537"/>
      <c r="TZF174" s="537"/>
      <c r="TZG174" s="537"/>
      <c r="TZH174" s="537"/>
      <c r="TZI174" s="537"/>
      <c r="TZJ174" s="537"/>
      <c r="TZK174" s="537"/>
      <c r="TZL174" s="537"/>
      <c r="TZM174" s="537"/>
      <c r="TZN174" s="537"/>
      <c r="TZO174" s="537"/>
      <c r="TZP174" s="537"/>
      <c r="TZQ174" s="537"/>
      <c r="TZR174" s="537"/>
      <c r="TZS174" s="537"/>
      <c r="TZT174" s="537"/>
      <c r="TZU174" s="537"/>
      <c r="TZV174" s="537"/>
      <c r="TZW174" s="537"/>
      <c r="TZX174" s="537"/>
      <c r="TZY174" s="537"/>
      <c r="TZZ174" s="537"/>
      <c r="UAA174" s="537"/>
      <c r="UAB174" s="537"/>
      <c r="UAC174" s="537"/>
      <c r="UAD174" s="537"/>
      <c r="UAE174" s="537"/>
      <c r="UAF174" s="537"/>
      <c r="UAG174" s="537"/>
      <c r="UAH174" s="537"/>
      <c r="UAI174" s="537"/>
      <c r="UAJ174" s="537"/>
      <c r="UAK174" s="537"/>
      <c r="UAL174" s="537"/>
      <c r="UAM174" s="537"/>
      <c r="UAN174" s="537"/>
      <c r="UAO174" s="537"/>
      <c r="UAP174" s="537"/>
      <c r="UAQ174" s="537"/>
      <c r="UAR174" s="537"/>
      <c r="UAS174" s="537"/>
      <c r="UAT174" s="537"/>
      <c r="UAU174" s="537"/>
      <c r="UAV174" s="537"/>
      <c r="UAW174" s="537"/>
      <c r="UAX174" s="537"/>
      <c r="UAY174" s="537"/>
      <c r="UAZ174" s="537"/>
      <c r="UBA174" s="537"/>
      <c r="UBB174" s="537"/>
      <c r="UBC174" s="537"/>
      <c r="UBD174" s="537"/>
      <c r="UBE174" s="537"/>
      <c r="UBF174" s="537"/>
      <c r="UBG174" s="537"/>
      <c r="UBH174" s="537"/>
      <c r="UBI174" s="537"/>
      <c r="UBJ174" s="537"/>
      <c r="UBK174" s="537"/>
      <c r="UBL174" s="537"/>
      <c r="UBM174" s="537"/>
      <c r="UBN174" s="537"/>
      <c r="UBO174" s="537"/>
      <c r="UBP174" s="537"/>
      <c r="UBQ174" s="537"/>
      <c r="UBR174" s="537"/>
      <c r="UBS174" s="537"/>
      <c r="UBT174" s="537"/>
      <c r="UBU174" s="537"/>
      <c r="UBV174" s="537"/>
      <c r="UBW174" s="537"/>
      <c r="UBX174" s="537"/>
      <c r="UBY174" s="537"/>
      <c r="UBZ174" s="537"/>
      <c r="UCA174" s="537"/>
      <c r="UCB174" s="537"/>
      <c r="UCC174" s="537"/>
      <c r="UCD174" s="537"/>
      <c r="UCE174" s="537"/>
      <c r="UCF174" s="537"/>
      <c r="UCG174" s="537"/>
      <c r="UCH174" s="537"/>
      <c r="UCI174" s="537"/>
      <c r="UCJ174" s="537"/>
      <c r="UCK174" s="537"/>
      <c r="UCL174" s="537"/>
      <c r="UCM174" s="537"/>
      <c r="UCN174" s="537"/>
      <c r="UCO174" s="537"/>
      <c r="UCP174" s="537"/>
      <c r="UCQ174" s="537"/>
      <c r="UCR174" s="537"/>
      <c r="UCS174" s="537"/>
      <c r="UCT174" s="537"/>
      <c r="UCU174" s="537"/>
      <c r="UCV174" s="537"/>
      <c r="UCW174" s="537"/>
      <c r="UCX174" s="537"/>
      <c r="UCY174" s="537"/>
      <c r="UCZ174" s="537"/>
      <c r="UDA174" s="537"/>
      <c r="UDB174" s="537"/>
      <c r="UDC174" s="537"/>
      <c r="UDD174" s="537"/>
      <c r="UDE174" s="537"/>
      <c r="UDF174" s="537"/>
      <c r="UDG174" s="537"/>
      <c r="UDH174" s="537"/>
      <c r="UDI174" s="537"/>
      <c r="UDJ174" s="537"/>
      <c r="UDK174" s="537"/>
      <c r="UDL174" s="537"/>
      <c r="UDM174" s="537"/>
      <c r="UDN174" s="537"/>
      <c r="UDO174" s="537"/>
      <c r="UDP174" s="537"/>
      <c r="UDQ174" s="537"/>
      <c r="UDR174" s="537"/>
      <c r="UDS174" s="537"/>
      <c r="UDT174" s="537"/>
      <c r="UDU174" s="537"/>
      <c r="UDV174" s="537"/>
      <c r="UDW174" s="537"/>
      <c r="UDX174" s="537"/>
      <c r="UDY174" s="537"/>
      <c r="UDZ174" s="537"/>
      <c r="UEA174" s="537"/>
      <c r="UEB174" s="537"/>
      <c r="UEC174" s="537"/>
      <c r="UED174" s="537"/>
      <c r="UEE174" s="537"/>
      <c r="UEF174" s="537"/>
      <c r="UEG174" s="537"/>
      <c r="UEH174" s="537"/>
      <c r="UEI174" s="537"/>
      <c r="UEJ174" s="537"/>
      <c r="UEK174" s="537"/>
      <c r="UEL174" s="537"/>
      <c r="UEM174" s="537"/>
      <c r="UEN174" s="537"/>
      <c r="UEO174" s="537"/>
      <c r="UEP174" s="537"/>
      <c r="UEQ174" s="537"/>
      <c r="UER174" s="537"/>
      <c r="UES174" s="537"/>
      <c r="UET174" s="537"/>
      <c r="UEU174" s="537"/>
      <c r="UEV174" s="537"/>
      <c r="UEW174" s="537"/>
      <c r="UEX174" s="537"/>
      <c r="UEY174" s="537"/>
      <c r="UEZ174" s="537"/>
      <c r="UFA174" s="537"/>
      <c r="UFB174" s="537"/>
      <c r="UFC174" s="537"/>
      <c r="UFD174" s="537"/>
      <c r="UFE174" s="537"/>
      <c r="UFF174" s="537"/>
      <c r="UFG174" s="537"/>
      <c r="UFH174" s="537"/>
      <c r="UFI174" s="537"/>
      <c r="UFJ174" s="537"/>
      <c r="UFK174" s="537"/>
      <c r="UFL174" s="537"/>
      <c r="UFM174" s="537"/>
      <c r="UFN174" s="537"/>
      <c r="UFO174" s="537"/>
      <c r="UFP174" s="537"/>
      <c r="UFQ174" s="537"/>
      <c r="UFR174" s="537"/>
      <c r="UFS174" s="537"/>
      <c r="UFT174" s="537"/>
      <c r="UFU174" s="537"/>
      <c r="UFV174" s="537"/>
      <c r="UFW174" s="537"/>
      <c r="UFX174" s="537"/>
      <c r="UFY174" s="537"/>
      <c r="UFZ174" s="537"/>
      <c r="UGA174" s="537"/>
      <c r="UGB174" s="537"/>
      <c r="UGC174" s="537"/>
      <c r="UGD174" s="537"/>
      <c r="UGE174" s="537"/>
      <c r="UGF174" s="537"/>
      <c r="UGG174" s="537"/>
      <c r="UGH174" s="537"/>
      <c r="UGI174" s="537"/>
      <c r="UGJ174" s="537"/>
      <c r="UGK174" s="537"/>
      <c r="UGL174" s="537"/>
      <c r="UGM174" s="537"/>
      <c r="UGN174" s="537"/>
      <c r="UGO174" s="537"/>
      <c r="UGP174" s="537"/>
      <c r="UGQ174" s="537"/>
      <c r="UGR174" s="537"/>
      <c r="UGS174" s="537"/>
      <c r="UGT174" s="537"/>
      <c r="UGU174" s="537"/>
      <c r="UGV174" s="537"/>
      <c r="UGW174" s="537"/>
      <c r="UGX174" s="537"/>
      <c r="UGY174" s="537"/>
      <c r="UGZ174" s="537"/>
      <c r="UHA174" s="537"/>
      <c r="UHB174" s="537"/>
      <c r="UHC174" s="537"/>
      <c r="UHD174" s="537"/>
      <c r="UHE174" s="537"/>
      <c r="UHF174" s="537"/>
      <c r="UHG174" s="537"/>
      <c r="UHH174" s="537"/>
      <c r="UHI174" s="537"/>
      <c r="UHJ174" s="537"/>
      <c r="UHK174" s="537"/>
      <c r="UHL174" s="537"/>
      <c r="UHM174" s="537"/>
      <c r="UHN174" s="537"/>
      <c r="UHO174" s="537"/>
      <c r="UHP174" s="537"/>
      <c r="UHQ174" s="537"/>
      <c r="UHR174" s="537"/>
      <c r="UHS174" s="537"/>
      <c r="UHT174" s="537"/>
      <c r="UHU174" s="537"/>
      <c r="UHV174" s="537"/>
      <c r="UHW174" s="537"/>
      <c r="UHX174" s="537"/>
      <c r="UHY174" s="537"/>
      <c r="UHZ174" s="537"/>
      <c r="UIA174" s="537"/>
      <c r="UIB174" s="537"/>
      <c r="UIC174" s="537"/>
      <c r="UID174" s="537"/>
      <c r="UIE174" s="537"/>
      <c r="UIF174" s="537"/>
      <c r="UIG174" s="537"/>
      <c r="UIH174" s="537"/>
      <c r="UII174" s="537"/>
      <c r="UIJ174" s="537"/>
      <c r="UIK174" s="537"/>
      <c r="UIL174" s="537"/>
      <c r="UIM174" s="537"/>
      <c r="UIN174" s="537"/>
      <c r="UIO174" s="537"/>
      <c r="UIP174" s="537"/>
      <c r="UIQ174" s="537"/>
      <c r="UIR174" s="537"/>
      <c r="UIS174" s="537"/>
      <c r="UIT174" s="537"/>
      <c r="UIU174" s="537"/>
      <c r="UIV174" s="537"/>
      <c r="UIW174" s="537"/>
      <c r="UIX174" s="537"/>
      <c r="UIY174" s="537"/>
      <c r="UIZ174" s="537"/>
      <c r="UJA174" s="537"/>
      <c r="UJB174" s="537"/>
      <c r="UJC174" s="537"/>
      <c r="UJD174" s="537"/>
      <c r="UJE174" s="537"/>
      <c r="UJF174" s="537"/>
      <c r="UJG174" s="537"/>
      <c r="UJH174" s="537"/>
      <c r="UJI174" s="537"/>
      <c r="UJJ174" s="537"/>
      <c r="UJK174" s="537"/>
      <c r="UJL174" s="537"/>
      <c r="UJM174" s="537"/>
      <c r="UJN174" s="537"/>
      <c r="UJO174" s="537"/>
      <c r="UJP174" s="537"/>
      <c r="UJQ174" s="537"/>
      <c r="UJR174" s="537"/>
      <c r="UJS174" s="537"/>
      <c r="UJT174" s="537"/>
      <c r="UJU174" s="537"/>
      <c r="UJV174" s="537"/>
      <c r="UJW174" s="537"/>
      <c r="UJX174" s="537"/>
      <c r="UJY174" s="537"/>
      <c r="UJZ174" s="537"/>
      <c r="UKA174" s="537"/>
      <c r="UKB174" s="537"/>
      <c r="UKC174" s="537"/>
      <c r="UKD174" s="537"/>
      <c r="UKE174" s="537"/>
      <c r="UKF174" s="537"/>
      <c r="UKG174" s="537"/>
      <c r="UKH174" s="537"/>
      <c r="UKI174" s="537"/>
      <c r="UKJ174" s="537"/>
      <c r="UKK174" s="537"/>
      <c r="UKL174" s="537"/>
      <c r="UKM174" s="537"/>
      <c r="UKN174" s="537"/>
      <c r="UKO174" s="537"/>
      <c r="UKP174" s="537"/>
      <c r="UKQ174" s="537"/>
      <c r="UKR174" s="537"/>
      <c r="UKS174" s="537"/>
      <c r="UKT174" s="537"/>
      <c r="UKU174" s="537"/>
      <c r="UKV174" s="537"/>
      <c r="UKW174" s="537"/>
      <c r="UKX174" s="537"/>
      <c r="UKY174" s="537"/>
      <c r="UKZ174" s="537"/>
      <c r="ULA174" s="537"/>
      <c r="ULB174" s="537"/>
      <c r="ULC174" s="537"/>
      <c r="ULD174" s="537"/>
      <c r="ULE174" s="537"/>
      <c r="ULF174" s="537"/>
      <c r="ULG174" s="537"/>
      <c r="ULH174" s="537"/>
      <c r="ULI174" s="537"/>
      <c r="ULJ174" s="537"/>
      <c r="ULK174" s="537"/>
      <c r="ULL174" s="537"/>
      <c r="ULM174" s="537"/>
      <c r="ULN174" s="537"/>
      <c r="ULO174" s="537"/>
      <c r="ULP174" s="537"/>
      <c r="ULQ174" s="537"/>
      <c r="ULR174" s="537"/>
      <c r="ULS174" s="537"/>
      <c r="ULT174" s="537"/>
      <c r="ULU174" s="537"/>
      <c r="ULV174" s="537"/>
      <c r="ULW174" s="537"/>
      <c r="ULX174" s="537"/>
      <c r="ULY174" s="537"/>
      <c r="ULZ174" s="537"/>
      <c r="UMA174" s="537"/>
      <c r="UMB174" s="537"/>
      <c r="UMC174" s="537"/>
      <c r="UMD174" s="537"/>
      <c r="UME174" s="537"/>
      <c r="UMF174" s="537"/>
      <c r="UMG174" s="537"/>
      <c r="UMH174" s="537"/>
      <c r="UMI174" s="537"/>
      <c r="UMJ174" s="537"/>
      <c r="UMK174" s="537"/>
      <c r="UML174" s="537"/>
      <c r="UMM174" s="537"/>
      <c r="UMN174" s="537"/>
      <c r="UMO174" s="537"/>
      <c r="UMP174" s="537"/>
      <c r="UMQ174" s="537"/>
      <c r="UMR174" s="537"/>
      <c r="UMS174" s="537"/>
      <c r="UMT174" s="537"/>
      <c r="UMU174" s="537"/>
      <c r="UMV174" s="537"/>
      <c r="UMW174" s="537"/>
      <c r="UMX174" s="537"/>
      <c r="UMY174" s="537"/>
      <c r="UMZ174" s="537"/>
      <c r="UNA174" s="537"/>
      <c r="UNB174" s="537"/>
      <c r="UNC174" s="537"/>
      <c r="UND174" s="537"/>
      <c r="UNE174" s="537"/>
      <c r="UNF174" s="537"/>
      <c r="UNG174" s="537"/>
      <c r="UNH174" s="537"/>
      <c r="UNI174" s="537"/>
      <c r="UNJ174" s="537"/>
      <c r="UNK174" s="537"/>
      <c r="UNL174" s="537"/>
      <c r="UNM174" s="537"/>
      <c r="UNN174" s="537"/>
      <c r="UNO174" s="537"/>
      <c r="UNP174" s="537"/>
      <c r="UNQ174" s="537"/>
      <c r="UNR174" s="537"/>
      <c r="UNS174" s="537"/>
      <c r="UNT174" s="537"/>
      <c r="UNU174" s="537"/>
      <c r="UNV174" s="537"/>
      <c r="UNW174" s="537"/>
      <c r="UNX174" s="537"/>
      <c r="UNY174" s="537"/>
      <c r="UNZ174" s="537"/>
      <c r="UOA174" s="537"/>
      <c r="UOB174" s="537"/>
      <c r="UOC174" s="537"/>
      <c r="UOD174" s="537"/>
      <c r="UOE174" s="537"/>
      <c r="UOF174" s="537"/>
      <c r="UOG174" s="537"/>
      <c r="UOH174" s="537"/>
      <c r="UOI174" s="537"/>
      <c r="UOJ174" s="537"/>
      <c r="UOK174" s="537"/>
      <c r="UOL174" s="537"/>
      <c r="UOM174" s="537"/>
      <c r="UON174" s="537"/>
      <c r="UOO174" s="537"/>
      <c r="UOP174" s="537"/>
      <c r="UOQ174" s="537"/>
      <c r="UOR174" s="537"/>
      <c r="UOS174" s="537"/>
      <c r="UOT174" s="537"/>
      <c r="UOU174" s="537"/>
      <c r="UOV174" s="537"/>
      <c r="UOW174" s="537"/>
      <c r="UOX174" s="537"/>
      <c r="UOY174" s="537"/>
      <c r="UOZ174" s="537"/>
      <c r="UPA174" s="537"/>
      <c r="UPB174" s="537"/>
      <c r="UPC174" s="537"/>
      <c r="UPD174" s="537"/>
      <c r="UPE174" s="537"/>
      <c r="UPF174" s="537"/>
      <c r="UPG174" s="537"/>
      <c r="UPH174" s="537"/>
      <c r="UPI174" s="537"/>
      <c r="UPJ174" s="537"/>
      <c r="UPK174" s="537"/>
      <c r="UPL174" s="537"/>
      <c r="UPM174" s="537"/>
      <c r="UPN174" s="537"/>
      <c r="UPO174" s="537"/>
      <c r="UPP174" s="537"/>
      <c r="UPQ174" s="537"/>
      <c r="UPR174" s="537"/>
      <c r="UPS174" s="537"/>
      <c r="UPT174" s="537"/>
      <c r="UPU174" s="537"/>
      <c r="UPV174" s="537"/>
      <c r="UPW174" s="537"/>
      <c r="UPX174" s="537"/>
      <c r="UPY174" s="537"/>
      <c r="UPZ174" s="537"/>
      <c r="UQA174" s="537"/>
      <c r="UQB174" s="537"/>
      <c r="UQC174" s="537"/>
      <c r="UQD174" s="537"/>
      <c r="UQE174" s="537"/>
      <c r="UQF174" s="537"/>
      <c r="UQG174" s="537"/>
      <c r="UQH174" s="537"/>
      <c r="UQI174" s="537"/>
      <c r="UQJ174" s="537"/>
      <c r="UQK174" s="537"/>
      <c r="UQL174" s="537"/>
      <c r="UQM174" s="537"/>
      <c r="UQN174" s="537"/>
      <c r="UQO174" s="537"/>
      <c r="UQP174" s="537"/>
      <c r="UQQ174" s="537"/>
      <c r="UQR174" s="537"/>
      <c r="UQS174" s="537"/>
      <c r="UQT174" s="537"/>
      <c r="UQU174" s="537"/>
      <c r="UQV174" s="537"/>
      <c r="UQW174" s="537"/>
      <c r="UQX174" s="537"/>
      <c r="UQY174" s="537"/>
      <c r="UQZ174" s="537"/>
      <c r="URA174" s="537"/>
      <c r="URB174" s="537"/>
      <c r="URC174" s="537"/>
      <c r="URD174" s="537"/>
      <c r="URE174" s="537"/>
      <c r="URF174" s="537"/>
      <c r="URG174" s="537"/>
      <c r="URH174" s="537"/>
      <c r="URI174" s="537"/>
      <c r="URJ174" s="537"/>
      <c r="URK174" s="537"/>
      <c r="URL174" s="537"/>
      <c r="URM174" s="537"/>
      <c r="URN174" s="537"/>
      <c r="URO174" s="537"/>
      <c r="URP174" s="537"/>
      <c r="URQ174" s="537"/>
      <c r="URR174" s="537"/>
      <c r="URS174" s="537"/>
      <c r="URT174" s="537"/>
      <c r="URU174" s="537"/>
      <c r="URV174" s="537"/>
      <c r="URW174" s="537"/>
      <c r="URX174" s="537"/>
      <c r="URY174" s="537"/>
      <c r="URZ174" s="537"/>
      <c r="USA174" s="537"/>
      <c r="USB174" s="537"/>
      <c r="USC174" s="537"/>
      <c r="USD174" s="537"/>
      <c r="USE174" s="537"/>
      <c r="USF174" s="537"/>
      <c r="USG174" s="537"/>
      <c r="USH174" s="537"/>
      <c r="USI174" s="537"/>
      <c r="USJ174" s="537"/>
      <c r="USK174" s="537"/>
      <c r="USL174" s="537"/>
      <c r="USM174" s="537"/>
      <c r="USN174" s="537"/>
      <c r="USO174" s="537"/>
      <c r="USP174" s="537"/>
      <c r="USQ174" s="537"/>
      <c r="USR174" s="537"/>
      <c r="USS174" s="537"/>
      <c r="UST174" s="537"/>
      <c r="USU174" s="537"/>
      <c r="USV174" s="537"/>
      <c r="USW174" s="537"/>
      <c r="USX174" s="537"/>
      <c r="USY174" s="537"/>
      <c r="USZ174" s="537"/>
      <c r="UTA174" s="537"/>
      <c r="UTB174" s="537"/>
      <c r="UTC174" s="537"/>
      <c r="UTD174" s="537"/>
      <c r="UTE174" s="537"/>
      <c r="UTF174" s="537"/>
      <c r="UTG174" s="537"/>
      <c r="UTH174" s="537"/>
      <c r="UTI174" s="537"/>
      <c r="UTJ174" s="537"/>
      <c r="UTK174" s="537"/>
      <c r="UTL174" s="537"/>
      <c r="UTM174" s="537"/>
      <c r="UTN174" s="537"/>
      <c r="UTO174" s="537"/>
      <c r="UTP174" s="537"/>
      <c r="UTQ174" s="537"/>
      <c r="UTR174" s="537"/>
      <c r="UTS174" s="537"/>
      <c r="UTT174" s="537"/>
      <c r="UTU174" s="537"/>
      <c r="UTV174" s="537"/>
      <c r="UTW174" s="537"/>
      <c r="UTX174" s="537"/>
      <c r="UTY174" s="537"/>
      <c r="UTZ174" s="537"/>
      <c r="UUA174" s="537"/>
      <c r="UUB174" s="537"/>
      <c r="UUC174" s="537"/>
      <c r="UUD174" s="537"/>
      <c r="UUE174" s="537"/>
      <c r="UUF174" s="537"/>
      <c r="UUG174" s="537"/>
      <c r="UUH174" s="537"/>
      <c r="UUI174" s="537"/>
      <c r="UUJ174" s="537"/>
      <c r="UUK174" s="537"/>
      <c r="UUL174" s="537"/>
      <c r="UUM174" s="537"/>
      <c r="UUN174" s="537"/>
      <c r="UUO174" s="537"/>
      <c r="UUP174" s="537"/>
      <c r="UUQ174" s="537"/>
      <c r="UUR174" s="537"/>
      <c r="UUS174" s="537"/>
      <c r="UUT174" s="537"/>
      <c r="UUU174" s="537"/>
      <c r="UUV174" s="537"/>
      <c r="UUW174" s="537"/>
      <c r="UUX174" s="537"/>
      <c r="UUY174" s="537"/>
      <c r="UUZ174" s="537"/>
      <c r="UVA174" s="537"/>
      <c r="UVB174" s="537"/>
      <c r="UVC174" s="537"/>
      <c r="UVD174" s="537"/>
      <c r="UVE174" s="537"/>
      <c r="UVF174" s="537"/>
      <c r="UVG174" s="537"/>
      <c r="UVH174" s="537"/>
      <c r="UVI174" s="537"/>
      <c r="UVJ174" s="537"/>
      <c r="UVK174" s="537"/>
      <c r="UVL174" s="537"/>
      <c r="UVM174" s="537"/>
      <c r="UVN174" s="537"/>
      <c r="UVO174" s="537"/>
      <c r="UVP174" s="537"/>
      <c r="UVQ174" s="537"/>
      <c r="UVR174" s="537"/>
      <c r="UVS174" s="537"/>
      <c r="UVT174" s="537"/>
      <c r="UVU174" s="537"/>
      <c r="UVV174" s="537"/>
      <c r="UVW174" s="537"/>
      <c r="UVX174" s="537"/>
      <c r="UVY174" s="537"/>
      <c r="UVZ174" s="537"/>
      <c r="UWA174" s="537"/>
      <c r="UWB174" s="537"/>
      <c r="UWC174" s="537"/>
      <c r="UWD174" s="537"/>
      <c r="UWE174" s="537"/>
      <c r="UWF174" s="537"/>
      <c r="UWG174" s="537"/>
      <c r="UWH174" s="537"/>
      <c r="UWI174" s="537"/>
      <c r="UWJ174" s="537"/>
      <c r="UWK174" s="537"/>
      <c r="UWL174" s="537"/>
      <c r="UWM174" s="537"/>
      <c r="UWN174" s="537"/>
      <c r="UWO174" s="537"/>
      <c r="UWP174" s="537"/>
      <c r="UWQ174" s="537"/>
      <c r="UWR174" s="537"/>
      <c r="UWS174" s="537"/>
      <c r="UWT174" s="537"/>
      <c r="UWU174" s="537"/>
      <c r="UWV174" s="537"/>
      <c r="UWW174" s="537"/>
      <c r="UWX174" s="537"/>
      <c r="UWY174" s="537"/>
      <c r="UWZ174" s="537"/>
      <c r="UXA174" s="537"/>
      <c r="UXB174" s="537"/>
      <c r="UXC174" s="537"/>
      <c r="UXD174" s="537"/>
      <c r="UXE174" s="537"/>
      <c r="UXF174" s="537"/>
      <c r="UXG174" s="537"/>
      <c r="UXH174" s="537"/>
      <c r="UXI174" s="537"/>
      <c r="UXJ174" s="537"/>
      <c r="UXK174" s="537"/>
      <c r="UXL174" s="537"/>
      <c r="UXM174" s="537"/>
      <c r="UXN174" s="537"/>
      <c r="UXO174" s="537"/>
      <c r="UXP174" s="537"/>
      <c r="UXQ174" s="537"/>
      <c r="UXR174" s="537"/>
      <c r="UXS174" s="537"/>
      <c r="UXT174" s="537"/>
      <c r="UXU174" s="537"/>
      <c r="UXV174" s="537"/>
      <c r="UXW174" s="537"/>
      <c r="UXX174" s="537"/>
      <c r="UXY174" s="537"/>
      <c r="UXZ174" s="537"/>
      <c r="UYA174" s="537"/>
      <c r="UYB174" s="537"/>
      <c r="UYC174" s="537"/>
      <c r="UYD174" s="537"/>
      <c r="UYE174" s="537"/>
      <c r="UYF174" s="537"/>
      <c r="UYG174" s="537"/>
      <c r="UYH174" s="537"/>
      <c r="UYI174" s="537"/>
      <c r="UYJ174" s="537"/>
      <c r="UYK174" s="537"/>
      <c r="UYL174" s="537"/>
      <c r="UYM174" s="537"/>
      <c r="UYN174" s="537"/>
      <c r="UYO174" s="537"/>
      <c r="UYP174" s="537"/>
      <c r="UYQ174" s="537"/>
      <c r="UYR174" s="537"/>
      <c r="UYS174" s="537"/>
      <c r="UYT174" s="537"/>
      <c r="UYU174" s="537"/>
      <c r="UYV174" s="537"/>
      <c r="UYW174" s="537"/>
      <c r="UYX174" s="537"/>
      <c r="UYY174" s="537"/>
      <c r="UYZ174" s="537"/>
      <c r="UZA174" s="537"/>
      <c r="UZB174" s="537"/>
      <c r="UZC174" s="537"/>
      <c r="UZD174" s="537"/>
      <c r="UZE174" s="537"/>
      <c r="UZF174" s="537"/>
      <c r="UZG174" s="537"/>
      <c r="UZH174" s="537"/>
      <c r="UZI174" s="537"/>
      <c r="UZJ174" s="537"/>
      <c r="UZK174" s="537"/>
      <c r="UZL174" s="537"/>
      <c r="UZM174" s="537"/>
      <c r="UZN174" s="537"/>
      <c r="UZO174" s="537"/>
      <c r="UZP174" s="537"/>
      <c r="UZQ174" s="537"/>
      <c r="UZR174" s="537"/>
      <c r="UZS174" s="537"/>
      <c r="UZT174" s="537"/>
      <c r="UZU174" s="537"/>
      <c r="UZV174" s="537"/>
      <c r="UZW174" s="537"/>
      <c r="UZX174" s="537"/>
      <c r="UZY174" s="537"/>
      <c r="UZZ174" s="537"/>
      <c r="VAA174" s="537"/>
      <c r="VAB174" s="537"/>
      <c r="VAC174" s="537"/>
      <c r="VAD174" s="537"/>
      <c r="VAE174" s="537"/>
      <c r="VAF174" s="537"/>
      <c r="VAG174" s="537"/>
      <c r="VAH174" s="537"/>
      <c r="VAI174" s="537"/>
      <c r="VAJ174" s="537"/>
      <c r="VAK174" s="537"/>
      <c r="VAL174" s="537"/>
      <c r="VAM174" s="537"/>
      <c r="VAN174" s="537"/>
      <c r="VAO174" s="537"/>
      <c r="VAP174" s="537"/>
      <c r="VAQ174" s="537"/>
      <c r="VAR174" s="537"/>
      <c r="VAS174" s="537"/>
      <c r="VAT174" s="537"/>
      <c r="VAU174" s="537"/>
      <c r="VAV174" s="537"/>
      <c r="VAW174" s="537"/>
      <c r="VAX174" s="537"/>
      <c r="VAY174" s="537"/>
      <c r="VAZ174" s="537"/>
      <c r="VBA174" s="537"/>
      <c r="VBB174" s="537"/>
      <c r="VBC174" s="537"/>
      <c r="VBD174" s="537"/>
      <c r="VBE174" s="537"/>
      <c r="VBF174" s="537"/>
      <c r="VBG174" s="537"/>
      <c r="VBH174" s="537"/>
      <c r="VBI174" s="537"/>
      <c r="VBJ174" s="537"/>
      <c r="VBK174" s="537"/>
      <c r="VBL174" s="537"/>
      <c r="VBM174" s="537"/>
      <c r="VBN174" s="537"/>
      <c r="VBO174" s="537"/>
      <c r="VBP174" s="537"/>
      <c r="VBQ174" s="537"/>
      <c r="VBR174" s="537"/>
      <c r="VBS174" s="537"/>
      <c r="VBT174" s="537"/>
      <c r="VBU174" s="537"/>
      <c r="VBV174" s="537"/>
      <c r="VBW174" s="537"/>
      <c r="VBX174" s="537"/>
      <c r="VBY174" s="537"/>
      <c r="VBZ174" s="537"/>
      <c r="VCA174" s="537"/>
      <c r="VCB174" s="537"/>
      <c r="VCC174" s="537"/>
      <c r="VCD174" s="537"/>
      <c r="VCE174" s="537"/>
      <c r="VCF174" s="537"/>
      <c r="VCG174" s="537"/>
      <c r="VCH174" s="537"/>
      <c r="VCI174" s="537"/>
      <c r="VCJ174" s="537"/>
      <c r="VCK174" s="537"/>
      <c r="VCL174" s="537"/>
      <c r="VCM174" s="537"/>
      <c r="VCN174" s="537"/>
      <c r="VCO174" s="537"/>
      <c r="VCP174" s="537"/>
      <c r="VCQ174" s="537"/>
      <c r="VCR174" s="537"/>
      <c r="VCS174" s="537"/>
      <c r="VCT174" s="537"/>
      <c r="VCU174" s="537"/>
      <c r="VCV174" s="537"/>
      <c r="VCW174" s="537"/>
      <c r="VCX174" s="537"/>
      <c r="VCY174" s="537"/>
      <c r="VCZ174" s="537"/>
      <c r="VDA174" s="537"/>
      <c r="VDB174" s="537"/>
      <c r="VDC174" s="537"/>
      <c r="VDD174" s="537"/>
      <c r="VDE174" s="537"/>
      <c r="VDF174" s="537"/>
      <c r="VDG174" s="537"/>
      <c r="VDH174" s="537"/>
      <c r="VDI174" s="537"/>
      <c r="VDJ174" s="537"/>
      <c r="VDK174" s="537"/>
      <c r="VDL174" s="537"/>
      <c r="VDM174" s="537"/>
      <c r="VDN174" s="537"/>
      <c r="VDO174" s="537"/>
      <c r="VDP174" s="537"/>
      <c r="VDQ174" s="537"/>
      <c r="VDR174" s="537"/>
      <c r="VDS174" s="537"/>
      <c r="VDT174" s="537"/>
      <c r="VDU174" s="537"/>
      <c r="VDV174" s="537"/>
      <c r="VDW174" s="537"/>
      <c r="VDX174" s="537"/>
      <c r="VDY174" s="537"/>
      <c r="VDZ174" s="537"/>
      <c r="VEA174" s="537"/>
      <c r="VEB174" s="537"/>
      <c r="VEC174" s="537"/>
      <c r="VED174" s="537"/>
      <c r="VEE174" s="537"/>
      <c r="VEF174" s="537"/>
      <c r="VEG174" s="537"/>
      <c r="VEH174" s="537"/>
      <c r="VEI174" s="537"/>
      <c r="VEJ174" s="537"/>
      <c r="VEK174" s="537"/>
      <c r="VEL174" s="537"/>
      <c r="VEM174" s="537"/>
      <c r="VEN174" s="537"/>
      <c r="VEO174" s="537"/>
      <c r="VEP174" s="537"/>
      <c r="VEQ174" s="537"/>
      <c r="VER174" s="537"/>
      <c r="VES174" s="537"/>
      <c r="VET174" s="537"/>
      <c r="VEU174" s="537"/>
      <c r="VEV174" s="537"/>
      <c r="VEW174" s="537"/>
      <c r="VEX174" s="537"/>
      <c r="VEY174" s="537"/>
      <c r="VEZ174" s="537"/>
      <c r="VFA174" s="537"/>
      <c r="VFB174" s="537"/>
      <c r="VFC174" s="537"/>
      <c r="VFD174" s="537"/>
      <c r="VFE174" s="537"/>
      <c r="VFF174" s="537"/>
      <c r="VFG174" s="537"/>
      <c r="VFH174" s="537"/>
      <c r="VFI174" s="537"/>
      <c r="VFJ174" s="537"/>
      <c r="VFK174" s="537"/>
      <c r="VFL174" s="537"/>
      <c r="VFM174" s="537"/>
      <c r="VFN174" s="537"/>
      <c r="VFO174" s="537"/>
      <c r="VFP174" s="537"/>
      <c r="VFQ174" s="537"/>
      <c r="VFR174" s="537"/>
      <c r="VFS174" s="537"/>
      <c r="VFT174" s="537"/>
      <c r="VFU174" s="537"/>
      <c r="VFV174" s="537"/>
      <c r="VFW174" s="537"/>
      <c r="VFX174" s="537"/>
      <c r="VFY174" s="537"/>
      <c r="VFZ174" s="537"/>
      <c r="VGA174" s="537"/>
      <c r="VGB174" s="537"/>
      <c r="VGC174" s="537"/>
      <c r="VGD174" s="537"/>
      <c r="VGE174" s="537"/>
      <c r="VGF174" s="537"/>
      <c r="VGG174" s="537"/>
      <c r="VGH174" s="537"/>
      <c r="VGI174" s="537"/>
      <c r="VGJ174" s="537"/>
      <c r="VGK174" s="537"/>
      <c r="VGL174" s="537"/>
      <c r="VGM174" s="537"/>
      <c r="VGN174" s="537"/>
      <c r="VGO174" s="537"/>
      <c r="VGP174" s="537"/>
      <c r="VGQ174" s="537"/>
      <c r="VGR174" s="537"/>
      <c r="VGS174" s="537"/>
      <c r="VGT174" s="537"/>
      <c r="VGU174" s="537"/>
      <c r="VGV174" s="537"/>
      <c r="VGW174" s="537"/>
      <c r="VGX174" s="537"/>
      <c r="VGY174" s="537"/>
      <c r="VGZ174" s="537"/>
      <c r="VHA174" s="537"/>
      <c r="VHB174" s="537"/>
      <c r="VHC174" s="537"/>
      <c r="VHD174" s="537"/>
      <c r="VHE174" s="537"/>
      <c r="VHF174" s="537"/>
      <c r="VHG174" s="537"/>
      <c r="VHH174" s="537"/>
      <c r="VHI174" s="537"/>
      <c r="VHJ174" s="537"/>
      <c r="VHK174" s="537"/>
      <c r="VHL174" s="537"/>
      <c r="VHM174" s="537"/>
      <c r="VHN174" s="537"/>
      <c r="VHO174" s="537"/>
      <c r="VHP174" s="537"/>
      <c r="VHQ174" s="537"/>
      <c r="VHR174" s="537"/>
      <c r="VHS174" s="537"/>
      <c r="VHT174" s="537"/>
      <c r="VHU174" s="537"/>
      <c r="VHV174" s="537"/>
      <c r="VHW174" s="537"/>
      <c r="VHX174" s="537"/>
      <c r="VHY174" s="537"/>
      <c r="VHZ174" s="537"/>
      <c r="VIA174" s="537"/>
      <c r="VIB174" s="537"/>
      <c r="VIC174" s="537"/>
      <c r="VID174" s="537"/>
      <c r="VIE174" s="537"/>
      <c r="VIF174" s="537"/>
      <c r="VIG174" s="537"/>
      <c r="VIH174" s="537"/>
      <c r="VII174" s="537"/>
      <c r="VIJ174" s="537"/>
      <c r="VIK174" s="537"/>
      <c r="VIL174" s="537"/>
      <c r="VIM174" s="537"/>
      <c r="VIN174" s="537"/>
      <c r="VIO174" s="537"/>
      <c r="VIP174" s="537"/>
      <c r="VIQ174" s="537"/>
      <c r="VIR174" s="537"/>
      <c r="VIS174" s="537"/>
      <c r="VIT174" s="537"/>
      <c r="VIU174" s="537"/>
      <c r="VIV174" s="537"/>
      <c r="VIW174" s="537"/>
      <c r="VIX174" s="537"/>
      <c r="VIY174" s="537"/>
      <c r="VIZ174" s="537"/>
      <c r="VJA174" s="537"/>
      <c r="VJB174" s="537"/>
      <c r="VJC174" s="537"/>
      <c r="VJD174" s="537"/>
      <c r="VJE174" s="537"/>
      <c r="VJF174" s="537"/>
      <c r="VJG174" s="537"/>
      <c r="VJH174" s="537"/>
      <c r="VJI174" s="537"/>
      <c r="VJJ174" s="537"/>
      <c r="VJK174" s="537"/>
      <c r="VJL174" s="537"/>
      <c r="VJM174" s="537"/>
      <c r="VJN174" s="537"/>
      <c r="VJO174" s="537"/>
      <c r="VJP174" s="537"/>
      <c r="VJQ174" s="537"/>
      <c r="VJR174" s="537"/>
      <c r="VJS174" s="537"/>
      <c r="VJT174" s="537"/>
      <c r="VJU174" s="537"/>
      <c r="VJV174" s="537"/>
      <c r="VJW174" s="537"/>
      <c r="VJX174" s="537"/>
      <c r="VJY174" s="537"/>
      <c r="VJZ174" s="537"/>
      <c r="VKA174" s="537"/>
      <c r="VKB174" s="537"/>
      <c r="VKC174" s="537"/>
      <c r="VKD174" s="537"/>
      <c r="VKE174" s="537"/>
      <c r="VKF174" s="537"/>
      <c r="VKG174" s="537"/>
      <c r="VKH174" s="537"/>
      <c r="VKI174" s="537"/>
      <c r="VKJ174" s="537"/>
      <c r="VKK174" s="537"/>
      <c r="VKL174" s="537"/>
      <c r="VKM174" s="537"/>
      <c r="VKN174" s="537"/>
      <c r="VKO174" s="537"/>
      <c r="VKP174" s="537"/>
      <c r="VKQ174" s="537"/>
      <c r="VKR174" s="537"/>
      <c r="VKS174" s="537"/>
      <c r="VKT174" s="537"/>
      <c r="VKU174" s="537"/>
      <c r="VKV174" s="537"/>
      <c r="VKW174" s="537"/>
      <c r="VKX174" s="537"/>
      <c r="VKY174" s="537"/>
      <c r="VKZ174" s="537"/>
      <c r="VLA174" s="537"/>
      <c r="VLB174" s="537"/>
      <c r="VLC174" s="537"/>
      <c r="VLD174" s="537"/>
      <c r="VLE174" s="537"/>
      <c r="VLF174" s="537"/>
      <c r="VLG174" s="537"/>
      <c r="VLH174" s="537"/>
      <c r="VLI174" s="537"/>
      <c r="VLJ174" s="537"/>
      <c r="VLK174" s="537"/>
      <c r="VLL174" s="537"/>
      <c r="VLM174" s="537"/>
      <c r="VLN174" s="537"/>
      <c r="VLO174" s="537"/>
      <c r="VLP174" s="537"/>
      <c r="VLQ174" s="537"/>
      <c r="VLR174" s="537"/>
      <c r="VLS174" s="537"/>
      <c r="VLT174" s="537"/>
      <c r="VLU174" s="537"/>
      <c r="VLV174" s="537"/>
      <c r="VLW174" s="537"/>
      <c r="VLX174" s="537"/>
      <c r="VLY174" s="537"/>
      <c r="VLZ174" s="537"/>
      <c r="VMA174" s="537"/>
      <c r="VMB174" s="537"/>
      <c r="VMC174" s="537"/>
      <c r="VMD174" s="537"/>
      <c r="VME174" s="537"/>
      <c r="VMF174" s="537"/>
      <c r="VMG174" s="537"/>
      <c r="VMH174" s="537"/>
      <c r="VMI174" s="537"/>
      <c r="VMJ174" s="537"/>
      <c r="VMK174" s="537"/>
      <c r="VML174" s="537"/>
      <c r="VMM174" s="537"/>
      <c r="VMN174" s="537"/>
      <c r="VMO174" s="537"/>
      <c r="VMP174" s="537"/>
      <c r="VMQ174" s="537"/>
      <c r="VMR174" s="537"/>
      <c r="VMS174" s="537"/>
      <c r="VMT174" s="537"/>
      <c r="VMU174" s="537"/>
      <c r="VMV174" s="537"/>
      <c r="VMW174" s="537"/>
      <c r="VMX174" s="537"/>
      <c r="VMY174" s="537"/>
      <c r="VMZ174" s="537"/>
      <c r="VNA174" s="537"/>
      <c r="VNB174" s="537"/>
      <c r="VNC174" s="537"/>
      <c r="VND174" s="537"/>
      <c r="VNE174" s="537"/>
      <c r="VNF174" s="537"/>
      <c r="VNG174" s="537"/>
      <c r="VNH174" s="537"/>
      <c r="VNI174" s="537"/>
      <c r="VNJ174" s="537"/>
      <c r="VNK174" s="537"/>
      <c r="VNL174" s="537"/>
      <c r="VNM174" s="537"/>
      <c r="VNN174" s="537"/>
      <c r="VNO174" s="537"/>
      <c r="VNP174" s="537"/>
      <c r="VNQ174" s="537"/>
      <c r="VNR174" s="537"/>
      <c r="VNS174" s="537"/>
      <c r="VNT174" s="537"/>
      <c r="VNU174" s="537"/>
      <c r="VNV174" s="537"/>
      <c r="VNW174" s="537"/>
      <c r="VNX174" s="537"/>
      <c r="VNY174" s="537"/>
      <c r="VNZ174" s="537"/>
      <c r="VOA174" s="537"/>
      <c r="VOB174" s="537"/>
      <c r="VOC174" s="537"/>
      <c r="VOD174" s="537"/>
      <c r="VOE174" s="537"/>
      <c r="VOF174" s="537"/>
      <c r="VOG174" s="537"/>
      <c r="VOH174" s="537"/>
      <c r="VOI174" s="537"/>
      <c r="VOJ174" s="537"/>
      <c r="VOK174" s="537"/>
      <c r="VOL174" s="537"/>
      <c r="VOM174" s="537"/>
      <c r="VON174" s="537"/>
      <c r="VOO174" s="537"/>
      <c r="VOP174" s="537"/>
      <c r="VOQ174" s="537"/>
      <c r="VOR174" s="537"/>
      <c r="VOS174" s="537"/>
      <c r="VOT174" s="537"/>
      <c r="VOU174" s="537"/>
      <c r="VOV174" s="537"/>
      <c r="VOW174" s="537"/>
      <c r="VOX174" s="537"/>
      <c r="VOY174" s="537"/>
      <c r="VOZ174" s="537"/>
      <c r="VPA174" s="537"/>
      <c r="VPB174" s="537"/>
      <c r="VPC174" s="537"/>
      <c r="VPD174" s="537"/>
      <c r="VPE174" s="537"/>
      <c r="VPF174" s="537"/>
      <c r="VPG174" s="537"/>
      <c r="VPH174" s="537"/>
      <c r="VPI174" s="537"/>
      <c r="VPJ174" s="537"/>
      <c r="VPK174" s="537"/>
      <c r="VPL174" s="537"/>
      <c r="VPM174" s="537"/>
      <c r="VPN174" s="537"/>
      <c r="VPO174" s="537"/>
      <c r="VPP174" s="537"/>
      <c r="VPQ174" s="537"/>
      <c r="VPR174" s="537"/>
      <c r="VPS174" s="537"/>
      <c r="VPT174" s="537"/>
      <c r="VPU174" s="537"/>
      <c r="VPV174" s="537"/>
      <c r="VPW174" s="537"/>
      <c r="VPX174" s="537"/>
      <c r="VPY174" s="537"/>
      <c r="VPZ174" s="537"/>
      <c r="VQA174" s="537"/>
      <c r="VQB174" s="537"/>
      <c r="VQC174" s="537"/>
      <c r="VQD174" s="537"/>
      <c r="VQE174" s="537"/>
      <c r="VQF174" s="537"/>
      <c r="VQG174" s="537"/>
      <c r="VQH174" s="537"/>
      <c r="VQI174" s="537"/>
      <c r="VQJ174" s="537"/>
      <c r="VQK174" s="537"/>
      <c r="VQL174" s="537"/>
      <c r="VQM174" s="537"/>
      <c r="VQN174" s="537"/>
      <c r="VQO174" s="537"/>
      <c r="VQP174" s="537"/>
      <c r="VQQ174" s="537"/>
      <c r="VQR174" s="537"/>
      <c r="VQS174" s="537"/>
      <c r="VQT174" s="537"/>
      <c r="VQU174" s="537"/>
      <c r="VQV174" s="537"/>
      <c r="VQW174" s="537"/>
      <c r="VQX174" s="537"/>
      <c r="VQY174" s="537"/>
      <c r="VQZ174" s="537"/>
      <c r="VRA174" s="537"/>
      <c r="VRB174" s="537"/>
      <c r="VRC174" s="537"/>
      <c r="VRD174" s="537"/>
      <c r="VRE174" s="537"/>
      <c r="VRF174" s="537"/>
      <c r="VRG174" s="537"/>
      <c r="VRH174" s="537"/>
      <c r="VRI174" s="537"/>
      <c r="VRJ174" s="537"/>
      <c r="VRK174" s="537"/>
      <c r="VRL174" s="537"/>
      <c r="VRM174" s="537"/>
      <c r="VRN174" s="537"/>
      <c r="VRO174" s="537"/>
      <c r="VRP174" s="537"/>
      <c r="VRQ174" s="537"/>
      <c r="VRR174" s="537"/>
      <c r="VRS174" s="537"/>
      <c r="VRT174" s="537"/>
      <c r="VRU174" s="537"/>
      <c r="VRV174" s="537"/>
      <c r="VRW174" s="537"/>
      <c r="VRX174" s="537"/>
      <c r="VRY174" s="537"/>
      <c r="VRZ174" s="537"/>
      <c r="VSA174" s="537"/>
      <c r="VSB174" s="537"/>
      <c r="VSC174" s="537"/>
      <c r="VSD174" s="537"/>
      <c r="VSE174" s="537"/>
      <c r="VSF174" s="537"/>
      <c r="VSG174" s="537"/>
      <c r="VSH174" s="537"/>
      <c r="VSI174" s="537"/>
      <c r="VSJ174" s="537"/>
      <c r="VSK174" s="537"/>
      <c r="VSL174" s="537"/>
      <c r="VSM174" s="537"/>
      <c r="VSN174" s="537"/>
      <c r="VSO174" s="537"/>
      <c r="VSP174" s="537"/>
      <c r="VSQ174" s="537"/>
      <c r="VSR174" s="537"/>
      <c r="VSS174" s="537"/>
      <c r="VST174" s="537"/>
      <c r="VSU174" s="537"/>
      <c r="VSV174" s="537"/>
      <c r="VSW174" s="537"/>
      <c r="VSX174" s="537"/>
      <c r="VSY174" s="537"/>
      <c r="VSZ174" s="537"/>
      <c r="VTA174" s="537"/>
      <c r="VTB174" s="537"/>
      <c r="VTC174" s="537"/>
      <c r="VTD174" s="537"/>
      <c r="VTE174" s="537"/>
      <c r="VTF174" s="537"/>
      <c r="VTG174" s="537"/>
      <c r="VTH174" s="537"/>
      <c r="VTI174" s="537"/>
      <c r="VTJ174" s="537"/>
      <c r="VTK174" s="537"/>
      <c r="VTL174" s="537"/>
      <c r="VTM174" s="537"/>
      <c r="VTN174" s="537"/>
      <c r="VTO174" s="537"/>
      <c r="VTP174" s="537"/>
      <c r="VTQ174" s="537"/>
      <c r="VTR174" s="537"/>
      <c r="VTS174" s="537"/>
      <c r="VTT174" s="537"/>
      <c r="VTU174" s="537"/>
      <c r="VTV174" s="537"/>
      <c r="VTW174" s="537"/>
      <c r="VTX174" s="537"/>
      <c r="VTY174" s="537"/>
      <c r="VTZ174" s="537"/>
      <c r="VUA174" s="537"/>
      <c r="VUB174" s="537"/>
      <c r="VUC174" s="537"/>
      <c r="VUD174" s="537"/>
      <c r="VUE174" s="537"/>
      <c r="VUF174" s="537"/>
      <c r="VUG174" s="537"/>
      <c r="VUH174" s="537"/>
      <c r="VUI174" s="537"/>
      <c r="VUJ174" s="537"/>
      <c r="VUK174" s="537"/>
      <c r="VUL174" s="537"/>
      <c r="VUM174" s="537"/>
      <c r="VUN174" s="537"/>
      <c r="VUO174" s="537"/>
      <c r="VUP174" s="537"/>
      <c r="VUQ174" s="537"/>
      <c r="VUR174" s="537"/>
      <c r="VUS174" s="537"/>
      <c r="VUT174" s="537"/>
      <c r="VUU174" s="537"/>
      <c r="VUV174" s="537"/>
      <c r="VUW174" s="537"/>
      <c r="VUX174" s="537"/>
      <c r="VUY174" s="537"/>
      <c r="VUZ174" s="537"/>
      <c r="VVA174" s="537"/>
      <c r="VVB174" s="537"/>
      <c r="VVC174" s="537"/>
      <c r="VVD174" s="537"/>
      <c r="VVE174" s="537"/>
      <c r="VVF174" s="537"/>
      <c r="VVG174" s="537"/>
      <c r="VVH174" s="537"/>
      <c r="VVI174" s="537"/>
      <c r="VVJ174" s="537"/>
      <c r="VVK174" s="537"/>
      <c r="VVL174" s="537"/>
      <c r="VVM174" s="537"/>
      <c r="VVN174" s="537"/>
      <c r="VVO174" s="537"/>
      <c r="VVP174" s="537"/>
      <c r="VVQ174" s="537"/>
      <c r="VVR174" s="537"/>
      <c r="VVS174" s="537"/>
      <c r="VVT174" s="537"/>
      <c r="VVU174" s="537"/>
      <c r="VVV174" s="537"/>
      <c r="VVW174" s="537"/>
      <c r="VVX174" s="537"/>
      <c r="VVY174" s="537"/>
      <c r="VVZ174" s="537"/>
      <c r="VWA174" s="537"/>
      <c r="VWB174" s="537"/>
      <c r="VWC174" s="537"/>
      <c r="VWD174" s="537"/>
      <c r="VWE174" s="537"/>
      <c r="VWF174" s="537"/>
      <c r="VWG174" s="537"/>
      <c r="VWH174" s="537"/>
      <c r="VWI174" s="537"/>
      <c r="VWJ174" s="537"/>
      <c r="VWK174" s="537"/>
      <c r="VWL174" s="537"/>
      <c r="VWM174" s="537"/>
      <c r="VWN174" s="537"/>
      <c r="VWO174" s="537"/>
      <c r="VWP174" s="537"/>
      <c r="VWQ174" s="537"/>
      <c r="VWR174" s="537"/>
      <c r="VWS174" s="537"/>
      <c r="VWT174" s="537"/>
      <c r="VWU174" s="537"/>
      <c r="VWV174" s="537"/>
      <c r="VWW174" s="537"/>
      <c r="VWX174" s="537"/>
      <c r="VWY174" s="537"/>
      <c r="VWZ174" s="537"/>
      <c r="VXA174" s="537"/>
      <c r="VXB174" s="537"/>
      <c r="VXC174" s="537"/>
      <c r="VXD174" s="537"/>
      <c r="VXE174" s="537"/>
      <c r="VXF174" s="537"/>
      <c r="VXG174" s="537"/>
      <c r="VXH174" s="537"/>
      <c r="VXI174" s="537"/>
      <c r="VXJ174" s="537"/>
      <c r="VXK174" s="537"/>
      <c r="VXL174" s="537"/>
      <c r="VXM174" s="537"/>
      <c r="VXN174" s="537"/>
      <c r="VXO174" s="537"/>
      <c r="VXP174" s="537"/>
      <c r="VXQ174" s="537"/>
      <c r="VXR174" s="537"/>
      <c r="VXS174" s="537"/>
      <c r="VXT174" s="537"/>
      <c r="VXU174" s="537"/>
      <c r="VXV174" s="537"/>
      <c r="VXW174" s="537"/>
      <c r="VXX174" s="537"/>
      <c r="VXY174" s="537"/>
      <c r="VXZ174" s="537"/>
      <c r="VYA174" s="537"/>
      <c r="VYB174" s="537"/>
      <c r="VYC174" s="537"/>
      <c r="VYD174" s="537"/>
      <c r="VYE174" s="537"/>
      <c r="VYF174" s="537"/>
      <c r="VYG174" s="537"/>
      <c r="VYH174" s="537"/>
      <c r="VYI174" s="537"/>
      <c r="VYJ174" s="537"/>
      <c r="VYK174" s="537"/>
      <c r="VYL174" s="537"/>
      <c r="VYM174" s="537"/>
      <c r="VYN174" s="537"/>
      <c r="VYO174" s="537"/>
      <c r="VYP174" s="537"/>
      <c r="VYQ174" s="537"/>
      <c r="VYR174" s="537"/>
      <c r="VYS174" s="537"/>
      <c r="VYT174" s="537"/>
      <c r="VYU174" s="537"/>
      <c r="VYV174" s="537"/>
      <c r="VYW174" s="537"/>
      <c r="VYX174" s="537"/>
      <c r="VYY174" s="537"/>
      <c r="VYZ174" s="537"/>
      <c r="VZA174" s="537"/>
      <c r="VZB174" s="537"/>
      <c r="VZC174" s="537"/>
      <c r="VZD174" s="537"/>
      <c r="VZE174" s="537"/>
      <c r="VZF174" s="537"/>
      <c r="VZG174" s="537"/>
      <c r="VZH174" s="537"/>
      <c r="VZI174" s="537"/>
      <c r="VZJ174" s="537"/>
      <c r="VZK174" s="537"/>
      <c r="VZL174" s="537"/>
      <c r="VZM174" s="537"/>
      <c r="VZN174" s="537"/>
      <c r="VZO174" s="537"/>
      <c r="VZP174" s="537"/>
      <c r="VZQ174" s="537"/>
      <c r="VZR174" s="537"/>
      <c r="VZS174" s="537"/>
      <c r="VZT174" s="537"/>
      <c r="VZU174" s="537"/>
      <c r="VZV174" s="537"/>
      <c r="VZW174" s="537"/>
      <c r="VZX174" s="537"/>
      <c r="VZY174" s="537"/>
      <c r="VZZ174" s="537"/>
      <c r="WAA174" s="537"/>
      <c r="WAB174" s="537"/>
      <c r="WAC174" s="537"/>
      <c r="WAD174" s="537"/>
      <c r="WAE174" s="537"/>
      <c r="WAF174" s="537"/>
      <c r="WAG174" s="537"/>
      <c r="WAH174" s="537"/>
      <c r="WAI174" s="537"/>
      <c r="WAJ174" s="537"/>
      <c r="WAK174" s="537"/>
      <c r="WAL174" s="537"/>
      <c r="WAM174" s="537"/>
      <c r="WAN174" s="537"/>
      <c r="WAO174" s="537"/>
      <c r="WAP174" s="537"/>
      <c r="WAQ174" s="537"/>
      <c r="WAR174" s="537"/>
      <c r="WAS174" s="537"/>
      <c r="WAT174" s="537"/>
      <c r="WAU174" s="537"/>
      <c r="WAV174" s="537"/>
      <c r="WAW174" s="537"/>
      <c r="WAX174" s="537"/>
      <c r="WAY174" s="537"/>
      <c r="WAZ174" s="537"/>
      <c r="WBA174" s="537"/>
      <c r="WBB174" s="537"/>
      <c r="WBC174" s="537"/>
      <c r="WBD174" s="537"/>
      <c r="WBE174" s="537"/>
      <c r="WBF174" s="537"/>
      <c r="WBG174" s="537"/>
      <c r="WBH174" s="537"/>
      <c r="WBI174" s="537"/>
      <c r="WBJ174" s="537"/>
      <c r="WBK174" s="537"/>
      <c r="WBL174" s="537"/>
      <c r="WBM174" s="537"/>
      <c r="WBN174" s="537"/>
      <c r="WBO174" s="537"/>
      <c r="WBP174" s="537"/>
      <c r="WBQ174" s="537"/>
      <c r="WBR174" s="537"/>
      <c r="WBS174" s="537"/>
      <c r="WBT174" s="537"/>
      <c r="WBU174" s="537"/>
      <c r="WBV174" s="537"/>
      <c r="WBW174" s="537"/>
      <c r="WBX174" s="537"/>
      <c r="WBY174" s="537"/>
      <c r="WBZ174" s="537"/>
      <c r="WCA174" s="537"/>
      <c r="WCB174" s="537"/>
      <c r="WCC174" s="537"/>
      <c r="WCD174" s="537"/>
      <c r="WCE174" s="537"/>
      <c r="WCF174" s="537"/>
      <c r="WCG174" s="537"/>
      <c r="WCH174" s="537"/>
      <c r="WCI174" s="537"/>
      <c r="WCJ174" s="537"/>
      <c r="WCK174" s="537"/>
      <c r="WCL174" s="537"/>
      <c r="WCM174" s="537"/>
      <c r="WCN174" s="537"/>
      <c r="WCO174" s="537"/>
      <c r="WCP174" s="537"/>
      <c r="WCQ174" s="537"/>
      <c r="WCR174" s="537"/>
      <c r="WCS174" s="537"/>
      <c r="WCT174" s="537"/>
      <c r="WCU174" s="537"/>
      <c r="WCV174" s="537"/>
      <c r="WCW174" s="537"/>
      <c r="WCX174" s="537"/>
      <c r="WCY174" s="537"/>
      <c r="WCZ174" s="537"/>
      <c r="WDA174" s="537"/>
      <c r="WDB174" s="537"/>
      <c r="WDC174" s="537"/>
      <c r="WDD174" s="537"/>
      <c r="WDE174" s="537"/>
      <c r="WDF174" s="537"/>
      <c r="WDG174" s="537"/>
      <c r="WDH174" s="537"/>
      <c r="WDI174" s="537"/>
      <c r="WDJ174" s="537"/>
      <c r="WDK174" s="537"/>
      <c r="WDL174" s="537"/>
      <c r="WDM174" s="537"/>
      <c r="WDN174" s="537"/>
      <c r="WDO174" s="537"/>
      <c r="WDP174" s="537"/>
      <c r="WDQ174" s="537"/>
      <c r="WDR174" s="537"/>
      <c r="WDS174" s="537"/>
      <c r="WDT174" s="537"/>
      <c r="WDU174" s="537"/>
      <c r="WDV174" s="537"/>
      <c r="WDW174" s="537"/>
      <c r="WDX174" s="537"/>
      <c r="WDY174" s="537"/>
      <c r="WDZ174" s="537"/>
      <c r="WEA174" s="537"/>
      <c r="WEB174" s="537"/>
      <c r="WEC174" s="537"/>
      <c r="WED174" s="537"/>
      <c r="WEE174" s="537"/>
      <c r="WEF174" s="537"/>
      <c r="WEG174" s="537"/>
      <c r="WEH174" s="537"/>
      <c r="WEI174" s="537"/>
      <c r="WEJ174" s="537"/>
      <c r="WEK174" s="537"/>
      <c r="WEL174" s="537"/>
      <c r="WEM174" s="537"/>
      <c r="WEN174" s="537"/>
      <c r="WEO174" s="537"/>
      <c r="WEP174" s="537"/>
      <c r="WEQ174" s="537"/>
      <c r="WER174" s="537"/>
      <c r="WES174" s="537"/>
      <c r="WET174" s="537"/>
      <c r="WEU174" s="537"/>
      <c r="WEV174" s="537"/>
      <c r="WEW174" s="537"/>
      <c r="WEX174" s="537"/>
      <c r="WEY174" s="537"/>
      <c r="WEZ174" s="537"/>
      <c r="WFA174" s="537"/>
      <c r="WFB174" s="537"/>
      <c r="WFC174" s="537"/>
      <c r="WFD174" s="537"/>
      <c r="WFE174" s="537"/>
      <c r="WFF174" s="537"/>
      <c r="WFG174" s="537"/>
      <c r="WFH174" s="537"/>
      <c r="WFI174" s="537"/>
      <c r="WFJ174" s="537"/>
      <c r="WFK174" s="537"/>
      <c r="WFL174" s="537"/>
      <c r="WFM174" s="537"/>
      <c r="WFN174" s="537"/>
      <c r="WFO174" s="537"/>
      <c r="WFP174" s="537"/>
      <c r="WFQ174" s="537"/>
      <c r="WFR174" s="537"/>
      <c r="WFS174" s="537"/>
      <c r="WFT174" s="537"/>
      <c r="WFU174" s="537"/>
      <c r="WFV174" s="537"/>
      <c r="WFW174" s="537"/>
      <c r="WFX174" s="537"/>
      <c r="WFY174" s="537"/>
      <c r="WFZ174" s="537"/>
      <c r="WGA174" s="537"/>
      <c r="WGB174" s="537"/>
      <c r="WGC174" s="537"/>
      <c r="WGD174" s="537"/>
      <c r="WGE174" s="537"/>
      <c r="WGF174" s="537"/>
      <c r="WGG174" s="537"/>
      <c r="WGH174" s="537"/>
      <c r="WGI174" s="537"/>
      <c r="WGJ174" s="537"/>
      <c r="WGK174" s="537"/>
      <c r="WGL174" s="537"/>
      <c r="WGM174" s="537"/>
      <c r="WGN174" s="537"/>
      <c r="WGO174" s="537"/>
      <c r="WGP174" s="537"/>
      <c r="WGQ174" s="537"/>
      <c r="WGR174" s="537"/>
      <c r="WGS174" s="537"/>
      <c r="WGT174" s="537"/>
      <c r="WGU174" s="537"/>
      <c r="WGV174" s="537"/>
      <c r="WGW174" s="537"/>
      <c r="WGX174" s="537"/>
      <c r="WGY174" s="537"/>
      <c r="WGZ174" s="537"/>
      <c r="WHA174" s="537"/>
      <c r="WHB174" s="537"/>
      <c r="WHC174" s="537"/>
      <c r="WHD174" s="537"/>
      <c r="WHE174" s="537"/>
      <c r="WHF174" s="537"/>
      <c r="WHG174" s="537"/>
      <c r="WHH174" s="537"/>
      <c r="WHI174" s="537"/>
      <c r="WHJ174" s="537"/>
      <c r="WHK174" s="537"/>
      <c r="WHL174" s="537"/>
      <c r="WHM174" s="537"/>
      <c r="WHN174" s="537"/>
      <c r="WHO174" s="537"/>
      <c r="WHP174" s="537"/>
      <c r="WHQ174" s="537"/>
      <c r="WHR174" s="537"/>
      <c r="WHS174" s="537"/>
      <c r="WHT174" s="537"/>
      <c r="WHU174" s="537"/>
      <c r="WHV174" s="537"/>
      <c r="WHW174" s="537"/>
      <c r="WHX174" s="537"/>
      <c r="WHY174" s="537"/>
      <c r="WHZ174" s="537"/>
      <c r="WIA174" s="537"/>
      <c r="WIB174" s="537"/>
      <c r="WIC174" s="537"/>
      <c r="WID174" s="537"/>
      <c r="WIE174" s="537"/>
      <c r="WIF174" s="537"/>
      <c r="WIG174" s="537"/>
      <c r="WIH174" s="537"/>
      <c r="WII174" s="537"/>
      <c r="WIJ174" s="537"/>
      <c r="WIK174" s="537"/>
      <c r="WIL174" s="537"/>
      <c r="WIM174" s="537"/>
      <c r="WIN174" s="537"/>
      <c r="WIO174" s="537"/>
      <c r="WIP174" s="537"/>
      <c r="WIQ174" s="537"/>
      <c r="WIR174" s="537"/>
      <c r="WIS174" s="537"/>
      <c r="WIT174" s="537"/>
      <c r="WIU174" s="537"/>
      <c r="WIV174" s="537"/>
      <c r="WIW174" s="537"/>
      <c r="WIX174" s="537"/>
      <c r="WIY174" s="537"/>
      <c r="WIZ174" s="537"/>
      <c r="WJA174" s="537"/>
      <c r="WJB174" s="537"/>
      <c r="WJC174" s="537"/>
      <c r="WJD174" s="537"/>
      <c r="WJE174" s="537"/>
      <c r="WJF174" s="537"/>
      <c r="WJG174" s="537"/>
      <c r="WJH174" s="537"/>
      <c r="WJI174" s="537"/>
      <c r="WJJ174" s="537"/>
      <c r="WJK174" s="537"/>
      <c r="WJL174" s="537"/>
      <c r="WJM174" s="537"/>
      <c r="WJN174" s="537"/>
      <c r="WJO174" s="537"/>
      <c r="WJP174" s="537"/>
      <c r="WJQ174" s="537"/>
      <c r="WJR174" s="537"/>
      <c r="WJS174" s="537"/>
      <c r="WJT174" s="537"/>
      <c r="WJU174" s="537"/>
      <c r="WJV174" s="537"/>
      <c r="WJW174" s="537"/>
      <c r="WJX174" s="537"/>
      <c r="WJY174" s="537"/>
      <c r="WJZ174" s="537"/>
      <c r="WKA174" s="537"/>
      <c r="WKB174" s="537"/>
      <c r="WKC174" s="537"/>
      <c r="WKD174" s="537"/>
      <c r="WKE174" s="537"/>
      <c r="WKF174" s="537"/>
      <c r="WKG174" s="537"/>
      <c r="WKH174" s="537"/>
      <c r="WKI174" s="537"/>
      <c r="WKJ174" s="537"/>
      <c r="WKK174" s="537"/>
      <c r="WKL174" s="537"/>
      <c r="WKM174" s="537"/>
      <c r="WKN174" s="537"/>
      <c r="WKO174" s="537"/>
      <c r="WKP174" s="537"/>
      <c r="WKQ174" s="537"/>
      <c r="WKR174" s="537"/>
      <c r="WKS174" s="537"/>
      <c r="WKT174" s="537"/>
      <c r="WKU174" s="537"/>
      <c r="WKV174" s="537"/>
      <c r="WKW174" s="537"/>
      <c r="WKX174" s="537"/>
      <c r="WKY174" s="537"/>
      <c r="WKZ174" s="537"/>
      <c r="WLA174" s="537"/>
      <c r="WLB174" s="537"/>
      <c r="WLC174" s="537"/>
      <c r="WLD174" s="537"/>
      <c r="WLE174" s="537"/>
      <c r="WLF174" s="537"/>
      <c r="WLG174" s="537"/>
      <c r="WLH174" s="537"/>
      <c r="WLI174" s="537"/>
      <c r="WLJ174" s="537"/>
      <c r="WLK174" s="537"/>
      <c r="WLL174" s="537"/>
      <c r="WLM174" s="537"/>
      <c r="WLN174" s="537"/>
      <c r="WLO174" s="537"/>
      <c r="WLP174" s="537"/>
      <c r="WLQ174" s="537"/>
      <c r="WLR174" s="537"/>
      <c r="WLS174" s="537"/>
      <c r="WLT174" s="537"/>
      <c r="WLU174" s="537"/>
      <c r="WLV174" s="537"/>
      <c r="WLW174" s="537"/>
      <c r="WLX174" s="537"/>
      <c r="WLY174" s="537"/>
      <c r="WLZ174" s="537"/>
      <c r="WMA174" s="537"/>
      <c r="WMB174" s="537"/>
      <c r="WMC174" s="537"/>
      <c r="WMD174" s="537"/>
      <c r="WME174" s="537"/>
      <c r="WMF174" s="537"/>
      <c r="WMG174" s="537"/>
      <c r="WMH174" s="537"/>
      <c r="WMI174" s="537"/>
      <c r="WMJ174" s="537"/>
      <c r="WMK174" s="537"/>
      <c r="WML174" s="537"/>
      <c r="WMM174" s="537"/>
      <c r="WMN174" s="537"/>
      <c r="WMO174" s="537"/>
      <c r="WMP174" s="537"/>
      <c r="WMQ174" s="537"/>
      <c r="WMR174" s="537"/>
      <c r="WMS174" s="537"/>
      <c r="WMT174" s="537"/>
      <c r="WMU174" s="537"/>
      <c r="WMV174" s="537"/>
      <c r="WMW174" s="537"/>
      <c r="WMX174" s="537"/>
      <c r="WMY174" s="537"/>
      <c r="WMZ174" s="537"/>
      <c r="WNA174" s="537"/>
      <c r="WNB174" s="537"/>
      <c r="WNC174" s="537"/>
      <c r="WND174" s="537"/>
      <c r="WNE174" s="537"/>
      <c r="WNF174" s="537"/>
      <c r="WNG174" s="537"/>
      <c r="WNH174" s="537"/>
      <c r="WNI174" s="537"/>
      <c r="WNJ174" s="537"/>
      <c r="WNK174" s="537"/>
      <c r="WNL174" s="537"/>
      <c r="WNM174" s="537"/>
      <c r="WNN174" s="537"/>
      <c r="WNO174" s="537"/>
      <c r="WNP174" s="537"/>
      <c r="WNQ174" s="537"/>
      <c r="WNR174" s="537"/>
      <c r="WNS174" s="537"/>
      <c r="WNT174" s="537"/>
      <c r="WNU174" s="537"/>
      <c r="WNV174" s="537"/>
      <c r="WNW174" s="537"/>
      <c r="WNX174" s="537"/>
      <c r="WNY174" s="537"/>
      <c r="WNZ174" s="537"/>
      <c r="WOA174" s="537"/>
      <c r="WOB174" s="537"/>
      <c r="WOC174" s="537"/>
      <c r="WOD174" s="537"/>
      <c r="WOE174" s="537"/>
      <c r="WOF174" s="537"/>
      <c r="WOG174" s="537"/>
      <c r="WOH174" s="537"/>
      <c r="WOI174" s="537"/>
      <c r="WOJ174" s="537"/>
      <c r="WOK174" s="537"/>
      <c r="WOL174" s="537"/>
      <c r="WOM174" s="537"/>
      <c r="WON174" s="537"/>
      <c r="WOO174" s="537"/>
      <c r="WOP174" s="537"/>
      <c r="WOQ174" s="537"/>
      <c r="WOR174" s="537"/>
      <c r="WOS174" s="537"/>
      <c r="WOT174" s="537"/>
      <c r="WOU174" s="537"/>
      <c r="WOV174" s="537"/>
      <c r="WOW174" s="537"/>
      <c r="WOX174" s="537"/>
      <c r="WOY174" s="537"/>
      <c r="WOZ174" s="537"/>
      <c r="WPA174" s="537"/>
      <c r="WPB174" s="537"/>
      <c r="WPC174" s="537"/>
      <c r="WPD174" s="537"/>
      <c r="WPE174" s="537"/>
      <c r="WPF174" s="537"/>
      <c r="WPG174" s="537"/>
      <c r="WPH174" s="537"/>
      <c r="WPI174" s="537"/>
      <c r="WPJ174" s="537"/>
      <c r="WPK174" s="537"/>
      <c r="WPL174" s="537"/>
      <c r="WPM174" s="537"/>
      <c r="WPN174" s="537"/>
      <c r="WPO174" s="537"/>
      <c r="WPP174" s="537"/>
      <c r="WPQ174" s="537"/>
      <c r="WPR174" s="537"/>
      <c r="WPS174" s="537"/>
      <c r="WPT174" s="537"/>
      <c r="WPU174" s="537"/>
      <c r="WPV174" s="537"/>
      <c r="WPW174" s="537"/>
      <c r="WPX174" s="537"/>
      <c r="WPY174" s="537"/>
      <c r="WPZ174" s="537"/>
      <c r="WQA174" s="537"/>
      <c r="WQB174" s="537"/>
      <c r="WQC174" s="537"/>
      <c r="WQD174" s="537"/>
      <c r="WQE174" s="537"/>
      <c r="WQF174" s="537"/>
      <c r="WQG174" s="537"/>
      <c r="WQH174" s="537"/>
      <c r="WQI174" s="537"/>
      <c r="WQJ174" s="537"/>
      <c r="WQK174" s="537"/>
      <c r="WQL174" s="537"/>
      <c r="WQM174" s="537"/>
      <c r="WQN174" s="537"/>
      <c r="WQO174" s="537"/>
      <c r="WQP174" s="537"/>
      <c r="WQQ174" s="537"/>
      <c r="WQR174" s="537"/>
      <c r="WQS174" s="537"/>
      <c r="WQT174" s="537"/>
      <c r="WQU174" s="537"/>
      <c r="WQV174" s="537"/>
      <c r="WQW174" s="537"/>
      <c r="WQX174" s="537"/>
      <c r="WQY174" s="537"/>
      <c r="WQZ174" s="537"/>
      <c r="WRA174" s="537"/>
      <c r="WRB174" s="537"/>
      <c r="WRC174" s="537"/>
      <c r="WRD174" s="537"/>
      <c r="WRE174" s="537"/>
      <c r="WRF174" s="537"/>
      <c r="WRG174" s="537"/>
      <c r="WRH174" s="537"/>
      <c r="WRI174" s="537"/>
      <c r="WRJ174" s="537"/>
      <c r="WRK174" s="537"/>
      <c r="WRL174" s="537"/>
      <c r="WRM174" s="537"/>
      <c r="WRN174" s="537"/>
      <c r="WRO174" s="537"/>
      <c r="WRP174" s="537"/>
      <c r="WRQ174" s="537"/>
      <c r="WRR174" s="537"/>
      <c r="WRS174" s="537"/>
      <c r="WRT174" s="537"/>
      <c r="WRU174" s="537"/>
      <c r="WRV174" s="537"/>
      <c r="WRW174" s="537"/>
      <c r="WRX174" s="537"/>
      <c r="WRY174" s="537"/>
      <c r="WRZ174" s="537"/>
      <c r="WSA174" s="537"/>
      <c r="WSB174" s="537"/>
      <c r="WSC174" s="537"/>
      <c r="WSD174" s="537"/>
      <c r="WSE174" s="537"/>
      <c r="WSF174" s="537"/>
      <c r="WSG174" s="537"/>
      <c r="WSH174" s="537"/>
      <c r="WSI174" s="537"/>
      <c r="WSJ174" s="537"/>
      <c r="WSK174" s="537"/>
      <c r="WSL174" s="537"/>
      <c r="WSM174" s="537"/>
      <c r="WSN174" s="537"/>
      <c r="WSO174" s="537"/>
      <c r="WSP174" s="537"/>
      <c r="WSQ174" s="537"/>
      <c r="WSR174" s="537"/>
      <c r="WSS174" s="537"/>
      <c r="WST174" s="537"/>
      <c r="WSU174" s="537"/>
      <c r="WSV174" s="537"/>
      <c r="WSW174" s="537"/>
      <c r="WSX174" s="537"/>
      <c r="WSY174" s="537"/>
      <c r="WSZ174" s="537"/>
      <c r="WTA174" s="537"/>
      <c r="WTB174" s="537"/>
      <c r="WTC174" s="537"/>
      <c r="WTD174" s="537"/>
      <c r="WTE174" s="537"/>
      <c r="WTF174" s="537"/>
      <c r="WTG174" s="537"/>
      <c r="WTH174" s="537"/>
      <c r="WTI174" s="537"/>
      <c r="WTJ174" s="537"/>
      <c r="WTK174" s="537"/>
      <c r="WTL174" s="537"/>
      <c r="WTM174" s="537"/>
      <c r="WTN174" s="537"/>
      <c r="WTO174" s="537"/>
      <c r="WTP174" s="537"/>
      <c r="WTQ174" s="537"/>
      <c r="WTR174" s="537"/>
      <c r="WTS174" s="537"/>
      <c r="WTT174" s="537"/>
      <c r="WTU174" s="537"/>
      <c r="WTV174" s="537"/>
      <c r="WTW174" s="537"/>
      <c r="WTX174" s="537"/>
      <c r="WTY174" s="537"/>
      <c r="WTZ174" s="537"/>
      <c r="WUA174" s="537"/>
      <c r="WUB174" s="537"/>
      <c r="WUC174" s="537"/>
      <c r="WUD174" s="537"/>
      <c r="WUE174" s="537"/>
      <c r="WUF174" s="537"/>
      <c r="WUG174" s="537"/>
      <c r="WUH174" s="537"/>
      <c r="WUI174" s="537"/>
      <c r="WUJ174" s="537"/>
      <c r="WUK174" s="537"/>
      <c r="WUL174" s="537"/>
      <c r="WUM174" s="537"/>
      <c r="WUN174" s="537"/>
      <c r="WUO174" s="537"/>
      <c r="WUP174" s="537"/>
      <c r="WUQ174" s="537"/>
      <c r="WUR174" s="537"/>
      <c r="WUS174" s="537"/>
      <c r="WUT174" s="537"/>
      <c r="WUU174" s="537"/>
      <c r="WUV174" s="537"/>
      <c r="WUW174" s="537"/>
      <c r="WUX174" s="537"/>
      <c r="WUY174" s="537"/>
      <c r="WUZ174" s="537"/>
      <c r="WVA174" s="537"/>
      <c r="WVB174" s="537"/>
      <c r="WVC174" s="537"/>
      <c r="WVD174" s="537"/>
      <c r="WVE174" s="537"/>
      <c r="WVF174" s="537"/>
      <c r="WVG174" s="537"/>
      <c r="WVH174" s="537"/>
      <c r="WVI174" s="537"/>
      <c r="WVJ174" s="537"/>
      <c r="WVK174" s="537"/>
      <c r="WVL174" s="537"/>
      <c r="WVM174" s="537"/>
      <c r="WVN174" s="537"/>
      <c r="WVO174" s="537"/>
      <c r="WVP174" s="537"/>
      <c r="WVQ174" s="537"/>
      <c r="WVR174" s="537"/>
      <c r="WVS174" s="537"/>
      <c r="WVT174" s="537"/>
      <c r="WVU174" s="537"/>
      <c r="WVV174" s="537"/>
      <c r="WVW174" s="537"/>
      <c r="WVX174" s="537"/>
      <c r="WVY174" s="537"/>
      <c r="WVZ174" s="537"/>
      <c r="WWA174" s="537"/>
      <c r="WWB174" s="537"/>
      <c r="WWC174" s="537"/>
      <c r="WWD174" s="537"/>
      <c r="WWE174" s="537"/>
      <c r="WWF174" s="537"/>
      <c r="WWG174" s="537"/>
      <c r="WWH174" s="537"/>
      <c r="WWI174" s="537"/>
      <c r="WWJ174" s="537"/>
      <c r="WWK174" s="537"/>
      <c r="WWL174" s="537"/>
      <c r="WWM174" s="537"/>
      <c r="WWN174" s="537"/>
      <c r="WWO174" s="537"/>
      <c r="WWP174" s="537"/>
      <c r="WWQ174" s="537"/>
      <c r="WWR174" s="537"/>
      <c r="WWS174" s="537"/>
      <c r="WWT174" s="537"/>
      <c r="WWU174" s="537"/>
      <c r="WWV174" s="537"/>
      <c r="WWW174" s="537"/>
      <c r="WWX174" s="537"/>
      <c r="WWY174" s="537"/>
      <c r="WWZ174" s="537"/>
      <c r="WXA174" s="537"/>
      <c r="WXB174" s="537"/>
      <c r="WXC174" s="537"/>
      <c r="WXD174" s="537"/>
      <c r="WXE174" s="537"/>
      <c r="WXF174" s="537"/>
      <c r="WXG174" s="537"/>
      <c r="WXH174" s="537"/>
      <c r="WXI174" s="537"/>
      <c r="WXJ174" s="537"/>
      <c r="WXK174" s="537"/>
      <c r="WXL174" s="537"/>
      <c r="WXM174" s="537"/>
      <c r="WXN174" s="537"/>
      <c r="WXO174" s="537"/>
      <c r="WXP174" s="537"/>
      <c r="WXQ174" s="537"/>
      <c r="WXR174" s="537"/>
      <c r="WXS174" s="537"/>
      <c r="WXT174" s="537"/>
      <c r="WXU174" s="537"/>
      <c r="WXV174" s="537"/>
      <c r="WXW174" s="537"/>
      <c r="WXX174" s="537"/>
      <c r="WXY174" s="537"/>
      <c r="WXZ174" s="537"/>
      <c r="WYA174" s="537"/>
      <c r="WYB174" s="537"/>
      <c r="WYC174" s="537"/>
      <c r="WYD174" s="537"/>
      <c r="WYE174" s="537"/>
      <c r="WYF174" s="537"/>
      <c r="WYG174" s="537"/>
      <c r="WYH174" s="537"/>
      <c r="WYI174" s="537"/>
      <c r="WYJ174" s="537"/>
      <c r="WYK174" s="537"/>
      <c r="WYL174" s="537"/>
      <c r="WYM174" s="537"/>
      <c r="WYN174" s="537"/>
      <c r="WYO174" s="537"/>
      <c r="WYP174" s="537"/>
      <c r="WYQ174" s="537"/>
      <c r="WYR174" s="537"/>
      <c r="WYS174" s="537"/>
      <c r="WYT174" s="537"/>
      <c r="WYU174" s="537"/>
      <c r="WYV174" s="537"/>
      <c r="WYW174" s="537"/>
      <c r="WYX174" s="537"/>
      <c r="WYY174" s="537"/>
      <c r="WYZ174" s="537"/>
      <c r="WZA174" s="537"/>
      <c r="WZB174" s="537"/>
      <c r="WZC174" s="537"/>
      <c r="WZD174" s="537"/>
      <c r="WZE174" s="537"/>
      <c r="WZF174" s="537"/>
      <c r="WZG174" s="537"/>
      <c r="WZH174" s="537"/>
      <c r="WZI174" s="537"/>
      <c r="WZJ174" s="537"/>
      <c r="WZK174" s="537"/>
      <c r="WZL174" s="537"/>
      <c r="WZM174" s="537"/>
      <c r="WZN174" s="537"/>
      <c r="WZO174" s="537"/>
      <c r="WZP174" s="537"/>
      <c r="WZQ174" s="537"/>
      <c r="WZR174" s="537"/>
      <c r="WZS174" s="537"/>
      <c r="WZT174" s="537"/>
      <c r="WZU174" s="537"/>
      <c r="WZV174" s="537"/>
      <c r="WZW174" s="537"/>
      <c r="WZX174" s="537"/>
      <c r="WZY174" s="537"/>
      <c r="WZZ174" s="537"/>
      <c r="XAA174" s="537"/>
      <c r="XAB174" s="537"/>
      <c r="XAC174" s="537"/>
      <c r="XAD174" s="537"/>
      <c r="XAE174" s="537"/>
      <c r="XAF174" s="537"/>
      <c r="XAG174" s="537"/>
      <c r="XAH174" s="537"/>
      <c r="XAI174" s="537"/>
      <c r="XAJ174" s="537"/>
      <c r="XAK174" s="537"/>
      <c r="XAL174" s="537"/>
      <c r="XAM174" s="537"/>
      <c r="XAN174" s="537"/>
      <c r="XAO174" s="537"/>
      <c r="XAP174" s="537"/>
      <c r="XAQ174" s="537"/>
      <c r="XAR174" s="537"/>
      <c r="XAS174" s="537"/>
      <c r="XAT174" s="537"/>
      <c r="XAU174" s="537"/>
      <c r="XAV174" s="537"/>
      <c r="XAW174" s="537"/>
      <c r="XAX174" s="537"/>
      <c r="XAY174" s="537"/>
      <c r="XAZ174" s="537"/>
      <c r="XBA174" s="537"/>
      <c r="XBB174" s="537"/>
      <c r="XBC174" s="537"/>
      <c r="XBD174" s="537"/>
      <c r="XBE174" s="537"/>
      <c r="XBF174" s="537"/>
      <c r="XBG174" s="537"/>
      <c r="XBH174" s="537"/>
      <c r="XBI174" s="537"/>
      <c r="XBJ174" s="537"/>
      <c r="XBK174" s="537"/>
      <c r="XBL174" s="537"/>
      <c r="XBM174" s="537"/>
      <c r="XBN174" s="537"/>
      <c r="XBO174" s="537"/>
      <c r="XBP174" s="537"/>
      <c r="XBQ174" s="537"/>
      <c r="XBR174" s="537"/>
      <c r="XBS174" s="537"/>
      <c r="XBT174" s="537"/>
      <c r="XBU174" s="537"/>
      <c r="XBV174" s="537"/>
      <c r="XBW174" s="537"/>
      <c r="XBX174" s="537"/>
      <c r="XBY174" s="537"/>
      <c r="XBZ174" s="537"/>
      <c r="XCA174" s="537"/>
      <c r="XCB174" s="537"/>
      <c r="XCC174" s="537"/>
      <c r="XCD174" s="537"/>
      <c r="XCE174" s="537"/>
      <c r="XCF174" s="537"/>
      <c r="XCG174" s="537"/>
      <c r="XCH174" s="537"/>
      <c r="XCI174" s="537"/>
      <c r="XCJ174" s="537"/>
      <c r="XCK174" s="537"/>
      <c r="XCL174" s="537"/>
      <c r="XCM174" s="537"/>
      <c r="XCN174" s="537"/>
      <c r="XCO174" s="537"/>
      <c r="XCP174" s="537"/>
      <c r="XCQ174" s="537"/>
      <c r="XCR174" s="537"/>
      <c r="XCS174" s="537"/>
      <c r="XCT174" s="537"/>
      <c r="XCU174" s="537"/>
      <c r="XCV174" s="537"/>
      <c r="XCW174" s="537"/>
      <c r="XCX174" s="537"/>
      <c r="XCY174" s="537"/>
      <c r="XCZ174" s="537"/>
      <c r="XDA174" s="537"/>
      <c r="XDB174" s="537"/>
      <c r="XDC174" s="537"/>
      <c r="XDD174" s="537"/>
      <c r="XDE174" s="537"/>
      <c r="XDF174" s="537"/>
      <c r="XDG174" s="537"/>
      <c r="XDH174" s="537"/>
      <c r="XDI174" s="537"/>
      <c r="XDJ174" s="537"/>
      <c r="XDK174" s="537"/>
      <c r="XDL174" s="537"/>
      <c r="XDM174" s="537"/>
      <c r="XDN174" s="537"/>
      <c r="XDO174" s="537"/>
      <c r="XDP174" s="537"/>
      <c r="XDQ174" s="537"/>
      <c r="XDR174" s="537"/>
      <c r="XDS174" s="537"/>
      <c r="XDT174" s="537"/>
      <c r="XDU174" s="537"/>
      <c r="XDV174" s="537"/>
      <c r="XDW174" s="537"/>
      <c r="XDX174" s="537"/>
      <c r="XDY174" s="537"/>
      <c r="XDZ174" s="537"/>
      <c r="XEA174" s="537"/>
      <c r="XEB174" s="537"/>
      <c r="XEC174" s="537"/>
      <c r="XED174" s="537"/>
      <c r="XEE174" s="537"/>
      <c r="XEF174" s="537"/>
      <c r="XEG174" s="537"/>
      <c r="XEH174" s="537"/>
      <c r="XEI174" s="537"/>
      <c r="XEJ174" s="537"/>
      <c r="XEK174" s="537"/>
      <c r="XEL174" s="537"/>
      <c r="XEM174" s="537"/>
      <c r="XEN174" s="537"/>
      <c r="XEO174" s="537"/>
      <c r="XEP174" s="537"/>
      <c r="XEQ174" s="537"/>
      <c r="XER174" s="537"/>
      <c r="XES174" s="537"/>
      <c r="XET174" s="537"/>
      <c r="XEU174" s="537"/>
      <c r="XEV174" s="537"/>
      <c r="XEW174" s="537"/>
      <c r="XEX174" s="537"/>
      <c r="XEY174" s="537"/>
      <c r="XEZ174" s="537"/>
      <c r="XFA174" s="537"/>
      <c r="XFB174" s="537"/>
      <c r="XFC174" s="537"/>
      <c r="XFD174" s="537"/>
    </row>
    <row r="175" spans="1:16384">
      <c r="A175" s="279">
        <v>43101</v>
      </c>
      <c r="B175" s="26">
        <v>51.113</v>
      </c>
      <c r="C175" s="26">
        <v>63.283999999999999</v>
      </c>
      <c r="D175" s="26">
        <v>42.7</v>
      </c>
      <c r="E175" s="26">
        <v>46.758000000000003</v>
      </c>
      <c r="F175" s="26">
        <v>39.375999999999998</v>
      </c>
      <c r="G175" s="26">
        <v>69.012</v>
      </c>
      <c r="H175" s="26">
        <v>49.844000000000001</v>
      </c>
      <c r="I175" s="26">
        <v>49.139000000000003</v>
      </c>
      <c r="J175" s="26">
        <v>13.272</v>
      </c>
      <c r="K175" s="26">
        <v>67.581000000000003</v>
      </c>
      <c r="L175" s="26">
        <v>67.882000000000005</v>
      </c>
      <c r="M175" s="26">
        <v>49.956000000000003</v>
      </c>
      <c r="N175" s="26">
        <v>68.242999999999995</v>
      </c>
      <c r="O175" s="26">
        <v>66.454999999999998</v>
      </c>
      <c r="P175" s="26">
        <v>25.437999999999999</v>
      </c>
      <c r="Q175" s="26">
        <v>19.728999999999999</v>
      </c>
      <c r="R175" s="26">
        <v>66.843999999999994</v>
      </c>
      <c r="S175" s="26">
        <v>39.850999999999999</v>
      </c>
      <c r="T175" s="26">
        <v>68.481999999999999</v>
      </c>
      <c r="U175" s="26">
        <v>42.832999999999998</v>
      </c>
      <c r="V175" s="26">
        <v>14.241</v>
      </c>
      <c r="W175" s="26">
        <v>68.748999999999995</v>
      </c>
      <c r="X175" s="26">
        <v>51.634999999999998</v>
      </c>
      <c r="Y175" s="26">
        <v>9.7508999999999997</v>
      </c>
      <c r="Z175" s="26">
        <v>44.642000000000003</v>
      </c>
      <c r="AA175" s="26">
        <v>68.194000000000003</v>
      </c>
      <c r="AB175" s="26">
        <v>17.623999999999999</v>
      </c>
      <c r="AC175" s="26">
        <v>45.216999999999999</v>
      </c>
      <c r="AD175" s="26">
        <v>45.917000000000002</v>
      </c>
      <c r="AE175" s="26">
        <v>45.676000000000002</v>
      </c>
      <c r="AF175" s="26">
        <v>72.346000000000004</v>
      </c>
      <c r="AG175" s="26">
        <v>42.686</v>
      </c>
      <c r="AH175" s="26">
        <v>14.5</v>
      </c>
      <c r="AI175" s="26">
        <v>31.288</v>
      </c>
      <c r="AJ175" s="26">
        <v>21.818999999999999</v>
      </c>
      <c r="AK175" s="26">
        <v>40.283000000000001</v>
      </c>
      <c r="AL175" s="26">
        <v>61.362000000000002</v>
      </c>
      <c r="AM175" s="26">
        <v>72.346000000000004</v>
      </c>
      <c r="AN175" s="26">
        <v>44.343000000000004</v>
      </c>
      <c r="AO175" s="26">
        <v>50.168999999999997</v>
      </c>
      <c r="AP175" s="26">
        <v>45.554000000000002</v>
      </c>
      <c r="AQ175" s="26">
        <v>20.690999999999999</v>
      </c>
      <c r="AR175" s="26">
        <v>66.168000000000006</v>
      </c>
      <c r="AS175" s="26">
        <v>35.991999999999997</v>
      </c>
      <c r="AT175" s="26">
        <v>6.2060000000000004</v>
      </c>
      <c r="AU175" s="26">
        <v>42.707000000000001</v>
      </c>
      <c r="AV175" s="26">
        <v>34.555</v>
      </c>
      <c r="AW175" s="26">
        <v>15.398999999999999</v>
      </c>
      <c r="AX175" s="26">
        <v>59.35</v>
      </c>
      <c r="AY175" s="26">
        <v>45.845999999999997</v>
      </c>
      <c r="AZ175" s="26">
        <v>51.868000000000002</v>
      </c>
      <c r="BA175" s="26">
        <v>43.497</v>
      </c>
      <c r="BB175" s="26">
        <v>44.463999999999999</v>
      </c>
      <c r="BC175" s="26">
        <v>56.616</v>
      </c>
      <c r="BD175" s="26">
        <v>51.540999999999997</v>
      </c>
      <c r="BE175" s="26">
        <v>30.968</v>
      </c>
      <c r="BF175" s="26">
        <v>49.511000000000003</v>
      </c>
      <c r="BG175" s="26">
        <v>43.51</v>
      </c>
      <c r="BH175" s="26">
        <v>66.587999999999994</v>
      </c>
      <c r="BI175" s="26">
        <v>67.837000000000003</v>
      </c>
      <c r="BJ175" s="26">
        <v>55.207000000000001</v>
      </c>
      <c r="BK175" s="26">
        <v>33.670999999999999</v>
      </c>
      <c r="BL175" s="26">
        <v>31.734999999999999</v>
      </c>
      <c r="BM175" s="26">
        <v>43.692</v>
      </c>
      <c r="BN175" s="26">
        <v>68.885999999999996</v>
      </c>
      <c r="BO175" s="26">
        <v>78.515000000000001</v>
      </c>
      <c r="BP175" s="26">
        <v>59.360999999999997</v>
      </c>
      <c r="BQ175" s="26">
        <v>37.396000000000001</v>
      </c>
      <c r="BR175" s="26">
        <v>21.599</v>
      </c>
      <c r="BS175" s="26">
        <v>51.540999999999997</v>
      </c>
      <c r="BT175" s="26">
        <v>14.211</v>
      </c>
      <c r="BU175" s="26">
        <v>21.399000000000001</v>
      </c>
      <c r="BV175" s="26">
        <v>49.082000000000001</v>
      </c>
      <c r="BW175" s="26">
        <v>41.384</v>
      </c>
      <c r="BX175" s="26">
        <v>45.569000000000003</v>
      </c>
      <c r="BY175" s="26">
        <v>38.26</v>
      </c>
      <c r="BZ175" s="26">
        <v>66.668000000000006</v>
      </c>
      <c r="CA175" s="26">
        <v>36.646000000000001</v>
      </c>
      <c r="CB175" s="26">
        <v>21.538</v>
      </c>
      <c r="CC175" s="26">
        <v>13.212999999999999</v>
      </c>
      <c r="CD175" s="26">
        <v>24.937000000000001</v>
      </c>
      <c r="CE175" s="26">
        <v>69.944000000000003</v>
      </c>
      <c r="CF175" s="26">
        <v>67.564999999999998</v>
      </c>
      <c r="CG175" s="26">
        <v>44.423000000000002</v>
      </c>
      <c r="CH175" s="26">
        <v>41.726999999999997</v>
      </c>
      <c r="CI175" s="26">
        <v>50.511000000000003</v>
      </c>
      <c r="CJ175" s="26">
        <v>42.046999999999997</v>
      </c>
      <c r="CK175" s="26">
        <v>25.010999999999999</v>
      </c>
      <c r="CL175" s="26">
        <v>68.194000000000003</v>
      </c>
      <c r="CM175" s="26">
        <v>10.095000000000001</v>
      </c>
      <c r="CN175" s="26">
        <v>25.111999999999998</v>
      </c>
      <c r="CO175" s="26">
        <v>52.936999999999998</v>
      </c>
      <c r="CP175" s="26">
        <v>61.353999999999999</v>
      </c>
      <c r="CQ175" s="26">
        <v>59.35</v>
      </c>
      <c r="CR175" s="26">
        <v>31.757000000000001</v>
      </c>
      <c r="CS175" s="26">
        <v>21.908999999999999</v>
      </c>
      <c r="CT175" s="26">
        <v>72.86</v>
      </c>
      <c r="CU175" s="26">
        <v>66.203999999999994</v>
      </c>
      <c r="CV175" s="26">
        <v>34.987000000000002</v>
      </c>
      <c r="CW175" s="26">
        <v>35.284999999999997</v>
      </c>
      <c r="CX175" s="26">
        <v>49.286000000000001</v>
      </c>
      <c r="CY175" s="61"/>
      <c r="CZ175" s="537"/>
      <c r="DA175" s="61"/>
    </row>
    <row r="176" spans="1:16384">
      <c r="A176" s="279">
        <v>43132</v>
      </c>
      <c r="B176" s="26">
        <v>60.124000000000002</v>
      </c>
      <c r="C176" s="26">
        <v>66.168999999999997</v>
      </c>
      <c r="D176" s="26">
        <v>61.3</v>
      </c>
      <c r="E176" s="26">
        <v>65.326999999999998</v>
      </c>
      <c r="F176" s="26">
        <v>45.671999999999997</v>
      </c>
      <c r="G176" s="26">
        <v>66.168999999999997</v>
      </c>
      <c r="H176" s="26">
        <v>60.100999999999999</v>
      </c>
      <c r="I176" s="26">
        <v>54.121000000000002</v>
      </c>
      <c r="J176" s="26">
        <v>3.4965000000000002</v>
      </c>
      <c r="K176" s="26">
        <v>78.697000000000003</v>
      </c>
      <c r="L176" s="26">
        <v>64.546999999999997</v>
      </c>
      <c r="M176" s="26">
        <v>61.353999999999999</v>
      </c>
      <c r="N176" s="26">
        <v>71.671000000000006</v>
      </c>
      <c r="O176" s="26">
        <v>74.278999999999996</v>
      </c>
      <c r="P176" s="26">
        <v>42.668999999999997</v>
      </c>
      <c r="Q176" s="26">
        <v>27.088999999999999</v>
      </c>
      <c r="R176" s="26">
        <v>71.686999999999998</v>
      </c>
      <c r="S176" s="26">
        <v>43.497999999999998</v>
      </c>
      <c r="T176" s="26">
        <v>71.084999999999994</v>
      </c>
      <c r="U176" s="26">
        <v>41.436999999999998</v>
      </c>
      <c r="V176" s="26">
        <v>11.91</v>
      </c>
      <c r="W176" s="26">
        <v>67.349000000000004</v>
      </c>
      <c r="X176" s="26">
        <v>61.634</v>
      </c>
      <c r="Y176" s="26">
        <v>10.233000000000001</v>
      </c>
      <c r="Z176" s="26">
        <v>27.282</v>
      </c>
      <c r="AA176" s="26">
        <v>67.36</v>
      </c>
      <c r="AB176" s="26">
        <v>22.312999999999999</v>
      </c>
      <c r="AC176" s="26">
        <v>61.545000000000002</v>
      </c>
      <c r="AD176" s="26">
        <v>54.88</v>
      </c>
      <c r="AE176" s="26">
        <v>42.777999999999999</v>
      </c>
      <c r="AF176" s="26">
        <v>82.991</v>
      </c>
      <c r="AG176" s="26">
        <v>46.033000000000001</v>
      </c>
      <c r="AH176" s="26">
        <v>13.829000000000001</v>
      </c>
      <c r="AI176" s="26">
        <v>19.969000000000001</v>
      </c>
      <c r="AJ176" s="26">
        <v>25.931999999999999</v>
      </c>
      <c r="AK176" s="26">
        <v>55.488999999999997</v>
      </c>
      <c r="AL176" s="26">
        <v>66.168999999999997</v>
      </c>
      <c r="AM176" s="26">
        <v>74.811000000000007</v>
      </c>
      <c r="AN176" s="26">
        <v>56.649000000000001</v>
      </c>
      <c r="AO176" s="26">
        <v>55.235999999999997</v>
      </c>
      <c r="AP176" s="26">
        <v>22.312999999999999</v>
      </c>
      <c r="AQ176" s="26">
        <v>27.995999999999999</v>
      </c>
      <c r="AR176" s="26">
        <v>66.168999999999997</v>
      </c>
      <c r="AS176" s="26">
        <v>42.841000000000001</v>
      </c>
      <c r="AT176" s="26">
        <v>7.2704000000000004</v>
      </c>
      <c r="AU176" s="26">
        <v>40.466000000000001</v>
      </c>
      <c r="AV176" s="26">
        <v>27.321000000000002</v>
      </c>
      <c r="AW176" s="26">
        <v>19.440999999999999</v>
      </c>
      <c r="AX176" s="26">
        <v>61.3</v>
      </c>
      <c r="AY176" s="26">
        <v>61.356999999999999</v>
      </c>
      <c r="AZ176" s="26">
        <v>56.651000000000003</v>
      </c>
      <c r="BA176" s="26">
        <v>42.393000000000001</v>
      </c>
      <c r="BB176" s="26">
        <v>64.427999999999997</v>
      </c>
      <c r="BC176" s="26">
        <v>66.168999999999997</v>
      </c>
      <c r="BD176" s="26">
        <v>69.974999999999994</v>
      </c>
      <c r="BE176" s="26">
        <v>27.995999999999999</v>
      </c>
      <c r="BF176" s="26">
        <v>47.938000000000002</v>
      </c>
      <c r="BG176" s="26">
        <v>61.3</v>
      </c>
      <c r="BH176" s="26">
        <v>68.183999999999997</v>
      </c>
      <c r="BI176" s="26">
        <v>74.278999999999996</v>
      </c>
      <c r="BJ176" s="26">
        <v>61.353999999999999</v>
      </c>
      <c r="BK176" s="26">
        <v>42.777999999999999</v>
      </c>
      <c r="BL176" s="26">
        <v>27.876999999999999</v>
      </c>
      <c r="BM176" s="26">
        <v>57.381999999999998</v>
      </c>
      <c r="BN176" s="26">
        <v>77.491</v>
      </c>
      <c r="BO176" s="26">
        <v>101.54</v>
      </c>
      <c r="BP176" s="26">
        <v>57.944000000000003</v>
      </c>
      <c r="BQ176" s="26">
        <v>42.683</v>
      </c>
      <c r="BR176" s="26">
        <v>19.411999999999999</v>
      </c>
      <c r="BS176" s="26">
        <v>63.661999999999999</v>
      </c>
      <c r="BT176" s="26">
        <v>19.951000000000001</v>
      </c>
      <c r="BU176" s="26">
        <v>19.532</v>
      </c>
      <c r="BV176" s="26">
        <v>57.137</v>
      </c>
      <c r="BW176" s="26">
        <v>44.109000000000002</v>
      </c>
      <c r="BX176" s="26">
        <v>58.375</v>
      </c>
      <c r="BY176" s="26">
        <v>61.3</v>
      </c>
      <c r="BZ176" s="26">
        <v>55.445999999999998</v>
      </c>
      <c r="CA176" s="26">
        <v>43.396000000000001</v>
      </c>
      <c r="CB176" s="26">
        <v>21.928000000000001</v>
      </c>
      <c r="CC176" s="26">
        <v>33.529000000000003</v>
      </c>
      <c r="CD176" s="26">
        <v>42.938000000000002</v>
      </c>
      <c r="CE176" s="26">
        <v>85.033000000000001</v>
      </c>
      <c r="CF176" s="26">
        <v>63.040999999999997</v>
      </c>
      <c r="CG176" s="26">
        <v>50.030999999999999</v>
      </c>
      <c r="CH176" s="26">
        <v>42.841000000000001</v>
      </c>
      <c r="CI176" s="26">
        <v>55.082999999999998</v>
      </c>
      <c r="CJ176" s="26">
        <v>47.488</v>
      </c>
      <c r="CK176" s="26">
        <v>42.746000000000002</v>
      </c>
      <c r="CL176" s="26">
        <v>61.386000000000003</v>
      </c>
      <c r="CM176" s="26">
        <v>3.3412999999999999</v>
      </c>
      <c r="CN176" s="26">
        <v>28.062999999999999</v>
      </c>
      <c r="CO176" s="26">
        <v>46.045999999999999</v>
      </c>
      <c r="CP176" s="26">
        <v>61</v>
      </c>
      <c r="CQ176" s="26">
        <v>61.3</v>
      </c>
      <c r="CR176" s="26">
        <v>27.943999999999999</v>
      </c>
      <c r="CS176" s="26">
        <v>19.936</v>
      </c>
      <c r="CT176" s="26">
        <v>74.278999999999996</v>
      </c>
      <c r="CU176" s="26">
        <v>66.168999999999997</v>
      </c>
      <c r="CV176" s="26">
        <v>39.463999999999999</v>
      </c>
      <c r="CW176" s="26">
        <v>38.597999999999999</v>
      </c>
      <c r="CX176" s="26">
        <v>55.023000000000003</v>
      </c>
      <c r="CY176" s="61"/>
      <c r="CZ176" s="537"/>
      <c r="DA176" s="61"/>
    </row>
    <row r="177" spans="1:16384">
      <c r="A177" s="279">
        <v>43160</v>
      </c>
      <c r="B177" s="26">
        <v>60.197000000000003</v>
      </c>
      <c r="C177" s="26">
        <v>69.257999999999996</v>
      </c>
      <c r="D177" s="26">
        <v>55.213999999999999</v>
      </c>
      <c r="E177" s="26">
        <v>65.203999999999994</v>
      </c>
      <c r="F177" s="26">
        <v>61.975000000000001</v>
      </c>
      <c r="G177" s="26">
        <v>68.903999999999996</v>
      </c>
      <c r="H177" s="26">
        <v>61.975000000000001</v>
      </c>
      <c r="I177" s="26">
        <v>66.924000000000007</v>
      </c>
      <c r="J177" s="26">
        <v>4.5063000000000004</v>
      </c>
      <c r="K177" s="26">
        <v>70.593999999999994</v>
      </c>
      <c r="L177" s="26">
        <v>61.369</v>
      </c>
      <c r="M177" s="26">
        <v>46.197000000000003</v>
      </c>
      <c r="N177" s="26">
        <v>66.924000000000007</v>
      </c>
      <c r="O177" s="26">
        <v>66.924000000000007</v>
      </c>
      <c r="P177" s="26">
        <v>61.975000000000001</v>
      </c>
      <c r="Q177" s="26">
        <v>26.808</v>
      </c>
      <c r="R177" s="26">
        <v>63.372</v>
      </c>
      <c r="S177" s="26">
        <v>61.975000000000001</v>
      </c>
      <c r="T177" s="26">
        <v>47.311999999999998</v>
      </c>
      <c r="U177" s="26">
        <v>55.506</v>
      </c>
      <c r="V177" s="26">
        <v>3.5647000000000002</v>
      </c>
      <c r="W177" s="26">
        <v>57.587000000000003</v>
      </c>
      <c r="X177" s="26">
        <v>70.593999999999994</v>
      </c>
      <c r="Y177" s="26">
        <v>16.582000000000001</v>
      </c>
      <c r="Z177" s="26">
        <v>36.097999999999999</v>
      </c>
      <c r="AA177" s="26">
        <v>74.959999999999994</v>
      </c>
      <c r="AB177" s="26">
        <v>37.53</v>
      </c>
      <c r="AC177" s="26">
        <v>62.997999999999998</v>
      </c>
      <c r="AD177" s="26">
        <v>66.936000000000007</v>
      </c>
      <c r="AE177" s="26">
        <v>55.478000000000002</v>
      </c>
      <c r="AF177" s="26">
        <v>74.950999999999993</v>
      </c>
      <c r="AG177" s="26">
        <v>70.593999999999994</v>
      </c>
      <c r="AH177" s="26">
        <v>22.97</v>
      </c>
      <c r="AI177" s="26">
        <v>29.751999999999999</v>
      </c>
      <c r="AJ177" s="26">
        <v>52.923000000000002</v>
      </c>
      <c r="AK177" s="26">
        <v>53.046999999999997</v>
      </c>
      <c r="AL177" s="26">
        <v>66.924000000000007</v>
      </c>
      <c r="AM177" s="26">
        <v>72.721999999999994</v>
      </c>
      <c r="AN177" s="26">
        <v>62.002000000000002</v>
      </c>
      <c r="AO177" s="26">
        <v>67.337999999999994</v>
      </c>
      <c r="AP177" s="26">
        <v>53.012</v>
      </c>
      <c r="AQ177" s="26">
        <v>25.126000000000001</v>
      </c>
      <c r="AR177" s="26">
        <v>66.924000000000007</v>
      </c>
      <c r="AS177" s="26">
        <v>61.975000000000001</v>
      </c>
      <c r="AT177" s="26">
        <v>9.8030000000000008</v>
      </c>
      <c r="AU177" s="26">
        <v>61.975000000000001</v>
      </c>
      <c r="AV177" s="26">
        <v>28.431999999999999</v>
      </c>
      <c r="AW177" s="26">
        <v>22.983000000000001</v>
      </c>
      <c r="AX177" s="26">
        <v>64.576999999999998</v>
      </c>
      <c r="AY177" s="26">
        <v>61.975000000000001</v>
      </c>
      <c r="AZ177" s="26">
        <v>66.924000000000007</v>
      </c>
      <c r="BA177" s="26">
        <v>54.603999999999999</v>
      </c>
      <c r="BB177" s="26">
        <v>61.401000000000003</v>
      </c>
      <c r="BC177" s="26">
        <v>63.283999999999999</v>
      </c>
      <c r="BD177" s="26">
        <v>64.771000000000001</v>
      </c>
      <c r="BE177" s="26">
        <v>37.475000000000001</v>
      </c>
      <c r="BF177" s="26">
        <v>53.127000000000002</v>
      </c>
      <c r="BG177" s="26">
        <v>48.48</v>
      </c>
      <c r="BH177" s="26">
        <v>67.888999999999996</v>
      </c>
      <c r="BI177" s="26">
        <v>72.917000000000002</v>
      </c>
      <c r="BJ177" s="26">
        <v>66.924000000000007</v>
      </c>
      <c r="BK177" s="26">
        <v>33.103000000000002</v>
      </c>
      <c r="BL177" s="26">
        <v>46.048999999999999</v>
      </c>
      <c r="BM177" s="26">
        <v>70.593999999999994</v>
      </c>
      <c r="BN177" s="26">
        <v>74.950999999999993</v>
      </c>
      <c r="BO177" s="26">
        <v>71.992000000000004</v>
      </c>
      <c r="BP177" s="26">
        <v>63.704999999999998</v>
      </c>
      <c r="BQ177" s="26">
        <v>55.62</v>
      </c>
      <c r="BR177" s="26">
        <v>34.383000000000003</v>
      </c>
      <c r="BS177" s="26">
        <v>61.887999999999998</v>
      </c>
      <c r="BT177" s="26">
        <v>22.797000000000001</v>
      </c>
      <c r="BU177" s="26">
        <v>17.154</v>
      </c>
      <c r="BV177" s="26">
        <v>66.924000000000007</v>
      </c>
      <c r="BW177" s="26">
        <v>55.506</v>
      </c>
      <c r="BX177" s="26">
        <v>61.353999999999999</v>
      </c>
      <c r="BY177" s="26">
        <v>66.924000000000007</v>
      </c>
      <c r="BZ177" s="26">
        <v>61.99</v>
      </c>
      <c r="CA177" s="26">
        <v>61.975000000000001</v>
      </c>
      <c r="CB177" s="26">
        <v>24.114999999999998</v>
      </c>
      <c r="CC177" s="26">
        <v>43.716000000000001</v>
      </c>
      <c r="CD177" s="26">
        <v>61.975000000000001</v>
      </c>
      <c r="CE177" s="26">
        <v>84.881</v>
      </c>
      <c r="CF177" s="26">
        <v>59.381999999999998</v>
      </c>
      <c r="CG177" s="26">
        <v>24.556000000000001</v>
      </c>
      <c r="CH177" s="26">
        <v>58.145000000000003</v>
      </c>
      <c r="CI177" s="26">
        <v>61.749000000000002</v>
      </c>
      <c r="CJ177" s="26">
        <v>47.283999999999999</v>
      </c>
      <c r="CK177" s="26">
        <v>49.682000000000002</v>
      </c>
      <c r="CL177" s="26">
        <v>42.872999999999998</v>
      </c>
      <c r="CM177" s="26">
        <v>4.2361000000000004</v>
      </c>
      <c r="CN177" s="26">
        <v>49.969000000000001</v>
      </c>
      <c r="CO177" s="26">
        <v>30.718</v>
      </c>
      <c r="CP177" s="26">
        <v>32.343000000000004</v>
      </c>
      <c r="CQ177" s="26">
        <v>66.956000000000003</v>
      </c>
      <c r="CR177" s="26">
        <v>36.002000000000002</v>
      </c>
      <c r="CS177" s="26">
        <v>42.786999999999999</v>
      </c>
      <c r="CT177" s="26">
        <v>71.948999999999998</v>
      </c>
      <c r="CU177" s="26">
        <v>61.975000000000001</v>
      </c>
      <c r="CV177" s="26">
        <v>60.063000000000002</v>
      </c>
      <c r="CW177" s="26">
        <v>34.113</v>
      </c>
      <c r="CX177" s="26">
        <v>54.606000000000002</v>
      </c>
      <c r="CY177" s="61"/>
      <c r="CZ177" s="537"/>
      <c r="DA177" s="61"/>
    </row>
    <row r="178" spans="1:16384">
      <c r="A178" s="279">
        <v>43191</v>
      </c>
      <c r="B178" s="26">
        <v>61.674999999999997</v>
      </c>
      <c r="C178" s="26">
        <v>46.802</v>
      </c>
      <c r="D178" s="26">
        <v>41.718000000000004</v>
      </c>
      <c r="E178" s="26">
        <v>54.731999999999999</v>
      </c>
      <c r="F178" s="26">
        <v>32.643000000000001</v>
      </c>
      <c r="G178" s="26">
        <v>50.280999999999999</v>
      </c>
      <c r="H178" s="26">
        <v>61.674999999999997</v>
      </c>
      <c r="I178" s="26">
        <v>61.674999999999997</v>
      </c>
      <c r="J178" s="26">
        <v>5.3089000000000004</v>
      </c>
      <c r="K178" s="26">
        <v>53.441000000000003</v>
      </c>
      <c r="L178" s="26">
        <v>52.954999999999998</v>
      </c>
      <c r="M178" s="26">
        <v>49.026000000000003</v>
      </c>
      <c r="N178" s="26">
        <v>55.276000000000003</v>
      </c>
      <c r="O178" s="26">
        <v>49.804000000000002</v>
      </c>
      <c r="P178" s="26">
        <v>56.738</v>
      </c>
      <c r="Q178" s="26">
        <v>24</v>
      </c>
      <c r="R178" s="26">
        <v>64.078000000000003</v>
      </c>
      <c r="S178" s="26">
        <v>70.361999999999995</v>
      </c>
      <c r="T178" s="26">
        <v>43.838000000000001</v>
      </c>
      <c r="U178" s="26">
        <v>61.353999999999999</v>
      </c>
      <c r="V178" s="26">
        <v>4.7232000000000003</v>
      </c>
      <c r="W178" s="26">
        <v>39.625</v>
      </c>
      <c r="X178" s="26">
        <v>63.674999999999997</v>
      </c>
      <c r="Y178" s="26">
        <v>9.0970999999999993</v>
      </c>
      <c r="Z178" s="26">
        <v>49.804000000000002</v>
      </c>
      <c r="AA178" s="26">
        <v>61.722999999999999</v>
      </c>
      <c r="AB178" s="26">
        <v>43.222999999999999</v>
      </c>
      <c r="AC178" s="26">
        <v>61.674999999999997</v>
      </c>
      <c r="AD178" s="26">
        <v>41.606999999999999</v>
      </c>
      <c r="AE178" s="26">
        <v>43.127000000000002</v>
      </c>
      <c r="AF178" s="26">
        <v>63.283999999999999</v>
      </c>
      <c r="AG178" s="26">
        <v>63.283999999999999</v>
      </c>
      <c r="AH178" s="26">
        <v>31.568000000000001</v>
      </c>
      <c r="AI178" s="26">
        <v>42.902000000000001</v>
      </c>
      <c r="AJ178" s="26">
        <v>43.627000000000002</v>
      </c>
      <c r="AK178" s="26">
        <v>61.674999999999997</v>
      </c>
      <c r="AL178" s="26">
        <v>43.119</v>
      </c>
      <c r="AM178" s="26">
        <v>60.704999999999998</v>
      </c>
      <c r="AN178" s="26">
        <v>45.688000000000002</v>
      </c>
      <c r="AO178" s="26">
        <v>45.93</v>
      </c>
      <c r="AP178" s="26">
        <v>32.729999999999997</v>
      </c>
      <c r="AQ178" s="26">
        <v>16.29</v>
      </c>
      <c r="AR178" s="26">
        <v>46.29</v>
      </c>
      <c r="AS178" s="26">
        <v>27.82</v>
      </c>
      <c r="AT178" s="26">
        <v>23.088000000000001</v>
      </c>
      <c r="AU178" s="26">
        <v>28.574000000000002</v>
      </c>
      <c r="AV178" s="26">
        <v>35.984999999999999</v>
      </c>
      <c r="AW178" s="26">
        <v>21.62</v>
      </c>
      <c r="AX178" s="26">
        <v>56.561</v>
      </c>
      <c r="AY178" s="26">
        <v>43.011000000000003</v>
      </c>
      <c r="AZ178" s="26">
        <v>46.238</v>
      </c>
      <c r="BA178" s="26">
        <v>55.86</v>
      </c>
      <c r="BB178" s="26">
        <v>57.707000000000001</v>
      </c>
      <c r="BC178" s="26">
        <v>42.844000000000001</v>
      </c>
      <c r="BD178" s="26">
        <v>58.829000000000001</v>
      </c>
      <c r="BE178" s="26">
        <v>31.347999999999999</v>
      </c>
      <c r="BF178" s="26">
        <v>63.283999999999999</v>
      </c>
      <c r="BG178" s="26">
        <v>42.914999999999999</v>
      </c>
      <c r="BH178" s="26">
        <v>34.738</v>
      </c>
      <c r="BI178" s="26">
        <v>57.976999999999997</v>
      </c>
      <c r="BJ178" s="26">
        <v>42.914999999999999</v>
      </c>
      <c r="BK178" s="26">
        <v>29.927</v>
      </c>
      <c r="BL178" s="26">
        <v>43.119</v>
      </c>
      <c r="BM178" s="26">
        <v>70.361999999999995</v>
      </c>
      <c r="BN178" s="26">
        <v>48.975000000000001</v>
      </c>
      <c r="BO178" s="26">
        <v>61.362000000000002</v>
      </c>
      <c r="BP178" s="26">
        <v>61.674999999999997</v>
      </c>
      <c r="BQ178" s="26">
        <v>49.804000000000002</v>
      </c>
      <c r="BR178" s="26">
        <v>42.927999999999997</v>
      </c>
      <c r="BS178" s="26">
        <v>21.471</v>
      </c>
      <c r="BT178" s="26">
        <v>16.579000000000001</v>
      </c>
      <c r="BU178" s="26">
        <v>22.63</v>
      </c>
      <c r="BV178" s="26">
        <v>50.597999999999999</v>
      </c>
      <c r="BW178" s="26">
        <v>38.805</v>
      </c>
      <c r="BX178" s="26">
        <v>44.316000000000003</v>
      </c>
      <c r="BY178" s="26">
        <v>63.283999999999999</v>
      </c>
      <c r="BZ178" s="26">
        <v>43.127000000000002</v>
      </c>
      <c r="CA178" s="26">
        <v>55.628</v>
      </c>
      <c r="CB178" s="26">
        <v>29.709</v>
      </c>
      <c r="CC178" s="26">
        <v>25.225000000000001</v>
      </c>
      <c r="CD178" s="26">
        <v>52.923000000000002</v>
      </c>
      <c r="CE178" s="26">
        <v>74.698999999999998</v>
      </c>
      <c r="CF178" s="26">
        <v>36.097999999999999</v>
      </c>
      <c r="CG178" s="26">
        <v>26.66</v>
      </c>
      <c r="CH178" s="26">
        <v>26.908000000000001</v>
      </c>
      <c r="CI178" s="26">
        <v>71.123999999999995</v>
      </c>
      <c r="CJ178" s="26">
        <v>43.222999999999999</v>
      </c>
      <c r="CK178" s="26">
        <v>39.203000000000003</v>
      </c>
      <c r="CL178" s="26">
        <v>27.481000000000002</v>
      </c>
      <c r="CM178" s="26">
        <v>4.5332999999999997</v>
      </c>
      <c r="CN178" s="26">
        <v>61.674999999999997</v>
      </c>
      <c r="CO178" s="26">
        <v>34.695999999999998</v>
      </c>
      <c r="CP178" s="26">
        <v>29.768000000000001</v>
      </c>
      <c r="CQ178" s="26">
        <v>61.713999999999999</v>
      </c>
      <c r="CR178" s="26">
        <v>39.076000000000001</v>
      </c>
      <c r="CS178" s="26">
        <v>43.222999999999999</v>
      </c>
      <c r="CT178" s="26">
        <v>60.33</v>
      </c>
      <c r="CU178" s="26">
        <v>61.674999999999997</v>
      </c>
      <c r="CV178" s="26">
        <v>49.709000000000003</v>
      </c>
      <c r="CW178" s="26">
        <v>44.664999999999999</v>
      </c>
      <c r="CX178" s="26">
        <v>44.36</v>
      </c>
      <c r="CY178" s="61"/>
      <c r="CZ178" s="537"/>
      <c r="DA178" s="61"/>
    </row>
    <row r="179" spans="1:16384">
      <c r="A179" s="279">
        <v>43221</v>
      </c>
      <c r="B179" s="26">
        <v>49.764000000000003</v>
      </c>
      <c r="C179" s="26">
        <v>45.651000000000003</v>
      </c>
      <c r="D179" s="26">
        <v>49.764000000000003</v>
      </c>
      <c r="E179" s="26">
        <v>41.219000000000001</v>
      </c>
      <c r="F179" s="26">
        <v>33.646999999999998</v>
      </c>
      <c r="G179" s="26">
        <v>52.234999999999999</v>
      </c>
      <c r="H179" s="26">
        <v>60.103999999999999</v>
      </c>
      <c r="I179" s="26">
        <v>43.1</v>
      </c>
      <c r="J179" s="26">
        <v>1.9255</v>
      </c>
      <c r="K179" s="26">
        <v>46.441000000000003</v>
      </c>
      <c r="L179" s="26">
        <v>43.183</v>
      </c>
      <c r="M179" s="26">
        <v>16.940999999999999</v>
      </c>
      <c r="N179" s="26">
        <v>64.849999999999994</v>
      </c>
      <c r="O179" s="26">
        <v>35.792999999999999</v>
      </c>
      <c r="P179" s="26">
        <v>60.057000000000002</v>
      </c>
      <c r="Q179" s="26">
        <v>22.974</v>
      </c>
      <c r="R179" s="26">
        <v>60.057000000000002</v>
      </c>
      <c r="S179" s="26">
        <v>33.076000000000001</v>
      </c>
      <c r="T179" s="26">
        <v>31.885999999999999</v>
      </c>
      <c r="U179" s="26">
        <v>55.07</v>
      </c>
      <c r="V179" s="26">
        <v>11.654999999999999</v>
      </c>
      <c r="W179" s="26">
        <v>47.881999999999998</v>
      </c>
      <c r="X179" s="26">
        <v>63.927</v>
      </c>
      <c r="Y179" s="26">
        <v>11.471</v>
      </c>
      <c r="Z179" s="26">
        <v>26.402999999999999</v>
      </c>
      <c r="AA179" s="26">
        <v>43.183</v>
      </c>
      <c r="AB179" s="26">
        <v>18.459</v>
      </c>
      <c r="AC179" s="26">
        <v>43.223999999999997</v>
      </c>
      <c r="AD179" s="26">
        <v>47.209000000000003</v>
      </c>
      <c r="AE179" s="26">
        <v>32.78</v>
      </c>
      <c r="AF179" s="26">
        <v>55.619</v>
      </c>
      <c r="AG179" s="26">
        <v>26.209</v>
      </c>
      <c r="AH179" s="26">
        <v>44.1</v>
      </c>
      <c r="AI179" s="26">
        <v>45.948</v>
      </c>
      <c r="AJ179" s="26">
        <v>35.774000000000001</v>
      </c>
      <c r="AK179" s="26">
        <v>45.866</v>
      </c>
      <c r="AL179" s="26">
        <v>51.508000000000003</v>
      </c>
      <c r="AM179" s="26">
        <v>60.95</v>
      </c>
      <c r="AN179" s="26">
        <v>49.081000000000003</v>
      </c>
      <c r="AO179" s="26">
        <v>46.244</v>
      </c>
      <c r="AP179" s="26">
        <v>39.100999999999999</v>
      </c>
      <c r="AQ179" s="26">
        <v>1.5939000000000001</v>
      </c>
      <c r="AR179" s="26">
        <v>60.103999999999999</v>
      </c>
      <c r="AS179" s="26">
        <v>26.812000000000001</v>
      </c>
      <c r="AT179" s="26">
        <v>23.709</v>
      </c>
      <c r="AU179" s="26">
        <v>22.486000000000001</v>
      </c>
      <c r="AV179" s="26">
        <v>32.81</v>
      </c>
      <c r="AW179" s="26">
        <v>11.775</v>
      </c>
      <c r="AX179" s="26">
        <v>49.682000000000002</v>
      </c>
      <c r="AY179" s="26">
        <v>33.350999999999999</v>
      </c>
      <c r="AZ179" s="26">
        <v>32.164000000000001</v>
      </c>
      <c r="BA179" s="26">
        <v>29.268999999999998</v>
      </c>
      <c r="BB179" s="26">
        <v>49.003999999999998</v>
      </c>
      <c r="BC179" s="26">
        <v>43.116</v>
      </c>
      <c r="BD179" s="26">
        <v>44.665999999999997</v>
      </c>
      <c r="BE179" s="26">
        <v>32.533999999999999</v>
      </c>
      <c r="BF179" s="26">
        <v>60.103999999999999</v>
      </c>
      <c r="BG179" s="26">
        <v>43.183</v>
      </c>
      <c r="BH179" s="26">
        <v>4.8955000000000002</v>
      </c>
      <c r="BI179" s="26">
        <v>46.783000000000001</v>
      </c>
      <c r="BJ179" s="26">
        <v>36.006</v>
      </c>
      <c r="BK179" s="26">
        <v>48.137999999999998</v>
      </c>
      <c r="BL179" s="26">
        <v>49.682000000000002</v>
      </c>
      <c r="BM179" s="26">
        <v>38.155000000000001</v>
      </c>
      <c r="BN179" s="26">
        <v>46.188000000000002</v>
      </c>
      <c r="BO179" s="26">
        <v>49.393000000000001</v>
      </c>
      <c r="BP179" s="26">
        <v>53.814999999999998</v>
      </c>
      <c r="BQ179" s="26">
        <v>43.462000000000003</v>
      </c>
      <c r="BR179" s="26">
        <v>45.274000000000001</v>
      </c>
      <c r="BS179" s="26">
        <v>1.6092</v>
      </c>
      <c r="BT179" s="26">
        <v>3.6749999999999998</v>
      </c>
      <c r="BU179" s="26">
        <v>4.3654999999999999</v>
      </c>
      <c r="BV179" s="26">
        <v>52.765999999999998</v>
      </c>
      <c r="BW179" s="26">
        <v>32.823999999999998</v>
      </c>
      <c r="BX179" s="26">
        <v>44.98</v>
      </c>
      <c r="BY179" s="26">
        <v>60.024999999999999</v>
      </c>
      <c r="BZ179" s="26">
        <v>50.841999999999999</v>
      </c>
      <c r="CA179" s="26">
        <v>16.936</v>
      </c>
      <c r="CB179" s="26">
        <v>3.9220000000000002</v>
      </c>
      <c r="CC179" s="26">
        <v>23.945</v>
      </c>
      <c r="CD179" s="26">
        <v>43.798000000000002</v>
      </c>
      <c r="CE179" s="26">
        <v>64.756</v>
      </c>
      <c r="CF179" s="26">
        <v>39.716000000000001</v>
      </c>
      <c r="CG179" s="26">
        <v>23.64</v>
      </c>
      <c r="CH179" s="26">
        <v>38.883000000000003</v>
      </c>
      <c r="CI179" s="26">
        <v>55.808</v>
      </c>
      <c r="CJ179" s="26">
        <v>32.881</v>
      </c>
      <c r="CK179" s="26">
        <v>23.753</v>
      </c>
      <c r="CL179" s="26">
        <v>11.56</v>
      </c>
      <c r="CM179" s="26">
        <v>3.8754</v>
      </c>
      <c r="CN179" s="26">
        <v>46.29</v>
      </c>
      <c r="CO179" s="26">
        <v>27.486000000000001</v>
      </c>
      <c r="CP179" s="26">
        <v>32.139000000000003</v>
      </c>
      <c r="CQ179" s="26">
        <v>41.478999999999999</v>
      </c>
      <c r="CR179" s="26">
        <v>34.781999999999996</v>
      </c>
      <c r="CS179" s="26">
        <v>4.4513999999999996</v>
      </c>
      <c r="CT179" s="26">
        <v>44.545999999999999</v>
      </c>
      <c r="CU179" s="26">
        <v>40.289000000000001</v>
      </c>
      <c r="CV179" s="26">
        <v>43.317999999999998</v>
      </c>
      <c r="CW179" s="26">
        <v>12.071999999999999</v>
      </c>
      <c r="CX179" s="26">
        <v>39.354999999999997</v>
      </c>
      <c r="CY179" s="61"/>
      <c r="CZ179" s="537"/>
      <c r="DA179" s="61"/>
    </row>
    <row r="180" spans="1:16384">
      <c r="A180" s="279">
        <v>43252</v>
      </c>
      <c r="B180" s="26">
        <v>43.813000000000002</v>
      </c>
      <c r="C180" s="26">
        <v>43.390999999999998</v>
      </c>
      <c r="D180" s="26">
        <v>53.115000000000002</v>
      </c>
      <c r="E180" s="26">
        <v>19.306000000000001</v>
      </c>
      <c r="F180" s="26">
        <v>32.378999999999998</v>
      </c>
      <c r="G180" s="26">
        <v>53.893000000000001</v>
      </c>
      <c r="H180" s="26">
        <v>52.642000000000003</v>
      </c>
      <c r="I180" s="26">
        <v>54.209000000000003</v>
      </c>
      <c r="J180" s="26">
        <v>1.1453</v>
      </c>
      <c r="K180" s="26">
        <v>49.779000000000003</v>
      </c>
      <c r="L180" s="26">
        <v>49.795999999999999</v>
      </c>
      <c r="M180" s="26">
        <v>10.968999999999999</v>
      </c>
      <c r="N180" s="26">
        <v>45.575000000000003</v>
      </c>
      <c r="O180" s="26">
        <v>29.937000000000001</v>
      </c>
      <c r="P180" s="26">
        <v>58.68</v>
      </c>
      <c r="Q180" s="26">
        <v>27.763999999999999</v>
      </c>
      <c r="R180" s="26">
        <v>63.335999999999999</v>
      </c>
      <c r="S180" s="26">
        <v>30.963000000000001</v>
      </c>
      <c r="T180" s="26">
        <v>32.613999999999997</v>
      </c>
      <c r="U180" s="26">
        <v>52.484000000000002</v>
      </c>
      <c r="V180" s="26">
        <v>7.3186</v>
      </c>
      <c r="W180" s="26">
        <v>52.969000000000001</v>
      </c>
      <c r="X180" s="26">
        <v>60.637999999999998</v>
      </c>
      <c r="Y180" s="26">
        <v>11.81</v>
      </c>
      <c r="Z180" s="26">
        <v>22.812000000000001</v>
      </c>
      <c r="AA180" s="26">
        <v>25.634</v>
      </c>
      <c r="AB180" s="26">
        <v>15.074999999999999</v>
      </c>
      <c r="AC180" s="26">
        <v>58.692999999999998</v>
      </c>
      <c r="AD180" s="26">
        <v>52.087000000000003</v>
      </c>
      <c r="AE180" s="26">
        <v>15.095000000000001</v>
      </c>
      <c r="AF180" s="26">
        <v>57.673999999999999</v>
      </c>
      <c r="AG180" s="26">
        <v>8.0898000000000003</v>
      </c>
      <c r="AH180" s="26">
        <v>59.970999999999997</v>
      </c>
      <c r="AI180" s="26">
        <v>50.954000000000001</v>
      </c>
      <c r="AJ180" s="26">
        <v>45.421999999999997</v>
      </c>
      <c r="AK180" s="26">
        <v>30.952999999999999</v>
      </c>
      <c r="AL180" s="26">
        <v>55.994</v>
      </c>
      <c r="AM180" s="26">
        <v>60.689</v>
      </c>
      <c r="AN180" s="26">
        <v>34.01</v>
      </c>
      <c r="AO180" s="26">
        <v>55.319000000000003</v>
      </c>
      <c r="AP180" s="26">
        <v>41.036000000000001</v>
      </c>
      <c r="AQ180" s="26">
        <v>1.1375</v>
      </c>
      <c r="AR180" s="26">
        <v>64.238</v>
      </c>
      <c r="AS180" s="26">
        <v>29.963999999999999</v>
      </c>
      <c r="AT180" s="26">
        <v>27.178999999999998</v>
      </c>
      <c r="AU180" s="26">
        <v>22.971</v>
      </c>
      <c r="AV180" s="26">
        <v>37.65</v>
      </c>
      <c r="AW180" s="26">
        <v>13.878</v>
      </c>
      <c r="AX180" s="26">
        <v>59.39</v>
      </c>
      <c r="AY180" s="26">
        <v>50.381999999999998</v>
      </c>
      <c r="AZ180" s="26">
        <v>37.584000000000003</v>
      </c>
      <c r="BA180" s="26">
        <v>23.942</v>
      </c>
      <c r="BB180" s="26">
        <v>59.731000000000002</v>
      </c>
      <c r="BC180" s="26">
        <v>34.262999999999998</v>
      </c>
      <c r="BD180" s="26">
        <v>49.017000000000003</v>
      </c>
      <c r="BE180" s="26">
        <v>29.626000000000001</v>
      </c>
      <c r="BF180" s="26">
        <v>33.624000000000002</v>
      </c>
      <c r="BG180" s="26">
        <v>33.284999999999997</v>
      </c>
      <c r="BH180" s="26">
        <v>1.5034000000000001</v>
      </c>
      <c r="BI180" s="26">
        <v>48.161999999999999</v>
      </c>
      <c r="BJ180" s="26">
        <v>33.408000000000001</v>
      </c>
      <c r="BK180" s="26">
        <v>42.927999999999997</v>
      </c>
      <c r="BL180" s="26">
        <v>57.585999999999999</v>
      </c>
      <c r="BM180" s="26">
        <v>25.515000000000001</v>
      </c>
      <c r="BN180" s="26">
        <v>28.869</v>
      </c>
      <c r="BO180" s="26">
        <v>28.835999999999999</v>
      </c>
      <c r="BP180" s="26">
        <v>60.402999999999999</v>
      </c>
      <c r="BQ180" s="26">
        <v>47.795000000000002</v>
      </c>
      <c r="BR180" s="26">
        <v>36.130000000000003</v>
      </c>
      <c r="BS180" s="26">
        <v>1.6328</v>
      </c>
      <c r="BT180" s="26">
        <v>1.5476000000000001</v>
      </c>
      <c r="BU180" s="26">
        <v>11.789</v>
      </c>
      <c r="BV180" s="26">
        <v>52.512</v>
      </c>
      <c r="BW180" s="26">
        <v>47.11</v>
      </c>
      <c r="BX180" s="26">
        <v>50.643999999999998</v>
      </c>
      <c r="BY180" s="26">
        <v>44.101999999999997</v>
      </c>
      <c r="BZ180" s="26">
        <v>49.781999999999996</v>
      </c>
      <c r="CA180" s="26">
        <v>14.849</v>
      </c>
      <c r="CB180" s="26">
        <v>6.9764999999999997</v>
      </c>
      <c r="CC180" s="26">
        <v>23.077999999999999</v>
      </c>
      <c r="CD180" s="26">
        <v>49.423000000000002</v>
      </c>
      <c r="CE180" s="26">
        <v>67.161000000000001</v>
      </c>
      <c r="CF180" s="26">
        <v>33.451999999999998</v>
      </c>
      <c r="CG180" s="26">
        <v>32.243000000000002</v>
      </c>
      <c r="CH180" s="26">
        <v>26.273</v>
      </c>
      <c r="CI180" s="26">
        <v>33.801000000000002</v>
      </c>
      <c r="CJ180" s="26">
        <v>33.951000000000001</v>
      </c>
      <c r="CK180" s="26">
        <v>32.454999999999998</v>
      </c>
      <c r="CL180" s="26">
        <v>29.876999999999999</v>
      </c>
      <c r="CM180" s="26">
        <v>14.554</v>
      </c>
      <c r="CN180" s="26">
        <v>38.932000000000002</v>
      </c>
      <c r="CO180" s="26">
        <v>12.628</v>
      </c>
      <c r="CP180" s="26">
        <v>28.597000000000001</v>
      </c>
      <c r="CQ180" s="26">
        <v>47.722999999999999</v>
      </c>
      <c r="CR180" s="26">
        <v>38.308999999999997</v>
      </c>
      <c r="CS180" s="26">
        <v>2.9756999999999998</v>
      </c>
      <c r="CT180" s="26">
        <v>54.515000000000001</v>
      </c>
      <c r="CU180" s="26">
        <v>30.135999999999999</v>
      </c>
      <c r="CV180" s="26">
        <v>34.262999999999998</v>
      </c>
      <c r="CW180" s="26">
        <v>3.0628000000000002</v>
      </c>
      <c r="CX180" s="26">
        <v>39.345999999999997</v>
      </c>
      <c r="CY180" s="61"/>
      <c r="CZ180" s="537"/>
      <c r="DA180" s="61"/>
    </row>
    <row r="181" spans="1:16384">
      <c r="A181" s="279">
        <v>43282</v>
      </c>
      <c r="B181" s="26">
        <v>40.226999999999997</v>
      </c>
      <c r="C181" s="26">
        <v>50.412999999999997</v>
      </c>
      <c r="D181" s="26">
        <v>39.401000000000003</v>
      </c>
      <c r="E181" s="26">
        <v>30.210999999999999</v>
      </c>
      <c r="F181" s="26">
        <v>36.194000000000003</v>
      </c>
      <c r="G181" s="26">
        <v>61.094999999999999</v>
      </c>
      <c r="H181" s="26">
        <v>31.994</v>
      </c>
      <c r="I181" s="26">
        <v>50.561</v>
      </c>
      <c r="J181" s="26">
        <v>1.5896999999999999</v>
      </c>
      <c r="K181" s="26">
        <v>52.892000000000003</v>
      </c>
      <c r="L181" s="26">
        <v>52.015999999999998</v>
      </c>
      <c r="M181" s="26">
        <v>4.4157999999999999</v>
      </c>
      <c r="N181" s="26">
        <v>40.494999999999997</v>
      </c>
      <c r="O181" s="26">
        <v>23.602</v>
      </c>
      <c r="P181" s="26">
        <v>61.305</v>
      </c>
      <c r="Q181" s="26">
        <v>17.353000000000002</v>
      </c>
      <c r="R181" s="26">
        <v>59.935000000000002</v>
      </c>
      <c r="S181" s="26">
        <v>37.101999999999997</v>
      </c>
      <c r="T181" s="26">
        <v>30.571999999999999</v>
      </c>
      <c r="U181" s="26">
        <v>42.881</v>
      </c>
      <c r="V181" s="26">
        <v>5.8254000000000001</v>
      </c>
      <c r="W181" s="26">
        <v>50.534999999999997</v>
      </c>
      <c r="X181" s="26">
        <v>61.401000000000003</v>
      </c>
      <c r="Y181" s="26">
        <v>23.66</v>
      </c>
      <c r="Z181" s="26">
        <v>35.784999999999997</v>
      </c>
      <c r="AA181" s="26">
        <v>29.21</v>
      </c>
      <c r="AB181" s="26">
        <v>23.568000000000001</v>
      </c>
      <c r="AC181" s="26">
        <v>56.094000000000001</v>
      </c>
      <c r="AD181" s="26">
        <v>49.804000000000002</v>
      </c>
      <c r="AE181" s="26">
        <v>16.942</v>
      </c>
      <c r="AF181" s="26">
        <v>50.58</v>
      </c>
      <c r="AG181" s="26">
        <v>5.2656999999999998</v>
      </c>
      <c r="AH181" s="26">
        <v>48.094000000000001</v>
      </c>
      <c r="AI181" s="26">
        <v>32.045999999999999</v>
      </c>
      <c r="AJ181" s="26">
        <v>30.263000000000002</v>
      </c>
      <c r="AK181" s="26">
        <v>40.21</v>
      </c>
      <c r="AL181" s="26">
        <v>35.831000000000003</v>
      </c>
      <c r="AM181" s="26">
        <v>65.353999999999999</v>
      </c>
      <c r="AN181" s="26">
        <v>16.899000000000001</v>
      </c>
      <c r="AO181" s="26">
        <v>58.945999999999998</v>
      </c>
      <c r="AP181" s="26">
        <v>31.001999999999999</v>
      </c>
      <c r="AQ181" s="26">
        <v>1.1294999999999999</v>
      </c>
      <c r="AR181" s="26">
        <v>65.278999999999996</v>
      </c>
      <c r="AS181" s="26">
        <v>5.4951999999999996</v>
      </c>
      <c r="AT181" s="26">
        <v>27.852</v>
      </c>
      <c r="AU181" s="26">
        <v>23.361000000000001</v>
      </c>
      <c r="AV181" s="26">
        <v>28.431999999999999</v>
      </c>
      <c r="AW181" s="26">
        <v>29.489000000000001</v>
      </c>
      <c r="AX181" s="26">
        <v>59.442999999999998</v>
      </c>
      <c r="AY181" s="26">
        <v>38.938000000000002</v>
      </c>
      <c r="AZ181" s="26">
        <v>35.673000000000002</v>
      </c>
      <c r="BA181" s="26">
        <v>19.585999999999999</v>
      </c>
      <c r="BB181" s="26">
        <v>60.475000000000001</v>
      </c>
      <c r="BC181" s="26">
        <v>30.315999999999999</v>
      </c>
      <c r="BD181" s="26">
        <v>49.908000000000001</v>
      </c>
      <c r="BE181" s="26">
        <v>39.066000000000003</v>
      </c>
      <c r="BF181" s="26">
        <v>5.6797000000000004</v>
      </c>
      <c r="BG181" s="26">
        <v>20.079000000000001</v>
      </c>
      <c r="BH181" s="26">
        <v>3.0017999999999998</v>
      </c>
      <c r="BI181" s="26">
        <v>54.926000000000002</v>
      </c>
      <c r="BJ181" s="26">
        <v>33.979999999999997</v>
      </c>
      <c r="BK181" s="26">
        <v>49.264000000000003</v>
      </c>
      <c r="BL181" s="26">
        <v>56.220999999999997</v>
      </c>
      <c r="BM181" s="26">
        <v>31.359000000000002</v>
      </c>
      <c r="BN181" s="26">
        <v>23.483000000000001</v>
      </c>
      <c r="BO181" s="26">
        <v>42.747999999999998</v>
      </c>
      <c r="BP181" s="26">
        <v>66.152000000000001</v>
      </c>
      <c r="BQ181" s="26">
        <v>50.14</v>
      </c>
      <c r="BR181" s="26">
        <v>42.362000000000002</v>
      </c>
      <c r="BS181" s="26">
        <v>1.5865</v>
      </c>
      <c r="BT181" s="26">
        <v>3.0017999999999998</v>
      </c>
      <c r="BU181" s="26">
        <v>9.9494000000000007</v>
      </c>
      <c r="BV181" s="26">
        <v>51.405999999999999</v>
      </c>
      <c r="BW181" s="26">
        <v>31.581</v>
      </c>
      <c r="BX181" s="26">
        <v>60.475000000000001</v>
      </c>
      <c r="BY181" s="26">
        <v>43.527000000000001</v>
      </c>
      <c r="BZ181" s="26">
        <v>17.663</v>
      </c>
      <c r="CA181" s="26">
        <v>23.596</v>
      </c>
      <c r="CB181" s="26">
        <v>4.8851000000000004</v>
      </c>
      <c r="CC181" s="26">
        <v>24.169</v>
      </c>
      <c r="CD181" s="26">
        <v>40.734000000000002</v>
      </c>
      <c r="CE181" s="26">
        <v>65.247</v>
      </c>
      <c r="CF181" s="26">
        <v>46.22</v>
      </c>
      <c r="CG181" s="26">
        <v>18.492000000000001</v>
      </c>
      <c r="CH181" s="26">
        <v>16.844999999999999</v>
      </c>
      <c r="CI181" s="26">
        <v>64.975999999999999</v>
      </c>
      <c r="CJ181" s="26">
        <v>49.442</v>
      </c>
      <c r="CK181" s="26">
        <v>34.290999999999997</v>
      </c>
      <c r="CL181" s="26">
        <v>48.642000000000003</v>
      </c>
      <c r="CM181" s="26">
        <v>4.7392000000000003</v>
      </c>
      <c r="CN181" s="26">
        <v>37.975999999999999</v>
      </c>
      <c r="CO181" s="26">
        <v>23.81</v>
      </c>
      <c r="CP181" s="26">
        <v>31.138000000000002</v>
      </c>
      <c r="CQ181" s="26">
        <v>43.808999999999997</v>
      </c>
      <c r="CR181" s="26">
        <v>45.728999999999999</v>
      </c>
      <c r="CS181" s="26">
        <v>1.6007</v>
      </c>
      <c r="CT181" s="26">
        <v>57.399000000000001</v>
      </c>
      <c r="CU181" s="26">
        <v>39.176000000000002</v>
      </c>
      <c r="CV181" s="26">
        <v>28.027999999999999</v>
      </c>
      <c r="CW181" s="26">
        <v>1.2355</v>
      </c>
      <c r="CX181" s="26">
        <v>39.335000000000001</v>
      </c>
      <c r="CY181" s="61"/>
      <c r="CZ181" s="537"/>
      <c r="DA181" s="61"/>
    </row>
    <row r="182" spans="1:16384">
      <c r="A182" s="279">
        <v>43313</v>
      </c>
      <c r="B182" s="26">
        <v>50.877000000000002</v>
      </c>
      <c r="C182" s="26">
        <v>52.39</v>
      </c>
      <c r="D182" s="26">
        <v>45.77</v>
      </c>
      <c r="E182" s="26">
        <v>33.119999999999997</v>
      </c>
      <c r="F182" s="26">
        <v>42.798000000000002</v>
      </c>
      <c r="G182" s="26">
        <v>62.469000000000001</v>
      </c>
      <c r="H182" s="26">
        <v>35.854999999999997</v>
      </c>
      <c r="I182" s="26">
        <v>56.444000000000003</v>
      </c>
      <c r="J182" s="26">
        <v>10.381</v>
      </c>
      <c r="K182" s="26">
        <v>46.255000000000003</v>
      </c>
      <c r="L182" s="26">
        <v>56.09</v>
      </c>
      <c r="M182" s="26">
        <v>1.7031000000000001</v>
      </c>
      <c r="N182" s="26">
        <v>29.042999999999999</v>
      </c>
      <c r="O182" s="26">
        <v>38.255000000000003</v>
      </c>
      <c r="P182" s="26">
        <v>61.55</v>
      </c>
      <c r="Q182" s="26">
        <v>16.05</v>
      </c>
      <c r="R182" s="26">
        <v>63.417000000000002</v>
      </c>
      <c r="S182" s="26">
        <v>40.780999999999999</v>
      </c>
      <c r="T182" s="26">
        <v>33.793999999999997</v>
      </c>
      <c r="U182" s="26">
        <v>49.902000000000001</v>
      </c>
      <c r="V182" s="26">
        <v>4.9992000000000001</v>
      </c>
      <c r="W182" s="26">
        <v>29.934000000000001</v>
      </c>
      <c r="X182" s="26">
        <v>61.829000000000001</v>
      </c>
      <c r="Y182" s="26">
        <v>34.034999999999997</v>
      </c>
      <c r="Z182" s="26">
        <v>19.577999999999999</v>
      </c>
      <c r="AA182" s="26">
        <v>30.875</v>
      </c>
      <c r="AB182" s="26">
        <v>19.984000000000002</v>
      </c>
      <c r="AC182" s="26">
        <v>61.174999999999997</v>
      </c>
      <c r="AD182" s="26">
        <v>46.308</v>
      </c>
      <c r="AE182" s="26">
        <v>5.7050000000000001</v>
      </c>
      <c r="AF182" s="26">
        <v>50.948</v>
      </c>
      <c r="AG182" s="26">
        <v>8.8732000000000006</v>
      </c>
      <c r="AH182" s="26">
        <v>42.593000000000004</v>
      </c>
      <c r="AI182" s="26">
        <v>22.45</v>
      </c>
      <c r="AJ182" s="26">
        <v>38.348999999999997</v>
      </c>
      <c r="AK182" s="26">
        <v>41.508000000000003</v>
      </c>
      <c r="AL182" s="26">
        <v>40.19</v>
      </c>
      <c r="AM182" s="26">
        <v>75.456000000000003</v>
      </c>
      <c r="AN182" s="26">
        <v>27.751000000000001</v>
      </c>
      <c r="AO182" s="26">
        <v>62.286999999999999</v>
      </c>
      <c r="AP182" s="26">
        <v>42.832999999999998</v>
      </c>
      <c r="AQ182" s="26">
        <v>1.0502</v>
      </c>
      <c r="AR182" s="26">
        <v>56.432000000000002</v>
      </c>
      <c r="AS182" s="26">
        <v>2.0545</v>
      </c>
      <c r="AT182" s="26">
        <v>36.045999999999999</v>
      </c>
      <c r="AU182" s="26">
        <v>22.872</v>
      </c>
      <c r="AV182" s="26">
        <v>38.801000000000002</v>
      </c>
      <c r="AW182" s="26">
        <v>37.802999999999997</v>
      </c>
      <c r="AX182" s="26">
        <v>61.591999999999999</v>
      </c>
      <c r="AY182" s="26">
        <v>45.344000000000001</v>
      </c>
      <c r="AZ182" s="26">
        <v>47.503</v>
      </c>
      <c r="BA182" s="26">
        <v>34.159999999999997</v>
      </c>
      <c r="BB182" s="26">
        <v>63.286999999999999</v>
      </c>
      <c r="BC182" s="26">
        <v>42.927999999999997</v>
      </c>
      <c r="BD182" s="26">
        <v>55.813000000000002</v>
      </c>
      <c r="BE182" s="26">
        <v>24.061</v>
      </c>
      <c r="BF182" s="26">
        <v>5.8586999999999998</v>
      </c>
      <c r="BG182" s="26">
        <v>20.515999999999998</v>
      </c>
      <c r="BH182" s="26">
        <v>10.696</v>
      </c>
      <c r="BI182" s="26">
        <v>55.33</v>
      </c>
      <c r="BJ182" s="26">
        <v>40.137</v>
      </c>
      <c r="BK182" s="26">
        <v>57.139000000000003</v>
      </c>
      <c r="BL182" s="26">
        <v>63.758000000000003</v>
      </c>
      <c r="BM182" s="26">
        <v>22.395</v>
      </c>
      <c r="BN182" s="26">
        <v>43.332000000000001</v>
      </c>
      <c r="BO182" s="26">
        <v>41.395000000000003</v>
      </c>
      <c r="BP182" s="26">
        <v>67.100999999999999</v>
      </c>
      <c r="BQ182" s="26">
        <v>44.868000000000002</v>
      </c>
      <c r="BR182" s="26">
        <v>45.417999999999999</v>
      </c>
      <c r="BS182" s="26">
        <v>4.5018000000000002</v>
      </c>
      <c r="BT182" s="26">
        <v>1.0502</v>
      </c>
      <c r="BU182" s="26">
        <v>14.013999999999999</v>
      </c>
      <c r="BV182" s="26">
        <v>50.415999999999997</v>
      </c>
      <c r="BW182" s="26">
        <v>22.8</v>
      </c>
      <c r="BX182" s="26">
        <v>46.762999999999998</v>
      </c>
      <c r="BY182" s="26">
        <v>57.854999999999997</v>
      </c>
      <c r="BZ182" s="26">
        <v>22.131</v>
      </c>
      <c r="CA182" s="26">
        <v>33.082000000000001</v>
      </c>
      <c r="CB182" s="26">
        <v>4.4180000000000001</v>
      </c>
      <c r="CC182" s="26">
        <v>24.702999999999999</v>
      </c>
      <c r="CD182" s="26">
        <v>34.811</v>
      </c>
      <c r="CE182" s="26">
        <v>71.058000000000007</v>
      </c>
      <c r="CF182" s="26">
        <v>42.634999999999998</v>
      </c>
      <c r="CG182" s="26">
        <v>22.872</v>
      </c>
      <c r="CH182" s="26">
        <v>20.89</v>
      </c>
      <c r="CI182" s="26">
        <v>47.12</v>
      </c>
      <c r="CJ182" s="26">
        <v>53.987000000000002</v>
      </c>
      <c r="CK182" s="26">
        <v>48.127000000000002</v>
      </c>
      <c r="CL182" s="26">
        <v>39.448</v>
      </c>
      <c r="CM182" s="26">
        <v>21.995999999999999</v>
      </c>
      <c r="CN182" s="26">
        <v>42.997</v>
      </c>
      <c r="CO182" s="26">
        <v>21.457999999999998</v>
      </c>
      <c r="CP182" s="26">
        <v>40.762</v>
      </c>
      <c r="CQ182" s="26">
        <v>49.63</v>
      </c>
      <c r="CR182" s="26">
        <v>42.938000000000002</v>
      </c>
      <c r="CS182" s="26">
        <v>9.9704999999999995</v>
      </c>
      <c r="CT182" s="26">
        <v>63.375999999999998</v>
      </c>
      <c r="CU182" s="26">
        <v>58.552999999999997</v>
      </c>
      <c r="CV182" s="26">
        <v>10.356999999999999</v>
      </c>
      <c r="CW182" s="26">
        <v>5.9733000000000001</v>
      </c>
      <c r="CX182" s="26">
        <v>39.19</v>
      </c>
      <c r="CY182" s="61"/>
      <c r="CZ182" s="537"/>
      <c r="DA182" s="61"/>
    </row>
    <row r="183" spans="1:16384">
      <c r="A183" s="279">
        <v>43344</v>
      </c>
      <c r="B183" s="26">
        <v>56.63</v>
      </c>
      <c r="C183" s="26">
        <v>50.866</v>
      </c>
      <c r="D183" s="26">
        <v>41.798999999999999</v>
      </c>
      <c r="E183" s="26">
        <v>48.421999999999997</v>
      </c>
      <c r="F183" s="26">
        <v>43.558</v>
      </c>
      <c r="G183" s="26">
        <v>61.435000000000002</v>
      </c>
      <c r="H183" s="26">
        <v>30.218</v>
      </c>
      <c r="I183" s="26">
        <v>56.914000000000001</v>
      </c>
      <c r="J183" s="26">
        <v>20.12</v>
      </c>
      <c r="K183" s="26">
        <v>40.783000000000001</v>
      </c>
      <c r="L183" s="26">
        <v>59.112000000000002</v>
      </c>
      <c r="M183" s="26">
        <v>1.7658</v>
      </c>
      <c r="N183" s="26">
        <v>23.103999999999999</v>
      </c>
      <c r="O183" s="26">
        <v>54.414000000000001</v>
      </c>
      <c r="P183" s="26">
        <v>58.953000000000003</v>
      </c>
      <c r="Q183" s="26">
        <v>18.234999999999999</v>
      </c>
      <c r="R183" s="26">
        <v>65.652000000000001</v>
      </c>
      <c r="S183" s="26">
        <v>38.646999999999998</v>
      </c>
      <c r="T183" s="26">
        <v>32.701999999999998</v>
      </c>
      <c r="U183" s="26">
        <v>61.408999999999999</v>
      </c>
      <c r="V183" s="26">
        <v>6.4565999999999999</v>
      </c>
      <c r="W183" s="26">
        <v>25.111000000000001</v>
      </c>
      <c r="X183" s="26">
        <v>67.262</v>
      </c>
      <c r="Y183" s="26">
        <v>36.698</v>
      </c>
      <c r="Z183" s="26">
        <v>36.133000000000003</v>
      </c>
      <c r="AA183" s="26">
        <v>34.933999999999997</v>
      </c>
      <c r="AB183" s="26">
        <v>16.978999999999999</v>
      </c>
      <c r="AC183" s="26">
        <v>53.003999999999998</v>
      </c>
      <c r="AD183" s="26">
        <v>58.295999999999999</v>
      </c>
      <c r="AE183" s="26">
        <v>1.3643000000000001</v>
      </c>
      <c r="AF183" s="26">
        <v>58.558999999999997</v>
      </c>
      <c r="AG183" s="26">
        <v>12.667999999999999</v>
      </c>
      <c r="AH183" s="26">
        <v>59.274000000000001</v>
      </c>
      <c r="AI183" s="26">
        <v>19.045000000000002</v>
      </c>
      <c r="AJ183" s="26">
        <v>33.287999999999997</v>
      </c>
      <c r="AK183" s="26">
        <v>38.402999999999999</v>
      </c>
      <c r="AL183" s="26">
        <v>34.414000000000001</v>
      </c>
      <c r="AM183" s="26">
        <v>62.692999999999998</v>
      </c>
      <c r="AN183" s="26">
        <v>43.627000000000002</v>
      </c>
      <c r="AO183" s="26">
        <v>68.263999999999996</v>
      </c>
      <c r="AP183" s="26">
        <v>33.314</v>
      </c>
      <c r="AQ183" s="26">
        <v>1.0502</v>
      </c>
      <c r="AR183" s="26">
        <v>57.493000000000002</v>
      </c>
      <c r="AS183" s="26">
        <v>1.7864</v>
      </c>
      <c r="AT183" s="26">
        <v>42.335000000000001</v>
      </c>
      <c r="AU183" s="26">
        <v>49.598999999999997</v>
      </c>
      <c r="AV183" s="26">
        <v>52.457000000000001</v>
      </c>
      <c r="AW183" s="26">
        <v>33.19</v>
      </c>
      <c r="AX183" s="26">
        <v>68.831999999999994</v>
      </c>
      <c r="AY183" s="26">
        <v>52.082000000000001</v>
      </c>
      <c r="AZ183" s="26">
        <v>53.808</v>
      </c>
      <c r="BA183" s="26">
        <v>36.158000000000001</v>
      </c>
      <c r="BB183" s="26">
        <v>67.304000000000002</v>
      </c>
      <c r="BC183" s="26">
        <v>51.917999999999999</v>
      </c>
      <c r="BD183" s="26">
        <v>61.642000000000003</v>
      </c>
      <c r="BE183" s="26">
        <v>36.878999999999998</v>
      </c>
      <c r="BF183" s="26">
        <v>3.9579</v>
      </c>
      <c r="BG183" s="26">
        <v>31.427</v>
      </c>
      <c r="BH183" s="26">
        <v>18.574999999999999</v>
      </c>
      <c r="BI183" s="26">
        <v>58.819000000000003</v>
      </c>
      <c r="BJ183" s="26">
        <v>43.543999999999997</v>
      </c>
      <c r="BK183" s="26">
        <v>50.478000000000002</v>
      </c>
      <c r="BL183" s="26">
        <v>50.61</v>
      </c>
      <c r="BM183" s="26">
        <v>36.045999999999999</v>
      </c>
      <c r="BN183" s="26">
        <v>12.148999999999999</v>
      </c>
      <c r="BO183" s="26">
        <v>54.988999999999997</v>
      </c>
      <c r="BP183" s="26">
        <v>68.772999999999996</v>
      </c>
      <c r="BQ183" s="26">
        <v>61.578000000000003</v>
      </c>
      <c r="BR183" s="26">
        <v>33.134999999999998</v>
      </c>
      <c r="BS183" s="26">
        <v>1.9378</v>
      </c>
      <c r="BT183" s="26">
        <v>1.7265999999999999</v>
      </c>
      <c r="BU183" s="26">
        <v>35.281999999999996</v>
      </c>
      <c r="BV183" s="26">
        <v>52.985999999999997</v>
      </c>
      <c r="BW183" s="26">
        <v>32.853999999999999</v>
      </c>
      <c r="BX183" s="26">
        <v>51.345999999999997</v>
      </c>
      <c r="BY183" s="26">
        <v>42.834000000000003</v>
      </c>
      <c r="BZ183" s="26">
        <v>13.385</v>
      </c>
      <c r="CA183" s="26">
        <v>23.1</v>
      </c>
      <c r="CB183" s="26">
        <v>13.06</v>
      </c>
      <c r="CC183" s="26">
        <v>38.752000000000002</v>
      </c>
      <c r="CD183" s="26">
        <v>23.771000000000001</v>
      </c>
      <c r="CE183" s="26">
        <v>63.67</v>
      </c>
      <c r="CF183" s="26">
        <v>55.682000000000002</v>
      </c>
      <c r="CG183" s="26">
        <v>32.296999999999997</v>
      </c>
      <c r="CH183" s="26">
        <v>48.734000000000002</v>
      </c>
      <c r="CI183" s="26">
        <v>23.411999999999999</v>
      </c>
      <c r="CJ183" s="26">
        <v>52.223999999999997</v>
      </c>
      <c r="CK183" s="26">
        <v>38.347999999999999</v>
      </c>
      <c r="CL183" s="26">
        <v>51.100999999999999</v>
      </c>
      <c r="CM183" s="26">
        <v>26.04</v>
      </c>
      <c r="CN183" s="26">
        <v>28.376999999999999</v>
      </c>
      <c r="CO183" s="26">
        <v>37.950000000000003</v>
      </c>
      <c r="CP183" s="26">
        <v>51.832999999999998</v>
      </c>
      <c r="CQ183" s="26">
        <v>39.411999999999999</v>
      </c>
      <c r="CR183" s="26">
        <v>53.223999999999997</v>
      </c>
      <c r="CS183" s="26">
        <v>13.641999999999999</v>
      </c>
      <c r="CT183" s="26">
        <v>62.189</v>
      </c>
      <c r="CU183" s="26">
        <v>68.802000000000007</v>
      </c>
      <c r="CV183" s="26">
        <v>17.79</v>
      </c>
      <c r="CW183" s="26">
        <v>6.7305000000000001</v>
      </c>
      <c r="CX183" s="26">
        <v>38.936999999999998</v>
      </c>
      <c r="CY183" s="61"/>
      <c r="CZ183" s="537"/>
      <c r="DA183" s="61"/>
    </row>
    <row r="184" spans="1:16384">
      <c r="A184" s="279">
        <v>43374</v>
      </c>
      <c r="B184" s="26">
        <v>55.04</v>
      </c>
      <c r="C184" s="26">
        <v>60.927</v>
      </c>
      <c r="D184" s="26">
        <v>43.682000000000002</v>
      </c>
      <c r="E184" s="26">
        <v>53.988999999999997</v>
      </c>
      <c r="F184" s="26">
        <v>46.488999999999997</v>
      </c>
      <c r="G184" s="26">
        <v>63.881</v>
      </c>
      <c r="H184" s="26">
        <v>26.963000000000001</v>
      </c>
      <c r="I184" s="26">
        <v>46.359000000000002</v>
      </c>
      <c r="J184" s="26">
        <v>28.419</v>
      </c>
      <c r="K184" s="26">
        <v>57.973999999999997</v>
      </c>
      <c r="L184" s="26">
        <v>62.732999999999997</v>
      </c>
      <c r="M184" s="26">
        <v>1.0502</v>
      </c>
      <c r="N184" s="26">
        <v>21.783999999999999</v>
      </c>
      <c r="O184" s="26">
        <v>57.877000000000002</v>
      </c>
      <c r="P184" s="26">
        <v>56.53</v>
      </c>
      <c r="Q184" s="26">
        <v>42.927999999999997</v>
      </c>
      <c r="R184" s="26">
        <v>71.332999999999998</v>
      </c>
      <c r="S184" s="26">
        <v>45.862000000000002</v>
      </c>
      <c r="T184" s="26">
        <v>45.537999999999997</v>
      </c>
      <c r="U184" s="26">
        <v>60.534999999999997</v>
      </c>
      <c r="V184" s="26">
        <v>7.7813999999999997</v>
      </c>
      <c r="W184" s="26">
        <v>39.606999999999999</v>
      </c>
      <c r="X184" s="26">
        <v>63.292999999999999</v>
      </c>
      <c r="Y184" s="26">
        <v>24.449000000000002</v>
      </c>
      <c r="Z184" s="26">
        <v>15.193</v>
      </c>
      <c r="AA184" s="26">
        <v>41.628</v>
      </c>
      <c r="AB184" s="26">
        <v>6.6181999999999999</v>
      </c>
      <c r="AC184" s="26">
        <v>39.447000000000003</v>
      </c>
      <c r="AD184" s="26">
        <v>60.21</v>
      </c>
      <c r="AE184" s="26">
        <v>1.0502</v>
      </c>
      <c r="AF184" s="26">
        <v>63.688000000000002</v>
      </c>
      <c r="AG184" s="26">
        <v>31.777999999999999</v>
      </c>
      <c r="AH184" s="26">
        <v>67.510000000000005</v>
      </c>
      <c r="AI184" s="26">
        <v>23.457000000000001</v>
      </c>
      <c r="AJ184" s="26">
        <v>42.753999999999998</v>
      </c>
      <c r="AK184" s="26">
        <v>45.725999999999999</v>
      </c>
      <c r="AL184" s="26">
        <v>45.898000000000003</v>
      </c>
      <c r="AM184" s="26">
        <v>46.213000000000001</v>
      </c>
      <c r="AN184" s="26">
        <v>41.636000000000003</v>
      </c>
      <c r="AO184" s="26">
        <v>72.304000000000002</v>
      </c>
      <c r="AP184" s="26">
        <v>45.078000000000003</v>
      </c>
      <c r="AQ184" s="26">
        <v>1.2184999999999999</v>
      </c>
      <c r="AR184" s="26">
        <v>57.046999999999997</v>
      </c>
      <c r="AS184" s="26">
        <v>1.2892999999999999</v>
      </c>
      <c r="AT184" s="26">
        <v>37.561999999999998</v>
      </c>
      <c r="AU184" s="26">
        <v>60.404000000000003</v>
      </c>
      <c r="AV184" s="26">
        <v>53.302999999999997</v>
      </c>
      <c r="AW184" s="26">
        <v>54.341000000000001</v>
      </c>
      <c r="AX184" s="26">
        <v>64.085999999999999</v>
      </c>
      <c r="AY184" s="26">
        <v>59.106000000000002</v>
      </c>
      <c r="AZ184" s="26">
        <v>46.621000000000002</v>
      </c>
      <c r="BA184" s="26">
        <v>38.947000000000003</v>
      </c>
      <c r="BB184" s="26">
        <v>64.085999999999999</v>
      </c>
      <c r="BC184" s="26">
        <v>55.136000000000003</v>
      </c>
      <c r="BD184" s="26">
        <v>60.874000000000002</v>
      </c>
      <c r="BE184" s="26">
        <v>42.866</v>
      </c>
      <c r="BF184" s="26">
        <v>8.423</v>
      </c>
      <c r="BG184" s="26">
        <v>43.146999999999998</v>
      </c>
      <c r="BH184" s="26">
        <v>9.7791999999999994</v>
      </c>
      <c r="BI184" s="26">
        <v>48.417999999999999</v>
      </c>
      <c r="BJ184" s="26">
        <v>45.188000000000002</v>
      </c>
      <c r="BK184" s="26">
        <v>43.363</v>
      </c>
      <c r="BL184" s="26">
        <v>49.649000000000001</v>
      </c>
      <c r="BM184" s="26">
        <v>30.498000000000001</v>
      </c>
      <c r="BN184" s="26">
        <v>22.692</v>
      </c>
      <c r="BO184" s="26">
        <v>59.15</v>
      </c>
      <c r="BP184" s="26">
        <v>60.954999999999998</v>
      </c>
      <c r="BQ184" s="26">
        <v>69.540999999999997</v>
      </c>
      <c r="BR184" s="26">
        <v>38.893000000000001</v>
      </c>
      <c r="BS184" s="26">
        <v>1.2807999999999999</v>
      </c>
      <c r="BT184" s="26">
        <v>6.3342000000000001</v>
      </c>
      <c r="BU184" s="26">
        <v>32.951999999999998</v>
      </c>
      <c r="BV184" s="26">
        <v>45.293999999999997</v>
      </c>
      <c r="BW184" s="26">
        <v>28.486999999999998</v>
      </c>
      <c r="BX184" s="26">
        <v>54.087000000000003</v>
      </c>
      <c r="BY184" s="26">
        <v>46.427999999999997</v>
      </c>
      <c r="BZ184" s="26">
        <v>6.2289000000000003</v>
      </c>
      <c r="CA184" s="26">
        <v>30.276</v>
      </c>
      <c r="CB184" s="26">
        <v>25.984999999999999</v>
      </c>
      <c r="CC184" s="26">
        <v>42.832999999999998</v>
      </c>
      <c r="CD184" s="26">
        <v>16.687000000000001</v>
      </c>
      <c r="CE184" s="26">
        <v>65.495999999999995</v>
      </c>
      <c r="CF184" s="26">
        <v>62.609000000000002</v>
      </c>
      <c r="CG184" s="26">
        <v>15.4</v>
      </c>
      <c r="CH184" s="26">
        <v>49.713000000000001</v>
      </c>
      <c r="CI184" s="26">
        <v>28.702000000000002</v>
      </c>
      <c r="CJ184" s="26">
        <v>56.155000000000001</v>
      </c>
      <c r="CK184" s="26">
        <v>35.561</v>
      </c>
      <c r="CL184" s="26">
        <v>55.902000000000001</v>
      </c>
      <c r="CM184" s="26">
        <v>29.486000000000001</v>
      </c>
      <c r="CN184" s="26">
        <v>38.152999999999999</v>
      </c>
      <c r="CO184" s="26">
        <v>24.797000000000001</v>
      </c>
      <c r="CP184" s="26">
        <v>47.006999999999998</v>
      </c>
      <c r="CQ184" s="26">
        <v>43.564</v>
      </c>
      <c r="CR184" s="26">
        <v>37.972999999999999</v>
      </c>
      <c r="CS184" s="26">
        <v>16.675999999999998</v>
      </c>
      <c r="CT184" s="26">
        <v>62.215000000000003</v>
      </c>
      <c r="CU184" s="26">
        <v>59.78</v>
      </c>
      <c r="CV184" s="26">
        <v>14.541</v>
      </c>
      <c r="CW184" s="26">
        <v>1.2927999999999999</v>
      </c>
      <c r="CX184" s="26">
        <v>40.125</v>
      </c>
      <c r="CY184" s="61"/>
      <c r="CZ184" s="537"/>
      <c r="DA184" s="61"/>
    </row>
    <row r="185" spans="1:16384">
      <c r="A185" s="279">
        <v>43405</v>
      </c>
      <c r="B185" s="26">
        <v>56.725999999999999</v>
      </c>
      <c r="C185" s="26">
        <v>58.154000000000003</v>
      </c>
      <c r="D185" s="26">
        <v>52.216999999999999</v>
      </c>
      <c r="E185" s="26">
        <v>56.551000000000002</v>
      </c>
      <c r="F185" s="26">
        <v>61.353999999999999</v>
      </c>
      <c r="G185" s="26">
        <v>66.253</v>
      </c>
      <c r="H185" s="26">
        <v>24.972999999999999</v>
      </c>
      <c r="I185" s="26">
        <v>42.54</v>
      </c>
      <c r="J185" s="26">
        <v>46.798000000000002</v>
      </c>
      <c r="K185" s="26">
        <v>55.375</v>
      </c>
      <c r="L185" s="26">
        <v>64.209000000000003</v>
      </c>
      <c r="M185" s="26">
        <v>1.0348999999999999</v>
      </c>
      <c r="N185" s="26">
        <v>21.542999999999999</v>
      </c>
      <c r="O185" s="26">
        <v>66.262</v>
      </c>
      <c r="P185" s="26">
        <v>53.482999999999997</v>
      </c>
      <c r="Q185" s="26">
        <v>42.307000000000002</v>
      </c>
      <c r="R185" s="26">
        <v>74.182000000000002</v>
      </c>
      <c r="S185" s="26">
        <v>56.764000000000003</v>
      </c>
      <c r="T185" s="26">
        <v>58.517000000000003</v>
      </c>
      <c r="U185" s="26">
        <v>59.582000000000001</v>
      </c>
      <c r="V185" s="26">
        <v>14.363</v>
      </c>
      <c r="W185" s="26">
        <v>40.386000000000003</v>
      </c>
      <c r="X185" s="26">
        <v>61.518999999999998</v>
      </c>
      <c r="Y185" s="26">
        <v>6.0526999999999997</v>
      </c>
      <c r="Z185" s="26">
        <v>15.672000000000001</v>
      </c>
      <c r="AA185" s="26">
        <v>41.793999999999997</v>
      </c>
      <c r="AB185" s="26">
        <v>6.8409000000000004</v>
      </c>
      <c r="AC185" s="26">
        <v>50.470999999999997</v>
      </c>
      <c r="AD185" s="26">
        <v>53.420999999999999</v>
      </c>
      <c r="AE185" s="26">
        <v>1.0484</v>
      </c>
      <c r="AF185" s="26">
        <v>60.94</v>
      </c>
      <c r="AG185" s="26">
        <v>24.943999999999999</v>
      </c>
      <c r="AH185" s="26">
        <v>67.174999999999997</v>
      </c>
      <c r="AI185" s="26">
        <v>9.8453999999999997</v>
      </c>
      <c r="AJ185" s="26">
        <v>50.531999999999996</v>
      </c>
      <c r="AK185" s="26">
        <v>52.923000000000002</v>
      </c>
      <c r="AL185" s="26">
        <v>42.725000000000001</v>
      </c>
      <c r="AM185" s="26">
        <v>57.249000000000002</v>
      </c>
      <c r="AN185" s="26">
        <v>30.928000000000001</v>
      </c>
      <c r="AO185" s="26">
        <v>73.281999999999996</v>
      </c>
      <c r="AP185" s="26">
        <v>32.292000000000002</v>
      </c>
      <c r="AQ185" s="26">
        <v>1.0325</v>
      </c>
      <c r="AR185" s="26">
        <v>47.218000000000004</v>
      </c>
      <c r="AS185" s="26">
        <v>6.0894000000000004</v>
      </c>
      <c r="AT185" s="26">
        <v>43.497999999999998</v>
      </c>
      <c r="AU185" s="26">
        <v>57.098999999999997</v>
      </c>
      <c r="AV185" s="26">
        <v>58.283999999999999</v>
      </c>
      <c r="AW185" s="26">
        <v>53.695</v>
      </c>
      <c r="AX185" s="26">
        <v>68.200999999999993</v>
      </c>
      <c r="AY185" s="26">
        <v>42.75</v>
      </c>
      <c r="AZ185" s="26">
        <v>42.680999999999997</v>
      </c>
      <c r="BA185" s="26">
        <v>35.036999999999999</v>
      </c>
      <c r="BB185" s="26">
        <v>72.040999999999997</v>
      </c>
      <c r="BC185" s="26">
        <v>61.384999999999998</v>
      </c>
      <c r="BD185" s="26">
        <v>66.841999999999999</v>
      </c>
      <c r="BE185" s="26">
        <v>42.081000000000003</v>
      </c>
      <c r="BF185" s="26">
        <v>12.826000000000001</v>
      </c>
      <c r="BG185" s="26">
        <v>31.526</v>
      </c>
      <c r="BH185" s="26">
        <v>2.5686</v>
      </c>
      <c r="BI185" s="26">
        <v>42.856999999999999</v>
      </c>
      <c r="BJ185" s="26">
        <v>56.616</v>
      </c>
      <c r="BK185" s="26">
        <v>42.078000000000003</v>
      </c>
      <c r="BL185" s="26">
        <v>53.356999999999999</v>
      </c>
      <c r="BM185" s="26">
        <v>49.926000000000002</v>
      </c>
      <c r="BN185" s="26">
        <v>22.795999999999999</v>
      </c>
      <c r="BO185" s="26">
        <v>55.469000000000001</v>
      </c>
      <c r="BP185" s="26">
        <v>62.033000000000001</v>
      </c>
      <c r="BQ185" s="26">
        <v>72.394999999999996</v>
      </c>
      <c r="BR185" s="26">
        <v>44.886000000000003</v>
      </c>
      <c r="BS185" s="26">
        <v>2.8679999999999999</v>
      </c>
      <c r="BT185" s="26">
        <v>9.6454000000000004</v>
      </c>
      <c r="BU185" s="26">
        <v>36.746000000000002</v>
      </c>
      <c r="BV185" s="26">
        <v>55.472000000000001</v>
      </c>
      <c r="BW185" s="26">
        <v>34.387999999999998</v>
      </c>
      <c r="BX185" s="26">
        <v>51.027999999999999</v>
      </c>
      <c r="BY185" s="26">
        <v>53.258000000000003</v>
      </c>
      <c r="BZ185" s="26">
        <v>6.6124999999999998</v>
      </c>
      <c r="CA185" s="26">
        <v>42.59</v>
      </c>
      <c r="CB185" s="26">
        <v>42.78</v>
      </c>
      <c r="CC185" s="26">
        <v>43.795000000000002</v>
      </c>
      <c r="CD185" s="26">
        <v>40.671999999999997</v>
      </c>
      <c r="CE185" s="26">
        <v>67.146000000000001</v>
      </c>
      <c r="CF185" s="26">
        <v>67.010999999999996</v>
      </c>
      <c r="CG185" s="26">
        <v>9.8068000000000008</v>
      </c>
      <c r="CH185" s="26">
        <v>41.167999999999999</v>
      </c>
      <c r="CI185" s="26">
        <v>43.46</v>
      </c>
      <c r="CJ185" s="26">
        <v>51.613</v>
      </c>
      <c r="CK185" s="26">
        <v>9.7860999999999994</v>
      </c>
      <c r="CL185" s="26">
        <v>39.572000000000003</v>
      </c>
      <c r="CM185" s="26">
        <v>45.658000000000001</v>
      </c>
      <c r="CN185" s="26">
        <v>24.245000000000001</v>
      </c>
      <c r="CO185" s="26">
        <v>24.79</v>
      </c>
      <c r="CP185" s="26">
        <v>53.378999999999998</v>
      </c>
      <c r="CQ185" s="26">
        <v>42.902000000000001</v>
      </c>
      <c r="CR185" s="26">
        <v>40.159999999999997</v>
      </c>
      <c r="CS185" s="26">
        <v>12.680999999999999</v>
      </c>
      <c r="CT185" s="26">
        <v>61.37</v>
      </c>
      <c r="CU185" s="26">
        <v>56.283000000000001</v>
      </c>
      <c r="CV185" s="26">
        <v>15.486000000000001</v>
      </c>
      <c r="CW185" s="26">
        <v>2.5003000000000002</v>
      </c>
      <c r="CX185" s="26">
        <v>40.966999999999999</v>
      </c>
      <c r="CY185" s="61"/>
      <c r="CZ185" s="537"/>
      <c r="DA185" s="61"/>
    </row>
    <row r="186" spans="1:16384">
      <c r="A186" s="279">
        <v>43435</v>
      </c>
      <c r="B186" s="26">
        <v>68.893000000000001</v>
      </c>
      <c r="C186" s="26">
        <v>62.918999999999997</v>
      </c>
      <c r="D186" s="26">
        <v>62.372999999999998</v>
      </c>
      <c r="E186" s="26">
        <v>67.343000000000004</v>
      </c>
      <c r="F186" s="26">
        <v>60.052</v>
      </c>
      <c r="G186" s="26">
        <v>63.765000000000001</v>
      </c>
      <c r="H186" s="26">
        <v>31.716999999999999</v>
      </c>
      <c r="I186" s="26">
        <v>42.683</v>
      </c>
      <c r="J186" s="26">
        <v>39.613999999999997</v>
      </c>
      <c r="K186" s="26">
        <v>60.750999999999998</v>
      </c>
      <c r="L186" s="26">
        <v>70.302999999999997</v>
      </c>
      <c r="M186" s="26">
        <v>1.5226</v>
      </c>
      <c r="N186" s="26">
        <v>37.451000000000001</v>
      </c>
      <c r="O186" s="26">
        <v>42.78</v>
      </c>
      <c r="P186" s="26">
        <v>62.610999999999997</v>
      </c>
      <c r="Q186" s="26">
        <v>32.950000000000003</v>
      </c>
      <c r="R186" s="26">
        <v>75.876000000000005</v>
      </c>
      <c r="S186" s="26">
        <v>62.378999999999998</v>
      </c>
      <c r="T186" s="26">
        <v>43.396000000000001</v>
      </c>
      <c r="U186" s="26">
        <v>29.254999999999999</v>
      </c>
      <c r="V186" s="26">
        <v>1.6016999999999999</v>
      </c>
      <c r="W186" s="26">
        <v>38.579000000000001</v>
      </c>
      <c r="X186" s="26">
        <v>63.841999999999999</v>
      </c>
      <c r="Y186" s="26">
        <v>9.8345000000000002</v>
      </c>
      <c r="Z186" s="26">
        <v>31.901</v>
      </c>
      <c r="AA186" s="26">
        <v>61.674999999999997</v>
      </c>
      <c r="AB186" s="26">
        <v>12.566000000000001</v>
      </c>
      <c r="AC186" s="26">
        <v>63.283999999999999</v>
      </c>
      <c r="AD186" s="26">
        <v>59.66</v>
      </c>
      <c r="AE186" s="26">
        <v>6.2514000000000003</v>
      </c>
      <c r="AF186" s="26">
        <v>68.623000000000005</v>
      </c>
      <c r="AG186" s="26">
        <v>38.353999999999999</v>
      </c>
      <c r="AH186" s="26">
        <v>68.600999999999999</v>
      </c>
      <c r="AI186" s="26">
        <v>7.5038999999999998</v>
      </c>
      <c r="AJ186" s="26">
        <v>61.317</v>
      </c>
      <c r="AK186" s="26">
        <v>65.694000000000003</v>
      </c>
      <c r="AL186" s="26">
        <v>7.4981999999999998</v>
      </c>
      <c r="AM186" s="26">
        <v>63.311999999999998</v>
      </c>
      <c r="AN186" s="26">
        <v>13.726000000000001</v>
      </c>
      <c r="AO186" s="26">
        <v>73.456999999999994</v>
      </c>
      <c r="AP186" s="26">
        <v>29.620999999999999</v>
      </c>
      <c r="AQ186" s="26">
        <v>1.5984</v>
      </c>
      <c r="AR186" s="26">
        <v>43.972000000000001</v>
      </c>
      <c r="AS186" s="26">
        <v>1.6392</v>
      </c>
      <c r="AT186" s="26">
        <v>36.893000000000001</v>
      </c>
      <c r="AU186" s="26">
        <v>64.257999999999996</v>
      </c>
      <c r="AV186" s="26">
        <v>63.423999999999999</v>
      </c>
      <c r="AW186" s="26">
        <v>32.639000000000003</v>
      </c>
      <c r="AX186" s="26">
        <v>71.444999999999993</v>
      </c>
      <c r="AY186" s="26">
        <v>44.741999999999997</v>
      </c>
      <c r="AZ186" s="26">
        <v>41.427999999999997</v>
      </c>
      <c r="BA186" s="26">
        <v>39.981999999999999</v>
      </c>
      <c r="BB186" s="26">
        <v>70.231999999999999</v>
      </c>
      <c r="BC186" s="26">
        <v>68.736000000000004</v>
      </c>
      <c r="BD186" s="26">
        <v>33.125</v>
      </c>
      <c r="BE186" s="26">
        <v>59.475000000000001</v>
      </c>
      <c r="BF186" s="26">
        <v>12.581</v>
      </c>
      <c r="BG186" s="26">
        <v>32.732999999999997</v>
      </c>
      <c r="BH186" s="26">
        <v>1.6419999999999999</v>
      </c>
      <c r="BI186" s="26">
        <v>36.466000000000001</v>
      </c>
      <c r="BJ186" s="26">
        <v>34.917000000000002</v>
      </c>
      <c r="BK186" s="26">
        <v>8.1031999999999993</v>
      </c>
      <c r="BL186" s="26">
        <v>67.343000000000004</v>
      </c>
      <c r="BM186" s="26">
        <v>60.962000000000003</v>
      </c>
      <c r="BN186" s="26">
        <v>6.0193000000000003</v>
      </c>
      <c r="BO186" s="26">
        <v>63.713000000000001</v>
      </c>
      <c r="BP186" s="26">
        <v>68.108999999999995</v>
      </c>
      <c r="BQ186" s="26">
        <v>59.654000000000003</v>
      </c>
      <c r="BR186" s="26">
        <v>60.683999999999997</v>
      </c>
      <c r="BS186" s="26">
        <v>3.3902999999999999</v>
      </c>
      <c r="BT186" s="26">
        <v>6.8521999999999998</v>
      </c>
      <c r="BU186" s="26">
        <v>12.885</v>
      </c>
      <c r="BV186" s="26">
        <v>49.548000000000002</v>
      </c>
      <c r="BW186" s="26">
        <v>35.573999999999998</v>
      </c>
      <c r="BX186" s="26">
        <v>59.332000000000001</v>
      </c>
      <c r="BY186" s="26">
        <v>42.668999999999997</v>
      </c>
      <c r="BZ186" s="26">
        <v>4.0256999999999996</v>
      </c>
      <c r="CA186" s="26">
        <v>33.593000000000004</v>
      </c>
      <c r="CB186" s="26">
        <v>40.024000000000001</v>
      </c>
      <c r="CC186" s="26">
        <v>12.382999999999999</v>
      </c>
      <c r="CD186" s="26">
        <v>38.42</v>
      </c>
      <c r="CE186" s="26">
        <v>33.627000000000002</v>
      </c>
      <c r="CF186" s="26">
        <v>67.372</v>
      </c>
      <c r="CG186" s="26">
        <v>12.202999999999999</v>
      </c>
      <c r="CH186" s="26">
        <v>17.084</v>
      </c>
      <c r="CI186" s="26">
        <v>44.064999999999998</v>
      </c>
      <c r="CJ186" s="26">
        <v>30.675000000000001</v>
      </c>
      <c r="CK186" s="26">
        <v>7.9375999999999998</v>
      </c>
      <c r="CL186" s="26">
        <v>40.433999999999997</v>
      </c>
      <c r="CM186" s="26">
        <v>47.874000000000002</v>
      </c>
      <c r="CN186" s="26">
        <v>33.103000000000002</v>
      </c>
      <c r="CO186" s="26">
        <v>26.731999999999999</v>
      </c>
      <c r="CP186" s="26">
        <v>60.491</v>
      </c>
      <c r="CQ186" s="26">
        <v>17.47</v>
      </c>
      <c r="CR186" s="26">
        <v>29.396000000000001</v>
      </c>
      <c r="CS186" s="26">
        <v>6.8871000000000002</v>
      </c>
      <c r="CT186" s="26">
        <v>63.765999999999998</v>
      </c>
      <c r="CU186" s="26">
        <v>59.584000000000003</v>
      </c>
      <c r="CV186" s="26">
        <v>6.0016999999999996</v>
      </c>
      <c r="CW186" s="26">
        <v>1.0326</v>
      </c>
      <c r="CX186" s="26">
        <v>41.276000000000003</v>
      </c>
      <c r="CY186" s="61"/>
      <c r="CZ186" s="537"/>
      <c r="DA186" s="61"/>
    </row>
    <row r="187" spans="1:16384" s="540" customFormat="1">
      <c r="A187" s="538" t="s">
        <v>126</v>
      </c>
      <c r="B187" s="539">
        <f t="shared" ref="B187:AG187" si="19">AVERAGE(B175:B186)</f>
        <v>54.58991666666666</v>
      </c>
      <c r="C187" s="539">
        <f t="shared" si="19"/>
        <v>55.851999999999997</v>
      </c>
      <c r="D187" s="539">
        <f t="shared" si="19"/>
        <v>49.087750000000007</v>
      </c>
      <c r="E187" s="539">
        <f t="shared" si="19"/>
        <v>48.515166666666659</v>
      </c>
      <c r="F187" s="539">
        <f t="shared" si="19"/>
        <v>44.678083333333326</v>
      </c>
      <c r="G187" s="539">
        <f t="shared" si="19"/>
        <v>61.616000000000007</v>
      </c>
      <c r="H187" s="539">
        <f t="shared" si="19"/>
        <v>44.005083333333339</v>
      </c>
      <c r="I187" s="539">
        <f t="shared" si="19"/>
        <v>52.055749999999996</v>
      </c>
      <c r="J187" s="539">
        <f t="shared" si="19"/>
        <v>14.714683333333333</v>
      </c>
      <c r="K187" s="539">
        <f t="shared" si="19"/>
        <v>56.713583333333332</v>
      </c>
      <c r="L187" s="539">
        <f t="shared" si="19"/>
        <v>58.682916666666671</v>
      </c>
      <c r="M187" s="539">
        <f t="shared" si="19"/>
        <v>20.494616666666669</v>
      </c>
      <c r="N187" s="539">
        <f t="shared" si="19"/>
        <v>45.496583333333326</v>
      </c>
      <c r="O187" s="539">
        <f t="shared" si="19"/>
        <v>50.531833333333331</v>
      </c>
      <c r="P187" s="539">
        <f t="shared" si="19"/>
        <v>54.999083333333324</v>
      </c>
      <c r="Q187" s="539">
        <f t="shared" si="19"/>
        <v>26.515583333333336</v>
      </c>
      <c r="R187" s="539">
        <f t="shared" si="19"/>
        <v>66.647416666666672</v>
      </c>
      <c r="S187" s="539">
        <f t="shared" si="19"/>
        <v>46.771666666666668</v>
      </c>
      <c r="T187" s="539">
        <f t="shared" si="19"/>
        <v>44.978000000000002</v>
      </c>
      <c r="U187" s="539">
        <f t="shared" si="19"/>
        <v>51.020666666666664</v>
      </c>
      <c r="V187" s="539">
        <f t="shared" si="19"/>
        <v>7.8699833333333329</v>
      </c>
      <c r="W187" s="539">
        <f t="shared" si="19"/>
        <v>46.526083333333332</v>
      </c>
      <c r="X187" s="539">
        <f t="shared" si="19"/>
        <v>62.604083333333335</v>
      </c>
      <c r="Y187" s="539">
        <f t="shared" si="19"/>
        <v>16.972766666666665</v>
      </c>
      <c r="Z187" s="539">
        <f t="shared" si="19"/>
        <v>30.108583333333332</v>
      </c>
      <c r="AA187" s="539">
        <f t="shared" si="19"/>
        <v>48.430833333333332</v>
      </c>
      <c r="AB187" s="539">
        <f t="shared" si="19"/>
        <v>20.065008333333335</v>
      </c>
      <c r="AC187" s="539">
        <f t="shared" si="19"/>
        <v>54.735583333333331</v>
      </c>
      <c r="AD187" s="539">
        <f t="shared" si="19"/>
        <v>53.027916666666663</v>
      </c>
      <c r="AE187" s="539">
        <f t="shared" si="19"/>
        <v>22.274608333333337</v>
      </c>
      <c r="AF187" s="539">
        <f t="shared" si="19"/>
        <v>63.350249999999996</v>
      </c>
      <c r="AG187" s="539">
        <f t="shared" si="19"/>
        <v>31.564891666666668</v>
      </c>
      <c r="AH187" s="539">
        <f t="shared" ref="AH187:BM187" si="20">AVERAGE(AH175:AH186)</f>
        <v>45.01541666666666</v>
      </c>
      <c r="AI187" s="539">
        <f t="shared" si="20"/>
        <v>27.930025000000001</v>
      </c>
      <c r="AJ187" s="539">
        <f t="shared" si="20"/>
        <v>40.166666666666671</v>
      </c>
      <c r="AK187" s="539">
        <f t="shared" si="20"/>
        <v>47.648083333333325</v>
      </c>
      <c r="AL187" s="539">
        <f t="shared" si="20"/>
        <v>45.969349999999999</v>
      </c>
      <c r="AM187" s="539">
        <f t="shared" si="20"/>
        <v>64.375</v>
      </c>
      <c r="AN187" s="539">
        <f t="shared" si="20"/>
        <v>38.861666666666672</v>
      </c>
      <c r="AO187" s="539">
        <f t="shared" si="20"/>
        <v>60.731333333333339</v>
      </c>
      <c r="AP187" s="539">
        <f t="shared" si="20"/>
        <v>37.32383333333334</v>
      </c>
      <c r="AQ187" s="539">
        <f t="shared" si="20"/>
        <v>8.3261416666666683</v>
      </c>
      <c r="AR187" s="539">
        <f t="shared" si="20"/>
        <v>58.111166666666662</v>
      </c>
      <c r="AS187" s="539">
        <f t="shared" si="20"/>
        <v>20.313166666666664</v>
      </c>
      <c r="AT187" s="539">
        <f t="shared" si="20"/>
        <v>26.786783333333336</v>
      </c>
      <c r="AU187" s="539">
        <f t="shared" si="20"/>
        <v>41.397666666666659</v>
      </c>
      <c r="AV187" s="539">
        <f t="shared" si="20"/>
        <v>40.954499999999996</v>
      </c>
      <c r="AW187" s="539">
        <f t="shared" si="20"/>
        <v>28.854416666666665</v>
      </c>
      <c r="AX187" s="539">
        <f t="shared" si="20"/>
        <v>62.038250000000005</v>
      </c>
      <c r="AY187" s="539">
        <f t="shared" si="20"/>
        <v>48.240333333333325</v>
      </c>
      <c r="AZ187" s="539">
        <f t="shared" si="20"/>
        <v>46.59525</v>
      </c>
      <c r="BA187" s="539">
        <f t="shared" si="20"/>
        <v>37.786250000000003</v>
      </c>
      <c r="BB187" s="539">
        <f t="shared" si="20"/>
        <v>61.180000000000007</v>
      </c>
      <c r="BC187" s="539">
        <f t="shared" si="20"/>
        <v>51.392583333333334</v>
      </c>
      <c r="BD187" s="539">
        <f t="shared" si="20"/>
        <v>55.58358333333333</v>
      </c>
      <c r="BE187" s="539">
        <f t="shared" si="20"/>
        <v>36.197916666666671</v>
      </c>
      <c r="BF187" s="539">
        <f t="shared" si="20"/>
        <v>29.742858333333341</v>
      </c>
      <c r="BG187" s="539">
        <f t="shared" si="20"/>
        <v>37.67508333333334</v>
      </c>
      <c r="BH187" s="539">
        <f t="shared" si="20"/>
        <v>24.171708333333331</v>
      </c>
      <c r="BI187" s="539">
        <f t="shared" si="20"/>
        <v>55.39758333333333</v>
      </c>
      <c r="BJ187" s="539">
        <f t="shared" si="20"/>
        <v>45.849666666666671</v>
      </c>
      <c r="BK187" s="539">
        <f t="shared" si="20"/>
        <v>40.080849999999998</v>
      </c>
      <c r="BL187" s="539">
        <f t="shared" si="20"/>
        <v>49.74883333333333</v>
      </c>
      <c r="BM187" s="539">
        <f t="shared" si="20"/>
        <v>44.740499999999997</v>
      </c>
      <c r="BN187" s="539">
        <f t="shared" ref="BN187:CS187" si="21">AVERAGE(BN175:BN186)</f>
        <v>39.652608333333333</v>
      </c>
      <c r="BO187" s="539">
        <f t="shared" si="21"/>
        <v>59.091833333333334</v>
      </c>
      <c r="BP187" s="539">
        <f t="shared" si="21"/>
        <v>62.502166666666675</v>
      </c>
      <c r="BQ187" s="539">
        <f t="shared" si="21"/>
        <v>52.911333333333339</v>
      </c>
      <c r="BR187" s="539">
        <f t="shared" si="21"/>
        <v>38.75866666666667</v>
      </c>
      <c r="BS187" s="539">
        <f t="shared" si="21"/>
        <v>18.114100000000001</v>
      </c>
      <c r="BT187" s="539">
        <f t="shared" si="21"/>
        <v>8.9475833333333341</v>
      </c>
      <c r="BU187" s="539">
        <f t="shared" si="21"/>
        <v>19.891491666666663</v>
      </c>
      <c r="BV187" s="539">
        <f t="shared" si="21"/>
        <v>52.845083333333328</v>
      </c>
      <c r="BW187" s="539">
        <f t="shared" si="21"/>
        <v>37.118500000000004</v>
      </c>
      <c r="BX187" s="539">
        <f t="shared" si="21"/>
        <v>52.35575</v>
      </c>
      <c r="BY187" s="539">
        <f t="shared" si="21"/>
        <v>51.705500000000001</v>
      </c>
      <c r="BZ187" s="539">
        <f t="shared" si="21"/>
        <v>33.158425000000001</v>
      </c>
      <c r="CA187" s="539">
        <f t="shared" si="21"/>
        <v>34.638916666666674</v>
      </c>
      <c r="CB187" s="539">
        <f t="shared" si="21"/>
        <v>19.945050000000002</v>
      </c>
      <c r="CC187" s="539">
        <f t="shared" si="21"/>
        <v>29.111750000000001</v>
      </c>
      <c r="CD187" s="539">
        <f t="shared" si="21"/>
        <v>39.257416666666664</v>
      </c>
      <c r="CE187" s="539">
        <f t="shared" si="21"/>
        <v>67.726499999999987</v>
      </c>
      <c r="CF187" s="539">
        <f t="shared" si="21"/>
        <v>53.398583333333335</v>
      </c>
      <c r="CG187" s="539">
        <f t="shared" si="21"/>
        <v>26.051983333333325</v>
      </c>
      <c r="CH187" s="539">
        <f t="shared" si="21"/>
        <v>35.767583333333334</v>
      </c>
      <c r="CI187" s="539">
        <f t="shared" si="21"/>
        <v>48.317583333333324</v>
      </c>
      <c r="CJ187" s="539">
        <f t="shared" si="21"/>
        <v>45.080833333333338</v>
      </c>
      <c r="CK187" s="539">
        <f t="shared" si="21"/>
        <v>32.241724999999995</v>
      </c>
      <c r="CL187" s="539">
        <f t="shared" si="21"/>
        <v>43.039166666666667</v>
      </c>
      <c r="CM187" s="539">
        <f t="shared" si="21"/>
        <v>18.035691666666668</v>
      </c>
      <c r="CN187" s="539">
        <f t="shared" si="21"/>
        <v>37.907666666666671</v>
      </c>
      <c r="CO187" s="539">
        <f t="shared" si="21"/>
        <v>30.337333333333333</v>
      </c>
      <c r="CP187" s="539">
        <f t="shared" si="21"/>
        <v>44.150916666666667</v>
      </c>
      <c r="CQ187" s="539">
        <f t="shared" si="21"/>
        <v>47.942416666666674</v>
      </c>
      <c r="CR187" s="539">
        <f t="shared" si="21"/>
        <v>38.107500000000002</v>
      </c>
      <c r="CS187" s="539">
        <f t="shared" si="21"/>
        <v>16.394949999999998</v>
      </c>
      <c r="CT187" s="539">
        <f>AVERAGE(CT175:CT186)</f>
        <v>62.399499999999996</v>
      </c>
      <c r="CU187" s="539">
        <f>AVERAGE(CU175:CU186)</f>
        <v>55.718833333333329</v>
      </c>
      <c r="CV187" s="539">
        <f>AVERAGE(CV175:CV186)</f>
        <v>29.500641666666667</v>
      </c>
      <c r="CW187" s="539">
        <f>AVERAGE(CW175:CW186)</f>
        <v>15.546733333333336</v>
      </c>
      <c r="CX187" s="539">
        <f>AVERAGE(CX175:CX186)</f>
        <v>43.48383333333333</v>
      </c>
      <c r="CY187" s="61"/>
      <c r="CZ187" s="537"/>
      <c r="DA187" s="537"/>
      <c r="DB187" s="537"/>
      <c r="DC187" s="537"/>
      <c r="DD187" s="537"/>
      <c r="DE187" s="537"/>
      <c r="DF187" s="537"/>
      <c r="DG187" s="537"/>
      <c r="DH187" s="537"/>
      <c r="DI187" s="537"/>
      <c r="DJ187" s="537"/>
      <c r="DK187" s="537"/>
      <c r="DL187" s="537"/>
      <c r="DM187" s="537"/>
      <c r="DN187" s="537"/>
      <c r="DO187" s="537"/>
      <c r="DP187" s="537"/>
      <c r="DQ187" s="537"/>
      <c r="DR187" s="537"/>
      <c r="DS187" s="537"/>
      <c r="DT187" s="537"/>
      <c r="DU187" s="537"/>
      <c r="DV187" s="537"/>
      <c r="DW187" s="537"/>
      <c r="DX187" s="537"/>
      <c r="DY187" s="537"/>
      <c r="DZ187" s="537"/>
      <c r="EA187" s="537"/>
      <c r="EB187" s="537"/>
      <c r="EC187" s="537"/>
      <c r="ED187" s="537"/>
      <c r="EE187" s="537"/>
      <c r="EF187" s="537"/>
      <c r="EG187" s="537"/>
      <c r="EH187" s="537"/>
      <c r="EI187" s="537"/>
      <c r="EJ187" s="537"/>
      <c r="EK187" s="537"/>
      <c r="EL187" s="537"/>
      <c r="EM187" s="537"/>
      <c r="EN187" s="537"/>
      <c r="EO187" s="537"/>
      <c r="EP187" s="537"/>
      <c r="EQ187" s="537"/>
      <c r="ER187" s="537"/>
      <c r="ES187" s="537"/>
      <c r="ET187" s="537"/>
      <c r="EU187" s="537"/>
      <c r="EV187" s="537"/>
      <c r="EW187" s="537"/>
      <c r="EX187" s="537"/>
      <c r="EY187" s="537"/>
      <c r="EZ187" s="537"/>
      <c r="FA187" s="537"/>
      <c r="FB187" s="537"/>
      <c r="FC187" s="537"/>
      <c r="FD187" s="537"/>
      <c r="FE187" s="537"/>
      <c r="FF187" s="537"/>
      <c r="FG187" s="537"/>
      <c r="FH187" s="537"/>
      <c r="FI187" s="537"/>
      <c r="FJ187" s="537"/>
      <c r="FK187" s="537"/>
      <c r="FL187" s="537"/>
      <c r="FM187" s="537"/>
      <c r="FN187" s="537"/>
      <c r="FO187" s="537"/>
      <c r="FP187" s="537"/>
      <c r="FQ187" s="537"/>
      <c r="FR187" s="537"/>
      <c r="FS187" s="537"/>
      <c r="FT187" s="537"/>
      <c r="FU187" s="537"/>
      <c r="FV187" s="537"/>
      <c r="FW187" s="537"/>
      <c r="FX187" s="537"/>
      <c r="FY187" s="537"/>
      <c r="FZ187" s="537"/>
      <c r="GA187" s="537"/>
      <c r="GB187" s="537"/>
      <c r="GC187" s="537"/>
      <c r="GD187" s="537"/>
      <c r="GE187" s="537"/>
      <c r="GF187" s="537"/>
      <c r="GG187" s="537"/>
      <c r="GH187" s="537"/>
      <c r="GI187" s="537"/>
      <c r="GJ187" s="537"/>
      <c r="GK187" s="537"/>
      <c r="GL187" s="537"/>
      <c r="GM187" s="537"/>
      <c r="GN187" s="537"/>
      <c r="GO187" s="537"/>
      <c r="GP187" s="537"/>
      <c r="GQ187" s="537"/>
      <c r="GR187" s="537"/>
      <c r="GS187" s="537"/>
      <c r="GT187" s="537"/>
      <c r="GU187" s="537"/>
      <c r="GV187" s="537"/>
      <c r="GW187" s="537"/>
      <c r="GX187" s="537"/>
      <c r="GY187" s="537"/>
      <c r="GZ187" s="537"/>
      <c r="HA187" s="537"/>
      <c r="HB187" s="537"/>
      <c r="HC187" s="537"/>
      <c r="HD187" s="537"/>
      <c r="HE187" s="537"/>
      <c r="HF187" s="537"/>
      <c r="HG187" s="537"/>
      <c r="HH187" s="537"/>
      <c r="HI187" s="537"/>
      <c r="HJ187" s="537"/>
      <c r="HK187" s="537"/>
      <c r="HL187" s="537"/>
      <c r="HM187" s="537"/>
      <c r="HN187" s="537"/>
      <c r="HO187" s="537"/>
      <c r="HP187" s="537"/>
      <c r="HQ187" s="537"/>
      <c r="HR187" s="537"/>
      <c r="HS187" s="537"/>
      <c r="HT187" s="537"/>
      <c r="HU187" s="537"/>
      <c r="HV187" s="537"/>
      <c r="HW187" s="537"/>
      <c r="HX187" s="537"/>
      <c r="HY187" s="537"/>
      <c r="HZ187" s="537"/>
      <c r="IA187" s="537"/>
      <c r="IB187" s="537"/>
      <c r="IC187" s="537"/>
      <c r="ID187" s="537"/>
      <c r="IE187" s="537"/>
      <c r="IF187" s="537"/>
      <c r="IG187" s="537"/>
      <c r="IH187" s="537"/>
      <c r="II187" s="537"/>
      <c r="IJ187" s="537"/>
      <c r="IK187" s="537"/>
      <c r="IL187" s="537"/>
      <c r="IM187" s="537"/>
      <c r="IN187" s="537"/>
      <c r="IO187" s="537"/>
      <c r="IP187" s="537"/>
      <c r="IQ187" s="537"/>
      <c r="IR187" s="537"/>
      <c r="IS187" s="537"/>
      <c r="IT187" s="537"/>
      <c r="IU187" s="537"/>
      <c r="IV187" s="537"/>
      <c r="IW187" s="537"/>
      <c r="IX187" s="537"/>
      <c r="IY187" s="537"/>
      <c r="IZ187" s="537"/>
      <c r="JA187" s="537"/>
      <c r="JB187" s="537"/>
      <c r="JC187" s="537"/>
      <c r="JD187" s="537"/>
      <c r="JE187" s="537"/>
      <c r="JF187" s="537"/>
      <c r="JG187" s="537"/>
      <c r="JH187" s="537"/>
      <c r="JI187" s="537"/>
      <c r="JJ187" s="537"/>
      <c r="JK187" s="537"/>
      <c r="JL187" s="537"/>
      <c r="JM187" s="537"/>
      <c r="JN187" s="537"/>
      <c r="JO187" s="537"/>
      <c r="JP187" s="537"/>
      <c r="JQ187" s="537"/>
      <c r="JR187" s="537"/>
      <c r="JS187" s="537"/>
      <c r="JT187" s="537"/>
      <c r="JU187" s="537"/>
      <c r="JV187" s="537"/>
      <c r="JW187" s="537"/>
      <c r="JX187" s="537"/>
      <c r="JY187" s="537"/>
      <c r="JZ187" s="537"/>
      <c r="KA187" s="537"/>
      <c r="KB187" s="537"/>
      <c r="KC187" s="537"/>
      <c r="KD187" s="537"/>
      <c r="KE187" s="537"/>
      <c r="KF187" s="537"/>
      <c r="KG187" s="537"/>
      <c r="KH187" s="537"/>
      <c r="KI187" s="537"/>
      <c r="KJ187" s="537"/>
      <c r="KK187" s="537"/>
      <c r="KL187" s="537"/>
      <c r="KM187" s="537"/>
      <c r="KN187" s="537"/>
      <c r="KO187" s="537"/>
      <c r="KP187" s="537"/>
      <c r="KQ187" s="537"/>
      <c r="KR187" s="537"/>
      <c r="KS187" s="537"/>
      <c r="KT187" s="537"/>
      <c r="KU187" s="537"/>
      <c r="KV187" s="537"/>
      <c r="KW187" s="537"/>
      <c r="KX187" s="537"/>
      <c r="KY187" s="537"/>
      <c r="KZ187" s="537"/>
      <c r="LA187" s="537"/>
      <c r="LB187" s="537"/>
      <c r="LC187" s="537"/>
      <c r="LD187" s="537"/>
      <c r="LE187" s="537"/>
      <c r="LF187" s="537"/>
      <c r="LG187" s="537"/>
      <c r="LH187" s="537"/>
      <c r="LI187" s="537"/>
      <c r="LJ187" s="537"/>
      <c r="LK187" s="537"/>
      <c r="LL187" s="537"/>
      <c r="LM187" s="537"/>
      <c r="LN187" s="537"/>
      <c r="LO187" s="537"/>
      <c r="LP187" s="537"/>
      <c r="LQ187" s="537"/>
      <c r="LR187" s="537"/>
      <c r="LS187" s="537"/>
      <c r="LT187" s="537"/>
      <c r="LU187" s="537"/>
      <c r="LV187" s="537"/>
      <c r="LW187" s="537"/>
      <c r="LX187" s="537"/>
      <c r="LY187" s="537"/>
      <c r="LZ187" s="537"/>
      <c r="MA187" s="537"/>
      <c r="MB187" s="537"/>
      <c r="MC187" s="537"/>
      <c r="MD187" s="537"/>
      <c r="ME187" s="537"/>
      <c r="MF187" s="537"/>
      <c r="MG187" s="537"/>
      <c r="MH187" s="537"/>
      <c r="MI187" s="537"/>
      <c r="MJ187" s="537"/>
      <c r="MK187" s="537"/>
      <c r="ML187" s="537"/>
      <c r="MM187" s="537"/>
      <c r="MN187" s="537"/>
      <c r="MO187" s="537"/>
      <c r="MP187" s="537"/>
      <c r="MQ187" s="537"/>
      <c r="MR187" s="537"/>
      <c r="MS187" s="537"/>
      <c r="MT187" s="537"/>
      <c r="MU187" s="537"/>
      <c r="MV187" s="537"/>
      <c r="MW187" s="537"/>
      <c r="MX187" s="537"/>
      <c r="MY187" s="537"/>
      <c r="MZ187" s="537"/>
      <c r="NA187" s="537"/>
      <c r="NB187" s="537"/>
      <c r="NC187" s="537"/>
      <c r="ND187" s="537"/>
      <c r="NE187" s="537"/>
      <c r="NF187" s="537"/>
      <c r="NG187" s="537"/>
      <c r="NH187" s="537"/>
      <c r="NI187" s="537"/>
      <c r="NJ187" s="537"/>
      <c r="NK187" s="537"/>
      <c r="NL187" s="537"/>
      <c r="NM187" s="537"/>
      <c r="NN187" s="537"/>
      <c r="NO187" s="537"/>
      <c r="NP187" s="537"/>
      <c r="NQ187" s="537"/>
      <c r="NR187" s="537"/>
      <c r="NS187" s="537"/>
      <c r="NT187" s="537"/>
      <c r="NU187" s="537"/>
      <c r="NV187" s="537"/>
      <c r="NW187" s="537"/>
      <c r="NX187" s="537"/>
      <c r="NY187" s="537"/>
      <c r="NZ187" s="537"/>
      <c r="OA187" s="537"/>
      <c r="OB187" s="537"/>
      <c r="OC187" s="537"/>
      <c r="OD187" s="537"/>
      <c r="OE187" s="537"/>
      <c r="OF187" s="537"/>
      <c r="OG187" s="537"/>
      <c r="OH187" s="537"/>
      <c r="OI187" s="537"/>
      <c r="OJ187" s="537"/>
      <c r="OK187" s="537"/>
      <c r="OL187" s="537"/>
      <c r="OM187" s="537"/>
      <c r="ON187" s="537"/>
      <c r="OO187" s="537"/>
      <c r="OP187" s="537"/>
      <c r="OQ187" s="537"/>
      <c r="OR187" s="537"/>
      <c r="OS187" s="537"/>
      <c r="OT187" s="537"/>
      <c r="OU187" s="537"/>
      <c r="OV187" s="537"/>
      <c r="OW187" s="537"/>
      <c r="OX187" s="537"/>
      <c r="OY187" s="537"/>
      <c r="OZ187" s="537"/>
      <c r="PA187" s="537"/>
      <c r="PB187" s="537"/>
      <c r="PC187" s="537"/>
      <c r="PD187" s="537"/>
      <c r="PE187" s="537"/>
      <c r="PF187" s="537"/>
      <c r="PG187" s="537"/>
      <c r="PH187" s="537"/>
      <c r="PI187" s="537"/>
      <c r="PJ187" s="537"/>
      <c r="PK187" s="537"/>
      <c r="PL187" s="537"/>
      <c r="PM187" s="537"/>
      <c r="PN187" s="537"/>
      <c r="PO187" s="537"/>
      <c r="PP187" s="537"/>
      <c r="PQ187" s="537"/>
      <c r="PR187" s="537"/>
      <c r="PS187" s="537"/>
      <c r="PT187" s="537"/>
      <c r="PU187" s="537"/>
      <c r="PV187" s="537"/>
      <c r="PW187" s="537"/>
      <c r="PX187" s="537"/>
      <c r="PY187" s="537"/>
      <c r="PZ187" s="537"/>
      <c r="QA187" s="537"/>
      <c r="QB187" s="537"/>
      <c r="QC187" s="537"/>
      <c r="QD187" s="537"/>
      <c r="QE187" s="537"/>
      <c r="QF187" s="537"/>
      <c r="QG187" s="537"/>
      <c r="QH187" s="537"/>
      <c r="QI187" s="537"/>
      <c r="QJ187" s="537"/>
      <c r="QK187" s="537"/>
      <c r="QL187" s="537"/>
      <c r="QM187" s="537"/>
      <c r="QN187" s="537"/>
      <c r="QO187" s="537"/>
      <c r="QP187" s="537"/>
      <c r="QQ187" s="537"/>
      <c r="QR187" s="537"/>
      <c r="QS187" s="537"/>
      <c r="QT187" s="537"/>
      <c r="QU187" s="537"/>
      <c r="QV187" s="537"/>
      <c r="QW187" s="537"/>
      <c r="QX187" s="537"/>
      <c r="QY187" s="537"/>
      <c r="QZ187" s="537"/>
      <c r="RA187" s="537"/>
      <c r="RB187" s="537"/>
      <c r="RC187" s="537"/>
      <c r="RD187" s="537"/>
      <c r="RE187" s="537"/>
      <c r="RF187" s="537"/>
      <c r="RG187" s="537"/>
      <c r="RH187" s="537"/>
      <c r="RI187" s="537"/>
      <c r="RJ187" s="537"/>
      <c r="RK187" s="537"/>
      <c r="RL187" s="537"/>
      <c r="RM187" s="537"/>
      <c r="RN187" s="537"/>
      <c r="RO187" s="537"/>
      <c r="RP187" s="537"/>
      <c r="RQ187" s="537"/>
      <c r="RR187" s="537"/>
      <c r="RS187" s="537"/>
      <c r="RT187" s="537"/>
      <c r="RU187" s="537"/>
      <c r="RV187" s="537"/>
      <c r="RW187" s="537"/>
      <c r="RX187" s="537"/>
      <c r="RY187" s="537"/>
      <c r="RZ187" s="537"/>
      <c r="SA187" s="537"/>
      <c r="SB187" s="537"/>
      <c r="SC187" s="537"/>
      <c r="SD187" s="537"/>
      <c r="SE187" s="537"/>
      <c r="SF187" s="537"/>
      <c r="SG187" s="537"/>
      <c r="SH187" s="537"/>
      <c r="SI187" s="537"/>
      <c r="SJ187" s="537"/>
      <c r="SK187" s="537"/>
      <c r="SL187" s="537"/>
      <c r="SM187" s="537"/>
      <c r="SN187" s="537"/>
      <c r="SO187" s="537"/>
      <c r="SP187" s="537"/>
      <c r="SQ187" s="537"/>
      <c r="SR187" s="537"/>
      <c r="SS187" s="537"/>
      <c r="ST187" s="537"/>
      <c r="SU187" s="537"/>
      <c r="SV187" s="537"/>
      <c r="SW187" s="537"/>
      <c r="SX187" s="537"/>
      <c r="SY187" s="537"/>
      <c r="SZ187" s="537"/>
      <c r="TA187" s="537"/>
      <c r="TB187" s="537"/>
      <c r="TC187" s="537"/>
      <c r="TD187" s="537"/>
      <c r="TE187" s="537"/>
      <c r="TF187" s="537"/>
      <c r="TG187" s="537"/>
      <c r="TH187" s="537"/>
      <c r="TI187" s="537"/>
      <c r="TJ187" s="537"/>
      <c r="TK187" s="537"/>
      <c r="TL187" s="537"/>
      <c r="TM187" s="537"/>
      <c r="TN187" s="537"/>
      <c r="TO187" s="537"/>
      <c r="TP187" s="537"/>
      <c r="TQ187" s="537"/>
      <c r="TR187" s="537"/>
      <c r="TS187" s="537"/>
      <c r="TT187" s="537"/>
      <c r="TU187" s="537"/>
      <c r="TV187" s="537"/>
      <c r="TW187" s="537"/>
      <c r="TX187" s="537"/>
      <c r="TY187" s="537"/>
      <c r="TZ187" s="537"/>
      <c r="UA187" s="537"/>
      <c r="UB187" s="537"/>
      <c r="UC187" s="537"/>
      <c r="UD187" s="537"/>
      <c r="UE187" s="537"/>
      <c r="UF187" s="537"/>
      <c r="UG187" s="537"/>
      <c r="UH187" s="537"/>
      <c r="UI187" s="537"/>
      <c r="UJ187" s="537"/>
      <c r="UK187" s="537"/>
      <c r="UL187" s="537"/>
      <c r="UM187" s="537"/>
      <c r="UN187" s="537"/>
      <c r="UO187" s="537"/>
      <c r="UP187" s="537"/>
      <c r="UQ187" s="537"/>
      <c r="UR187" s="537"/>
      <c r="US187" s="537"/>
      <c r="UT187" s="537"/>
      <c r="UU187" s="537"/>
      <c r="UV187" s="537"/>
      <c r="UW187" s="537"/>
      <c r="UX187" s="537"/>
      <c r="UY187" s="537"/>
      <c r="UZ187" s="537"/>
      <c r="VA187" s="537"/>
      <c r="VB187" s="537"/>
      <c r="VC187" s="537"/>
      <c r="VD187" s="537"/>
      <c r="VE187" s="537"/>
      <c r="VF187" s="537"/>
      <c r="VG187" s="537"/>
      <c r="VH187" s="537"/>
      <c r="VI187" s="537"/>
      <c r="VJ187" s="537"/>
      <c r="VK187" s="537"/>
      <c r="VL187" s="537"/>
      <c r="VM187" s="537"/>
      <c r="VN187" s="537"/>
      <c r="VO187" s="537"/>
      <c r="VP187" s="537"/>
      <c r="VQ187" s="537"/>
      <c r="VR187" s="537"/>
      <c r="VS187" s="537"/>
      <c r="VT187" s="537"/>
      <c r="VU187" s="537"/>
      <c r="VV187" s="537"/>
      <c r="VW187" s="537"/>
      <c r="VX187" s="537"/>
      <c r="VY187" s="537"/>
      <c r="VZ187" s="537"/>
      <c r="WA187" s="537"/>
      <c r="WB187" s="537"/>
      <c r="WC187" s="537"/>
      <c r="WD187" s="537"/>
      <c r="WE187" s="537"/>
      <c r="WF187" s="537"/>
      <c r="WG187" s="537"/>
      <c r="WH187" s="537"/>
      <c r="WI187" s="537"/>
      <c r="WJ187" s="537"/>
      <c r="WK187" s="537"/>
      <c r="WL187" s="537"/>
      <c r="WM187" s="537"/>
      <c r="WN187" s="537"/>
      <c r="WO187" s="537"/>
      <c r="WP187" s="537"/>
      <c r="WQ187" s="537"/>
      <c r="WR187" s="537"/>
      <c r="WS187" s="537"/>
      <c r="WT187" s="537"/>
      <c r="WU187" s="537"/>
      <c r="WV187" s="537"/>
      <c r="WW187" s="537"/>
      <c r="WX187" s="537"/>
      <c r="WY187" s="537"/>
      <c r="WZ187" s="537"/>
      <c r="XA187" s="537"/>
      <c r="XB187" s="537"/>
      <c r="XC187" s="537"/>
      <c r="XD187" s="537"/>
      <c r="XE187" s="537"/>
      <c r="XF187" s="537"/>
      <c r="XG187" s="537"/>
      <c r="XH187" s="537"/>
      <c r="XI187" s="537"/>
      <c r="XJ187" s="537"/>
      <c r="XK187" s="537"/>
      <c r="XL187" s="537"/>
      <c r="XM187" s="537"/>
      <c r="XN187" s="537"/>
      <c r="XO187" s="537"/>
      <c r="XP187" s="537"/>
      <c r="XQ187" s="537"/>
      <c r="XR187" s="537"/>
      <c r="XS187" s="537"/>
      <c r="XT187" s="537"/>
      <c r="XU187" s="537"/>
      <c r="XV187" s="537"/>
      <c r="XW187" s="537"/>
      <c r="XX187" s="537"/>
      <c r="XY187" s="537"/>
      <c r="XZ187" s="537"/>
      <c r="YA187" s="537"/>
      <c r="YB187" s="537"/>
      <c r="YC187" s="537"/>
      <c r="YD187" s="537"/>
      <c r="YE187" s="537"/>
      <c r="YF187" s="537"/>
      <c r="YG187" s="537"/>
      <c r="YH187" s="537"/>
      <c r="YI187" s="537"/>
      <c r="YJ187" s="537"/>
      <c r="YK187" s="537"/>
      <c r="YL187" s="537"/>
      <c r="YM187" s="537"/>
      <c r="YN187" s="537"/>
      <c r="YO187" s="537"/>
      <c r="YP187" s="537"/>
      <c r="YQ187" s="537"/>
      <c r="YR187" s="537"/>
      <c r="YS187" s="537"/>
      <c r="YT187" s="537"/>
      <c r="YU187" s="537"/>
      <c r="YV187" s="537"/>
      <c r="YW187" s="537"/>
      <c r="YX187" s="537"/>
      <c r="YY187" s="537"/>
      <c r="YZ187" s="537"/>
      <c r="ZA187" s="537"/>
      <c r="ZB187" s="537"/>
      <c r="ZC187" s="537"/>
      <c r="ZD187" s="537"/>
      <c r="ZE187" s="537"/>
      <c r="ZF187" s="537"/>
      <c r="ZG187" s="537"/>
      <c r="ZH187" s="537"/>
      <c r="ZI187" s="537"/>
      <c r="ZJ187" s="537"/>
      <c r="ZK187" s="537"/>
      <c r="ZL187" s="537"/>
      <c r="ZM187" s="537"/>
      <c r="ZN187" s="537"/>
      <c r="ZO187" s="537"/>
      <c r="ZP187" s="537"/>
      <c r="ZQ187" s="537"/>
      <c r="ZR187" s="537"/>
      <c r="ZS187" s="537"/>
      <c r="ZT187" s="537"/>
      <c r="ZU187" s="537"/>
      <c r="ZV187" s="537"/>
      <c r="ZW187" s="537"/>
      <c r="ZX187" s="537"/>
      <c r="ZY187" s="537"/>
      <c r="ZZ187" s="537"/>
      <c r="AAA187" s="537"/>
      <c r="AAB187" s="537"/>
      <c r="AAC187" s="537"/>
      <c r="AAD187" s="537"/>
      <c r="AAE187" s="537"/>
      <c r="AAF187" s="537"/>
      <c r="AAG187" s="537"/>
      <c r="AAH187" s="537"/>
      <c r="AAI187" s="537"/>
      <c r="AAJ187" s="537"/>
      <c r="AAK187" s="537"/>
      <c r="AAL187" s="537"/>
      <c r="AAM187" s="537"/>
      <c r="AAN187" s="537"/>
      <c r="AAO187" s="537"/>
      <c r="AAP187" s="537"/>
      <c r="AAQ187" s="537"/>
      <c r="AAR187" s="537"/>
      <c r="AAS187" s="537"/>
      <c r="AAT187" s="537"/>
      <c r="AAU187" s="537"/>
      <c r="AAV187" s="537"/>
      <c r="AAW187" s="537"/>
      <c r="AAX187" s="537"/>
      <c r="AAY187" s="537"/>
      <c r="AAZ187" s="537"/>
      <c r="ABA187" s="537"/>
      <c r="ABB187" s="537"/>
      <c r="ABC187" s="537"/>
      <c r="ABD187" s="537"/>
      <c r="ABE187" s="537"/>
      <c r="ABF187" s="537"/>
      <c r="ABG187" s="537"/>
      <c r="ABH187" s="537"/>
      <c r="ABI187" s="537"/>
      <c r="ABJ187" s="537"/>
      <c r="ABK187" s="537"/>
      <c r="ABL187" s="537"/>
      <c r="ABM187" s="537"/>
      <c r="ABN187" s="537"/>
      <c r="ABO187" s="537"/>
      <c r="ABP187" s="537"/>
      <c r="ABQ187" s="537"/>
      <c r="ABR187" s="537"/>
      <c r="ABS187" s="537"/>
      <c r="ABT187" s="537"/>
      <c r="ABU187" s="537"/>
      <c r="ABV187" s="537"/>
      <c r="ABW187" s="537"/>
      <c r="ABX187" s="537"/>
      <c r="ABY187" s="537"/>
      <c r="ABZ187" s="537"/>
      <c r="ACA187" s="537"/>
      <c r="ACB187" s="537"/>
      <c r="ACC187" s="537"/>
      <c r="ACD187" s="537"/>
      <c r="ACE187" s="537"/>
      <c r="ACF187" s="537"/>
      <c r="ACG187" s="537"/>
      <c r="ACH187" s="537"/>
      <c r="ACI187" s="537"/>
      <c r="ACJ187" s="537"/>
      <c r="ACK187" s="537"/>
      <c r="ACL187" s="537"/>
      <c r="ACM187" s="537"/>
      <c r="ACN187" s="537"/>
      <c r="ACO187" s="537"/>
      <c r="ACP187" s="537"/>
      <c r="ACQ187" s="537"/>
      <c r="ACR187" s="537"/>
      <c r="ACS187" s="537"/>
      <c r="ACT187" s="537"/>
      <c r="ACU187" s="537"/>
      <c r="ACV187" s="537"/>
      <c r="ACW187" s="537"/>
      <c r="ACX187" s="537"/>
      <c r="ACY187" s="537"/>
      <c r="ACZ187" s="537"/>
      <c r="ADA187" s="537"/>
      <c r="ADB187" s="537"/>
      <c r="ADC187" s="537"/>
      <c r="ADD187" s="537"/>
      <c r="ADE187" s="537"/>
      <c r="ADF187" s="537"/>
      <c r="ADG187" s="537"/>
      <c r="ADH187" s="537"/>
      <c r="ADI187" s="537"/>
      <c r="ADJ187" s="537"/>
      <c r="ADK187" s="537"/>
      <c r="ADL187" s="537"/>
      <c r="ADM187" s="537"/>
      <c r="ADN187" s="537"/>
      <c r="ADO187" s="537"/>
      <c r="ADP187" s="537"/>
      <c r="ADQ187" s="537"/>
      <c r="ADR187" s="537"/>
      <c r="ADS187" s="537"/>
      <c r="ADT187" s="537"/>
      <c r="ADU187" s="537"/>
      <c r="ADV187" s="537"/>
      <c r="ADW187" s="537"/>
      <c r="ADX187" s="537"/>
      <c r="ADY187" s="537"/>
      <c r="ADZ187" s="537"/>
      <c r="AEA187" s="537"/>
      <c r="AEB187" s="537"/>
      <c r="AEC187" s="537"/>
      <c r="AED187" s="537"/>
      <c r="AEE187" s="537"/>
      <c r="AEF187" s="537"/>
      <c r="AEG187" s="537"/>
      <c r="AEH187" s="537"/>
      <c r="AEI187" s="537"/>
      <c r="AEJ187" s="537"/>
      <c r="AEK187" s="537"/>
      <c r="AEL187" s="537"/>
      <c r="AEM187" s="537"/>
      <c r="AEN187" s="537"/>
      <c r="AEO187" s="537"/>
      <c r="AEP187" s="537"/>
      <c r="AEQ187" s="537"/>
      <c r="AER187" s="537"/>
      <c r="AES187" s="537"/>
      <c r="AET187" s="537"/>
      <c r="AEU187" s="537"/>
      <c r="AEV187" s="537"/>
      <c r="AEW187" s="537"/>
      <c r="AEX187" s="537"/>
      <c r="AEY187" s="537"/>
      <c r="AEZ187" s="537"/>
      <c r="AFA187" s="537"/>
      <c r="AFB187" s="537"/>
      <c r="AFC187" s="537"/>
      <c r="AFD187" s="537"/>
      <c r="AFE187" s="537"/>
      <c r="AFF187" s="537"/>
      <c r="AFG187" s="537"/>
      <c r="AFH187" s="537"/>
      <c r="AFI187" s="537"/>
      <c r="AFJ187" s="537"/>
      <c r="AFK187" s="537"/>
      <c r="AFL187" s="537"/>
      <c r="AFM187" s="537"/>
      <c r="AFN187" s="537"/>
      <c r="AFO187" s="537"/>
      <c r="AFP187" s="537"/>
      <c r="AFQ187" s="537"/>
      <c r="AFR187" s="537"/>
      <c r="AFS187" s="537"/>
      <c r="AFT187" s="537"/>
      <c r="AFU187" s="537"/>
      <c r="AFV187" s="537"/>
      <c r="AFW187" s="537"/>
      <c r="AFX187" s="537"/>
      <c r="AFY187" s="537"/>
      <c r="AFZ187" s="537"/>
      <c r="AGA187" s="537"/>
      <c r="AGB187" s="537"/>
      <c r="AGC187" s="537"/>
      <c r="AGD187" s="537"/>
      <c r="AGE187" s="537"/>
      <c r="AGF187" s="537"/>
      <c r="AGG187" s="537"/>
      <c r="AGH187" s="537"/>
      <c r="AGI187" s="537"/>
      <c r="AGJ187" s="537"/>
      <c r="AGK187" s="537"/>
      <c r="AGL187" s="537"/>
      <c r="AGM187" s="537"/>
      <c r="AGN187" s="537"/>
      <c r="AGO187" s="537"/>
      <c r="AGP187" s="537"/>
      <c r="AGQ187" s="537"/>
      <c r="AGR187" s="537"/>
      <c r="AGS187" s="537"/>
      <c r="AGT187" s="537"/>
      <c r="AGU187" s="537"/>
      <c r="AGV187" s="537"/>
      <c r="AGW187" s="537"/>
      <c r="AGX187" s="537"/>
      <c r="AGY187" s="537"/>
      <c r="AGZ187" s="537"/>
      <c r="AHA187" s="537"/>
      <c r="AHB187" s="537"/>
      <c r="AHC187" s="537"/>
      <c r="AHD187" s="537"/>
      <c r="AHE187" s="537"/>
      <c r="AHF187" s="537"/>
      <c r="AHG187" s="537"/>
      <c r="AHH187" s="537"/>
      <c r="AHI187" s="537"/>
      <c r="AHJ187" s="537"/>
      <c r="AHK187" s="537"/>
      <c r="AHL187" s="537"/>
      <c r="AHM187" s="537"/>
      <c r="AHN187" s="537"/>
      <c r="AHO187" s="537"/>
      <c r="AHP187" s="537"/>
      <c r="AHQ187" s="537"/>
      <c r="AHR187" s="537"/>
      <c r="AHS187" s="537"/>
      <c r="AHT187" s="537"/>
      <c r="AHU187" s="537"/>
      <c r="AHV187" s="537"/>
      <c r="AHW187" s="537"/>
      <c r="AHX187" s="537"/>
      <c r="AHY187" s="537"/>
      <c r="AHZ187" s="537"/>
      <c r="AIA187" s="537"/>
      <c r="AIB187" s="537"/>
      <c r="AIC187" s="537"/>
      <c r="AID187" s="537"/>
      <c r="AIE187" s="537"/>
      <c r="AIF187" s="537"/>
      <c r="AIG187" s="537"/>
      <c r="AIH187" s="537"/>
      <c r="AII187" s="537"/>
      <c r="AIJ187" s="537"/>
      <c r="AIK187" s="537"/>
      <c r="AIL187" s="537"/>
      <c r="AIM187" s="537"/>
      <c r="AIN187" s="537"/>
      <c r="AIO187" s="537"/>
      <c r="AIP187" s="537"/>
      <c r="AIQ187" s="537"/>
      <c r="AIR187" s="537"/>
      <c r="AIS187" s="537"/>
      <c r="AIT187" s="537"/>
      <c r="AIU187" s="537"/>
      <c r="AIV187" s="537"/>
      <c r="AIW187" s="537"/>
      <c r="AIX187" s="537"/>
      <c r="AIY187" s="537"/>
      <c r="AIZ187" s="537"/>
      <c r="AJA187" s="537"/>
      <c r="AJB187" s="537"/>
      <c r="AJC187" s="537"/>
      <c r="AJD187" s="537"/>
      <c r="AJE187" s="537"/>
      <c r="AJF187" s="537"/>
      <c r="AJG187" s="537"/>
      <c r="AJH187" s="537"/>
      <c r="AJI187" s="537"/>
      <c r="AJJ187" s="537"/>
      <c r="AJK187" s="537"/>
      <c r="AJL187" s="537"/>
      <c r="AJM187" s="537"/>
      <c r="AJN187" s="537"/>
      <c r="AJO187" s="537"/>
      <c r="AJP187" s="537"/>
      <c r="AJQ187" s="537"/>
      <c r="AJR187" s="537"/>
      <c r="AJS187" s="537"/>
      <c r="AJT187" s="537"/>
      <c r="AJU187" s="537"/>
      <c r="AJV187" s="537"/>
      <c r="AJW187" s="537"/>
      <c r="AJX187" s="537"/>
      <c r="AJY187" s="537"/>
      <c r="AJZ187" s="537"/>
      <c r="AKA187" s="537"/>
      <c r="AKB187" s="537"/>
      <c r="AKC187" s="537"/>
      <c r="AKD187" s="537"/>
      <c r="AKE187" s="537"/>
      <c r="AKF187" s="537"/>
      <c r="AKG187" s="537"/>
      <c r="AKH187" s="537"/>
      <c r="AKI187" s="537"/>
      <c r="AKJ187" s="537"/>
      <c r="AKK187" s="537"/>
      <c r="AKL187" s="537"/>
      <c r="AKM187" s="537"/>
      <c r="AKN187" s="537"/>
      <c r="AKO187" s="537"/>
      <c r="AKP187" s="537"/>
      <c r="AKQ187" s="537"/>
      <c r="AKR187" s="537"/>
      <c r="AKS187" s="537"/>
      <c r="AKT187" s="537"/>
      <c r="AKU187" s="537"/>
      <c r="AKV187" s="537"/>
      <c r="AKW187" s="537"/>
      <c r="AKX187" s="537"/>
      <c r="AKY187" s="537"/>
      <c r="AKZ187" s="537"/>
      <c r="ALA187" s="537"/>
      <c r="ALB187" s="537"/>
      <c r="ALC187" s="537"/>
      <c r="ALD187" s="537"/>
      <c r="ALE187" s="537"/>
      <c r="ALF187" s="537"/>
      <c r="ALG187" s="537"/>
      <c r="ALH187" s="537"/>
      <c r="ALI187" s="537"/>
      <c r="ALJ187" s="537"/>
      <c r="ALK187" s="537"/>
      <c r="ALL187" s="537"/>
      <c r="ALM187" s="537"/>
      <c r="ALN187" s="537"/>
      <c r="ALO187" s="537"/>
      <c r="ALP187" s="537"/>
      <c r="ALQ187" s="537"/>
      <c r="ALR187" s="537"/>
      <c r="ALS187" s="537"/>
      <c r="ALT187" s="537"/>
      <c r="ALU187" s="537"/>
      <c r="ALV187" s="537"/>
      <c r="ALW187" s="537"/>
      <c r="ALX187" s="537"/>
      <c r="ALY187" s="537"/>
      <c r="ALZ187" s="537"/>
      <c r="AMA187" s="537"/>
      <c r="AMB187" s="537"/>
      <c r="AMC187" s="537"/>
      <c r="AMD187" s="537"/>
      <c r="AME187" s="537"/>
      <c r="AMF187" s="537"/>
      <c r="AMG187" s="537"/>
      <c r="AMH187" s="537"/>
      <c r="AMI187" s="537"/>
      <c r="AMJ187" s="537"/>
      <c r="AMK187" s="537"/>
      <c r="AML187" s="537"/>
      <c r="AMM187" s="537"/>
      <c r="AMN187" s="537"/>
      <c r="AMO187" s="537"/>
      <c r="AMP187" s="537"/>
      <c r="AMQ187" s="537"/>
      <c r="AMR187" s="537"/>
      <c r="AMS187" s="537"/>
      <c r="AMT187" s="537"/>
      <c r="AMU187" s="537"/>
      <c r="AMV187" s="537"/>
      <c r="AMW187" s="537"/>
      <c r="AMX187" s="537"/>
      <c r="AMY187" s="537"/>
      <c r="AMZ187" s="537"/>
      <c r="ANA187" s="537"/>
      <c r="ANB187" s="537"/>
      <c r="ANC187" s="537"/>
      <c r="AND187" s="537"/>
      <c r="ANE187" s="537"/>
      <c r="ANF187" s="537"/>
      <c r="ANG187" s="537"/>
      <c r="ANH187" s="537"/>
      <c r="ANI187" s="537"/>
      <c r="ANJ187" s="537"/>
      <c r="ANK187" s="537"/>
      <c r="ANL187" s="537"/>
      <c r="ANM187" s="537"/>
      <c r="ANN187" s="537"/>
      <c r="ANO187" s="537"/>
      <c r="ANP187" s="537"/>
      <c r="ANQ187" s="537"/>
      <c r="ANR187" s="537"/>
      <c r="ANS187" s="537"/>
      <c r="ANT187" s="537"/>
      <c r="ANU187" s="537"/>
      <c r="ANV187" s="537"/>
      <c r="ANW187" s="537"/>
      <c r="ANX187" s="537"/>
      <c r="ANY187" s="537"/>
      <c r="ANZ187" s="537"/>
      <c r="AOA187" s="537"/>
      <c r="AOB187" s="537"/>
      <c r="AOC187" s="537"/>
      <c r="AOD187" s="537"/>
      <c r="AOE187" s="537"/>
      <c r="AOF187" s="537"/>
      <c r="AOG187" s="537"/>
      <c r="AOH187" s="537"/>
      <c r="AOI187" s="537"/>
      <c r="AOJ187" s="537"/>
      <c r="AOK187" s="537"/>
      <c r="AOL187" s="537"/>
      <c r="AOM187" s="537"/>
      <c r="AON187" s="537"/>
      <c r="AOO187" s="537"/>
      <c r="AOP187" s="537"/>
      <c r="AOQ187" s="537"/>
      <c r="AOR187" s="537"/>
      <c r="AOS187" s="537"/>
      <c r="AOT187" s="537"/>
      <c r="AOU187" s="537"/>
      <c r="AOV187" s="537"/>
      <c r="AOW187" s="537"/>
      <c r="AOX187" s="537"/>
      <c r="AOY187" s="537"/>
      <c r="AOZ187" s="537"/>
      <c r="APA187" s="537"/>
      <c r="APB187" s="537"/>
      <c r="APC187" s="537"/>
      <c r="APD187" s="537"/>
      <c r="APE187" s="537"/>
      <c r="APF187" s="537"/>
      <c r="APG187" s="537"/>
      <c r="APH187" s="537"/>
      <c r="API187" s="537"/>
      <c r="APJ187" s="537"/>
      <c r="APK187" s="537"/>
      <c r="APL187" s="537"/>
      <c r="APM187" s="537"/>
      <c r="APN187" s="537"/>
      <c r="APO187" s="537"/>
      <c r="APP187" s="537"/>
      <c r="APQ187" s="537"/>
      <c r="APR187" s="537"/>
      <c r="APS187" s="537"/>
      <c r="APT187" s="537"/>
      <c r="APU187" s="537"/>
      <c r="APV187" s="537"/>
      <c r="APW187" s="537"/>
      <c r="APX187" s="537"/>
      <c r="APY187" s="537"/>
      <c r="APZ187" s="537"/>
      <c r="AQA187" s="537"/>
      <c r="AQB187" s="537"/>
      <c r="AQC187" s="537"/>
      <c r="AQD187" s="537"/>
      <c r="AQE187" s="537"/>
      <c r="AQF187" s="537"/>
      <c r="AQG187" s="537"/>
      <c r="AQH187" s="537"/>
      <c r="AQI187" s="537"/>
      <c r="AQJ187" s="537"/>
      <c r="AQK187" s="537"/>
      <c r="AQL187" s="537"/>
      <c r="AQM187" s="537"/>
      <c r="AQN187" s="537"/>
      <c r="AQO187" s="537"/>
      <c r="AQP187" s="537"/>
      <c r="AQQ187" s="537"/>
      <c r="AQR187" s="537"/>
      <c r="AQS187" s="537"/>
      <c r="AQT187" s="537"/>
      <c r="AQU187" s="537"/>
      <c r="AQV187" s="537"/>
      <c r="AQW187" s="537"/>
      <c r="AQX187" s="537"/>
      <c r="AQY187" s="537"/>
      <c r="AQZ187" s="537"/>
      <c r="ARA187" s="537"/>
      <c r="ARB187" s="537"/>
      <c r="ARC187" s="537"/>
      <c r="ARD187" s="537"/>
      <c r="ARE187" s="537"/>
      <c r="ARF187" s="537"/>
      <c r="ARG187" s="537"/>
      <c r="ARH187" s="537"/>
      <c r="ARI187" s="537"/>
      <c r="ARJ187" s="537"/>
      <c r="ARK187" s="537"/>
      <c r="ARL187" s="537"/>
      <c r="ARM187" s="537"/>
      <c r="ARN187" s="537"/>
      <c r="ARO187" s="537"/>
      <c r="ARP187" s="537"/>
      <c r="ARQ187" s="537"/>
      <c r="ARR187" s="537"/>
      <c r="ARS187" s="537"/>
      <c r="ART187" s="537"/>
      <c r="ARU187" s="537"/>
      <c r="ARV187" s="537"/>
      <c r="ARW187" s="537"/>
      <c r="ARX187" s="537"/>
      <c r="ARY187" s="537"/>
      <c r="ARZ187" s="537"/>
      <c r="ASA187" s="537"/>
      <c r="ASB187" s="537"/>
      <c r="ASC187" s="537"/>
      <c r="ASD187" s="537"/>
      <c r="ASE187" s="537"/>
      <c r="ASF187" s="537"/>
      <c r="ASG187" s="537"/>
      <c r="ASH187" s="537"/>
      <c r="ASI187" s="537"/>
      <c r="ASJ187" s="537"/>
      <c r="ASK187" s="537"/>
      <c r="ASL187" s="537"/>
      <c r="ASM187" s="537"/>
      <c r="ASN187" s="537"/>
      <c r="ASO187" s="537"/>
      <c r="ASP187" s="537"/>
      <c r="ASQ187" s="537"/>
      <c r="ASR187" s="537"/>
      <c r="ASS187" s="537"/>
      <c r="AST187" s="537"/>
      <c r="ASU187" s="537"/>
      <c r="ASV187" s="537"/>
      <c r="ASW187" s="537"/>
      <c r="ASX187" s="537"/>
      <c r="ASY187" s="537"/>
      <c r="ASZ187" s="537"/>
      <c r="ATA187" s="537"/>
      <c r="ATB187" s="537"/>
      <c r="ATC187" s="537"/>
      <c r="ATD187" s="537"/>
      <c r="ATE187" s="537"/>
      <c r="ATF187" s="537"/>
      <c r="ATG187" s="537"/>
      <c r="ATH187" s="537"/>
      <c r="ATI187" s="537"/>
      <c r="ATJ187" s="537"/>
      <c r="ATK187" s="537"/>
      <c r="ATL187" s="537"/>
      <c r="ATM187" s="537"/>
      <c r="ATN187" s="537"/>
      <c r="ATO187" s="537"/>
      <c r="ATP187" s="537"/>
      <c r="ATQ187" s="537"/>
      <c r="ATR187" s="537"/>
      <c r="ATS187" s="537"/>
      <c r="ATT187" s="537"/>
      <c r="ATU187" s="537"/>
      <c r="ATV187" s="537"/>
      <c r="ATW187" s="537"/>
      <c r="ATX187" s="537"/>
      <c r="ATY187" s="537"/>
      <c r="ATZ187" s="537"/>
      <c r="AUA187" s="537"/>
      <c r="AUB187" s="537"/>
      <c r="AUC187" s="537"/>
      <c r="AUD187" s="537"/>
      <c r="AUE187" s="537"/>
      <c r="AUF187" s="537"/>
      <c r="AUG187" s="537"/>
      <c r="AUH187" s="537"/>
      <c r="AUI187" s="537"/>
      <c r="AUJ187" s="537"/>
      <c r="AUK187" s="537"/>
      <c r="AUL187" s="537"/>
      <c r="AUM187" s="537"/>
      <c r="AUN187" s="537"/>
      <c r="AUO187" s="537"/>
      <c r="AUP187" s="537"/>
      <c r="AUQ187" s="537"/>
      <c r="AUR187" s="537"/>
      <c r="AUS187" s="537"/>
      <c r="AUT187" s="537"/>
      <c r="AUU187" s="537"/>
      <c r="AUV187" s="537"/>
      <c r="AUW187" s="537"/>
      <c r="AUX187" s="537"/>
      <c r="AUY187" s="537"/>
      <c r="AUZ187" s="537"/>
      <c r="AVA187" s="537"/>
      <c r="AVB187" s="537"/>
      <c r="AVC187" s="537"/>
      <c r="AVD187" s="537"/>
      <c r="AVE187" s="537"/>
      <c r="AVF187" s="537"/>
      <c r="AVG187" s="537"/>
      <c r="AVH187" s="537"/>
      <c r="AVI187" s="537"/>
      <c r="AVJ187" s="537"/>
      <c r="AVK187" s="537"/>
      <c r="AVL187" s="537"/>
      <c r="AVM187" s="537"/>
      <c r="AVN187" s="537"/>
      <c r="AVO187" s="537"/>
      <c r="AVP187" s="537"/>
      <c r="AVQ187" s="537"/>
      <c r="AVR187" s="537"/>
      <c r="AVS187" s="537"/>
      <c r="AVT187" s="537"/>
      <c r="AVU187" s="537"/>
      <c r="AVV187" s="537"/>
      <c r="AVW187" s="537"/>
      <c r="AVX187" s="537"/>
      <c r="AVY187" s="537"/>
      <c r="AVZ187" s="537"/>
      <c r="AWA187" s="537"/>
      <c r="AWB187" s="537"/>
      <c r="AWC187" s="537"/>
      <c r="AWD187" s="537"/>
      <c r="AWE187" s="537"/>
      <c r="AWF187" s="537"/>
      <c r="AWG187" s="537"/>
      <c r="AWH187" s="537"/>
      <c r="AWI187" s="537"/>
      <c r="AWJ187" s="537"/>
      <c r="AWK187" s="537"/>
      <c r="AWL187" s="537"/>
      <c r="AWM187" s="537"/>
      <c r="AWN187" s="537"/>
      <c r="AWO187" s="537"/>
      <c r="AWP187" s="537"/>
      <c r="AWQ187" s="537"/>
      <c r="AWR187" s="537"/>
      <c r="AWS187" s="537"/>
      <c r="AWT187" s="537"/>
      <c r="AWU187" s="537"/>
      <c r="AWV187" s="537"/>
      <c r="AWW187" s="537"/>
      <c r="AWX187" s="537"/>
      <c r="AWY187" s="537"/>
      <c r="AWZ187" s="537"/>
      <c r="AXA187" s="537"/>
      <c r="AXB187" s="537"/>
      <c r="AXC187" s="537"/>
      <c r="AXD187" s="537"/>
      <c r="AXE187" s="537"/>
      <c r="AXF187" s="537"/>
      <c r="AXG187" s="537"/>
      <c r="AXH187" s="537"/>
      <c r="AXI187" s="537"/>
      <c r="AXJ187" s="537"/>
      <c r="AXK187" s="537"/>
      <c r="AXL187" s="537"/>
      <c r="AXM187" s="537"/>
      <c r="AXN187" s="537"/>
      <c r="AXO187" s="537"/>
      <c r="AXP187" s="537"/>
      <c r="AXQ187" s="537"/>
      <c r="AXR187" s="537"/>
      <c r="AXS187" s="537"/>
      <c r="AXT187" s="537"/>
      <c r="AXU187" s="537"/>
      <c r="AXV187" s="537"/>
      <c r="AXW187" s="537"/>
      <c r="AXX187" s="537"/>
      <c r="AXY187" s="537"/>
      <c r="AXZ187" s="537"/>
      <c r="AYA187" s="537"/>
      <c r="AYB187" s="537"/>
      <c r="AYC187" s="537"/>
      <c r="AYD187" s="537"/>
      <c r="AYE187" s="537"/>
      <c r="AYF187" s="537"/>
      <c r="AYG187" s="537"/>
      <c r="AYH187" s="537"/>
      <c r="AYI187" s="537"/>
      <c r="AYJ187" s="537"/>
      <c r="AYK187" s="537"/>
      <c r="AYL187" s="537"/>
      <c r="AYM187" s="537"/>
      <c r="AYN187" s="537"/>
      <c r="AYO187" s="537"/>
      <c r="AYP187" s="537"/>
      <c r="AYQ187" s="537"/>
      <c r="AYR187" s="537"/>
      <c r="AYS187" s="537"/>
      <c r="AYT187" s="537"/>
      <c r="AYU187" s="537"/>
      <c r="AYV187" s="537"/>
      <c r="AYW187" s="537"/>
      <c r="AYX187" s="537"/>
      <c r="AYY187" s="537"/>
      <c r="AYZ187" s="537"/>
      <c r="AZA187" s="537"/>
      <c r="AZB187" s="537"/>
      <c r="AZC187" s="537"/>
      <c r="AZD187" s="537"/>
      <c r="AZE187" s="537"/>
      <c r="AZF187" s="537"/>
      <c r="AZG187" s="537"/>
      <c r="AZH187" s="537"/>
      <c r="AZI187" s="537"/>
      <c r="AZJ187" s="537"/>
      <c r="AZK187" s="537"/>
      <c r="AZL187" s="537"/>
      <c r="AZM187" s="537"/>
      <c r="AZN187" s="537"/>
      <c r="AZO187" s="537"/>
      <c r="AZP187" s="537"/>
      <c r="AZQ187" s="537"/>
      <c r="AZR187" s="537"/>
      <c r="AZS187" s="537"/>
      <c r="AZT187" s="537"/>
      <c r="AZU187" s="537"/>
      <c r="AZV187" s="537"/>
      <c r="AZW187" s="537"/>
      <c r="AZX187" s="537"/>
      <c r="AZY187" s="537"/>
      <c r="AZZ187" s="537"/>
      <c r="BAA187" s="537"/>
      <c r="BAB187" s="537"/>
      <c r="BAC187" s="537"/>
      <c r="BAD187" s="537"/>
      <c r="BAE187" s="537"/>
      <c r="BAF187" s="537"/>
      <c r="BAG187" s="537"/>
      <c r="BAH187" s="537"/>
      <c r="BAI187" s="537"/>
      <c r="BAJ187" s="537"/>
      <c r="BAK187" s="537"/>
      <c r="BAL187" s="537"/>
      <c r="BAM187" s="537"/>
      <c r="BAN187" s="537"/>
      <c r="BAO187" s="537"/>
      <c r="BAP187" s="537"/>
      <c r="BAQ187" s="537"/>
      <c r="BAR187" s="537"/>
      <c r="BAS187" s="537"/>
      <c r="BAT187" s="537"/>
      <c r="BAU187" s="537"/>
      <c r="BAV187" s="537"/>
      <c r="BAW187" s="537"/>
      <c r="BAX187" s="537"/>
      <c r="BAY187" s="537"/>
      <c r="BAZ187" s="537"/>
      <c r="BBA187" s="537"/>
      <c r="BBB187" s="537"/>
      <c r="BBC187" s="537"/>
      <c r="BBD187" s="537"/>
      <c r="BBE187" s="537"/>
      <c r="BBF187" s="537"/>
      <c r="BBG187" s="537"/>
      <c r="BBH187" s="537"/>
      <c r="BBI187" s="537"/>
      <c r="BBJ187" s="537"/>
      <c r="BBK187" s="537"/>
      <c r="BBL187" s="537"/>
      <c r="BBM187" s="537"/>
      <c r="BBN187" s="537"/>
      <c r="BBO187" s="537"/>
      <c r="BBP187" s="537"/>
      <c r="BBQ187" s="537"/>
      <c r="BBR187" s="537"/>
      <c r="BBS187" s="537"/>
      <c r="BBT187" s="537"/>
      <c r="BBU187" s="537"/>
      <c r="BBV187" s="537"/>
      <c r="BBW187" s="537"/>
      <c r="BBX187" s="537"/>
      <c r="BBY187" s="537"/>
      <c r="BBZ187" s="537"/>
      <c r="BCA187" s="537"/>
      <c r="BCB187" s="537"/>
      <c r="BCC187" s="537"/>
      <c r="BCD187" s="537"/>
      <c r="BCE187" s="537"/>
      <c r="BCF187" s="537"/>
      <c r="BCG187" s="537"/>
      <c r="BCH187" s="537"/>
      <c r="BCI187" s="537"/>
      <c r="BCJ187" s="537"/>
      <c r="BCK187" s="537"/>
      <c r="BCL187" s="537"/>
      <c r="BCM187" s="537"/>
      <c r="BCN187" s="537"/>
      <c r="BCO187" s="537"/>
      <c r="BCP187" s="537"/>
      <c r="BCQ187" s="537"/>
      <c r="BCR187" s="537"/>
      <c r="BCS187" s="537"/>
      <c r="BCT187" s="537"/>
      <c r="BCU187" s="537"/>
      <c r="BCV187" s="537"/>
      <c r="BCW187" s="537"/>
      <c r="BCX187" s="537"/>
      <c r="BCY187" s="537"/>
      <c r="BCZ187" s="537"/>
      <c r="BDA187" s="537"/>
      <c r="BDB187" s="537"/>
      <c r="BDC187" s="537"/>
      <c r="BDD187" s="537"/>
      <c r="BDE187" s="537"/>
      <c r="BDF187" s="537"/>
      <c r="BDG187" s="537"/>
      <c r="BDH187" s="537"/>
      <c r="BDI187" s="537"/>
      <c r="BDJ187" s="537"/>
      <c r="BDK187" s="537"/>
      <c r="BDL187" s="537"/>
      <c r="BDM187" s="537"/>
      <c r="BDN187" s="537"/>
      <c r="BDO187" s="537"/>
      <c r="BDP187" s="537"/>
      <c r="BDQ187" s="537"/>
      <c r="BDR187" s="537"/>
      <c r="BDS187" s="537"/>
      <c r="BDT187" s="537"/>
      <c r="BDU187" s="537"/>
      <c r="BDV187" s="537"/>
      <c r="BDW187" s="537"/>
      <c r="BDX187" s="537"/>
      <c r="BDY187" s="537"/>
      <c r="BDZ187" s="537"/>
      <c r="BEA187" s="537"/>
      <c r="BEB187" s="537"/>
      <c r="BEC187" s="537"/>
      <c r="BED187" s="537"/>
      <c r="BEE187" s="537"/>
      <c r="BEF187" s="537"/>
      <c r="BEG187" s="537"/>
      <c r="BEH187" s="537"/>
      <c r="BEI187" s="537"/>
      <c r="BEJ187" s="537"/>
      <c r="BEK187" s="537"/>
      <c r="BEL187" s="537"/>
      <c r="BEM187" s="537"/>
      <c r="BEN187" s="537"/>
      <c r="BEO187" s="537"/>
      <c r="BEP187" s="537"/>
      <c r="BEQ187" s="537"/>
      <c r="BER187" s="537"/>
      <c r="BES187" s="537"/>
      <c r="BET187" s="537"/>
      <c r="BEU187" s="537"/>
      <c r="BEV187" s="537"/>
      <c r="BEW187" s="537"/>
      <c r="BEX187" s="537"/>
      <c r="BEY187" s="537"/>
      <c r="BEZ187" s="537"/>
      <c r="BFA187" s="537"/>
      <c r="BFB187" s="537"/>
      <c r="BFC187" s="537"/>
      <c r="BFD187" s="537"/>
      <c r="BFE187" s="537"/>
      <c r="BFF187" s="537"/>
      <c r="BFG187" s="537"/>
      <c r="BFH187" s="537"/>
      <c r="BFI187" s="537"/>
      <c r="BFJ187" s="537"/>
      <c r="BFK187" s="537"/>
      <c r="BFL187" s="537"/>
      <c r="BFM187" s="537"/>
      <c r="BFN187" s="537"/>
      <c r="BFO187" s="537"/>
      <c r="BFP187" s="537"/>
      <c r="BFQ187" s="537"/>
      <c r="BFR187" s="537"/>
      <c r="BFS187" s="537"/>
      <c r="BFT187" s="537"/>
      <c r="BFU187" s="537"/>
      <c r="BFV187" s="537"/>
      <c r="BFW187" s="537"/>
      <c r="BFX187" s="537"/>
      <c r="BFY187" s="537"/>
      <c r="BFZ187" s="537"/>
      <c r="BGA187" s="537"/>
      <c r="BGB187" s="537"/>
      <c r="BGC187" s="537"/>
      <c r="BGD187" s="537"/>
      <c r="BGE187" s="537"/>
      <c r="BGF187" s="537"/>
      <c r="BGG187" s="537"/>
      <c r="BGH187" s="537"/>
      <c r="BGI187" s="537"/>
      <c r="BGJ187" s="537"/>
      <c r="BGK187" s="537"/>
      <c r="BGL187" s="537"/>
      <c r="BGM187" s="537"/>
      <c r="BGN187" s="537"/>
      <c r="BGO187" s="537"/>
      <c r="BGP187" s="537"/>
      <c r="BGQ187" s="537"/>
      <c r="BGR187" s="537"/>
      <c r="BGS187" s="537"/>
      <c r="BGT187" s="537"/>
      <c r="BGU187" s="537"/>
      <c r="BGV187" s="537"/>
      <c r="BGW187" s="537"/>
      <c r="BGX187" s="537"/>
      <c r="BGY187" s="537"/>
      <c r="BGZ187" s="537"/>
      <c r="BHA187" s="537"/>
      <c r="BHB187" s="537"/>
      <c r="BHC187" s="537"/>
      <c r="BHD187" s="537"/>
      <c r="BHE187" s="537"/>
      <c r="BHF187" s="537"/>
      <c r="BHG187" s="537"/>
      <c r="BHH187" s="537"/>
      <c r="BHI187" s="537"/>
      <c r="BHJ187" s="537"/>
      <c r="BHK187" s="537"/>
      <c r="BHL187" s="537"/>
      <c r="BHM187" s="537"/>
      <c r="BHN187" s="537"/>
      <c r="BHO187" s="537"/>
      <c r="BHP187" s="537"/>
      <c r="BHQ187" s="537"/>
      <c r="BHR187" s="537"/>
      <c r="BHS187" s="537"/>
      <c r="BHT187" s="537"/>
      <c r="BHU187" s="537"/>
      <c r="BHV187" s="537"/>
      <c r="BHW187" s="537"/>
      <c r="BHX187" s="537"/>
      <c r="BHY187" s="537"/>
      <c r="BHZ187" s="537"/>
      <c r="BIA187" s="537"/>
      <c r="BIB187" s="537"/>
      <c r="BIC187" s="537"/>
      <c r="BID187" s="537"/>
      <c r="BIE187" s="537"/>
      <c r="BIF187" s="537"/>
      <c r="BIG187" s="537"/>
      <c r="BIH187" s="537"/>
      <c r="BII187" s="537"/>
      <c r="BIJ187" s="537"/>
      <c r="BIK187" s="537"/>
      <c r="BIL187" s="537"/>
      <c r="BIM187" s="537"/>
      <c r="BIN187" s="537"/>
      <c r="BIO187" s="537"/>
      <c r="BIP187" s="537"/>
      <c r="BIQ187" s="537"/>
      <c r="BIR187" s="537"/>
      <c r="BIS187" s="537"/>
      <c r="BIT187" s="537"/>
      <c r="BIU187" s="537"/>
      <c r="BIV187" s="537"/>
      <c r="BIW187" s="537"/>
      <c r="BIX187" s="537"/>
      <c r="BIY187" s="537"/>
      <c r="BIZ187" s="537"/>
      <c r="BJA187" s="537"/>
      <c r="BJB187" s="537"/>
      <c r="BJC187" s="537"/>
      <c r="BJD187" s="537"/>
      <c r="BJE187" s="537"/>
      <c r="BJF187" s="537"/>
      <c r="BJG187" s="537"/>
      <c r="BJH187" s="537"/>
      <c r="BJI187" s="537"/>
      <c r="BJJ187" s="537"/>
      <c r="BJK187" s="537"/>
      <c r="BJL187" s="537"/>
      <c r="BJM187" s="537"/>
      <c r="BJN187" s="537"/>
      <c r="BJO187" s="537"/>
      <c r="BJP187" s="537"/>
      <c r="BJQ187" s="537"/>
      <c r="BJR187" s="537"/>
      <c r="BJS187" s="537"/>
      <c r="BJT187" s="537"/>
      <c r="BJU187" s="537"/>
      <c r="BJV187" s="537"/>
      <c r="BJW187" s="537"/>
      <c r="BJX187" s="537"/>
      <c r="BJY187" s="537"/>
      <c r="BJZ187" s="537"/>
      <c r="BKA187" s="537"/>
      <c r="BKB187" s="537"/>
      <c r="BKC187" s="537"/>
      <c r="BKD187" s="537"/>
      <c r="BKE187" s="537"/>
      <c r="BKF187" s="537"/>
      <c r="BKG187" s="537"/>
      <c r="BKH187" s="537"/>
      <c r="BKI187" s="537"/>
      <c r="BKJ187" s="537"/>
      <c r="BKK187" s="537"/>
      <c r="BKL187" s="537"/>
      <c r="BKM187" s="537"/>
      <c r="BKN187" s="537"/>
      <c r="BKO187" s="537"/>
      <c r="BKP187" s="537"/>
      <c r="BKQ187" s="537"/>
      <c r="BKR187" s="537"/>
      <c r="BKS187" s="537"/>
      <c r="BKT187" s="537"/>
      <c r="BKU187" s="537"/>
      <c r="BKV187" s="537"/>
      <c r="BKW187" s="537"/>
      <c r="BKX187" s="537"/>
      <c r="BKY187" s="537"/>
      <c r="BKZ187" s="537"/>
      <c r="BLA187" s="537"/>
      <c r="BLB187" s="537"/>
      <c r="BLC187" s="537"/>
      <c r="BLD187" s="537"/>
      <c r="BLE187" s="537"/>
      <c r="BLF187" s="537"/>
      <c r="BLG187" s="537"/>
      <c r="BLH187" s="537"/>
      <c r="BLI187" s="537"/>
      <c r="BLJ187" s="537"/>
      <c r="BLK187" s="537"/>
      <c r="BLL187" s="537"/>
      <c r="BLM187" s="537"/>
      <c r="BLN187" s="537"/>
      <c r="BLO187" s="537"/>
      <c r="BLP187" s="537"/>
      <c r="BLQ187" s="537"/>
      <c r="BLR187" s="537"/>
      <c r="BLS187" s="537"/>
      <c r="BLT187" s="537"/>
      <c r="BLU187" s="537"/>
      <c r="BLV187" s="537"/>
      <c r="BLW187" s="537"/>
      <c r="BLX187" s="537"/>
      <c r="BLY187" s="537"/>
      <c r="BLZ187" s="537"/>
      <c r="BMA187" s="537"/>
      <c r="BMB187" s="537"/>
      <c r="BMC187" s="537"/>
      <c r="BMD187" s="537"/>
      <c r="BME187" s="537"/>
      <c r="BMF187" s="537"/>
      <c r="BMG187" s="537"/>
      <c r="BMH187" s="537"/>
      <c r="BMI187" s="537"/>
      <c r="BMJ187" s="537"/>
      <c r="BMK187" s="537"/>
      <c r="BML187" s="537"/>
      <c r="BMM187" s="537"/>
      <c r="BMN187" s="537"/>
      <c r="BMO187" s="537"/>
      <c r="BMP187" s="537"/>
      <c r="BMQ187" s="537"/>
      <c r="BMR187" s="537"/>
      <c r="BMS187" s="537"/>
      <c r="BMT187" s="537"/>
      <c r="BMU187" s="537"/>
      <c r="BMV187" s="537"/>
      <c r="BMW187" s="537"/>
      <c r="BMX187" s="537"/>
      <c r="BMY187" s="537"/>
      <c r="BMZ187" s="537"/>
      <c r="BNA187" s="537"/>
      <c r="BNB187" s="537"/>
      <c r="BNC187" s="537"/>
      <c r="BND187" s="537"/>
      <c r="BNE187" s="537"/>
      <c r="BNF187" s="537"/>
      <c r="BNG187" s="537"/>
      <c r="BNH187" s="537"/>
      <c r="BNI187" s="537"/>
      <c r="BNJ187" s="537"/>
      <c r="BNK187" s="537"/>
      <c r="BNL187" s="537"/>
      <c r="BNM187" s="537"/>
      <c r="BNN187" s="537"/>
      <c r="BNO187" s="537"/>
      <c r="BNP187" s="537"/>
      <c r="BNQ187" s="537"/>
      <c r="BNR187" s="537"/>
      <c r="BNS187" s="537"/>
      <c r="BNT187" s="537"/>
      <c r="BNU187" s="537"/>
      <c r="BNV187" s="537"/>
      <c r="BNW187" s="537"/>
      <c r="BNX187" s="537"/>
      <c r="BNY187" s="537"/>
      <c r="BNZ187" s="537"/>
      <c r="BOA187" s="537"/>
      <c r="BOB187" s="537"/>
      <c r="BOC187" s="537"/>
      <c r="BOD187" s="537"/>
      <c r="BOE187" s="537"/>
      <c r="BOF187" s="537"/>
      <c r="BOG187" s="537"/>
      <c r="BOH187" s="537"/>
      <c r="BOI187" s="537"/>
      <c r="BOJ187" s="537"/>
      <c r="BOK187" s="537"/>
      <c r="BOL187" s="537"/>
      <c r="BOM187" s="537"/>
      <c r="BON187" s="537"/>
      <c r="BOO187" s="537"/>
      <c r="BOP187" s="537"/>
      <c r="BOQ187" s="537"/>
      <c r="BOR187" s="537"/>
      <c r="BOS187" s="537"/>
      <c r="BOT187" s="537"/>
      <c r="BOU187" s="537"/>
      <c r="BOV187" s="537"/>
      <c r="BOW187" s="537"/>
      <c r="BOX187" s="537"/>
      <c r="BOY187" s="537"/>
      <c r="BOZ187" s="537"/>
      <c r="BPA187" s="537"/>
      <c r="BPB187" s="537"/>
      <c r="BPC187" s="537"/>
      <c r="BPD187" s="537"/>
      <c r="BPE187" s="537"/>
      <c r="BPF187" s="537"/>
      <c r="BPG187" s="537"/>
      <c r="BPH187" s="537"/>
      <c r="BPI187" s="537"/>
      <c r="BPJ187" s="537"/>
      <c r="BPK187" s="537"/>
      <c r="BPL187" s="537"/>
      <c r="BPM187" s="537"/>
      <c r="BPN187" s="537"/>
      <c r="BPO187" s="537"/>
      <c r="BPP187" s="537"/>
      <c r="BPQ187" s="537"/>
      <c r="BPR187" s="537"/>
      <c r="BPS187" s="537"/>
      <c r="BPT187" s="537"/>
      <c r="BPU187" s="537"/>
      <c r="BPV187" s="537"/>
      <c r="BPW187" s="537"/>
      <c r="BPX187" s="537"/>
      <c r="BPY187" s="537"/>
      <c r="BPZ187" s="537"/>
      <c r="BQA187" s="537"/>
      <c r="BQB187" s="537"/>
      <c r="BQC187" s="537"/>
      <c r="BQD187" s="537"/>
      <c r="BQE187" s="537"/>
      <c r="BQF187" s="537"/>
      <c r="BQG187" s="537"/>
      <c r="BQH187" s="537"/>
      <c r="BQI187" s="537"/>
      <c r="BQJ187" s="537"/>
      <c r="BQK187" s="537"/>
      <c r="BQL187" s="537"/>
      <c r="BQM187" s="537"/>
      <c r="BQN187" s="537"/>
      <c r="BQO187" s="537"/>
      <c r="BQP187" s="537"/>
      <c r="BQQ187" s="537"/>
      <c r="BQR187" s="537"/>
      <c r="BQS187" s="537"/>
      <c r="BQT187" s="537"/>
      <c r="BQU187" s="537"/>
      <c r="BQV187" s="537"/>
      <c r="BQW187" s="537"/>
      <c r="BQX187" s="537"/>
      <c r="BQY187" s="537"/>
      <c r="BQZ187" s="537"/>
      <c r="BRA187" s="537"/>
      <c r="BRB187" s="537"/>
      <c r="BRC187" s="537"/>
      <c r="BRD187" s="537"/>
      <c r="BRE187" s="537"/>
      <c r="BRF187" s="537"/>
      <c r="BRG187" s="537"/>
      <c r="BRH187" s="537"/>
      <c r="BRI187" s="537"/>
      <c r="BRJ187" s="537"/>
      <c r="BRK187" s="537"/>
      <c r="BRL187" s="537"/>
      <c r="BRM187" s="537"/>
      <c r="BRN187" s="537"/>
      <c r="BRO187" s="537"/>
      <c r="BRP187" s="537"/>
      <c r="BRQ187" s="537"/>
      <c r="BRR187" s="537"/>
      <c r="BRS187" s="537"/>
      <c r="BRT187" s="537"/>
      <c r="BRU187" s="537"/>
      <c r="BRV187" s="537"/>
      <c r="BRW187" s="537"/>
      <c r="BRX187" s="537"/>
      <c r="BRY187" s="537"/>
      <c r="BRZ187" s="537"/>
      <c r="BSA187" s="537"/>
      <c r="BSB187" s="537"/>
      <c r="BSC187" s="537"/>
      <c r="BSD187" s="537"/>
      <c r="BSE187" s="537"/>
      <c r="BSF187" s="537"/>
      <c r="BSG187" s="537"/>
      <c r="BSH187" s="537"/>
      <c r="BSI187" s="537"/>
      <c r="BSJ187" s="537"/>
      <c r="BSK187" s="537"/>
      <c r="BSL187" s="537"/>
      <c r="BSM187" s="537"/>
      <c r="BSN187" s="537"/>
      <c r="BSO187" s="537"/>
      <c r="BSP187" s="537"/>
      <c r="BSQ187" s="537"/>
      <c r="BSR187" s="537"/>
      <c r="BSS187" s="537"/>
      <c r="BST187" s="537"/>
      <c r="BSU187" s="537"/>
      <c r="BSV187" s="537"/>
      <c r="BSW187" s="537"/>
      <c r="BSX187" s="537"/>
      <c r="BSY187" s="537"/>
      <c r="BSZ187" s="537"/>
      <c r="BTA187" s="537"/>
      <c r="BTB187" s="537"/>
      <c r="BTC187" s="537"/>
      <c r="BTD187" s="537"/>
      <c r="BTE187" s="537"/>
      <c r="BTF187" s="537"/>
      <c r="BTG187" s="537"/>
      <c r="BTH187" s="537"/>
      <c r="BTI187" s="537"/>
      <c r="BTJ187" s="537"/>
      <c r="BTK187" s="537"/>
      <c r="BTL187" s="537"/>
      <c r="BTM187" s="537"/>
      <c r="BTN187" s="537"/>
      <c r="BTO187" s="537"/>
      <c r="BTP187" s="537"/>
      <c r="BTQ187" s="537"/>
      <c r="BTR187" s="537"/>
      <c r="BTS187" s="537"/>
      <c r="BTT187" s="537"/>
      <c r="BTU187" s="537"/>
      <c r="BTV187" s="537"/>
      <c r="BTW187" s="537"/>
      <c r="BTX187" s="537"/>
      <c r="BTY187" s="537"/>
      <c r="BTZ187" s="537"/>
      <c r="BUA187" s="537"/>
      <c r="BUB187" s="537"/>
      <c r="BUC187" s="537"/>
      <c r="BUD187" s="537"/>
      <c r="BUE187" s="537"/>
      <c r="BUF187" s="537"/>
      <c r="BUG187" s="537"/>
      <c r="BUH187" s="537"/>
      <c r="BUI187" s="537"/>
      <c r="BUJ187" s="537"/>
      <c r="BUK187" s="537"/>
      <c r="BUL187" s="537"/>
      <c r="BUM187" s="537"/>
      <c r="BUN187" s="537"/>
      <c r="BUO187" s="537"/>
      <c r="BUP187" s="537"/>
      <c r="BUQ187" s="537"/>
      <c r="BUR187" s="537"/>
      <c r="BUS187" s="537"/>
      <c r="BUT187" s="537"/>
      <c r="BUU187" s="537"/>
      <c r="BUV187" s="537"/>
      <c r="BUW187" s="537"/>
      <c r="BUX187" s="537"/>
      <c r="BUY187" s="537"/>
      <c r="BUZ187" s="537"/>
      <c r="BVA187" s="537"/>
      <c r="BVB187" s="537"/>
      <c r="BVC187" s="537"/>
      <c r="BVD187" s="537"/>
      <c r="BVE187" s="537"/>
      <c r="BVF187" s="537"/>
      <c r="BVG187" s="537"/>
      <c r="BVH187" s="537"/>
      <c r="BVI187" s="537"/>
      <c r="BVJ187" s="537"/>
      <c r="BVK187" s="537"/>
      <c r="BVL187" s="537"/>
      <c r="BVM187" s="537"/>
      <c r="BVN187" s="537"/>
      <c r="BVO187" s="537"/>
      <c r="BVP187" s="537"/>
      <c r="BVQ187" s="537"/>
      <c r="BVR187" s="537"/>
      <c r="BVS187" s="537"/>
      <c r="BVT187" s="537"/>
      <c r="BVU187" s="537"/>
      <c r="BVV187" s="537"/>
      <c r="BVW187" s="537"/>
      <c r="BVX187" s="537"/>
      <c r="BVY187" s="537"/>
      <c r="BVZ187" s="537"/>
      <c r="BWA187" s="537"/>
      <c r="BWB187" s="537"/>
      <c r="BWC187" s="537"/>
      <c r="BWD187" s="537"/>
      <c r="BWE187" s="537"/>
      <c r="BWF187" s="537"/>
      <c r="BWG187" s="537"/>
      <c r="BWH187" s="537"/>
      <c r="BWI187" s="537"/>
      <c r="BWJ187" s="537"/>
      <c r="BWK187" s="537"/>
      <c r="BWL187" s="537"/>
      <c r="BWM187" s="537"/>
      <c r="BWN187" s="537"/>
      <c r="BWO187" s="537"/>
      <c r="BWP187" s="537"/>
      <c r="BWQ187" s="537"/>
      <c r="BWR187" s="537"/>
      <c r="BWS187" s="537"/>
      <c r="BWT187" s="537"/>
      <c r="BWU187" s="537"/>
      <c r="BWV187" s="537"/>
      <c r="BWW187" s="537"/>
      <c r="BWX187" s="537"/>
      <c r="BWY187" s="537"/>
      <c r="BWZ187" s="537"/>
      <c r="BXA187" s="537"/>
      <c r="BXB187" s="537"/>
      <c r="BXC187" s="537"/>
      <c r="BXD187" s="537"/>
      <c r="BXE187" s="537"/>
      <c r="BXF187" s="537"/>
      <c r="BXG187" s="537"/>
      <c r="BXH187" s="537"/>
      <c r="BXI187" s="537"/>
      <c r="BXJ187" s="537"/>
      <c r="BXK187" s="537"/>
      <c r="BXL187" s="537"/>
      <c r="BXM187" s="537"/>
      <c r="BXN187" s="537"/>
      <c r="BXO187" s="537"/>
      <c r="BXP187" s="537"/>
      <c r="BXQ187" s="537"/>
      <c r="BXR187" s="537"/>
      <c r="BXS187" s="537"/>
      <c r="BXT187" s="537"/>
      <c r="BXU187" s="537"/>
      <c r="BXV187" s="537"/>
      <c r="BXW187" s="537"/>
      <c r="BXX187" s="537"/>
      <c r="BXY187" s="537"/>
      <c r="BXZ187" s="537"/>
      <c r="BYA187" s="537"/>
      <c r="BYB187" s="537"/>
      <c r="BYC187" s="537"/>
      <c r="BYD187" s="537"/>
      <c r="BYE187" s="537"/>
      <c r="BYF187" s="537"/>
      <c r="BYG187" s="537"/>
      <c r="BYH187" s="537"/>
      <c r="BYI187" s="537"/>
      <c r="BYJ187" s="537"/>
      <c r="BYK187" s="537"/>
      <c r="BYL187" s="537"/>
      <c r="BYM187" s="537"/>
      <c r="BYN187" s="537"/>
      <c r="BYO187" s="537"/>
      <c r="BYP187" s="537"/>
      <c r="BYQ187" s="537"/>
      <c r="BYR187" s="537"/>
      <c r="BYS187" s="537"/>
      <c r="BYT187" s="537"/>
      <c r="BYU187" s="537"/>
      <c r="BYV187" s="537"/>
      <c r="BYW187" s="537"/>
      <c r="BYX187" s="537"/>
      <c r="BYY187" s="537"/>
      <c r="BYZ187" s="537"/>
      <c r="BZA187" s="537"/>
      <c r="BZB187" s="537"/>
      <c r="BZC187" s="537"/>
      <c r="BZD187" s="537"/>
      <c r="BZE187" s="537"/>
      <c r="BZF187" s="537"/>
      <c r="BZG187" s="537"/>
      <c r="BZH187" s="537"/>
      <c r="BZI187" s="537"/>
      <c r="BZJ187" s="537"/>
      <c r="BZK187" s="537"/>
      <c r="BZL187" s="537"/>
      <c r="BZM187" s="537"/>
      <c r="BZN187" s="537"/>
      <c r="BZO187" s="537"/>
      <c r="BZP187" s="537"/>
      <c r="BZQ187" s="537"/>
      <c r="BZR187" s="537"/>
      <c r="BZS187" s="537"/>
      <c r="BZT187" s="537"/>
      <c r="BZU187" s="537"/>
      <c r="BZV187" s="537"/>
      <c r="BZW187" s="537"/>
      <c r="BZX187" s="537"/>
      <c r="BZY187" s="537"/>
      <c r="BZZ187" s="537"/>
      <c r="CAA187" s="537"/>
      <c r="CAB187" s="537"/>
      <c r="CAC187" s="537"/>
      <c r="CAD187" s="537"/>
      <c r="CAE187" s="537"/>
      <c r="CAF187" s="537"/>
      <c r="CAG187" s="537"/>
      <c r="CAH187" s="537"/>
      <c r="CAI187" s="537"/>
      <c r="CAJ187" s="537"/>
      <c r="CAK187" s="537"/>
      <c r="CAL187" s="537"/>
      <c r="CAM187" s="537"/>
      <c r="CAN187" s="537"/>
      <c r="CAO187" s="537"/>
      <c r="CAP187" s="537"/>
      <c r="CAQ187" s="537"/>
      <c r="CAR187" s="537"/>
      <c r="CAS187" s="537"/>
      <c r="CAT187" s="537"/>
      <c r="CAU187" s="537"/>
      <c r="CAV187" s="537"/>
      <c r="CAW187" s="537"/>
      <c r="CAX187" s="537"/>
      <c r="CAY187" s="537"/>
      <c r="CAZ187" s="537"/>
      <c r="CBA187" s="537"/>
      <c r="CBB187" s="537"/>
      <c r="CBC187" s="537"/>
      <c r="CBD187" s="537"/>
      <c r="CBE187" s="537"/>
      <c r="CBF187" s="537"/>
      <c r="CBG187" s="537"/>
      <c r="CBH187" s="537"/>
      <c r="CBI187" s="537"/>
      <c r="CBJ187" s="537"/>
      <c r="CBK187" s="537"/>
      <c r="CBL187" s="537"/>
      <c r="CBM187" s="537"/>
      <c r="CBN187" s="537"/>
      <c r="CBO187" s="537"/>
      <c r="CBP187" s="537"/>
      <c r="CBQ187" s="537"/>
      <c r="CBR187" s="537"/>
      <c r="CBS187" s="537"/>
      <c r="CBT187" s="537"/>
      <c r="CBU187" s="537"/>
      <c r="CBV187" s="537"/>
      <c r="CBW187" s="537"/>
      <c r="CBX187" s="537"/>
      <c r="CBY187" s="537"/>
      <c r="CBZ187" s="537"/>
      <c r="CCA187" s="537"/>
      <c r="CCB187" s="537"/>
      <c r="CCC187" s="537"/>
      <c r="CCD187" s="537"/>
      <c r="CCE187" s="537"/>
      <c r="CCF187" s="537"/>
      <c r="CCG187" s="537"/>
      <c r="CCH187" s="537"/>
      <c r="CCI187" s="537"/>
      <c r="CCJ187" s="537"/>
      <c r="CCK187" s="537"/>
      <c r="CCL187" s="537"/>
      <c r="CCM187" s="537"/>
      <c r="CCN187" s="537"/>
      <c r="CCO187" s="537"/>
      <c r="CCP187" s="537"/>
      <c r="CCQ187" s="537"/>
      <c r="CCR187" s="537"/>
      <c r="CCS187" s="537"/>
      <c r="CCT187" s="537"/>
      <c r="CCU187" s="537"/>
      <c r="CCV187" s="537"/>
      <c r="CCW187" s="537"/>
      <c r="CCX187" s="537"/>
      <c r="CCY187" s="537"/>
      <c r="CCZ187" s="537"/>
      <c r="CDA187" s="537"/>
      <c r="CDB187" s="537"/>
      <c r="CDC187" s="537"/>
      <c r="CDD187" s="537"/>
      <c r="CDE187" s="537"/>
      <c r="CDF187" s="537"/>
      <c r="CDG187" s="537"/>
      <c r="CDH187" s="537"/>
      <c r="CDI187" s="537"/>
      <c r="CDJ187" s="537"/>
      <c r="CDK187" s="537"/>
      <c r="CDL187" s="537"/>
      <c r="CDM187" s="537"/>
      <c r="CDN187" s="537"/>
      <c r="CDO187" s="537"/>
      <c r="CDP187" s="537"/>
      <c r="CDQ187" s="537"/>
      <c r="CDR187" s="537"/>
      <c r="CDS187" s="537"/>
      <c r="CDT187" s="537"/>
      <c r="CDU187" s="537"/>
      <c r="CDV187" s="537"/>
      <c r="CDW187" s="537"/>
      <c r="CDX187" s="537"/>
      <c r="CDY187" s="537"/>
      <c r="CDZ187" s="537"/>
      <c r="CEA187" s="537"/>
      <c r="CEB187" s="537"/>
      <c r="CEC187" s="537"/>
      <c r="CED187" s="537"/>
      <c r="CEE187" s="537"/>
      <c r="CEF187" s="537"/>
      <c r="CEG187" s="537"/>
      <c r="CEH187" s="537"/>
      <c r="CEI187" s="537"/>
      <c r="CEJ187" s="537"/>
      <c r="CEK187" s="537"/>
      <c r="CEL187" s="537"/>
      <c r="CEM187" s="537"/>
      <c r="CEN187" s="537"/>
      <c r="CEO187" s="537"/>
      <c r="CEP187" s="537"/>
      <c r="CEQ187" s="537"/>
      <c r="CER187" s="537"/>
      <c r="CES187" s="537"/>
      <c r="CET187" s="537"/>
      <c r="CEU187" s="537"/>
      <c r="CEV187" s="537"/>
      <c r="CEW187" s="537"/>
      <c r="CEX187" s="537"/>
      <c r="CEY187" s="537"/>
      <c r="CEZ187" s="537"/>
      <c r="CFA187" s="537"/>
      <c r="CFB187" s="537"/>
      <c r="CFC187" s="537"/>
      <c r="CFD187" s="537"/>
      <c r="CFE187" s="537"/>
      <c r="CFF187" s="537"/>
      <c r="CFG187" s="537"/>
      <c r="CFH187" s="537"/>
      <c r="CFI187" s="537"/>
      <c r="CFJ187" s="537"/>
      <c r="CFK187" s="537"/>
      <c r="CFL187" s="537"/>
      <c r="CFM187" s="537"/>
      <c r="CFN187" s="537"/>
      <c r="CFO187" s="537"/>
      <c r="CFP187" s="537"/>
      <c r="CFQ187" s="537"/>
      <c r="CFR187" s="537"/>
      <c r="CFS187" s="537"/>
      <c r="CFT187" s="537"/>
      <c r="CFU187" s="537"/>
      <c r="CFV187" s="537"/>
      <c r="CFW187" s="537"/>
      <c r="CFX187" s="537"/>
      <c r="CFY187" s="537"/>
      <c r="CFZ187" s="537"/>
      <c r="CGA187" s="537"/>
      <c r="CGB187" s="537"/>
      <c r="CGC187" s="537"/>
      <c r="CGD187" s="537"/>
      <c r="CGE187" s="537"/>
      <c r="CGF187" s="537"/>
      <c r="CGG187" s="537"/>
      <c r="CGH187" s="537"/>
      <c r="CGI187" s="537"/>
      <c r="CGJ187" s="537"/>
      <c r="CGK187" s="537"/>
      <c r="CGL187" s="537"/>
      <c r="CGM187" s="537"/>
      <c r="CGN187" s="537"/>
      <c r="CGO187" s="537"/>
      <c r="CGP187" s="537"/>
      <c r="CGQ187" s="537"/>
      <c r="CGR187" s="537"/>
      <c r="CGS187" s="537"/>
      <c r="CGT187" s="537"/>
      <c r="CGU187" s="537"/>
      <c r="CGV187" s="537"/>
      <c r="CGW187" s="537"/>
      <c r="CGX187" s="537"/>
      <c r="CGY187" s="537"/>
      <c r="CGZ187" s="537"/>
      <c r="CHA187" s="537"/>
      <c r="CHB187" s="537"/>
      <c r="CHC187" s="537"/>
      <c r="CHD187" s="537"/>
      <c r="CHE187" s="537"/>
      <c r="CHF187" s="537"/>
      <c r="CHG187" s="537"/>
      <c r="CHH187" s="537"/>
      <c r="CHI187" s="537"/>
      <c r="CHJ187" s="537"/>
      <c r="CHK187" s="537"/>
      <c r="CHL187" s="537"/>
      <c r="CHM187" s="537"/>
      <c r="CHN187" s="537"/>
      <c r="CHO187" s="537"/>
      <c r="CHP187" s="537"/>
      <c r="CHQ187" s="537"/>
      <c r="CHR187" s="537"/>
      <c r="CHS187" s="537"/>
      <c r="CHT187" s="537"/>
      <c r="CHU187" s="537"/>
      <c r="CHV187" s="537"/>
      <c r="CHW187" s="537"/>
      <c r="CHX187" s="537"/>
      <c r="CHY187" s="537"/>
      <c r="CHZ187" s="537"/>
      <c r="CIA187" s="537"/>
      <c r="CIB187" s="537"/>
      <c r="CIC187" s="537"/>
      <c r="CID187" s="537"/>
      <c r="CIE187" s="537"/>
      <c r="CIF187" s="537"/>
      <c r="CIG187" s="537"/>
      <c r="CIH187" s="537"/>
      <c r="CII187" s="537"/>
      <c r="CIJ187" s="537"/>
      <c r="CIK187" s="537"/>
      <c r="CIL187" s="537"/>
      <c r="CIM187" s="537"/>
      <c r="CIN187" s="537"/>
      <c r="CIO187" s="537"/>
      <c r="CIP187" s="537"/>
      <c r="CIQ187" s="537"/>
      <c r="CIR187" s="537"/>
      <c r="CIS187" s="537"/>
      <c r="CIT187" s="537"/>
      <c r="CIU187" s="537"/>
      <c r="CIV187" s="537"/>
      <c r="CIW187" s="537"/>
      <c r="CIX187" s="537"/>
      <c r="CIY187" s="537"/>
      <c r="CIZ187" s="537"/>
      <c r="CJA187" s="537"/>
      <c r="CJB187" s="537"/>
      <c r="CJC187" s="537"/>
      <c r="CJD187" s="537"/>
      <c r="CJE187" s="537"/>
      <c r="CJF187" s="537"/>
      <c r="CJG187" s="537"/>
      <c r="CJH187" s="537"/>
      <c r="CJI187" s="537"/>
      <c r="CJJ187" s="537"/>
      <c r="CJK187" s="537"/>
      <c r="CJL187" s="537"/>
      <c r="CJM187" s="537"/>
      <c r="CJN187" s="537"/>
      <c r="CJO187" s="537"/>
      <c r="CJP187" s="537"/>
      <c r="CJQ187" s="537"/>
      <c r="CJR187" s="537"/>
      <c r="CJS187" s="537"/>
      <c r="CJT187" s="537"/>
      <c r="CJU187" s="537"/>
      <c r="CJV187" s="537"/>
      <c r="CJW187" s="537"/>
      <c r="CJX187" s="537"/>
      <c r="CJY187" s="537"/>
      <c r="CJZ187" s="537"/>
      <c r="CKA187" s="537"/>
      <c r="CKB187" s="537"/>
      <c r="CKC187" s="537"/>
      <c r="CKD187" s="537"/>
      <c r="CKE187" s="537"/>
      <c r="CKF187" s="537"/>
      <c r="CKG187" s="537"/>
      <c r="CKH187" s="537"/>
      <c r="CKI187" s="537"/>
      <c r="CKJ187" s="537"/>
      <c r="CKK187" s="537"/>
      <c r="CKL187" s="537"/>
      <c r="CKM187" s="537"/>
      <c r="CKN187" s="537"/>
      <c r="CKO187" s="537"/>
      <c r="CKP187" s="537"/>
      <c r="CKQ187" s="537"/>
      <c r="CKR187" s="537"/>
      <c r="CKS187" s="537"/>
      <c r="CKT187" s="537"/>
      <c r="CKU187" s="537"/>
      <c r="CKV187" s="537"/>
      <c r="CKW187" s="537"/>
      <c r="CKX187" s="537"/>
      <c r="CKY187" s="537"/>
      <c r="CKZ187" s="537"/>
      <c r="CLA187" s="537"/>
      <c r="CLB187" s="537"/>
      <c r="CLC187" s="537"/>
      <c r="CLD187" s="537"/>
      <c r="CLE187" s="537"/>
      <c r="CLF187" s="537"/>
      <c r="CLG187" s="537"/>
      <c r="CLH187" s="537"/>
      <c r="CLI187" s="537"/>
      <c r="CLJ187" s="537"/>
      <c r="CLK187" s="537"/>
      <c r="CLL187" s="537"/>
      <c r="CLM187" s="537"/>
      <c r="CLN187" s="537"/>
      <c r="CLO187" s="537"/>
      <c r="CLP187" s="537"/>
      <c r="CLQ187" s="537"/>
      <c r="CLR187" s="537"/>
      <c r="CLS187" s="537"/>
      <c r="CLT187" s="537"/>
      <c r="CLU187" s="537"/>
      <c r="CLV187" s="537"/>
      <c r="CLW187" s="537"/>
      <c r="CLX187" s="537"/>
      <c r="CLY187" s="537"/>
      <c r="CLZ187" s="537"/>
      <c r="CMA187" s="537"/>
      <c r="CMB187" s="537"/>
      <c r="CMC187" s="537"/>
      <c r="CMD187" s="537"/>
      <c r="CME187" s="537"/>
      <c r="CMF187" s="537"/>
      <c r="CMG187" s="537"/>
      <c r="CMH187" s="537"/>
      <c r="CMI187" s="537"/>
      <c r="CMJ187" s="537"/>
      <c r="CMK187" s="537"/>
      <c r="CML187" s="537"/>
      <c r="CMM187" s="537"/>
      <c r="CMN187" s="537"/>
      <c r="CMO187" s="537"/>
      <c r="CMP187" s="537"/>
      <c r="CMQ187" s="537"/>
      <c r="CMR187" s="537"/>
      <c r="CMS187" s="537"/>
      <c r="CMT187" s="537"/>
      <c r="CMU187" s="537"/>
      <c r="CMV187" s="537"/>
      <c r="CMW187" s="537"/>
      <c r="CMX187" s="537"/>
      <c r="CMY187" s="537"/>
      <c r="CMZ187" s="537"/>
      <c r="CNA187" s="537"/>
      <c r="CNB187" s="537"/>
      <c r="CNC187" s="537"/>
      <c r="CND187" s="537"/>
      <c r="CNE187" s="537"/>
      <c r="CNF187" s="537"/>
      <c r="CNG187" s="537"/>
      <c r="CNH187" s="537"/>
      <c r="CNI187" s="537"/>
      <c r="CNJ187" s="537"/>
      <c r="CNK187" s="537"/>
      <c r="CNL187" s="537"/>
      <c r="CNM187" s="537"/>
      <c r="CNN187" s="537"/>
      <c r="CNO187" s="537"/>
      <c r="CNP187" s="537"/>
      <c r="CNQ187" s="537"/>
      <c r="CNR187" s="537"/>
      <c r="CNS187" s="537"/>
      <c r="CNT187" s="537"/>
      <c r="CNU187" s="537"/>
      <c r="CNV187" s="537"/>
      <c r="CNW187" s="537"/>
      <c r="CNX187" s="537"/>
      <c r="CNY187" s="537"/>
      <c r="CNZ187" s="537"/>
      <c r="COA187" s="537"/>
      <c r="COB187" s="537"/>
      <c r="COC187" s="537"/>
      <c r="COD187" s="537"/>
      <c r="COE187" s="537"/>
      <c r="COF187" s="537"/>
      <c r="COG187" s="537"/>
      <c r="COH187" s="537"/>
      <c r="COI187" s="537"/>
      <c r="COJ187" s="537"/>
      <c r="COK187" s="537"/>
      <c r="COL187" s="537"/>
      <c r="COM187" s="537"/>
      <c r="CON187" s="537"/>
      <c r="COO187" s="537"/>
      <c r="COP187" s="537"/>
      <c r="COQ187" s="537"/>
      <c r="COR187" s="537"/>
      <c r="COS187" s="537"/>
      <c r="COT187" s="537"/>
      <c r="COU187" s="537"/>
      <c r="COV187" s="537"/>
      <c r="COW187" s="537"/>
      <c r="COX187" s="537"/>
      <c r="COY187" s="537"/>
      <c r="COZ187" s="537"/>
      <c r="CPA187" s="537"/>
      <c r="CPB187" s="537"/>
      <c r="CPC187" s="537"/>
      <c r="CPD187" s="537"/>
      <c r="CPE187" s="537"/>
      <c r="CPF187" s="537"/>
      <c r="CPG187" s="537"/>
      <c r="CPH187" s="537"/>
      <c r="CPI187" s="537"/>
      <c r="CPJ187" s="537"/>
      <c r="CPK187" s="537"/>
      <c r="CPL187" s="537"/>
      <c r="CPM187" s="537"/>
      <c r="CPN187" s="537"/>
      <c r="CPO187" s="537"/>
      <c r="CPP187" s="537"/>
      <c r="CPQ187" s="537"/>
      <c r="CPR187" s="537"/>
      <c r="CPS187" s="537"/>
      <c r="CPT187" s="537"/>
      <c r="CPU187" s="537"/>
      <c r="CPV187" s="537"/>
      <c r="CPW187" s="537"/>
      <c r="CPX187" s="537"/>
      <c r="CPY187" s="537"/>
      <c r="CPZ187" s="537"/>
      <c r="CQA187" s="537"/>
      <c r="CQB187" s="537"/>
      <c r="CQC187" s="537"/>
      <c r="CQD187" s="537"/>
      <c r="CQE187" s="537"/>
      <c r="CQF187" s="537"/>
      <c r="CQG187" s="537"/>
      <c r="CQH187" s="537"/>
      <c r="CQI187" s="537"/>
      <c r="CQJ187" s="537"/>
      <c r="CQK187" s="537"/>
      <c r="CQL187" s="537"/>
      <c r="CQM187" s="537"/>
      <c r="CQN187" s="537"/>
      <c r="CQO187" s="537"/>
      <c r="CQP187" s="537"/>
      <c r="CQQ187" s="537"/>
      <c r="CQR187" s="537"/>
      <c r="CQS187" s="537"/>
      <c r="CQT187" s="537"/>
      <c r="CQU187" s="537"/>
      <c r="CQV187" s="537"/>
      <c r="CQW187" s="537"/>
      <c r="CQX187" s="537"/>
      <c r="CQY187" s="537"/>
      <c r="CQZ187" s="537"/>
      <c r="CRA187" s="537"/>
      <c r="CRB187" s="537"/>
      <c r="CRC187" s="537"/>
      <c r="CRD187" s="537"/>
      <c r="CRE187" s="537"/>
      <c r="CRF187" s="537"/>
      <c r="CRG187" s="537"/>
      <c r="CRH187" s="537"/>
      <c r="CRI187" s="537"/>
      <c r="CRJ187" s="537"/>
      <c r="CRK187" s="537"/>
      <c r="CRL187" s="537"/>
      <c r="CRM187" s="537"/>
      <c r="CRN187" s="537"/>
      <c r="CRO187" s="537"/>
      <c r="CRP187" s="537"/>
      <c r="CRQ187" s="537"/>
      <c r="CRR187" s="537"/>
      <c r="CRS187" s="537"/>
      <c r="CRT187" s="537"/>
      <c r="CRU187" s="537"/>
      <c r="CRV187" s="537"/>
      <c r="CRW187" s="537"/>
      <c r="CRX187" s="537"/>
      <c r="CRY187" s="537"/>
      <c r="CRZ187" s="537"/>
      <c r="CSA187" s="537"/>
      <c r="CSB187" s="537"/>
      <c r="CSC187" s="537"/>
      <c r="CSD187" s="537"/>
      <c r="CSE187" s="537"/>
      <c r="CSF187" s="537"/>
      <c r="CSG187" s="537"/>
      <c r="CSH187" s="537"/>
      <c r="CSI187" s="537"/>
      <c r="CSJ187" s="537"/>
      <c r="CSK187" s="537"/>
      <c r="CSL187" s="537"/>
      <c r="CSM187" s="537"/>
      <c r="CSN187" s="537"/>
      <c r="CSO187" s="537"/>
      <c r="CSP187" s="537"/>
      <c r="CSQ187" s="537"/>
      <c r="CSR187" s="537"/>
      <c r="CSS187" s="537"/>
      <c r="CST187" s="537"/>
      <c r="CSU187" s="537"/>
      <c r="CSV187" s="537"/>
      <c r="CSW187" s="537"/>
      <c r="CSX187" s="537"/>
      <c r="CSY187" s="537"/>
      <c r="CSZ187" s="537"/>
      <c r="CTA187" s="537"/>
      <c r="CTB187" s="537"/>
      <c r="CTC187" s="537"/>
      <c r="CTD187" s="537"/>
      <c r="CTE187" s="537"/>
      <c r="CTF187" s="537"/>
      <c r="CTG187" s="537"/>
      <c r="CTH187" s="537"/>
      <c r="CTI187" s="537"/>
      <c r="CTJ187" s="537"/>
      <c r="CTK187" s="537"/>
      <c r="CTL187" s="537"/>
      <c r="CTM187" s="537"/>
      <c r="CTN187" s="537"/>
      <c r="CTO187" s="537"/>
      <c r="CTP187" s="537"/>
      <c r="CTQ187" s="537"/>
      <c r="CTR187" s="537"/>
      <c r="CTS187" s="537"/>
      <c r="CTT187" s="537"/>
      <c r="CTU187" s="537"/>
      <c r="CTV187" s="537"/>
      <c r="CTW187" s="537"/>
      <c r="CTX187" s="537"/>
      <c r="CTY187" s="537"/>
      <c r="CTZ187" s="537"/>
      <c r="CUA187" s="537"/>
      <c r="CUB187" s="537"/>
      <c r="CUC187" s="537"/>
      <c r="CUD187" s="537"/>
      <c r="CUE187" s="537"/>
      <c r="CUF187" s="537"/>
      <c r="CUG187" s="537"/>
      <c r="CUH187" s="537"/>
      <c r="CUI187" s="537"/>
      <c r="CUJ187" s="537"/>
      <c r="CUK187" s="537"/>
      <c r="CUL187" s="537"/>
      <c r="CUM187" s="537"/>
      <c r="CUN187" s="537"/>
      <c r="CUO187" s="537"/>
      <c r="CUP187" s="537"/>
      <c r="CUQ187" s="537"/>
      <c r="CUR187" s="537"/>
      <c r="CUS187" s="537"/>
      <c r="CUT187" s="537"/>
      <c r="CUU187" s="537"/>
      <c r="CUV187" s="537"/>
      <c r="CUW187" s="537"/>
      <c r="CUX187" s="537"/>
      <c r="CUY187" s="537"/>
      <c r="CUZ187" s="537"/>
      <c r="CVA187" s="537"/>
      <c r="CVB187" s="537"/>
      <c r="CVC187" s="537"/>
      <c r="CVD187" s="537"/>
      <c r="CVE187" s="537"/>
      <c r="CVF187" s="537"/>
      <c r="CVG187" s="537"/>
      <c r="CVH187" s="537"/>
      <c r="CVI187" s="537"/>
      <c r="CVJ187" s="537"/>
      <c r="CVK187" s="537"/>
      <c r="CVL187" s="537"/>
      <c r="CVM187" s="537"/>
      <c r="CVN187" s="537"/>
      <c r="CVO187" s="537"/>
      <c r="CVP187" s="537"/>
      <c r="CVQ187" s="537"/>
      <c r="CVR187" s="537"/>
      <c r="CVS187" s="537"/>
      <c r="CVT187" s="537"/>
      <c r="CVU187" s="537"/>
      <c r="CVV187" s="537"/>
      <c r="CVW187" s="537"/>
      <c r="CVX187" s="537"/>
      <c r="CVY187" s="537"/>
      <c r="CVZ187" s="537"/>
      <c r="CWA187" s="537"/>
      <c r="CWB187" s="537"/>
      <c r="CWC187" s="537"/>
      <c r="CWD187" s="537"/>
      <c r="CWE187" s="537"/>
      <c r="CWF187" s="537"/>
      <c r="CWG187" s="537"/>
      <c r="CWH187" s="537"/>
      <c r="CWI187" s="537"/>
      <c r="CWJ187" s="537"/>
      <c r="CWK187" s="537"/>
      <c r="CWL187" s="537"/>
      <c r="CWM187" s="537"/>
      <c r="CWN187" s="537"/>
      <c r="CWO187" s="537"/>
      <c r="CWP187" s="537"/>
      <c r="CWQ187" s="537"/>
      <c r="CWR187" s="537"/>
      <c r="CWS187" s="537"/>
      <c r="CWT187" s="537"/>
      <c r="CWU187" s="537"/>
      <c r="CWV187" s="537"/>
      <c r="CWW187" s="537"/>
      <c r="CWX187" s="537"/>
      <c r="CWY187" s="537"/>
      <c r="CWZ187" s="537"/>
      <c r="CXA187" s="537"/>
      <c r="CXB187" s="537"/>
      <c r="CXC187" s="537"/>
      <c r="CXD187" s="537"/>
      <c r="CXE187" s="537"/>
      <c r="CXF187" s="537"/>
      <c r="CXG187" s="537"/>
      <c r="CXH187" s="537"/>
      <c r="CXI187" s="537"/>
      <c r="CXJ187" s="537"/>
      <c r="CXK187" s="537"/>
      <c r="CXL187" s="537"/>
      <c r="CXM187" s="537"/>
      <c r="CXN187" s="537"/>
      <c r="CXO187" s="537"/>
      <c r="CXP187" s="537"/>
      <c r="CXQ187" s="537"/>
      <c r="CXR187" s="537"/>
      <c r="CXS187" s="537"/>
      <c r="CXT187" s="537"/>
      <c r="CXU187" s="537"/>
      <c r="CXV187" s="537"/>
      <c r="CXW187" s="537"/>
      <c r="CXX187" s="537"/>
      <c r="CXY187" s="537"/>
      <c r="CXZ187" s="537"/>
      <c r="CYA187" s="537"/>
      <c r="CYB187" s="537"/>
      <c r="CYC187" s="537"/>
      <c r="CYD187" s="537"/>
      <c r="CYE187" s="537"/>
      <c r="CYF187" s="537"/>
      <c r="CYG187" s="537"/>
      <c r="CYH187" s="537"/>
      <c r="CYI187" s="537"/>
      <c r="CYJ187" s="537"/>
      <c r="CYK187" s="537"/>
      <c r="CYL187" s="537"/>
      <c r="CYM187" s="537"/>
      <c r="CYN187" s="537"/>
      <c r="CYO187" s="537"/>
      <c r="CYP187" s="537"/>
      <c r="CYQ187" s="537"/>
      <c r="CYR187" s="537"/>
      <c r="CYS187" s="537"/>
      <c r="CYT187" s="537"/>
      <c r="CYU187" s="537"/>
      <c r="CYV187" s="537"/>
      <c r="CYW187" s="537"/>
      <c r="CYX187" s="537"/>
      <c r="CYY187" s="537"/>
      <c r="CYZ187" s="537"/>
      <c r="CZA187" s="537"/>
      <c r="CZB187" s="537"/>
      <c r="CZC187" s="537"/>
      <c r="CZD187" s="537"/>
      <c r="CZE187" s="537"/>
      <c r="CZF187" s="537"/>
      <c r="CZG187" s="537"/>
      <c r="CZH187" s="537"/>
      <c r="CZI187" s="537"/>
      <c r="CZJ187" s="537"/>
      <c r="CZK187" s="537"/>
      <c r="CZL187" s="537"/>
      <c r="CZM187" s="537"/>
      <c r="CZN187" s="537"/>
      <c r="CZO187" s="537"/>
      <c r="CZP187" s="537"/>
      <c r="CZQ187" s="537"/>
      <c r="CZR187" s="537"/>
      <c r="CZS187" s="537"/>
      <c r="CZT187" s="537"/>
      <c r="CZU187" s="537"/>
      <c r="CZV187" s="537"/>
      <c r="CZW187" s="537"/>
      <c r="CZX187" s="537"/>
      <c r="CZY187" s="537"/>
      <c r="CZZ187" s="537"/>
      <c r="DAA187" s="537"/>
      <c r="DAB187" s="537"/>
      <c r="DAC187" s="537"/>
      <c r="DAD187" s="537"/>
      <c r="DAE187" s="537"/>
      <c r="DAF187" s="537"/>
      <c r="DAG187" s="537"/>
      <c r="DAH187" s="537"/>
      <c r="DAI187" s="537"/>
      <c r="DAJ187" s="537"/>
      <c r="DAK187" s="537"/>
      <c r="DAL187" s="537"/>
      <c r="DAM187" s="537"/>
      <c r="DAN187" s="537"/>
      <c r="DAO187" s="537"/>
      <c r="DAP187" s="537"/>
      <c r="DAQ187" s="537"/>
      <c r="DAR187" s="537"/>
      <c r="DAS187" s="537"/>
      <c r="DAT187" s="537"/>
      <c r="DAU187" s="537"/>
      <c r="DAV187" s="537"/>
      <c r="DAW187" s="537"/>
      <c r="DAX187" s="537"/>
      <c r="DAY187" s="537"/>
      <c r="DAZ187" s="537"/>
      <c r="DBA187" s="537"/>
      <c r="DBB187" s="537"/>
      <c r="DBC187" s="537"/>
      <c r="DBD187" s="537"/>
      <c r="DBE187" s="537"/>
      <c r="DBF187" s="537"/>
      <c r="DBG187" s="537"/>
      <c r="DBH187" s="537"/>
      <c r="DBI187" s="537"/>
      <c r="DBJ187" s="537"/>
      <c r="DBK187" s="537"/>
      <c r="DBL187" s="537"/>
      <c r="DBM187" s="537"/>
      <c r="DBN187" s="537"/>
      <c r="DBO187" s="537"/>
      <c r="DBP187" s="537"/>
      <c r="DBQ187" s="537"/>
      <c r="DBR187" s="537"/>
      <c r="DBS187" s="537"/>
      <c r="DBT187" s="537"/>
      <c r="DBU187" s="537"/>
      <c r="DBV187" s="537"/>
      <c r="DBW187" s="537"/>
      <c r="DBX187" s="537"/>
      <c r="DBY187" s="537"/>
      <c r="DBZ187" s="537"/>
      <c r="DCA187" s="537"/>
      <c r="DCB187" s="537"/>
      <c r="DCC187" s="537"/>
      <c r="DCD187" s="537"/>
      <c r="DCE187" s="537"/>
      <c r="DCF187" s="537"/>
      <c r="DCG187" s="537"/>
      <c r="DCH187" s="537"/>
      <c r="DCI187" s="537"/>
      <c r="DCJ187" s="537"/>
      <c r="DCK187" s="537"/>
      <c r="DCL187" s="537"/>
      <c r="DCM187" s="537"/>
      <c r="DCN187" s="537"/>
      <c r="DCO187" s="537"/>
      <c r="DCP187" s="537"/>
      <c r="DCQ187" s="537"/>
      <c r="DCR187" s="537"/>
      <c r="DCS187" s="537"/>
      <c r="DCT187" s="537"/>
      <c r="DCU187" s="537"/>
      <c r="DCV187" s="537"/>
      <c r="DCW187" s="537"/>
      <c r="DCX187" s="537"/>
      <c r="DCY187" s="537"/>
      <c r="DCZ187" s="537"/>
      <c r="DDA187" s="537"/>
      <c r="DDB187" s="537"/>
      <c r="DDC187" s="537"/>
      <c r="DDD187" s="537"/>
      <c r="DDE187" s="537"/>
      <c r="DDF187" s="537"/>
      <c r="DDG187" s="537"/>
      <c r="DDH187" s="537"/>
      <c r="DDI187" s="537"/>
      <c r="DDJ187" s="537"/>
      <c r="DDK187" s="537"/>
      <c r="DDL187" s="537"/>
      <c r="DDM187" s="537"/>
      <c r="DDN187" s="537"/>
      <c r="DDO187" s="537"/>
      <c r="DDP187" s="537"/>
      <c r="DDQ187" s="537"/>
      <c r="DDR187" s="537"/>
      <c r="DDS187" s="537"/>
      <c r="DDT187" s="537"/>
      <c r="DDU187" s="537"/>
      <c r="DDV187" s="537"/>
      <c r="DDW187" s="537"/>
      <c r="DDX187" s="537"/>
      <c r="DDY187" s="537"/>
      <c r="DDZ187" s="537"/>
      <c r="DEA187" s="537"/>
      <c r="DEB187" s="537"/>
      <c r="DEC187" s="537"/>
      <c r="DED187" s="537"/>
      <c r="DEE187" s="537"/>
      <c r="DEF187" s="537"/>
      <c r="DEG187" s="537"/>
      <c r="DEH187" s="537"/>
      <c r="DEI187" s="537"/>
      <c r="DEJ187" s="537"/>
      <c r="DEK187" s="537"/>
      <c r="DEL187" s="537"/>
      <c r="DEM187" s="537"/>
      <c r="DEN187" s="537"/>
      <c r="DEO187" s="537"/>
      <c r="DEP187" s="537"/>
      <c r="DEQ187" s="537"/>
      <c r="DER187" s="537"/>
      <c r="DES187" s="537"/>
      <c r="DET187" s="537"/>
      <c r="DEU187" s="537"/>
      <c r="DEV187" s="537"/>
      <c r="DEW187" s="537"/>
      <c r="DEX187" s="537"/>
      <c r="DEY187" s="537"/>
      <c r="DEZ187" s="537"/>
      <c r="DFA187" s="537"/>
      <c r="DFB187" s="537"/>
      <c r="DFC187" s="537"/>
      <c r="DFD187" s="537"/>
      <c r="DFE187" s="537"/>
      <c r="DFF187" s="537"/>
      <c r="DFG187" s="537"/>
      <c r="DFH187" s="537"/>
      <c r="DFI187" s="537"/>
      <c r="DFJ187" s="537"/>
      <c r="DFK187" s="537"/>
      <c r="DFL187" s="537"/>
      <c r="DFM187" s="537"/>
      <c r="DFN187" s="537"/>
      <c r="DFO187" s="537"/>
      <c r="DFP187" s="537"/>
      <c r="DFQ187" s="537"/>
      <c r="DFR187" s="537"/>
      <c r="DFS187" s="537"/>
      <c r="DFT187" s="537"/>
      <c r="DFU187" s="537"/>
      <c r="DFV187" s="537"/>
      <c r="DFW187" s="537"/>
      <c r="DFX187" s="537"/>
      <c r="DFY187" s="537"/>
      <c r="DFZ187" s="537"/>
      <c r="DGA187" s="537"/>
      <c r="DGB187" s="537"/>
      <c r="DGC187" s="537"/>
      <c r="DGD187" s="537"/>
      <c r="DGE187" s="537"/>
      <c r="DGF187" s="537"/>
      <c r="DGG187" s="537"/>
      <c r="DGH187" s="537"/>
      <c r="DGI187" s="537"/>
      <c r="DGJ187" s="537"/>
      <c r="DGK187" s="537"/>
      <c r="DGL187" s="537"/>
      <c r="DGM187" s="537"/>
      <c r="DGN187" s="537"/>
      <c r="DGO187" s="537"/>
      <c r="DGP187" s="537"/>
      <c r="DGQ187" s="537"/>
      <c r="DGR187" s="537"/>
      <c r="DGS187" s="537"/>
      <c r="DGT187" s="537"/>
      <c r="DGU187" s="537"/>
      <c r="DGV187" s="537"/>
      <c r="DGW187" s="537"/>
      <c r="DGX187" s="537"/>
      <c r="DGY187" s="537"/>
      <c r="DGZ187" s="537"/>
      <c r="DHA187" s="537"/>
      <c r="DHB187" s="537"/>
      <c r="DHC187" s="537"/>
      <c r="DHD187" s="537"/>
      <c r="DHE187" s="537"/>
      <c r="DHF187" s="537"/>
      <c r="DHG187" s="537"/>
      <c r="DHH187" s="537"/>
      <c r="DHI187" s="537"/>
      <c r="DHJ187" s="537"/>
      <c r="DHK187" s="537"/>
      <c r="DHL187" s="537"/>
      <c r="DHM187" s="537"/>
      <c r="DHN187" s="537"/>
      <c r="DHO187" s="537"/>
      <c r="DHP187" s="537"/>
      <c r="DHQ187" s="537"/>
      <c r="DHR187" s="537"/>
      <c r="DHS187" s="537"/>
      <c r="DHT187" s="537"/>
      <c r="DHU187" s="537"/>
      <c r="DHV187" s="537"/>
      <c r="DHW187" s="537"/>
      <c r="DHX187" s="537"/>
      <c r="DHY187" s="537"/>
      <c r="DHZ187" s="537"/>
      <c r="DIA187" s="537"/>
      <c r="DIB187" s="537"/>
      <c r="DIC187" s="537"/>
      <c r="DID187" s="537"/>
      <c r="DIE187" s="537"/>
      <c r="DIF187" s="537"/>
      <c r="DIG187" s="537"/>
      <c r="DIH187" s="537"/>
      <c r="DII187" s="537"/>
      <c r="DIJ187" s="537"/>
      <c r="DIK187" s="537"/>
      <c r="DIL187" s="537"/>
      <c r="DIM187" s="537"/>
      <c r="DIN187" s="537"/>
      <c r="DIO187" s="537"/>
      <c r="DIP187" s="537"/>
      <c r="DIQ187" s="537"/>
      <c r="DIR187" s="537"/>
      <c r="DIS187" s="537"/>
      <c r="DIT187" s="537"/>
      <c r="DIU187" s="537"/>
      <c r="DIV187" s="537"/>
      <c r="DIW187" s="537"/>
      <c r="DIX187" s="537"/>
      <c r="DIY187" s="537"/>
      <c r="DIZ187" s="537"/>
      <c r="DJA187" s="537"/>
      <c r="DJB187" s="537"/>
      <c r="DJC187" s="537"/>
      <c r="DJD187" s="537"/>
      <c r="DJE187" s="537"/>
      <c r="DJF187" s="537"/>
      <c r="DJG187" s="537"/>
      <c r="DJH187" s="537"/>
      <c r="DJI187" s="537"/>
      <c r="DJJ187" s="537"/>
      <c r="DJK187" s="537"/>
      <c r="DJL187" s="537"/>
      <c r="DJM187" s="537"/>
      <c r="DJN187" s="537"/>
      <c r="DJO187" s="537"/>
      <c r="DJP187" s="537"/>
      <c r="DJQ187" s="537"/>
      <c r="DJR187" s="537"/>
      <c r="DJS187" s="537"/>
      <c r="DJT187" s="537"/>
      <c r="DJU187" s="537"/>
      <c r="DJV187" s="537"/>
      <c r="DJW187" s="537"/>
      <c r="DJX187" s="537"/>
      <c r="DJY187" s="537"/>
      <c r="DJZ187" s="537"/>
      <c r="DKA187" s="537"/>
      <c r="DKB187" s="537"/>
      <c r="DKC187" s="537"/>
      <c r="DKD187" s="537"/>
      <c r="DKE187" s="537"/>
      <c r="DKF187" s="537"/>
      <c r="DKG187" s="537"/>
      <c r="DKH187" s="537"/>
      <c r="DKI187" s="537"/>
      <c r="DKJ187" s="537"/>
      <c r="DKK187" s="537"/>
      <c r="DKL187" s="537"/>
      <c r="DKM187" s="537"/>
      <c r="DKN187" s="537"/>
      <c r="DKO187" s="537"/>
      <c r="DKP187" s="537"/>
      <c r="DKQ187" s="537"/>
      <c r="DKR187" s="537"/>
      <c r="DKS187" s="537"/>
      <c r="DKT187" s="537"/>
      <c r="DKU187" s="537"/>
      <c r="DKV187" s="537"/>
      <c r="DKW187" s="537"/>
      <c r="DKX187" s="537"/>
      <c r="DKY187" s="537"/>
      <c r="DKZ187" s="537"/>
      <c r="DLA187" s="537"/>
      <c r="DLB187" s="537"/>
      <c r="DLC187" s="537"/>
      <c r="DLD187" s="537"/>
      <c r="DLE187" s="537"/>
      <c r="DLF187" s="537"/>
      <c r="DLG187" s="537"/>
      <c r="DLH187" s="537"/>
      <c r="DLI187" s="537"/>
      <c r="DLJ187" s="537"/>
      <c r="DLK187" s="537"/>
      <c r="DLL187" s="537"/>
      <c r="DLM187" s="537"/>
      <c r="DLN187" s="537"/>
      <c r="DLO187" s="537"/>
      <c r="DLP187" s="537"/>
      <c r="DLQ187" s="537"/>
      <c r="DLR187" s="537"/>
      <c r="DLS187" s="537"/>
      <c r="DLT187" s="537"/>
      <c r="DLU187" s="537"/>
      <c r="DLV187" s="537"/>
      <c r="DLW187" s="537"/>
      <c r="DLX187" s="537"/>
      <c r="DLY187" s="537"/>
      <c r="DLZ187" s="537"/>
      <c r="DMA187" s="537"/>
      <c r="DMB187" s="537"/>
      <c r="DMC187" s="537"/>
      <c r="DMD187" s="537"/>
      <c r="DME187" s="537"/>
      <c r="DMF187" s="537"/>
      <c r="DMG187" s="537"/>
      <c r="DMH187" s="537"/>
      <c r="DMI187" s="537"/>
      <c r="DMJ187" s="537"/>
      <c r="DMK187" s="537"/>
      <c r="DML187" s="537"/>
      <c r="DMM187" s="537"/>
      <c r="DMN187" s="537"/>
      <c r="DMO187" s="537"/>
      <c r="DMP187" s="537"/>
      <c r="DMQ187" s="537"/>
      <c r="DMR187" s="537"/>
      <c r="DMS187" s="537"/>
      <c r="DMT187" s="537"/>
      <c r="DMU187" s="537"/>
      <c r="DMV187" s="537"/>
      <c r="DMW187" s="537"/>
      <c r="DMX187" s="537"/>
      <c r="DMY187" s="537"/>
      <c r="DMZ187" s="537"/>
      <c r="DNA187" s="537"/>
      <c r="DNB187" s="537"/>
      <c r="DNC187" s="537"/>
      <c r="DND187" s="537"/>
      <c r="DNE187" s="537"/>
      <c r="DNF187" s="537"/>
      <c r="DNG187" s="537"/>
      <c r="DNH187" s="537"/>
      <c r="DNI187" s="537"/>
      <c r="DNJ187" s="537"/>
      <c r="DNK187" s="537"/>
      <c r="DNL187" s="537"/>
      <c r="DNM187" s="537"/>
      <c r="DNN187" s="537"/>
      <c r="DNO187" s="537"/>
      <c r="DNP187" s="537"/>
      <c r="DNQ187" s="537"/>
      <c r="DNR187" s="537"/>
      <c r="DNS187" s="537"/>
      <c r="DNT187" s="537"/>
      <c r="DNU187" s="537"/>
      <c r="DNV187" s="537"/>
      <c r="DNW187" s="537"/>
      <c r="DNX187" s="537"/>
      <c r="DNY187" s="537"/>
      <c r="DNZ187" s="537"/>
      <c r="DOA187" s="537"/>
      <c r="DOB187" s="537"/>
      <c r="DOC187" s="537"/>
      <c r="DOD187" s="537"/>
      <c r="DOE187" s="537"/>
      <c r="DOF187" s="537"/>
      <c r="DOG187" s="537"/>
      <c r="DOH187" s="537"/>
      <c r="DOI187" s="537"/>
      <c r="DOJ187" s="537"/>
      <c r="DOK187" s="537"/>
      <c r="DOL187" s="537"/>
      <c r="DOM187" s="537"/>
      <c r="DON187" s="537"/>
      <c r="DOO187" s="537"/>
      <c r="DOP187" s="537"/>
      <c r="DOQ187" s="537"/>
      <c r="DOR187" s="537"/>
      <c r="DOS187" s="537"/>
      <c r="DOT187" s="537"/>
      <c r="DOU187" s="537"/>
      <c r="DOV187" s="537"/>
      <c r="DOW187" s="537"/>
      <c r="DOX187" s="537"/>
      <c r="DOY187" s="537"/>
      <c r="DOZ187" s="537"/>
      <c r="DPA187" s="537"/>
      <c r="DPB187" s="537"/>
      <c r="DPC187" s="537"/>
      <c r="DPD187" s="537"/>
      <c r="DPE187" s="537"/>
      <c r="DPF187" s="537"/>
      <c r="DPG187" s="537"/>
      <c r="DPH187" s="537"/>
      <c r="DPI187" s="537"/>
      <c r="DPJ187" s="537"/>
      <c r="DPK187" s="537"/>
      <c r="DPL187" s="537"/>
      <c r="DPM187" s="537"/>
      <c r="DPN187" s="537"/>
      <c r="DPO187" s="537"/>
      <c r="DPP187" s="537"/>
      <c r="DPQ187" s="537"/>
      <c r="DPR187" s="537"/>
      <c r="DPS187" s="537"/>
      <c r="DPT187" s="537"/>
      <c r="DPU187" s="537"/>
      <c r="DPV187" s="537"/>
      <c r="DPW187" s="537"/>
      <c r="DPX187" s="537"/>
      <c r="DPY187" s="537"/>
      <c r="DPZ187" s="537"/>
      <c r="DQA187" s="537"/>
      <c r="DQB187" s="537"/>
      <c r="DQC187" s="537"/>
      <c r="DQD187" s="537"/>
      <c r="DQE187" s="537"/>
      <c r="DQF187" s="537"/>
      <c r="DQG187" s="537"/>
      <c r="DQH187" s="537"/>
      <c r="DQI187" s="537"/>
      <c r="DQJ187" s="537"/>
      <c r="DQK187" s="537"/>
      <c r="DQL187" s="537"/>
      <c r="DQM187" s="537"/>
      <c r="DQN187" s="537"/>
      <c r="DQO187" s="537"/>
      <c r="DQP187" s="537"/>
      <c r="DQQ187" s="537"/>
      <c r="DQR187" s="537"/>
      <c r="DQS187" s="537"/>
      <c r="DQT187" s="537"/>
      <c r="DQU187" s="537"/>
      <c r="DQV187" s="537"/>
      <c r="DQW187" s="537"/>
      <c r="DQX187" s="537"/>
      <c r="DQY187" s="537"/>
      <c r="DQZ187" s="537"/>
      <c r="DRA187" s="537"/>
      <c r="DRB187" s="537"/>
      <c r="DRC187" s="537"/>
      <c r="DRD187" s="537"/>
      <c r="DRE187" s="537"/>
      <c r="DRF187" s="537"/>
      <c r="DRG187" s="537"/>
      <c r="DRH187" s="537"/>
      <c r="DRI187" s="537"/>
      <c r="DRJ187" s="537"/>
      <c r="DRK187" s="537"/>
      <c r="DRL187" s="537"/>
      <c r="DRM187" s="537"/>
      <c r="DRN187" s="537"/>
      <c r="DRO187" s="537"/>
      <c r="DRP187" s="537"/>
      <c r="DRQ187" s="537"/>
      <c r="DRR187" s="537"/>
      <c r="DRS187" s="537"/>
      <c r="DRT187" s="537"/>
      <c r="DRU187" s="537"/>
      <c r="DRV187" s="537"/>
      <c r="DRW187" s="537"/>
      <c r="DRX187" s="537"/>
      <c r="DRY187" s="537"/>
      <c r="DRZ187" s="537"/>
      <c r="DSA187" s="537"/>
      <c r="DSB187" s="537"/>
      <c r="DSC187" s="537"/>
      <c r="DSD187" s="537"/>
      <c r="DSE187" s="537"/>
      <c r="DSF187" s="537"/>
      <c r="DSG187" s="537"/>
      <c r="DSH187" s="537"/>
      <c r="DSI187" s="537"/>
      <c r="DSJ187" s="537"/>
      <c r="DSK187" s="537"/>
      <c r="DSL187" s="537"/>
      <c r="DSM187" s="537"/>
      <c r="DSN187" s="537"/>
      <c r="DSO187" s="537"/>
      <c r="DSP187" s="537"/>
      <c r="DSQ187" s="537"/>
      <c r="DSR187" s="537"/>
      <c r="DSS187" s="537"/>
      <c r="DST187" s="537"/>
      <c r="DSU187" s="537"/>
      <c r="DSV187" s="537"/>
      <c r="DSW187" s="537"/>
      <c r="DSX187" s="537"/>
      <c r="DSY187" s="537"/>
      <c r="DSZ187" s="537"/>
      <c r="DTA187" s="537"/>
      <c r="DTB187" s="537"/>
      <c r="DTC187" s="537"/>
      <c r="DTD187" s="537"/>
      <c r="DTE187" s="537"/>
      <c r="DTF187" s="537"/>
      <c r="DTG187" s="537"/>
      <c r="DTH187" s="537"/>
      <c r="DTI187" s="537"/>
      <c r="DTJ187" s="537"/>
      <c r="DTK187" s="537"/>
      <c r="DTL187" s="537"/>
      <c r="DTM187" s="537"/>
      <c r="DTN187" s="537"/>
      <c r="DTO187" s="537"/>
      <c r="DTP187" s="537"/>
      <c r="DTQ187" s="537"/>
      <c r="DTR187" s="537"/>
      <c r="DTS187" s="537"/>
      <c r="DTT187" s="537"/>
      <c r="DTU187" s="537"/>
      <c r="DTV187" s="537"/>
      <c r="DTW187" s="537"/>
      <c r="DTX187" s="537"/>
      <c r="DTY187" s="537"/>
      <c r="DTZ187" s="537"/>
      <c r="DUA187" s="537"/>
      <c r="DUB187" s="537"/>
      <c r="DUC187" s="537"/>
      <c r="DUD187" s="537"/>
      <c r="DUE187" s="537"/>
      <c r="DUF187" s="537"/>
      <c r="DUG187" s="537"/>
      <c r="DUH187" s="537"/>
      <c r="DUI187" s="537"/>
      <c r="DUJ187" s="537"/>
      <c r="DUK187" s="537"/>
      <c r="DUL187" s="537"/>
      <c r="DUM187" s="537"/>
      <c r="DUN187" s="537"/>
      <c r="DUO187" s="537"/>
      <c r="DUP187" s="537"/>
      <c r="DUQ187" s="537"/>
      <c r="DUR187" s="537"/>
      <c r="DUS187" s="537"/>
      <c r="DUT187" s="537"/>
      <c r="DUU187" s="537"/>
      <c r="DUV187" s="537"/>
      <c r="DUW187" s="537"/>
      <c r="DUX187" s="537"/>
      <c r="DUY187" s="537"/>
      <c r="DUZ187" s="537"/>
      <c r="DVA187" s="537"/>
      <c r="DVB187" s="537"/>
      <c r="DVC187" s="537"/>
      <c r="DVD187" s="537"/>
      <c r="DVE187" s="537"/>
      <c r="DVF187" s="537"/>
      <c r="DVG187" s="537"/>
      <c r="DVH187" s="537"/>
      <c r="DVI187" s="537"/>
      <c r="DVJ187" s="537"/>
      <c r="DVK187" s="537"/>
      <c r="DVL187" s="537"/>
      <c r="DVM187" s="537"/>
      <c r="DVN187" s="537"/>
      <c r="DVO187" s="537"/>
      <c r="DVP187" s="537"/>
      <c r="DVQ187" s="537"/>
      <c r="DVR187" s="537"/>
      <c r="DVS187" s="537"/>
      <c r="DVT187" s="537"/>
      <c r="DVU187" s="537"/>
      <c r="DVV187" s="537"/>
      <c r="DVW187" s="537"/>
      <c r="DVX187" s="537"/>
      <c r="DVY187" s="537"/>
      <c r="DVZ187" s="537"/>
      <c r="DWA187" s="537"/>
      <c r="DWB187" s="537"/>
      <c r="DWC187" s="537"/>
      <c r="DWD187" s="537"/>
      <c r="DWE187" s="537"/>
      <c r="DWF187" s="537"/>
      <c r="DWG187" s="537"/>
      <c r="DWH187" s="537"/>
      <c r="DWI187" s="537"/>
      <c r="DWJ187" s="537"/>
      <c r="DWK187" s="537"/>
      <c r="DWL187" s="537"/>
      <c r="DWM187" s="537"/>
      <c r="DWN187" s="537"/>
      <c r="DWO187" s="537"/>
      <c r="DWP187" s="537"/>
      <c r="DWQ187" s="537"/>
      <c r="DWR187" s="537"/>
      <c r="DWS187" s="537"/>
      <c r="DWT187" s="537"/>
      <c r="DWU187" s="537"/>
      <c r="DWV187" s="537"/>
      <c r="DWW187" s="537"/>
      <c r="DWX187" s="537"/>
      <c r="DWY187" s="537"/>
      <c r="DWZ187" s="537"/>
      <c r="DXA187" s="537"/>
      <c r="DXB187" s="537"/>
      <c r="DXC187" s="537"/>
      <c r="DXD187" s="537"/>
      <c r="DXE187" s="537"/>
      <c r="DXF187" s="537"/>
      <c r="DXG187" s="537"/>
      <c r="DXH187" s="537"/>
      <c r="DXI187" s="537"/>
      <c r="DXJ187" s="537"/>
      <c r="DXK187" s="537"/>
      <c r="DXL187" s="537"/>
      <c r="DXM187" s="537"/>
      <c r="DXN187" s="537"/>
      <c r="DXO187" s="537"/>
      <c r="DXP187" s="537"/>
      <c r="DXQ187" s="537"/>
      <c r="DXR187" s="537"/>
      <c r="DXS187" s="537"/>
      <c r="DXT187" s="537"/>
      <c r="DXU187" s="537"/>
      <c r="DXV187" s="537"/>
      <c r="DXW187" s="537"/>
      <c r="DXX187" s="537"/>
      <c r="DXY187" s="537"/>
      <c r="DXZ187" s="537"/>
      <c r="DYA187" s="537"/>
      <c r="DYB187" s="537"/>
      <c r="DYC187" s="537"/>
      <c r="DYD187" s="537"/>
      <c r="DYE187" s="537"/>
      <c r="DYF187" s="537"/>
      <c r="DYG187" s="537"/>
      <c r="DYH187" s="537"/>
      <c r="DYI187" s="537"/>
      <c r="DYJ187" s="537"/>
      <c r="DYK187" s="537"/>
      <c r="DYL187" s="537"/>
      <c r="DYM187" s="537"/>
      <c r="DYN187" s="537"/>
      <c r="DYO187" s="537"/>
      <c r="DYP187" s="537"/>
      <c r="DYQ187" s="537"/>
      <c r="DYR187" s="537"/>
      <c r="DYS187" s="537"/>
      <c r="DYT187" s="537"/>
      <c r="DYU187" s="537"/>
      <c r="DYV187" s="537"/>
      <c r="DYW187" s="537"/>
      <c r="DYX187" s="537"/>
      <c r="DYY187" s="537"/>
      <c r="DYZ187" s="537"/>
      <c r="DZA187" s="537"/>
      <c r="DZB187" s="537"/>
      <c r="DZC187" s="537"/>
      <c r="DZD187" s="537"/>
      <c r="DZE187" s="537"/>
      <c r="DZF187" s="537"/>
      <c r="DZG187" s="537"/>
      <c r="DZH187" s="537"/>
      <c r="DZI187" s="537"/>
      <c r="DZJ187" s="537"/>
      <c r="DZK187" s="537"/>
      <c r="DZL187" s="537"/>
      <c r="DZM187" s="537"/>
      <c r="DZN187" s="537"/>
      <c r="DZO187" s="537"/>
      <c r="DZP187" s="537"/>
      <c r="DZQ187" s="537"/>
      <c r="DZR187" s="537"/>
      <c r="DZS187" s="537"/>
      <c r="DZT187" s="537"/>
      <c r="DZU187" s="537"/>
      <c r="DZV187" s="537"/>
      <c r="DZW187" s="537"/>
      <c r="DZX187" s="537"/>
      <c r="DZY187" s="537"/>
      <c r="DZZ187" s="537"/>
      <c r="EAA187" s="537"/>
      <c r="EAB187" s="537"/>
      <c r="EAC187" s="537"/>
      <c r="EAD187" s="537"/>
      <c r="EAE187" s="537"/>
      <c r="EAF187" s="537"/>
      <c r="EAG187" s="537"/>
      <c r="EAH187" s="537"/>
      <c r="EAI187" s="537"/>
      <c r="EAJ187" s="537"/>
      <c r="EAK187" s="537"/>
      <c r="EAL187" s="537"/>
      <c r="EAM187" s="537"/>
      <c r="EAN187" s="537"/>
      <c r="EAO187" s="537"/>
      <c r="EAP187" s="537"/>
      <c r="EAQ187" s="537"/>
      <c r="EAR187" s="537"/>
      <c r="EAS187" s="537"/>
      <c r="EAT187" s="537"/>
      <c r="EAU187" s="537"/>
      <c r="EAV187" s="537"/>
      <c r="EAW187" s="537"/>
      <c r="EAX187" s="537"/>
      <c r="EAY187" s="537"/>
      <c r="EAZ187" s="537"/>
      <c r="EBA187" s="537"/>
      <c r="EBB187" s="537"/>
      <c r="EBC187" s="537"/>
      <c r="EBD187" s="537"/>
      <c r="EBE187" s="537"/>
      <c r="EBF187" s="537"/>
      <c r="EBG187" s="537"/>
      <c r="EBH187" s="537"/>
      <c r="EBI187" s="537"/>
      <c r="EBJ187" s="537"/>
      <c r="EBK187" s="537"/>
      <c r="EBL187" s="537"/>
      <c r="EBM187" s="537"/>
      <c r="EBN187" s="537"/>
      <c r="EBO187" s="537"/>
      <c r="EBP187" s="537"/>
      <c r="EBQ187" s="537"/>
      <c r="EBR187" s="537"/>
      <c r="EBS187" s="537"/>
      <c r="EBT187" s="537"/>
      <c r="EBU187" s="537"/>
      <c r="EBV187" s="537"/>
      <c r="EBW187" s="537"/>
      <c r="EBX187" s="537"/>
      <c r="EBY187" s="537"/>
      <c r="EBZ187" s="537"/>
      <c r="ECA187" s="537"/>
      <c r="ECB187" s="537"/>
      <c r="ECC187" s="537"/>
      <c r="ECD187" s="537"/>
      <c r="ECE187" s="537"/>
      <c r="ECF187" s="537"/>
      <c r="ECG187" s="537"/>
      <c r="ECH187" s="537"/>
      <c r="ECI187" s="537"/>
      <c r="ECJ187" s="537"/>
      <c r="ECK187" s="537"/>
      <c r="ECL187" s="537"/>
      <c r="ECM187" s="537"/>
      <c r="ECN187" s="537"/>
      <c r="ECO187" s="537"/>
      <c r="ECP187" s="537"/>
      <c r="ECQ187" s="537"/>
      <c r="ECR187" s="537"/>
      <c r="ECS187" s="537"/>
      <c r="ECT187" s="537"/>
      <c r="ECU187" s="537"/>
      <c r="ECV187" s="537"/>
      <c r="ECW187" s="537"/>
      <c r="ECX187" s="537"/>
      <c r="ECY187" s="537"/>
      <c r="ECZ187" s="537"/>
      <c r="EDA187" s="537"/>
      <c r="EDB187" s="537"/>
      <c r="EDC187" s="537"/>
      <c r="EDD187" s="537"/>
      <c r="EDE187" s="537"/>
      <c r="EDF187" s="537"/>
      <c r="EDG187" s="537"/>
      <c r="EDH187" s="537"/>
      <c r="EDI187" s="537"/>
      <c r="EDJ187" s="537"/>
      <c r="EDK187" s="537"/>
      <c r="EDL187" s="537"/>
      <c r="EDM187" s="537"/>
      <c r="EDN187" s="537"/>
      <c r="EDO187" s="537"/>
      <c r="EDP187" s="537"/>
      <c r="EDQ187" s="537"/>
      <c r="EDR187" s="537"/>
      <c r="EDS187" s="537"/>
      <c r="EDT187" s="537"/>
      <c r="EDU187" s="537"/>
      <c r="EDV187" s="537"/>
      <c r="EDW187" s="537"/>
      <c r="EDX187" s="537"/>
      <c r="EDY187" s="537"/>
      <c r="EDZ187" s="537"/>
      <c r="EEA187" s="537"/>
      <c r="EEB187" s="537"/>
      <c r="EEC187" s="537"/>
      <c r="EED187" s="537"/>
      <c r="EEE187" s="537"/>
      <c r="EEF187" s="537"/>
      <c r="EEG187" s="537"/>
      <c r="EEH187" s="537"/>
      <c r="EEI187" s="537"/>
      <c r="EEJ187" s="537"/>
      <c r="EEK187" s="537"/>
      <c r="EEL187" s="537"/>
      <c r="EEM187" s="537"/>
      <c r="EEN187" s="537"/>
      <c r="EEO187" s="537"/>
      <c r="EEP187" s="537"/>
      <c r="EEQ187" s="537"/>
      <c r="EER187" s="537"/>
      <c r="EES187" s="537"/>
      <c r="EET187" s="537"/>
      <c r="EEU187" s="537"/>
      <c r="EEV187" s="537"/>
      <c r="EEW187" s="537"/>
      <c r="EEX187" s="537"/>
      <c r="EEY187" s="537"/>
      <c r="EEZ187" s="537"/>
      <c r="EFA187" s="537"/>
      <c r="EFB187" s="537"/>
      <c r="EFC187" s="537"/>
      <c r="EFD187" s="537"/>
      <c r="EFE187" s="537"/>
      <c r="EFF187" s="537"/>
      <c r="EFG187" s="537"/>
      <c r="EFH187" s="537"/>
      <c r="EFI187" s="537"/>
      <c r="EFJ187" s="537"/>
      <c r="EFK187" s="537"/>
      <c r="EFL187" s="537"/>
      <c r="EFM187" s="537"/>
      <c r="EFN187" s="537"/>
      <c r="EFO187" s="537"/>
      <c r="EFP187" s="537"/>
      <c r="EFQ187" s="537"/>
      <c r="EFR187" s="537"/>
      <c r="EFS187" s="537"/>
      <c r="EFT187" s="537"/>
      <c r="EFU187" s="537"/>
      <c r="EFV187" s="537"/>
      <c r="EFW187" s="537"/>
      <c r="EFX187" s="537"/>
      <c r="EFY187" s="537"/>
      <c r="EFZ187" s="537"/>
      <c r="EGA187" s="537"/>
      <c r="EGB187" s="537"/>
      <c r="EGC187" s="537"/>
      <c r="EGD187" s="537"/>
      <c r="EGE187" s="537"/>
      <c r="EGF187" s="537"/>
      <c r="EGG187" s="537"/>
      <c r="EGH187" s="537"/>
      <c r="EGI187" s="537"/>
      <c r="EGJ187" s="537"/>
      <c r="EGK187" s="537"/>
      <c r="EGL187" s="537"/>
      <c r="EGM187" s="537"/>
      <c r="EGN187" s="537"/>
      <c r="EGO187" s="537"/>
      <c r="EGP187" s="537"/>
      <c r="EGQ187" s="537"/>
      <c r="EGR187" s="537"/>
      <c r="EGS187" s="537"/>
      <c r="EGT187" s="537"/>
      <c r="EGU187" s="537"/>
      <c r="EGV187" s="537"/>
      <c r="EGW187" s="537"/>
      <c r="EGX187" s="537"/>
      <c r="EGY187" s="537"/>
      <c r="EGZ187" s="537"/>
      <c r="EHA187" s="537"/>
      <c r="EHB187" s="537"/>
      <c r="EHC187" s="537"/>
      <c r="EHD187" s="537"/>
      <c r="EHE187" s="537"/>
      <c r="EHF187" s="537"/>
      <c r="EHG187" s="537"/>
      <c r="EHH187" s="537"/>
      <c r="EHI187" s="537"/>
      <c r="EHJ187" s="537"/>
      <c r="EHK187" s="537"/>
      <c r="EHL187" s="537"/>
      <c r="EHM187" s="537"/>
      <c r="EHN187" s="537"/>
      <c r="EHO187" s="537"/>
      <c r="EHP187" s="537"/>
      <c r="EHQ187" s="537"/>
      <c r="EHR187" s="537"/>
      <c r="EHS187" s="537"/>
      <c r="EHT187" s="537"/>
      <c r="EHU187" s="537"/>
      <c r="EHV187" s="537"/>
      <c r="EHW187" s="537"/>
      <c r="EHX187" s="537"/>
      <c r="EHY187" s="537"/>
      <c r="EHZ187" s="537"/>
      <c r="EIA187" s="537"/>
      <c r="EIB187" s="537"/>
      <c r="EIC187" s="537"/>
      <c r="EID187" s="537"/>
      <c r="EIE187" s="537"/>
      <c r="EIF187" s="537"/>
      <c r="EIG187" s="537"/>
      <c r="EIH187" s="537"/>
      <c r="EII187" s="537"/>
      <c r="EIJ187" s="537"/>
      <c r="EIK187" s="537"/>
      <c r="EIL187" s="537"/>
      <c r="EIM187" s="537"/>
      <c r="EIN187" s="537"/>
      <c r="EIO187" s="537"/>
      <c r="EIP187" s="537"/>
      <c r="EIQ187" s="537"/>
      <c r="EIR187" s="537"/>
      <c r="EIS187" s="537"/>
      <c r="EIT187" s="537"/>
      <c r="EIU187" s="537"/>
      <c r="EIV187" s="537"/>
      <c r="EIW187" s="537"/>
      <c r="EIX187" s="537"/>
      <c r="EIY187" s="537"/>
      <c r="EIZ187" s="537"/>
      <c r="EJA187" s="537"/>
      <c r="EJB187" s="537"/>
      <c r="EJC187" s="537"/>
      <c r="EJD187" s="537"/>
      <c r="EJE187" s="537"/>
      <c r="EJF187" s="537"/>
      <c r="EJG187" s="537"/>
      <c r="EJH187" s="537"/>
      <c r="EJI187" s="537"/>
      <c r="EJJ187" s="537"/>
      <c r="EJK187" s="537"/>
      <c r="EJL187" s="537"/>
      <c r="EJM187" s="537"/>
      <c r="EJN187" s="537"/>
      <c r="EJO187" s="537"/>
      <c r="EJP187" s="537"/>
      <c r="EJQ187" s="537"/>
      <c r="EJR187" s="537"/>
      <c r="EJS187" s="537"/>
      <c r="EJT187" s="537"/>
      <c r="EJU187" s="537"/>
      <c r="EJV187" s="537"/>
      <c r="EJW187" s="537"/>
      <c r="EJX187" s="537"/>
      <c r="EJY187" s="537"/>
      <c r="EJZ187" s="537"/>
      <c r="EKA187" s="537"/>
      <c r="EKB187" s="537"/>
      <c r="EKC187" s="537"/>
      <c r="EKD187" s="537"/>
      <c r="EKE187" s="537"/>
      <c r="EKF187" s="537"/>
      <c r="EKG187" s="537"/>
      <c r="EKH187" s="537"/>
      <c r="EKI187" s="537"/>
      <c r="EKJ187" s="537"/>
      <c r="EKK187" s="537"/>
      <c r="EKL187" s="537"/>
      <c r="EKM187" s="537"/>
      <c r="EKN187" s="537"/>
      <c r="EKO187" s="537"/>
      <c r="EKP187" s="537"/>
      <c r="EKQ187" s="537"/>
      <c r="EKR187" s="537"/>
      <c r="EKS187" s="537"/>
      <c r="EKT187" s="537"/>
      <c r="EKU187" s="537"/>
      <c r="EKV187" s="537"/>
      <c r="EKW187" s="537"/>
      <c r="EKX187" s="537"/>
      <c r="EKY187" s="537"/>
      <c r="EKZ187" s="537"/>
      <c r="ELA187" s="537"/>
      <c r="ELB187" s="537"/>
      <c r="ELC187" s="537"/>
      <c r="ELD187" s="537"/>
      <c r="ELE187" s="537"/>
      <c r="ELF187" s="537"/>
      <c r="ELG187" s="537"/>
      <c r="ELH187" s="537"/>
      <c r="ELI187" s="537"/>
      <c r="ELJ187" s="537"/>
      <c r="ELK187" s="537"/>
      <c r="ELL187" s="537"/>
      <c r="ELM187" s="537"/>
      <c r="ELN187" s="537"/>
      <c r="ELO187" s="537"/>
      <c r="ELP187" s="537"/>
      <c r="ELQ187" s="537"/>
      <c r="ELR187" s="537"/>
      <c r="ELS187" s="537"/>
      <c r="ELT187" s="537"/>
      <c r="ELU187" s="537"/>
      <c r="ELV187" s="537"/>
      <c r="ELW187" s="537"/>
      <c r="ELX187" s="537"/>
      <c r="ELY187" s="537"/>
      <c r="ELZ187" s="537"/>
      <c r="EMA187" s="537"/>
      <c r="EMB187" s="537"/>
      <c r="EMC187" s="537"/>
      <c r="EMD187" s="537"/>
      <c r="EME187" s="537"/>
      <c r="EMF187" s="537"/>
      <c r="EMG187" s="537"/>
      <c r="EMH187" s="537"/>
      <c r="EMI187" s="537"/>
      <c r="EMJ187" s="537"/>
      <c r="EMK187" s="537"/>
      <c r="EML187" s="537"/>
      <c r="EMM187" s="537"/>
      <c r="EMN187" s="537"/>
      <c r="EMO187" s="537"/>
      <c r="EMP187" s="537"/>
      <c r="EMQ187" s="537"/>
      <c r="EMR187" s="537"/>
      <c r="EMS187" s="537"/>
      <c r="EMT187" s="537"/>
      <c r="EMU187" s="537"/>
      <c r="EMV187" s="537"/>
      <c r="EMW187" s="537"/>
      <c r="EMX187" s="537"/>
      <c r="EMY187" s="537"/>
      <c r="EMZ187" s="537"/>
      <c r="ENA187" s="537"/>
      <c r="ENB187" s="537"/>
      <c r="ENC187" s="537"/>
      <c r="END187" s="537"/>
      <c r="ENE187" s="537"/>
      <c r="ENF187" s="537"/>
      <c r="ENG187" s="537"/>
      <c r="ENH187" s="537"/>
      <c r="ENI187" s="537"/>
      <c r="ENJ187" s="537"/>
      <c r="ENK187" s="537"/>
      <c r="ENL187" s="537"/>
      <c r="ENM187" s="537"/>
      <c r="ENN187" s="537"/>
      <c r="ENO187" s="537"/>
      <c r="ENP187" s="537"/>
      <c r="ENQ187" s="537"/>
      <c r="ENR187" s="537"/>
      <c r="ENS187" s="537"/>
      <c r="ENT187" s="537"/>
      <c r="ENU187" s="537"/>
      <c r="ENV187" s="537"/>
      <c r="ENW187" s="537"/>
      <c r="ENX187" s="537"/>
      <c r="ENY187" s="537"/>
      <c r="ENZ187" s="537"/>
      <c r="EOA187" s="537"/>
      <c r="EOB187" s="537"/>
      <c r="EOC187" s="537"/>
      <c r="EOD187" s="537"/>
      <c r="EOE187" s="537"/>
      <c r="EOF187" s="537"/>
      <c r="EOG187" s="537"/>
      <c r="EOH187" s="537"/>
      <c r="EOI187" s="537"/>
      <c r="EOJ187" s="537"/>
      <c r="EOK187" s="537"/>
      <c r="EOL187" s="537"/>
      <c r="EOM187" s="537"/>
      <c r="EON187" s="537"/>
      <c r="EOO187" s="537"/>
      <c r="EOP187" s="537"/>
      <c r="EOQ187" s="537"/>
      <c r="EOR187" s="537"/>
      <c r="EOS187" s="537"/>
      <c r="EOT187" s="537"/>
      <c r="EOU187" s="537"/>
      <c r="EOV187" s="537"/>
      <c r="EOW187" s="537"/>
      <c r="EOX187" s="537"/>
      <c r="EOY187" s="537"/>
      <c r="EOZ187" s="537"/>
      <c r="EPA187" s="537"/>
      <c r="EPB187" s="537"/>
      <c r="EPC187" s="537"/>
      <c r="EPD187" s="537"/>
      <c r="EPE187" s="537"/>
      <c r="EPF187" s="537"/>
      <c r="EPG187" s="537"/>
      <c r="EPH187" s="537"/>
      <c r="EPI187" s="537"/>
      <c r="EPJ187" s="537"/>
      <c r="EPK187" s="537"/>
      <c r="EPL187" s="537"/>
      <c r="EPM187" s="537"/>
      <c r="EPN187" s="537"/>
      <c r="EPO187" s="537"/>
      <c r="EPP187" s="537"/>
      <c r="EPQ187" s="537"/>
      <c r="EPR187" s="537"/>
      <c r="EPS187" s="537"/>
      <c r="EPT187" s="537"/>
      <c r="EPU187" s="537"/>
      <c r="EPV187" s="537"/>
      <c r="EPW187" s="537"/>
      <c r="EPX187" s="537"/>
      <c r="EPY187" s="537"/>
      <c r="EPZ187" s="537"/>
      <c r="EQA187" s="537"/>
      <c r="EQB187" s="537"/>
      <c r="EQC187" s="537"/>
      <c r="EQD187" s="537"/>
      <c r="EQE187" s="537"/>
      <c r="EQF187" s="537"/>
      <c r="EQG187" s="537"/>
      <c r="EQH187" s="537"/>
      <c r="EQI187" s="537"/>
      <c r="EQJ187" s="537"/>
      <c r="EQK187" s="537"/>
      <c r="EQL187" s="537"/>
      <c r="EQM187" s="537"/>
      <c r="EQN187" s="537"/>
      <c r="EQO187" s="537"/>
      <c r="EQP187" s="537"/>
      <c r="EQQ187" s="537"/>
      <c r="EQR187" s="537"/>
      <c r="EQS187" s="537"/>
      <c r="EQT187" s="537"/>
      <c r="EQU187" s="537"/>
      <c r="EQV187" s="537"/>
      <c r="EQW187" s="537"/>
      <c r="EQX187" s="537"/>
      <c r="EQY187" s="537"/>
      <c r="EQZ187" s="537"/>
      <c r="ERA187" s="537"/>
      <c r="ERB187" s="537"/>
      <c r="ERC187" s="537"/>
      <c r="ERD187" s="537"/>
      <c r="ERE187" s="537"/>
      <c r="ERF187" s="537"/>
      <c r="ERG187" s="537"/>
      <c r="ERH187" s="537"/>
      <c r="ERI187" s="537"/>
      <c r="ERJ187" s="537"/>
      <c r="ERK187" s="537"/>
      <c r="ERL187" s="537"/>
      <c r="ERM187" s="537"/>
      <c r="ERN187" s="537"/>
      <c r="ERO187" s="537"/>
      <c r="ERP187" s="537"/>
      <c r="ERQ187" s="537"/>
      <c r="ERR187" s="537"/>
      <c r="ERS187" s="537"/>
      <c r="ERT187" s="537"/>
      <c r="ERU187" s="537"/>
      <c r="ERV187" s="537"/>
      <c r="ERW187" s="537"/>
      <c r="ERX187" s="537"/>
      <c r="ERY187" s="537"/>
      <c r="ERZ187" s="537"/>
      <c r="ESA187" s="537"/>
      <c r="ESB187" s="537"/>
      <c r="ESC187" s="537"/>
      <c r="ESD187" s="537"/>
      <c r="ESE187" s="537"/>
      <c r="ESF187" s="537"/>
      <c r="ESG187" s="537"/>
      <c r="ESH187" s="537"/>
      <c r="ESI187" s="537"/>
      <c r="ESJ187" s="537"/>
      <c r="ESK187" s="537"/>
      <c r="ESL187" s="537"/>
      <c r="ESM187" s="537"/>
      <c r="ESN187" s="537"/>
      <c r="ESO187" s="537"/>
      <c r="ESP187" s="537"/>
      <c r="ESQ187" s="537"/>
      <c r="ESR187" s="537"/>
      <c r="ESS187" s="537"/>
      <c r="EST187" s="537"/>
      <c r="ESU187" s="537"/>
      <c r="ESV187" s="537"/>
      <c r="ESW187" s="537"/>
      <c r="ESX187" s="537"/>
      <c r="ESY187" s="537"/>
      <c r="ESZ187" s="537"/>
      <c r="ETA187" s="537"/>
      <c r="ETB187" s="537"/>
      <c r="ETC187" s="537"/>
      <c r="ETD187" s="537"/>
      <c r="ETE187" s="537"/>
      <c r="ETF187" s="537"/>
      <c r="ETG187" s="537"/>
      <c r="ETH187" s="537"/>
      <c r="ETI187" s="537"/>
      <c r="ETJ187" s="537"/>
      <c r="ETK187" s="537"/>
      <c r="ETL187" s="537"/>
      <c r="ETM187" s="537"/>
      <c r="ETN187" s="537"/>
      <c r="ETO187" s="537"/>
      <c r="ETP187" s="537"/>
      <c r="ETQ187" s="537"/>
      <c r="ETR187" s="537"/>
      <c r="ETS187" s="537"/>
      <c r="ETT187" s="537"/>
      <c r="ETU187" s="537"/>
      <c r="ETV187" s="537"/>
      <c r="ETW187" s="537"/>
      <c r="ETX187" s="537"/>
      <c r="ETY187" s="537"/>
      <c r="ETZ187" s="537"/>
      <c r="EUA187" s="537"/>
      <c r="EUB187" s="537"/>
      <c r="EUC187" s="537"/>
      <c r="EUD187" s="537"/>
      <c r="EUE187" s="537"/>
      <c r="EUF187" s="537"/>
      <c r="EUG187" s="537"/>
      <c r="EUH187" s="537"/>
      <c r="EUI187" s="537"/>
      <c r="EUJ187" s="537"/>
      <c r="EUK187" s="537"/>
      <c r="EUL187" s="537"/>
      <c r="EUM187" s="537"/>
      <c r="EUN187" s="537"/>
      <c r="EUO187" s="537"/>
      <c r="EUP187" s="537"/>
      <c r="EUQ187" s="537"/>
      <c r="EUR187" s="537"/>
      <c r="EUS187" s="537"/>
      <c r="EUT187" s="537"/>
      <c r="EUU187" s="537"/>
      <c r="EUV187" s="537"/>
      <c r="EUW187" s="537"/>
      <c r="EUX187" s="537"/>
      <c r="EUY187" s="537"/>
      <c r="EUZ187" s="537"/>
      <c r="EVA187" s="537"/>
      <c r="EVB187" s="537"/>
      <c r="EVC187" s="537"/>
      <c r="EVD187" s="537"/>
      <c r="EVE187" s="537"/>
      <c r="EVF187" s="537"/>
      <c r="EVG187" s="537"/>
      <c r="EVH187" s="537"/>
      <c r="EVI187" s="537"/>
      <c r="EVJ187" s="537"/>
      <c r="EVK187" s="537"/>
      <c r="EVL187" s="537"/>
      <c r="EVM187" s="537"/>
      <c r="EVN187" s="537"/>
      <c r="EVO187" s="537"/>
      <c r="EVP187" s="537"/>
      <c r="EVQ187" s="537"/>
      <c r="EVR187" s="537"/>
      <c r="EVS187" s="537"/>
      <c r="EVT187" s="537"/>
      <c r="EVU187" s="537"/>
      <c r="EVV187" s="537"/>
      <c r="EVW187" s="537"/>
      <c r="EVX187" s="537"/>
      <c r="EVY187" s="537"/>
      <c r="EVZ187" s="537"/>
      <c r="EWA187" s="537"/>
      <c r="EWB187" s="537"/>
      <c r="EWC187" s="537"/>
      <c r="EWD187" s="537"/>
      <c r="EWE187" s="537"/>
      <c r="EWF187" s="537"/>
      <c r="EWG187" s="537"/>
      <c r="EWH187" s="537"/>
      <c r="EWI187" s="537"/>
      <c r="EWJ187" s="537"/>
      <c r="EWK187" s="537"/>
      <c r="EWL187" s="537"/>
      <c r="EWM187" s="537"/>
      <c r="EWN187" s="537"/>
      <c r="EWO187" s="537"/>
      <c r="EWP187" s="537"/>
      <c r="EWQ187" s="537"/>
      <c r="EWR187" s="537"/>
      <c r="EWS187" s="537"/>
      <c r="EWT187" s="537"/>
      <c r="EWU187" s="537"/>
      <c r="EWV187" s="537"/>
      <c r="EWW187" s="537"/>
      <c r="EWX187" s="537"/>
      <c r="EWY187" s="537"/>
      <c r="EWZ187" s="537"/>
      <c r="EXA187" s="537"/>
      <c r="EXB187" s="537"/>
      <c r="EXC187" s="537"/>
      <c r="EXD187" s="537"/>
      <c r="EXE187" s="537"/>
      <c r="EXF187" s="537"/>
      <c r="EXG187" s="537"/>
      <c r="EXH187" s="537"/>
      <c r="EXI187" s="537"/>
      <c r="EXJ187" s="537"/>
      <c r="EXK187" s="537"/>
      <c r="EXL187" s="537"/>
      <c r="EXM187" s="537"/>
      <c r="EXN187" s="537"/>
      <c r="EXO187" s="537"/>
      <c r="EXP187" s="537"/>
      <c r="EXQ187" s="537"/>
      <c r="EXR187" s="537"/>
      <c r="EXS187" s="537"/>
      <c r="EXT187" s="537"/>
      <c r="EXU187" s="537"/>
      <c r="EXV187" s="537"/>
      <c r="EXW187" s="537"/>
      <c r="EXX187" s="537"/>
      <c r="EXY187" s="537"/>
      <c r="EXZ187" s="537"/>
      <c r="EYA187" s="537"/>
      <c r="EYB187" s="537"/>
      <c r="EYC187" s="537"/>
      <c r="EYD187" s="537"/>
      <c r="EYE187" s="537"/>
      <c r="EYF187" s="537"/>
      <c r="EYG187" s="537"/>
      <c r="EYH187" s="537"/>
      <c r="EYI187" s="537"/>
      <c r="EYJ187" s="537"/>
      <c r="EYK187" s="537"/>
      <c r="EYL187" s="537"/>
      <c r="EYM187" s="537"/>
      <c r="EYN187" s="537"/>
      <c r="EYO187" s="537"/>
      <c r="EYP187" s="537"/>
      <c r="EYQ187" s="537"/>
      <c r="EYR187" s="537"/>
      <c r="EYS187" s="537"/>
      <c r="EYT187" s="537"/>
      <c r="EYU187" s="537"/>
      <c r="EYV187" s="537"/>
      <c r="EYW187" s="537"/>
      <c r="EYX187" s="537"/>
      <c r="EYY187" s="537"/>
      <c r="EYZ187" s="537"/>
      <c r="EZA187" s="537"/>
      <c r="EZB187" s="537"/>
      <c r="EZC187" s="537"/>
      <c r="EZD187" s="537"/>
      <c r="EZE187" s="537"/>
      <c r="EZF187" s="537"/>
      <c r="EZG187" s="537"/>
      <c r="EZH187" s="537"/>
      <c r="EZI187" s="537"/>
      <c r="EZJ187" s="537"/>
      <c r="EZK187" s="537"/>
      <c r="EZL187" s="537"/>
      <c r="EZM187" s="537"/>
      <c r="EZN187" s="537"/>
      <c r="EZO187" s="537"/>
      <c r="EZP187" s="537"/>
      <c r="EZQ187" s="537"/>
      <c r="EZR187" s="537"/>
      <c r="EZS187" s="537"/>
      <c r="EZT187" s="537"/>
      <c r="EZU187" s="537"/>
      <c r="EZV187" s="537"/>
      <c r="EZW187" s="537"/>
      <c r="EZX187" s="537"/>
      <c r="EZY187" s="537"/>
      <c r="EZZ187" s="537"/>
      <c r="FAA187" s="537"/>
      <c r="FAB187" s="537"/>
      <c r="FAC187" s="537"/>
      <c r="FAD187" s="537"/>
      <c r="FAE187" s="537"/>
      <c r="FAF187" s="537"/>
      <c r="FAG187" s="537"/>
      <c r="FAH187" s="537"/>
      <c r="FAI187" s="537"/>
      <c r="FAJ187" s="537"/>
      <c r="FAK187" s="537"/>
      <c r="FAL187" s="537"/>
      <c r="FAM187" s="537"/>
      <c r="FAN187" s="537"/>
      <c r="FAO187" s="537"/>
      <c r="FAP187" s="537"/>
      <c r="FAQ187" s="537"/>
      <c r="FAR187" s="537"/>
      <c r="FAS187" s="537"/>
      <c r="FAT187" s="537"/>
      <c r="FAU187" s="537"/>
      <c r="FAV187" s="537"/>
      <c r="FAW187" s="537"/>
      <c r="FAX187" s="537"/>
      <c r="FAY187" s="537"/>
      <c r="FAZ187" s="537"/>
      <c r="FBA187" s="537"/>
      <c r="FBB187" s="537"/>
      <c r="FBC187" s="537"/>
      <c r="FBD187" s="537"/>
      <c r="FBE187" s="537"/>
      <c r="FBF187" s="537"/>
      <c r="FBG187" s="537"/>
      <c r="FBH187" s="537"/>
      <c r="FBI187" s="537"/>
      <c r="FBJ187" s="537"/>
      <c r="FBK187" s="537"/>
      <c r="FBL187" s="537"/>
      <c r="FBM187" s="537"/>
      <c r="FBN187" s="537"/>
      <c r="FBO187" s="537"/>
      <c r="FBP187" s="537"/>
      <c r="FBQ187" s="537"/>
      <c r="FBR187" s="537"/>
      <c r="FBS187" s="537"/>
      <c r="FBT187" s="537"/>
      <c r="FBU187" s="537"/>
      <c r="FBV187" s="537"/>
      <c r="FBW187" s="537"/>
      <c r="FBX187" s="537"/>
      <c r="FBY187" s="537"/>
      <c r="FBZ187" s="537"/>
      <c r="FCA187" s="537"/>
      <c r="FCB187" s="537"/>
      <c r="FCC187" s="537"/>
      <c r="FCD187" s="537"/>
      <c r="FCE187" s="537"/>
      <c r="FCF187" s="537"/>
      <c r="FCG187" s="537"/>
      <c r="FCH187" s="537"/>
      <c r="FCI187" s="537"/>
      <c r="FCJ187" s="537"/>
      <c r="FCK187" s="537"/>
      <c r="FCL187" s="537"/>
      <c r="FCM187" s="537"/>
      <c r="FCN187" s="537"/>
      <c r="FCO187" s="537"/>
      <c r="FCP187" s="537"/>
      <c r="FCQ187" s="537"/>
      <c r="FCR187" s="537"/>
      <c r="FCS187" s="537"/>
      <c r="FCT187" s="537"/>
      <c r="FCU187" s="537"/>
      <c r="FCV187" s="537"/>
      <c r="FCW187" s="537"/>
      <c r="FCX187" s="537"/>
      <c r="FCY187" s="537"/>
      <c r="FCZ187" s="537"/>
      <c r="FDA187" s="537"/>
      <c r="FDB187" s="537"/>
      <c r="FDC187" s="537"/>
      <c r="FDD187" s="537"/>
      <c r="FDE187" s="537"/>
      <c r="FDF187" s="537"/>
      <c r="FDG187" s="537"/>
      <c r="FDH187" s="537"/>
      <c r="FDI187" s="537"/>
      <c r="FDJ187" s="537"/>
      <c r="FDK187" s="537"/>
      <c r="FDL187" s="537"/>
      <c r="FDM187" s="537"/>
      <c r="FDN187" s="537"/>
      <c r="FDO187" s="537"/>
      <c r="FDP187" s="537"/>
      <c r="FDQ187" s="537"/>
      <c r="FDR187" s="537"/>
      <c r="FDS187" s="537"/>
      <c r="FDT187" s="537"/>
      <c r="FDU187" s="537"/>
      <c r="FDV187" s="537"/>
      <c r="FDW187" s="537"/>
      <c r="FDX187" s="537"/>
      <c r="FDY187" s="537"/>
      <c r="FDZ187" s="537"/>
      <c r="FEA187" s="537"/>
      <c r="FEB187" s="537"/>
      <c r="FEC187" s="537"/>
      <c r="FED187" s="537"/>
      <c r="FEE187" s="537"/>
      <c r="FEF187" s="537"/>
      <c r="FEG187" s="537"/>
      <c r="FEH187" s="537"/>
      <c r="FEI187" s="537"/>
      <c r="FEJ187" s="537"/>
      <c r="FEK187" s="537"/>
      <c r="FEL187" s="537"/>
      <c r="FEM187" s="537"/>
      <c r="FEN187" s="537"/>
      <c r="FEO187" s="537"/>
      <c r="FEP187" s="537"/>
      <c r="FEQ187" s="537"/>
      <c r="FER187" s="537"/>
      <c r="FES187" s="537"/>
      <c r="FET187" s="537"/>
      <c r="FEU187" s="537"/>
      <c r="FEV187" s="537"/>
      <c r="FEW187" s="537"/>
      <c r="FEX187" s="537"/>
      <c r="FEY187" s="537"/>
      <c r="FEZ187" s="537"/>
      <c r="FFA187" s="537"/>
      <c r="FFB187" s="537"/>
      <c r="FFC187" s="537"/>
      <c r="FFD187" s="537"/>
      <c r="FFE187" s="537"/>
      <c r="FFF187" s="537"/>
      <c r="FFG187" s="537"/>
      <c r="FFH187" s="537"/>
      <c r="FFI187" s="537"/>
      <c r="FFJ187" s="537"/>
      <c r="FFK187" s="537"/>
      <c r="FFL187" s="537"/>
      <c r="FFM187" s="537"/>
      <c r="FFN187" s="537"/>
      <c r="FFO187" s="537"/>
      <c r="FFP187" s="537"/>
      <c r="FFQ187" s="537"/>
      <c r="FFR187" s="537"/>
      <c r="FFS187" s="537"/>
      <c r="FFT187" s="537"/>
      <c r="FFU187" s="537"/>
      <c r="FFV187" s="537"/>
      <c r="FFW187" s="537"/>
      <c r="FFX187" s="537"/>
      <c r="FFY187" s="537"/>
      <c r="FFZ187" s="537"/>
      <c r="FGA187" s="537"/>
      <c r="FGB187" s="537"/>
      <c r="FGC187" s="537"/>
      <c r="FGD187" s="537"/>
      <c r="FGE187" s="537"/>
      <c r="FGF187" s="537"/>
      <c r="FGG187" s="537"/>
      <c r="FGH187" s="537"/>
      <c r="FGI187" s="537"/>
      <c r="FGJ187" s="537"/>
      <c r="FGK187" s="537"/>
      <c r="FGL187" s="537"/>
      <c r="FGM187" s="537"/>
      <c r="FGN187" s="537"/>
      <c r="FGO187" s="537"/>
      <c r="FGP187" s="537"/>
      <c r="FGQ187" s="537"/>
      <c r="FGR187" s="537"/>
      <c r="FGS187" s="537"/>
      <c r="FGT187" s="537"/>
      <c r="FGU187" s="537"/>
      <c r="FGV187" s="537"/>
      <c r="FGW187" s="537"/>
      <c r="FGX187" s="537"/>
      <c r="FGY187" s="537"/>
      <c r="FGZ187" s="537"/>
      <c r="FHA187" s="537"/>
      <c r="FHB187" s="537"/>
      <c r="FHC187" s="537"/>
      <c r="FHD187" s="537"/>
      <c r="FHE187" s="537"/>
      <c r="FHF187" s="537"/>
      <c r="FHG187" s="537"/>
      <c r="FHH187" s="537"/>
      <c r="FHI187" s="537"/>
      <c r="FHJ187" s="537"/>
      <c r="FHK187" s="537"/>
      <c r="FHL187" s="537"/>
      <c r="FHM187" s="537"/>
      <c r="FHN187" s="537"/>
      <c r="FHO187" s="537"/>
      <c r="FHP187" s="537"/>
      <c r="FHQ187" s="537"/>
      <c r="FHR187" s="537"/>
      <c r="FHS187" s="537"/>
      <c r="FHT187" s="537"/>
      <c r="FHU187" s="537"/>
      <c r="FHV187" s="537"/>
      <c r="FHW187" s="537"/>
      <c r="FHX187" s="537"/>
      <c r="FHY187" s="537"/>
      <c r="FHZ187" s="537"/>
      <c r="FIA187" s="537"/>
      <c r="FIB187" s="537"/>
      <c r="FIC187" s="537"/>
      <c r="FID187" s="537"/>
      <c r="FIE187" s="537"/>
      <c r="FIF187" s="537"/>
      <c r="FIG187" s="537"/>
      <c r="FIH187" s="537"/>
      <c r="FII187" s="537"/>
      <c r="FIJ187" s="537"/>
      <c r="FIK187" s="537"/>
      <c r="FIL187" s="537"/>
      <c r="FIM187" s="537"/>
      <c r="FIN187" s="537"/>
      <c r="FIO187" s="537"/>
      <c r="FIP187" s="537"/>
      <c r="FIQ187" s="537"/>
      <c r="FIR187" s="537"/>
      <c r="FIS187" s="537"/>
      <c r="FIT187" s="537"/>
      <c r="FIU187" s="537"/>
      <c r="FIV187" s="537"/>
      <c r="FIW187" s="537"/>
      <c r="FIX187" s="537"/>
      <c r="FIY187" s="537"/>
      <c r="FIZ187" s="537"/>
      <c r="FJA187" s="537"/>
      <c r="FJB187" s="537"/>
      <c r="FJC187" s="537"/>
      <c r="FJD187" s="537"/>
      <c r="FJE187" s="537"/>
      <c r="FJF187" s="537"/>
      <c r="FJG187" s="537"/>
      <c r="FJH187" s="537"/>
      <c r="FJI187" s="537"/>
      <c r="FJJ187" s="537"/>
      <c r="FJK187" s="537"/>
      <c r="FJL187" s="537"/>
      <c r="FJM187" s="537"/>
      <c r="FJN187" s="537"/>
      <c r="FJO187" s="537"/>
      <c r="FJP187" s="537"/>
      <c r="FJQ187" s="537"/>
      <c r="FJR187" s="537"/>
      <c r="FJS187" s="537"/>
      <c r="FJT187" s="537"/>
      <c r="FJU187" s="537"/>
      <c r="FJV187" s="537"/>
      <c r="FJW187" s="537"/>
      <c r="FJX187" s="537"/>
      <c r="FJY187" s="537"/>
      <c r="FJZ187" s="537"/>
      <c r="FKA187" s="537"/>
      <c r="FKB187" s="537"/>
      <c r="FKC187" s="537"/>
      <c r="FKD187" s="537"/>
      <c r="FKE187" s="537"/>
      <c r="FKF187" s="537"/>
      <c r="FKG187" s="537"/>
      <c r="FKH187" s="537"/>
      <c r="FKI187" s="537"/>
      <c r="FKJ187" s="537"/>
      <c r="FKK187" s="537"/>
      <c r="FKL187" s="537"/>
      <c r="FKM187" s="537"/>
      <c r="FKN187" s="537"/>
      <c r="FKO187" s="537"/>
      <c r="FKP187" s="537"/>
      <c r="FKQ187" s="537"/>
      <c r="FKR187" s="537"/>
      <c r="FKS187" s="537"/>
      <c r="FKT187" s="537"/>
      <c r="FKU187" s="537"/>
      <c r="FKV187" s="537"/>
      <c r="FKW187" s="537"/>
      <c r="FKX187" s="537"/>
      <c r="FKY187" s="537"/>
      <c r="FKZ187" s="537"/>
      <c r="FLA187" s="537"/>
      <c r="FLB187" s="537"/>
      <c r="FLC187" s="537"/>
      <c r="FLD187" s="537"/>
      <c r="FLE187" s="537"/>
      <c r="FLF187" s="537"/>
      <c r="FLG187" s="537"/>
      <c r="FLH187" s="537"/>
      <c r="FLI187" s="537"/>
      <c r="FLJ187" s="537"/>
      <c r="FLK187" s="537"/>
      <c r="FLL187" s="537"/>
      <c r="FLM187" s="537"/>
      <c r="FLN187" s="537"/>
      <c r="FLO187" s="537"/>
      <c r="FLP187" s="537"/>
      <c r="FLQ187" s="537"/>
      <c r="FLR187" s="537"/>
      <c r="FLS187" s="537"/>
      <c r="FLT187" s="537"/>
      <c r="FLU187" s="537"/>
      <c r="FLV187" s="537"/>
      <c r="FLW187" s="537"/>
      <c r="FLX187" s="537"/>
      <c r="FLY187" s="537"/>
      <c r="FLZ187" s="537"/>
      <c r="FMA187" s="537"/>
      <c r="FMB187" s="537"/>
      <c r="FMC187" s="537"/>
      <c r="FMD187" s="537"/>
      <c r="FME187" s="537"/>
      <c r="FMF187" s="537"/>
      <c r="FMG187" s="537"/>
      <c r="FMH187" s="537"/>
      <c r="FMI187" s="537"/>
      <c r="FMJ187" s="537"/>
      <c r="FMK187" s="537"/>
      <c r="FML187" s="537"/>
      <c r="FMM187" s="537"/>
      <c r="FMN187" s="537"/>
      <c r="FMO187" s="537"/>
      <c r="FMP187" s="537"/>
      <c r="FMQ187" s="537"/>
      <c r="FMR187" s="537"/>
      <c r="FMS187" s="537"/>
      <c r="FMT187" s="537"/>
      <c r="FMU187" s="537"/>
      <c r="FMV187" s="537"/>
      <c r="FMW187" s="537"/>
      <c r="FMX187" s="537"/>
      <c r="FMY187" s="537"/>
      <c r="FMZ187" s="537"/>
      <c r="FNA187" s="537"/>
      <c r="FNB187" s="537"/>
      <c r="FNC187" s="537"/>
      <c r="FND187" s="537"/>
      <c r="FNE187" s="537"/>
      <c r="FNF187" s="537"/>
      <c r="FNG187" s="537"/>
      <c r="FNH187" s="537"/>
      <c r="FNI187" s="537"/>
      <c r="FNJ187" s="537"/>
      <c r="FNK187" s="537"/>
      <c r="FNL187" s="537"/>
      <c r="FNM187" s="537"/>
      <c r="FNN187" s="537"/>
      <c r="FNO187" s="537"/>
      <c r="FNP187" s="537"/>
      <c r="FNQ187" s="537"/>
      <c r="FNR187" s="537"/>
      <c r="FNS187" s="537"/>
      <c r="FNT187" s="537"/>
      <c r="FNU187" s="537"/>
      <c r="FNV187" s="537"/>
      <c r="FNW187" s="537"/>
      <c r="FNX187" s="537"/>
      <c r="FNY187" s="537"/>
      <c r="FNZ187" s="537"/>
      <c r="FOA187" s="537"/>
      <c r="FOB187" s="537"/>
      <c r="FOC187" s="537"/>
      <c r="FOD187" s="537"/>
      <c r="FOE187" s="537"/>
      <c r="FOF187" s="537"/>
      <c r="FOG187" s="537"/>
      <c r="FOH187" s="537"/>
      <c r="FOI187" s="537"/>
      <c r="FOJ187" s="537"/>
      <c r="FOK187" s="537"/>
      <c r="FOL187" s="537"/>
      <c r="FOM187" s="537"/>
      <c r="FON187" s="537"/>
      <c r="FOO187" s="537"/>
      <c r="FOP187" s="537"/>
      <c r="FOQ187" s="537"/>
      <c r="FOR187" s="537"/>
      <c r="FOS187" s="537"/>
      <c r="FOT187" s="537"/>
      <c r="FOU187" s="537"/>
      <c r="FOV187" s="537"/>
      <c r="FOW187" s="537"/>
      <c r="FOX187" s="537"/>
      <c r="FOY187" s="537"/>
      <c r="FOZ187" s="537"/>
      <c r="FPA187" s="537"/>
      <c r="FPB187" s="537"/>
      <c r="FPC187" s="537"/>
      <c r="FPD187" s="537"/>
      <c r="FPE187" s="537"/>
      <c r="FPF187" s="537"/>
      <c r="FPG187" s="537"/>
      <c r="FPH187" s="537"/>
      <c r="FPI187" s="537"/>
      <c r="FPJ187" s="537"/>
      <c r="FPK187" s="537"/>
      <c r="FPL187" s="537"/>
      <c r="FPM187" s="537"/>
      <c r="FPN187" s="537"/>
      <c r="FPO187" s="537"/>
      <c r="FPP187" s="537"/>
      <c r="FPQ187" s="537"/>
      <c r="FPR187" s="537"/>
      <c r="FPS187" s="537"/>
      <c r="FPT187" s="537"/>
      <c r="FPU187" s="537"/>
      <c r="FPV187" s="537"/>
      <c r="FPW187" s="537"/>
      <c r="FPX187" s="537"/>
      <c r="FPY187" s="537"/>
      <c r="FPZ187" s="537"/>
      <c r="FQA187" s="537"/>
      <c r="FQB187" s="537"/>
      <c r="FQC187" s="537"/>
      <c r="FQD187" s="537"/>
      <c r="FQE187" s="537"/>
      <c r="FQF187" s="537"/>
      <c r="FQG187" s="537"/>
      <c r="FQH187" s="537"/>
      <c r="FQI187" s="537"/>
      <c r="FQJ187" s="537"/>
      <c r="FQK187" s="537"/>
      <c r="FQL187" s="537"/>
      <c r="FQM187" s="537"/>
      <c r="FQN187" s="537"/>
      <c r="FQO187" s="537"/>
      <c r="FQP187" s="537"/>
      <c r="FQQ187" s="537"/>
      <c r="FQR187" s="537"/>
      <c r="FQS187" s="537"/>
      <c r="FQT187" s="537"/>
      <c r="FQU187" s="537"/>
      <c r="FQV187" s="537"/>
      <c r="FQW187" s="537"/>
      <c r="FQX187" s="537"/>
      <c r="FQY187" s="537"/>
      <c r="FQZ187" s="537"/>
      <c r="FRA187" s="537"/>
      <c r="FRB187" s="537"/>
      <c r="FRC187" s="537"/>
      <c r="FRD187" s="537"/>
      <c r="FRE187" s="537"/>
      <c r="FRF187" s="537"/>
      <c r="FRG187" s="537"/>
      <c r="FRH187" s="537"/>
      <c r="FRI187" s="537"/>
      <c r="FRJ187" s="537"/>
      <c r="FRK187" s="537"/>
      <c r="FRL187" s="537"/>
      <c r="FRM187" s="537"/>
      <c r="FRN187" s="537"/>
      <c r="FRO187" s="537"/>
      <c r="FRP187" s="537"/>
      <c r="FRQ187" s="537"/>
      <c r="FRR187" s="537"/>
      <c r="FRS187" s="537"/>
      <c r="FRT187" s="537"/>
      <c r="FRU187" s="537"/>
      <c r="FRV187" s="537"/>
      <c r="FRW187" s="537"/>
      <c r="FRX187" s="537"/>
      <c r="FRY187" s="537"/>
      <c r="FRZ187" s="537"/>
      <c r="FSA187" s="537"/>
      <c r="FSB187" s="537"/>
      <c r="FSC187" s="537"/>
      <c r="FSD187" s="537"/>
      <c r="FSE187" s="537"/>
      <c r="FSF187" s="537"/>
      <c r="FSG187" s="537"/>
      <c r="FSH187" s="537"/>
      <c r="FSI187" s="537"/>
      <c r="FSJ187" s="537"/>
      <c r="FSK187" s="537"/>
      <c r="FSL187" s="537"/>
      <c r="FSM187" s="537"/>
      <c r="FSN187" s="537"/>
      <c r="FSO187" s="537"/>
      <c r="FSP187" s="537"/>
      <c r="FSQ187" s="537"/>
      <c r="FSR187" s="537"/>
      <c r="FSS187" s="537"/>
      <c r="FST187" s="537"/>
      <c r="FSU187" s="537"/>
      <c r="FSV187" s="537"/>
      <c r="FSW187" s="537"/>
      <c r="FSX187" s="537"/>
      <c r="FSY187" s="537"/>
      <c r="FSZ187" s="537"/>
      <c r="FTA187" s="537"/>
      <c r="FTB187" s="537"/>
      <c r="FTC187" s="537"/>
      <c r="FTD187" s="537"/>
      <c r="FTE187" s="537"/>
      <c r="FTF187" s="537"/>
      <c r="FTG187" s="537"/>
      <c r="FTH187" s="537"/>
      <c r="FTI187" s="537"/>
      <c r="FTJ187" s="537"/>
      <c r="FTK187" s="537"/>
      <c r="FTL187" s="537"/>
      <c r="FTM187" s="537"/>
      <c r="FTN187" s="537"/>
      <c r="FTO187" s="537"/>
      <c r="FTP187" s="537"/>
      <c r="FTQ187" s="537"/>
      <c r="FTR187" s="537"/>
      <c r="FTS187" s="537"/>
      <c r="FTT187" s="537"/>
      <c r="FTU187" s="537"/>
      <c r="FTV187" s="537"/>
      <c r="FTW187" s="537"/>
      <c r="FTX187" s="537"/>
      <c r="FTY187" s="537"/>
      <c r="FTZ187" s="537"/>
      <c r="FUA187" s="537"/>
      <c r="FUB187" s="537"/>
      <c r="FUC187" s="537"/>
      <c r="FUD187" s="537"/>
      <c r="FUE187" s="537"/>
      <c r="FUF187" s="537"/>
      <c r="FUG187" s="537"/>
      <c r="FUH187" s="537"/>
      <c r="FUI187" s="537"/>
      <c r="FUJ187" s="537"/>
      <c r="FUK187" s="537"/>
      <c r="FUL187" s="537"/>
      <c r="FUM187" s="537"/>
      <c r="FUN187" s="537"/>
      <c r="FUO187" s="537"/>
      <c r="FUP187" s="537"/>
      <c r="FUQ187" s="537"/>
      <c r="FUR187" s="537"/>
      <c r="FUS187" s="537"/>
      <c r="FUT187" s="537"/>
      <c r="FUU187" s="537"/>
      <c r="FUV187" s="537"/>
      <c r="FUW187" s="537"/>
      <c r="FUX187" s="537"/>
      <c r="FUY187" s="537"/>
      <c r="FUZ187" s="537"/>
      <c r="FVA187" s="537"/>
      <c r="FVB187" s="537"/>
      <c r="FVC187" s="537"/>
      <c r="FVD187" s="537"/>
      <c r="FVE187" s="537"/>
      <c r="FVF187" s="537"/>
      <c r="FVG187" s="537"/>
      <c r="FVH187" s="537"/>
      <c r="FVI187" s="537"/>
      <c r="FVJ187" s="537"/>
      <c r="FVK187" s="537"/>
      <c r="FVL187" s="537"/>
      <c r="FVM187" s="537"/>
      <c r="FVN187" s="537"/>
      <c r="FVO187" s="537"/>
      <c r="FVP187" s="537"/>
      <c r="FVQ187" s="537"/>
      <c r="FVR187" s="537"/>
      <c r="FVS187" s="537"/>
      <c r="FVT187" s="537"/>
      <c r="FVU187" s="537"/>
      <c r="FVV187" s="537"/>
      <c r="FVW187" s="537"/>
      <c r="FVX187" s="537"/>
      <c r="FVY187" s="537"/>
      <c r="FVZ187" s="537"/>
      <c r="FWA187" s="537"/>
      <c r="FWB187" s="537"/>
      <c r="FWC187" s="537"/>
      <c r="FWD187" s="537"/>
      <c r="FWE187" s="537"/>
      <c r="FWF187" s="537"/>
      <c r="FWG187" s="537"/>
      <c r="FWH187" s="537"/>
      <c r="FWI187" s="537"/>
      <c r="FWJ187" s="537"/>
      <c r="FWK187" s="537"/>
      <c r="FWL187" s="537"/>
      <c r="FWM187" s="537"/>
      <c r="FWN187" s="537"/>
      <c r="FWO187" s="537"/>
      <c r="FWP187" s="537"/>
      <c r="FWQ187" s="537"/>
      <c r="FWR187" s="537"/>
      <c r="FWS187" s="537"/>
      <c r="FWT187" s="537"/>
      <c r="FWU187" s="537"/>
      <c r="FWV187" s="537"/>
      <c r="FWW187" s="537"/>
      <c r="FWX187" s="537"/>
      <c r="FWY187" s="537"/>
      <c r="FWZ187" s="537"/>
      <c r="FXA187" s="537"/>
      <c r="FXB187" s="537"/>
      <c r="FXC187" s="537"/>
      <c r="FXD187" s="537"/>
      <c r="FXE187" s="537"/>
      <c r="FXF187" s="537"/>
      <c r="FXG187" s="537"/>
      <c r="FXH187" s="537"/>
      <c r="FXI187" s="537"/>
      <c r="FXJ187" s="537"/>
      <c r="FXK187" s="537"/>
      <c r="FXL187" s="537"/>
      <c r="FXM187" s="537"/>
      <c r="FXN187" s="537"/>
      <c r="FXO187" s="537"/>
      <c r="FXP187" s="537"/>
      <c r="FXQ187" s="537"/>
      <c r="FXR187" s="537"/>
      <c r="FXS187" s="537"/>
      <c r="FXT187" s="537"/>
      <c r="FXU187" s="537"/>
      <c r="FXV187" s="537"/>
      <c r="FXW187" s="537"/>
      <c r="FXX187" s="537"/>
      <c r="FXY187" s="537"/>
      <c r="FXZ187" s="537"/>
      <c r="FYA187" s="537"/>
      <c r="FYB187" s="537"/>
      <c r="FYC187" s="537"/>
      <c r="FYD187" s="537"/>
      <c r="FYE187" s="537"/>
      <c r="FYF187" s="537"/>
      <c r="FYG187" s="537"/>
      <c r="FYH187" s="537"/>
      <c r="FYI187" s="537"/>
      <c r="FYJ187" s="537"/>
      <c r="FYK187" s="537"/>
      <c r="FYL187" s="537"/>
      <c r="FYM187" s="537"/>
      <c r="FYN187" s="537"/>
      <c r="FYO187" s="537"/>
      <c r="FYP187" s="537"/>
      <c r="FYQ187" s="537"/>
      <c r="FYR187" s="537"/>
      <c r="FYS187" s="537"/>
      <c r="FYT187" s="537"/>
      <c r="FYU187" s="537"/>
      <c r="FYV187" s="537"/>
      <c r="FYW187" s="537"/>
      <c r="FYX187" s="537"/>
      <c r="FYY187" s="537"/>
      <c r="FYZ187" s="537"/>
      <c r="FZA187" s="537"/>
      <c r="FZB187" s="537"/>
      <c r="FZC187" s="537"/>
      <c r="FZD187" s="537"/>
      <c r="FZE187" s="537"/>
      <c r="FZF187" s="537"/>
      <c r="FZG187" s="537"/>
      <c r="FZH187" s="537"/>
      <c r="FZI187" s="537"/>
      <c r="FZJ187" s="537"/>
      <c r="FZK187" s="537"/>
      <c r="FZL187" s="537"/>
      <c r="FZM187" s="537"/>
      <c r="FZN187" s="537"/>
      <c r="FZO187" s="537"/>
      <c r="FZP187" s="537"/>
      <c r="FZQ187" s="537"/>
      <c r="FZR187" s="537"/>
      <c r="FZS187" s="537"/>
      <c r="FZT187" s="537"/>
      <c r="FZU187" s="537"/>
      <c r="FZV187" s="537"/>
      <c r="FZW187" s="537"/>
      <c r="FZX187" s="537"/>
      <c r="FZY187" s="537"/>
      <c r="FZZ187" s="537"/>
      <c r="GAA187" s="537"/>
      <c r="GAB187" s="537"/>
      <c r="GAC187" s="537"/>
      <c r="GAD187" s="537"/>
      <c r="GAE187" s="537"/>
      <c r="GAF187" s="537"/>
      <c r="GAG187" s="537"/>
      <c r="GAH187" s="537"/>
      <c r="GAI187" s="537"/>
      <c r="GAJ187" s="537"/>
      <c r="GAK187" s="537"/>
      <c r="GAL187" s="537"/>
      <c r="GAM187" s="537"/>
      <c r="GAN187" s="537"/>
      <c r="GAO187" s="537"/>
      <c r="GAP187" s="537"/>
      <c r="GAQ187" s="537"/>
      <c r="GAR187" s="537"/>
      <c r="GAS187" s="537"/>
      <c r="GAT187" s="537"/>
      <c r="GAU187" s="537"/>
      <c r="GAV187" s="537"/>
      <c r="GAW187" s="537"/>
      <c r="GAX187" s="537"/>
      <c r="GAY187" s="537"/>
      <c r="GAZ187" s="537"/>
      <c r="GBA187" s="537"/>
      <c r="GBB187" s="537"/>
      <c r="GBC187" s="537"/>
      <c r="GBD187" s="537"/>
      <c r="GBE187" s="537"/>
      <c r="GBF187" s="537"/>
      <c r="GBG187" s="537"/>
      <c r="GBH187" s="537"/>
      <c r="GBI187" s="537"/>
      <c r="GBJ187" s="537"/>
      <c r="GBK187" s="537"/>
      <c r="GBL187" s="537"/>
      <c r="GBM187" s="537"/>
      <c r="GBN187" s="537"/>
      <c r="GBO187" s="537"/>
      <c r="GBP187" s="537"/>
      <c r="GBQ187" s="537"/>
      <c r="GBR187" s="537"/>
      <c r="GBS187" s="537"/>
      <c r="GBT187" s="537"/>
      <c r="GBU187" s="537"/>
      <c r="GBV187" s="537"/>
      <c r="GBW187" s="537"/>
      <c r="GBX187" s="537"/>
      <c r="GBY187" s="537"/>
      <c r="GBZ187" s="537"/>
      <c r="GCA187" s="537"/>
      <c r="GCB187" s="537"/>
      <c r="GCC187" s="537"/>
      <c r="GCD187" s="537"/>
      <c r="GCE187" s="537"/>
      <c r="GCF187" s="537"/>
      <c r="GCG187" s="537"/>
      <c r="GCH187" s="537"/>
      <c r="GCI187" s="537"/>
      <c r="GCJ187" s="537"/>
      <c r="GCK187" s="537"/>
      <c r="GCL187" s="537"/>
      <c r="GCM187" s="537"/>
      <c r="GCN187" s="537"/>
      <c r="GCO187" s="537"/>
      <c r="GCP187" s="537"/>
      <c r="GCQ187" s="537"/>
      <c r="GCR187" s="537"/>
      <c r="GCS187" s="537"/>
      <c r="GCT187" s="537"/>
      <c r="GCU187" s="537"/>
      <c r="GCV187" s="537"/>
      <c r="GCW187" s="537"/>
      <c r="GCX187" s="537"/>
      <c r="GCY187" s="537"/>
      <c r="GCZ187" s="537"/>
      <c r="GDA187" s="537"/>
      <c r="GDB187" s="537"/>
      <c r="GDC187" s="537"/>
      <c r="GDD187" s="537"/>
      <c r="GDE187" s="537"/>
      <c r="GDF187" s="537"/>
      <c r="GDG187" s="537"/>
      <c r="GDH187" s="537"/>
      <c r="GDI187" s="537"/>
      <c r="GDJ187" s="537"/>
      <c r="GDK187" s="537"/>
      <c r="GDL187" s="537"/>
      <c r="GDM187" s="537"/>
      <c r="GDN187" s="537"/>
      <c r="GDO187" s="537"/>
      <c r="GDP187" s="537"/>
      <c r="GDQ187" s="537"/>
      <c r="GDR187" s="537"/>
      <c r="GDS187" s="537"/>
      <c r="GDT187" s="537"/>
      <c r="GDU187" s="537"/>
      <c r="GDV187" s="537"/>
      <c r="GDW187" s="537"/>
      <c r="GDX187" s="537"/>
      <c r="GDY187" s="537"/>
      <c r="GDZ187" s="537"/>
      <c r="GEA187" s="537"/>
      <c r="GEB187" s="537"/>
      <c r="GEC187" s="537"/>
      <c r="GED187" s="537"/>
      <c r="GEE187" s="537"/>
      <c r="GEF187" s="537"/>
      <c r="GEG187" s="537"/>
      <c r="GEH187" s="537"/>
      <c r="GEI187" s="537"/>
      <c r="GEJ187" s="537"/>
      <c r="GEK187" s="537"/>
      <c r="GEL187" s="537"/>
      <c r="GEM187" s="537"/>
      <c r="GEN187" s="537"/>
      <c r="GEO187" s="537"/>
      <c r="GEP187" s="537"/>
      <c r="GEQ187" s="537"/>
      <c r="GER187" s="537"/>
      <c r="GES187" s="537"/>
      <c r="GET187" s="537"/>
      <c r="GEU187" s="537"/>
      <c r="GEV187" s="537"/>
      <c r="GEW187" s="537"/>
      <c r="GEX187" s="537"/>
      <c r="GEY187" s="537"/>
      <c r="GEZ187" s="537"/>
      <c r="GFA187" s="537"/>
      <c r="GFB187" s="537"/>
      <c r="GFC187" s="537"/>
      <c r="GFD187" s="537"/>
      <c r="GFE187" s="537"/>
      <c r="GFF187" s="537"/>
      <c r="GFG187" s="537"/>
      <c r="GFH187" s="537"/>
      <c r="GFI187" s="537"/>
      <c r="GFJ187" s="537"/>
      <c r="GFK187" s="537"/>
      <c r="GFL187" s="537"/>
      <c r="GFM187" s="537"/>
      <c r="GFN187" s="537"/>
      <c r="GFO187" s="537"/>
      <c r="GFP187" s="537"/>
      <c r="GFQ187" s="537"/>
      <c r="GFR187" s="537"/>
      <c r="GFS187" s="537"/>
      <c r="GFT187" s="537"/>
      <c r="GFU187" s="537"/>
      <c r="GFV187" s="537"/>
      <c r="GFW187" s="537"/>
      <c r="GFX187" s="537"/>
      <c r="GFY187" s="537"/>
      <c r="GFZ187" s="537"/>
      <c r="GGA187" s="537"/>
      <c r="GGB187" s="537"/>
      <c r="GGC187" s="537"/>
      <c r="GGD187" s="537"/>
      <c r="GGE187" s="537"/>
      <c r="GGF187" s="537"/>
      <c r="GGG187" s="537"/>
      <c r="GGH187" s="537"/>
      <c r="GGI187" s="537"/>
      <c r="GGJ187" s="537"/>
      <c r="GGK187" s="537"/>
      <c r="GGL187" s="537"/>
      <c r="GGM187" s="537"/>
      <c r="GGN187" s="537"/>
      <c r="GGO187" s="537"/>
      <c r="GGP187" s="537"/>
      <c r="GGQ187" s="537"/>
      <c r="GGR187" s="537"/>
      <c r="GGS187" s="537"/>
      <c r="GGT187" s="537"/>
      <c r="GGU187" s="537"/>
      <c r="GGV187" s="537"/>
      <c r="GGW187" s="537"/>
      <c r="GGX187" s="537"/>
      <c r="GGY187" s="537"/>
      <c r="GGZ187" s="537"/>
      <c r="GHA187" s="537"/>
      <c r="GHB187" s="537"/>
      <c r="GHC187" s="537"/>
      <c r="GHD187" s="537"/>
      <c r="GHE187" s="537"/>
      <c r="GHF187" s="537"/>
      <c r="GHG187" s="537"/>
      <c r="GHH187" s="537"/>
      <c r="GHI187" s="537"/>
      <c r="GHJ187" s="537"/>
      <c r="GHK187" s="537"/>
      <c r="GHL187" s="537"/>
      <c r="GHM187" s="537"/>
      <c r="GHN187" s="537"/>
      <c r="GHO187" s="537"/>
      <c r="GHP187" s="537"/>
      <c r="GHQ187" s="537"/>
      <c r="GHR187" s="537"/>
      <c r="GHS187" s="537"/>
      <c r="GHT187" s="537"/>
      <c r="GHU187" s="537"/>
      <c r="GHV187" s="537"/>
      <c r="GHW187" s="537"/>
      <c r="GHX187" s="537"/>
      <c r="GHY187" s="537"/>
      <c r="GHZ187" s="537"/>
      <c r="GIA187" s="537"/>
      <c r="GIB187" s="537"/>
      <c r="GIC187" s="537"/>
      <c r="GID187" s="537"/>
      <c r="GIE187" s="537"/>
      <c r="GIF187" s="537"/>
      <c r="GIG187" s="537"/>
      <c r="GIH187" s="537"/>
      <c r="GII187" s="537"/>
      <c r="GIJ187" s="537"/>
      <c r="GIK187" s="537"/>
      <c r="GIL187" s="537"/>
      <c r="GIM187" s="537"/>
      <c r="GIN187" s="537"/>
      <c r="GIO187" s="537"/>
      <c r="GIP187" s="537"/>
      <c r="GIQ187" s="537"/>
      <c r="GIR187" s="537"/>
      <c r="GIS187" s="537"/>
      <c r="GIT187" s="537"/>
      <c r="GIU187" s="537"/>
      <c r="GIV187" s="537"/>
      <c r="GIW187" s="537"/>
      <c r="GIX187" s="537"/>
      <c r="GIY187" s="537"/>
      <c r="GIZ187" s="537"/>
      <c r="GJA187" s="537"/>
      <c r="GJB187" s="537"/>
      <c r="GJC187" s="537"/>
      <c r="GJD187" s="537"/>
      <c r="GJE187" s="537"/>
      <c r="GJF187" s="537"/>
      <c r="GJG187" s="537"/>
      <c r="GJH187" s="537"/>
      <c r="GJI187" s="537"/>
      <c r="GJJ187" s="537"/>
      <c r="GJK187" s="537"/>
      <c r="GJL187" s="537"/>
      <c r="GJM187" s="537"/>
      <c r="GJN187" s="537"/>
      <c r="GJO187" s="537"/>
      <c r="GJP187" s="537"/>
      <c r="GJQ187" s="537"/>
      <c r="GJR187" s="537"/>
      <c r="GJS187" s="537"/>
      <c r="GJT187" s="537"/>
      <c r="GJU187" s="537"/>
      <c r="GJV187" s="537"/>
      <c r="GJW187" s="537"/>
      <c r="GJX187" s="537"/>
      <c r="GJY187" s="537"/>
      <c r="GJZ187" s="537"/>
      <c r="GKA187" s="537"/>
      <c r="GKB187" s="537"/>
      <c r="GKC187" s="537"/>
      <c r="GKD187" s="537"/>
      <c r="GKE187" s="537"/>
      <c r="GKF187" s="537"/>
      <c r="GKG187" s="537"/>
      <c r="GKH187" s="537"/>
      <c r="GKI187" s="537"/>
      <c r="GKJ187" s="537"/>
      <c r="GKK187" s="537"/>
      <c r="GKL187" s="537"/>
      <c r="GKM187" s="537"/>
      <c r="GKN187" s="537"/>
      <c r="GKO187" s="537"/>
      <c r="GKP187" s="537"/>
      <c r="GKQ187" s="537"/>
      <c r="GKR187" s="537"/>
      <c r="GKS187" s="537"/>
      <c r="GKT187" s="537"/>
      <c r="GKU187" s="537"/>
      <c r="GKV187" s="537"/>
      <c r="GKW187" s="537"/>
      <c r="GKX187" s="537"/>
      <c r="GKY187" s="537"/>
      <c r="GKZ187" s="537"/>
      <c r="GLA187" s="537"/>
      <c r="GLB187" s="537"/>
      <c r="GLC187" s="537"/>
      <c r="GLD187" s="537"/>
      <c r="GLE187" s="537"/>
      <c r="GLF187" s="537"/>
      <c r="GLG187" s="537"/>
      <c r="GLH187" s="537"/>
      <c r="GLI187" s="537"/>
      <c r="GLJ187" s="537"/>
      <c r="GLK187" s="537"/>
      <c r="GLL187" s="537"/>
      <c r="GLM187" s="537"/>
      <c r="GLN187" s="537"/>
      <c r="GLO187" s="537"/>
      <c r="GLP187" s="537"/>
      <c r="GLQ187" s="537"/>
      <c r="GLR187" s="537"/>
      <c r="GLS187" s="537"/>
      <c r="GLT187" s="537"/>
      <c r="GLU187" s="537"/>
      <c r="GLV187" s="537"/>
      <c r="GLW187" s="537"/>
      <c r="GLX187" s="537"/>
      <c r="GLY187" s="537"/>
      <c r="GLZ187" s="537"/>
      <c r="GMA187" s="537"/>
      <c r="GMB187" s="537"/>
      <c r="GMC187" s="537"/>
      <c r="GMD187" s="537"/>
      <c r="GME187" s="537"/>
      <c r="GMF187" s="537"/>
      <c r="GMG187" s="537"/>
      <c r="GMH187" s="537"/>
      <c r="GMI187" s="537"/>
      <c r="GMJ187" s="537"/>
      <c r="GMK187" s="537"/>
      <c r="GML187" s="537"/>
      <c r="GMM187" s="537"/>
      <c r="GMN187" s="537"/>
      <c r="GMO187" s="537"/>
      <c r="GMP187" s="537"/>
      <c r="GMQ187" s="537"/>
      <c r="GMR187" s="537"/>
      <c r="GMS187" s="537"/>
      <c r="GMT187" s="537"/>
      <c r="GMU187" s="537"/>
      <c r="GMV187" s="537"/>
      <c r="GMW187" s="537"/>
      <c r="GMX187" s="537"/>
      <c r="GMY187" s="537"/>
      <c r="GMZ187" s="537"/>
      <c r="GNA187" s="537"/>
      <c r="GNB187" s="537"/>
      <c r="GNC187" s="537"/>
      <c r="GND187" s="537"/>
      <c r="GNE187" s="537"/>
      <c r="GNF187" s="537"/>
      <c r="GNG187" s="537"/>
      <c r="GNH187" s="537"/>
      <c r="GNI187" s="537"/>
      <c r="GNJ187" s="537"/>
      <c r="GNK187" s="537"/>
      <c r="GNL187" s="537"/>
      <c r="GNM187" s="537"/>
      <c r="GNN187" s="537"/>
      <c r="GNO187" s="537"/>
      <c r="GNP187" s="537"/>
      <c r="GNQ187" s="537"/>
      <c r="GNR187" s="537"/>
      <c r="GNS187" s="537"/>
      <c r="GNT187" s="537"/>
      <c r="GNU187" s="537"/>
      <c r="GNV187" s="537"/>
      <c r="GNW187" s="537"/>
      <c r="GNX187" s="537"/>
      <c r="GNY187" s="537"/>
      <c r="GNZ187" s="537"/>
      <c r="GOA187" s="537"/>
      <c r="GOB187" s="537"/>
      <c r="GOC187" s="537"/>
      <c r="GOD187" s="537"/>
      <c r="GOE187" s="537"/>
      <c r="GOF187" s="537"/>
      <c r="GOG187" s="537"/>
      <c r="GOH187" s="537"/>
      <c r="GOI187" s="537"/>
      <c r="GOJ187" s="537"/>
      <c r="GOK187" s="537"/>
      <c r="GOL187" s="537"/>
      <c r="GOM187" s="537"/>
      <c r="GON187" s="537"/>
      <c r="GOO187" s="537"/>
      <c r="GOP187" s="537"/>
      <c r="GOQ187" s="537"/>
      <c r="GOR187" s="537"/>
      <c r="GOS187" s="537"/>
      <c r="GOT187" s="537"/>
      <c r="GOU187" s="537"/>
      <c r="GOV187" s="537"/>
      <c r="GOW187" s="537"/>
      <c r="GOX187" s="537"/>
      <c r="GOY187" s="537"/>
      <c r="GOZ187" s="537"/>
      <c r="GPA187" s="537"/>
      <c r="GPB187" s="537"/>
      <c r="GPC187" s="537"/>
      <c r="GPD187" s="537"/>
      <c r="GPE187" s="537"/>
      <c r="GPF187" s="537"/>
      <c r="GPG187" s="537"/>
      <c r="GPH187" s="537"/>
      <c r="GPI187" s="537"/>
      <c r="GPJ187" s="537"/>
      <c r="GPK187" s="537"/>
      <c r="GPL187" s="537"/>
      <c r="GPM187" s="537"/>
      <c r="GPN187" s="537"/>
      <c r="GPO187" s="537"/>
      <c r="GPP187" s="537"/>
      <c r="GPQ187" s="537"/>
      <c r="GPR187" s="537"/>
      <c r="GPS187" s="537"/>
      <c r="GPT187" s="537"/>
      <c r="GPU187" s="537"/>
      <c r="GPV187" s="537"/>
      <c r="GPW187" s="537"/>
      <c r="GPX187" s="537"/>
      <c r="GPY187" s="537"/>
      <c r="GPZ187" s="537"/>
      <c r="GQA187" s="537"/>
      <c r="GQB187" s="537"/>
      <c r="GQC187" s="537"/>
      <c r="GQD187" s="537"/>
      <c r="GQE187" s="537"/>
      <c r="GQF187" s="537"/>
      <c r="GQG187" s="537"/>
      <c r="GQH187" s="537"/>
      <c r="GQI187" s="537"/>
      <c r="GQJ187" s="537"/>
      <c r="GQK187" s="537"/>
      <c r="GQL187" s="537"/>
      <c r="GQM187" s="537"/>
      <c r="GQN187" s="537"/>
      <c r="GQO187" s="537"/>
      <c r="GQP187" s="537"/>
      <c r="GQQ187" s="537"/>
      <c r="GQR187" s="537"/>
      <c r="GQS187" s="537"/>
      <c r="GQT187" s="537"/>
      <c r="GQU187" s="537"/>
      <c r="GQV187" s="537"/>
      <c r="GQW187" s="537"/>
      <c r="GQX187" s="537"/>
      <c r="GQY187" s="537"/>
      <c r="GQZ187" s="537"/>
      <c r="GRA187" s="537"/>
      <c r="GRB187" s="537"/>
      <c r="GRC187" s="537"/>
      <c r="GRD187" s="537"/>
      <c r="GRE187" s="537"/>
      <c r="GRF187" s="537"/>
      <c r="GRG187" s="537"/>
      <c r="GRH187" s="537"/>
      <c r="GRI187" s="537"/>
      <c r="GRJ187" s="537"/>
      <c r="GRK187" s="537"/>
      <c r="GRL187" s="537"/>
      <c r="GRM187" s="537"/>
      <c r="GRN187" s="537"/>
      <c r="GRO187" s="537"/>
      <c r="GRP187" s="537"/>
      <c r="GRQ187" s="537"/>
      <c r="GRR187" s="537"/>
      <c r="GRS187" s="537"/>
      <c r="GRT187" s="537"/>
      <c r="GRU187" s="537"/>
      <c r="GRV187" s="537"/>
      <c r="GRW187" s="537"/>
      <c r="GRX187" s="537"/>
      <c r="GRY187" s="537"/>
      <c r="GRZ187" s="537"/>
      <c r="GSA187" s="537"/>
      <c r="GSB187" s="537"/>
      <c r="GSC187" s="537"/>
      <c r="GSD187" s="537"/>
      <c r="GSE187" s="537"/>
      <c r="GSF187" s="537"/>
      <c r="GSG187" s="537"/>
      <c r="GSH187" s="537"/>
      <c r="GSI187" s="537"/>
      <c r="GSJ187" s="537"/>
      <c r="GSK187" s="537"/>
      <c r="GSL187" s="537"/>
      <c r="GSM187" s="537"/>
      <c r="GSN187" s="537"/>
      <c r="GSO187" s="537"/>
      <c r="GSP187" s="537"/>
      <c r="GSQ187" s="537"/>
      <c r="GSR187" s="537"/>
      <c r="GSS187" s="537"/>
      <c r="GST187" s="537"/>
      <c r="GSU187" s="537"/>
      <c r="GSV187" s="537"/>
      <c r="GSW187" s="537"/>
      <c r="GSX187" s="537"/>
      <c r="GSY187" s="537"/>
      <c r="GSZ187" s="537"/>
      <c r="GTA187" s="537"/>
      <c r="GTB187" s="537"/>
      <c r="GTC187" s="537"/>
      <c r="GTD187" s="537"/>
      <c r="GTE187" s="537"/>
      <c r="GTF187" s="537"/>
      <c r="GTG187" s="537"/>
      <c r="GTH187" s="537"/>
      <c r="GTI187" s="537"/>
      <c r="GTJ187" s="537"/>
      <c r="GTK187" s="537"/>
      <c r="GTL187" s="537"/>
      <c r="GTM187" s="537"/>
      <c r="GTN187" s="537"/>
      <c r="GTO187" s="537"/>
      <c r="GTP187" s="537"/>
      <c r="GTQ187" s="537"/>
      <c r="GTR187" s="537"/>
      <c r="GTS187" s="537"/>
      <c r="GTT187" s="537"/>
      <c r="GTU187" s="537"/>
      <c r="GTV187" s="537"/>
      <c r="GTW187" s="537"/>
      <c r="GTX187" s="537"/>
      <c r="GTY187" s="537"/>
      <c r="GTZ187" s="537"/>
      <c r="GUA187" s="537"/>
      <c r="GUB187" s="537"/>
      <c r="GUC187" s="537"/>
      <c r="GUD187" s="537"/>
      <c r="GUE187" s="537"/>
      <c r="GUF187" s="537"/>
      <c r="GUG187" s="537"/>
      <c r="GUH187" s="537"/>
      <c r="GUI187" s="537"/>
      <c r="GUJ187" s="537"/>
      <c r="GUK187" s="537"/>
      <c r="GUL187" s="537"/>
      <c r="GUM187" s="537"/>
      <c r="GUN187" s="537"/>
      <c r="GUO187" s="537"/>
      <c r="GUP187" s="537"/>
      <c r="GUQ187" s="537"/>
      <c r="GUR187" s="537"/>
      <c r="GUS187" s="537"/>
      <c r="GUT187" s="537"/>
      <c r="GUU187" s="537"/>
      <c r="GUV187" s="537"/>
      <c r="GUW187" s="537"/>
      <c r="GUX187" s="537"/>
      <c r="GUY187" s="537"/>
      <c r="GUZ187" s="537"/>
      <c r="GVA187" s="537"/>
      <c r="GVB187" s="537"/>
      <c r="GVC187" s="537"/>
      <c r="GVD187" s="537"/>
      <c r="GVE187" s="537"/>
      <c r="GVF187" s="537"/>
      <c r="GVG187" s="537"/>
      <c r="GVH187" s="537"/>
      <c r="GVI187" s="537"/>
      <c r="GVJ187" s="537"/>
      <c r="GVK187" s="537"/>
      <c r="GVL187" s="537"/>
      <c r="GVM187" s="537"/>
      <c r="GVN187" s="537"/>
      <c r="GVO187" s="537"/>
      <c r="GVP187" s="537"/>
      <c r="GVQ187" s="537"/>
      <c r="GVR187" s="537"/>
      <c r="GVS187" s="537"/>
      <c r="GVT187" s="537"/>
      <c r="GVU187" s="537"/>
      <c r="GVV187" s="537"/>
      <c r="GVW187" s="537"/>
      <c r="GVX187" s="537"/>
      <c r="GVY187" s="537"/>
      <c r="GVZ187" s="537"/>
      <c r="GWA187" s="537"/>
      <c r="GWB187" s="537"/>
      <c r="GWC187" s="537"/>
      <c r="GWD187" s="537"/>
      <c r="GWE187" s="537"/>
      <c r="GWF187" s="537"/>
      <c r="GWG187" s="537"/>
      <c r="GWH187" s="537"/>
      <c r="GWI187" s="537"/>
      <c r="GWJ187" s="537"/>
      <c r="GWK187" s="537"/>
      <c r="GWL187" s="537"/>
      <c r="GWM187" s="537"/>
      <c r="GWN187" s="537"/>
      <c r="GWO187" s="537"/>
      <c r="GWP187" s="537"/>
      <c r="GWQ187" s="537"/>
      <c r="GWR187" s="537"/>
      <c r="GWS187" s="537"/>
      <c r="GWT187" s="537"/>
      <c r="GWU187" s="537"/>
      <c r="GWV187" s="537"/>
      <c r="GWW187" s="537"/>
      <c r="GWX187" s="537"/>
      <c r="GWY187" s="537"/>
      <c r="GWZ187" s="537"/>
      <c r="GXA187" s="537"/>
      <c r="GXB187" s="537"/>
      <c r="GXC187" s="537"/>
      <c r="GXD187" s="537"/>
      <c r="GXE187" s="537"/>
      <c r="GXF187" s="537"/>
      <c r="GXG187" s="537"/>
      <c r="GXH187" s="537"/>
      <c r="GXI187" s="537"/>
      <c r="GXJ187" s="537"/>
      <c r="GXK187" s="537"/>
      <c r="GXL187" s="537"/>
      <c r="GXM187" s="537"/>
      <c r="GXN187" s="537"/>
      <c r="GXO187" s="537"/>
      <c r="GXP187" s="537"/>
      <c r="GXQ187" s="537"/>
      <c r="GXR187" s="537"/>
      <c r="GXS187" s="537"/>
      <c r="GXT187" s="537"/>
      <c r="GXU187" s="537"/>
      <c r="GXV187" s="537"/>
      <c r="GXW187" s="537"/>
      <c r="GXX187" s="537"/>
      <c r="GXY187" s="537"/>
      <c r="GXZ187" s="537"/>
      <c r="GYA187" s="537"/>
      <c r="GYB187" s="537"/>
      <c r="GYC187" s="537"/>
      <c r="GYD187" s="537"/>
      <c r="GYE187" s="537"/>
      <c r="GYF187" s="537"/>
      <c r="GYG187" s="537"/>
      <c r="GYH187" s="537"/>
      <c r="GYI187" s="537"/>
      <c r="GYJ187" s="537"/>
      <c r="GYK187" s="537"/>
      <c r="GYL187" s="537"/>
      <c r="GYM187" s="537"/>
      <c r="GYN187" s="537"/>
      <c r="GYO187" s="537"/>
      <c r="GYP187" s="537"/>
      <c r="GYQ187" s="537"/>
      <c r="GYR187" s="537"/>
      <c r="GYS187" s="537"/>
      <c r="GYT187" s="537"/>
      <c r="GYU187" s="537"/>
      <c r="GYV187" s="537"/>
      <c r="GYW187" s="537"/>
      <c r="GYX187" s="537"/>
      <c r="GYY187" s="537"/>
      <c r="GYZ187" s="537"/>
      <c r="GZA187" s="537"/>
      <c r="GZB187" s="537"/>
      <c r="GZC187" s="537"/>
      <c r="GZD187" s="537"/>
      <c r="GZE187" s="537"/>
      <c r="GZF187" s="537"/>
      <c r="GZG187" s="537"/>
      <c r="GZH187" s="537"/>
      <c r="GZI187" s="537"/>
      <c r="GZJ187" s="537"/>
      <c r="GZK187" s="537"/>
      <c r="GZL187" s="537"/>
      <c r="GZM187" s="537"/>
      <c r="GZN187" s="537"/>
      <c r="GZO187" s="537"/>
      <c r="GZP187" s="537"/>
      <c r="GZQ187" s="537"/>
      <c r="GZR187" s="537"/>
      <c r="GZS187" s="537"/>
      <c r="GZT187" s="537"/>
      <c r="GZU187" s="537"/>
      <c r="GZV187" s="537"/>
      <c r="GZW187" s="537"/>
      <c r="GZX187" s="537"/>
      <c r="GZY187" s="537"/>
      <c r="GZZ187" s="537"/>
      <c r="HAA187" s="537"/>
      <c r="HAB187" s="537"/>
      <c r="HAC187" s="537"/>
      <c r="HAD187" s="537"/>
      <c r="HAE187" s="537"/>
      <c r="HAF187" s="537"/>
      <c r="HAG187" s="537"/>
      <c r="HAH187" s="537"/>
      <c r="HAI187" s="537"/>
      <c r="HAJ187" s="537"/>
      <c r="HAK187" s="537"/>
      <c r="HAL187" s="537"/>
      <c r="HAM187" s="537"/>
      <c r="HAN187" s="537"/>
      <c r="HAO187" s="537"/>
      <c r="HAP187" s="537"/>
      <c r="HAQ187" s="537"/>
      <c r="HAR187" s="537"/>
      <c r="HAS187" s="537"/>
      <c r="HAT187" s="537"/>
      <c r="HAU187" s="537"/>
      <c r="HAV187" s="537"/>
      <c r="HAW187" s="537"/>
      <c r="HAX187" s="537"/>
      <c r="HAY187" s="537"/>
      <c r="HAZ187" s="537"/>
      <c r="HBA187" s="537"/>
      <c r="HBB187" s="537"/>
      <c r="HBC187" s="537"/>
      <c r="HBD187" s="537"/>
      <c r="HBE187" s="537"/>
      <c r="HBF187" s="537"/>
      <c r="HBG187" s="537"/>
      <c r="HBH187" s="537"/>
      <c r="HBI187" s="537"/>
      <c r="HBJ187" s="537"/>
      <c r="HBK187" s="537"/>
      <c r="HBL187" s="537"/>
      <c r="HBM187" s="537"/>
      <c r="HBN187" s="537"/>
      <c r="HBO187" s="537"/>
      <c r="HBP187" s="537"/>
      <c r="HBQ187" s="537"/>
      <c r="HBR187" s="537"/>
      <c r="HBS187" s="537"/>
      <c r="HBT187" s="537"/>
      <c r="HBU187" s="537"/>
      <c r="HBV187" s="537"/>
      <c r="HBW187" s="537"/>
      <c r="HBX187" s="537"/>
      <c r="HBY187" s="537"/>
      <c r="HBZ187" s="537"/>
      <c r="HCA187" s="537"/>
      <c r="HCB187" s="537"/>
      <c r="HCC187" s="537"/>
      <c r="HCD187" s="537"/>
      <c r="HCE187" s="537"/>
      <c r="HCF187" s="537"/>
      <c r="HCG187" s="537"/>
      <c r="HCH187" s="537"/>
      <c r="HCI187" s="537"/>
      <c r="HCJ187" s="537"/>
      <c r="HCK187" s="537"/>
      <c r="HCL187" s="537"/>
      <c r="HCM187" s="537"/>
      <c r="HCN187" s="537"/>
      <c r="HCO187" s="537"/>
      <c r="HCP187" s="537"/>
      <c r="HCQ187" s="537"/>
      <c r="HCR187" s="537"/>
      <c r="HCS187" s="537"/>
      <c r="HCT187" s="537"/>
      <c r="HCU187" s="537"/>
      <c r="HCV187" s="537"/>
      <c r="HCW187" s="537"/>
      <c r="HCX187" s="537"/>
      <c r="HCY187" s="537"/>
      <c r="HCZ187" s="537"/>
      <c r="HDA187" s="537"/>
      <c r="HDB187" s="537"/>
      <c r="HDC187" s="537"/>
      <c r="HDD187" s="537"/>
      <c r="HDE187" s="537"/>
      <c r="HDF187" s="537"/>
      <c r="HDG187" s="537"/>
      <c r="HDH187" s="537"/>
      <c r="HDI187" s="537"/>
      <c r="HDJ187" s="537"/>
      <c r="HDK187" s="537"/>
      <c r="HDL187" s="537"/>
      <c r="HDM187" s="537"/>
      <c r="HDN187" s="537"/>
      <c r="HDO187" s="537"/>
      <c r="HDP187" s="537"/>
      <c r="HDQ187" s="537"/>
      <c r="HDR187" s="537"/>
      <c r="HDS187" s="537"/>
      <c r="HDT187" s="537"/>
      <c r="HDU187" s="537"/>
      <c r="HDV187" s="537"/>
      <c r="HDW187" s="537"/>
      <c r="HDX187" s="537"/>
      <c r="HDY187" s="537"/>
      <c r="HDZ187" s="537"/>
      <c r="HEA187" s="537"/>
      <c r="HEB187" s="537"/>
      <c r="HEC187" s="537"/>
      <c r="HED187" s="537"/>
      <c r="HEE187" s="537"/>
      <c r="HEF187" s="537"/>
      <c r="HEG187" s="537"/>
      <c r="HEH187" s="537"/>
      <c r="HEI187" s="537"/>
      <c r="HEJ187" s="537"/>
      <c r="HEK187" s="537"/>
      <c r="HEL187" s="537"/>
      <c r="HEM187" s="537"/>
      <c r="HEN187" s="537"/>
      <c r="HEO187" s="537"/>
      <c r="HEP187" s="537"/>
      <c r="HEQ187" s="537"/>
      <c r="HER187" s="537"/>
      <c r="HES187" s="537"/>
      <c r="HET187" s="537"/>
      <c r="HEU187" s="537"/>
      <c r="HEV187" s="537"/>
      <c r="HEW187" s="537"/>
      <c r="HEX187" s="537"/>
      <c r="HEY187" s="537"/>
      <c r="HEZ187" s="537"/>
      <c r="HFA187" s="537"/>
      <c r="HFB187" s="537"/>
      <c r="HFC187" s="537"/>
      <c r="HFD187" s="537"/>
      <c r="HFE187" s="537"/>
      <c r="HFF187" s="537"/>
      <c r="HFG187" s="537"/>
      <c r="HFH187" s="537"/>
      <c r="HFI187" s="537"/>
      <c r="HFJ187" s="537"/>
      <c r="HFK187" s="537"/>
      <c r="HFL187" s="537"/>
      <c r="HFM187" s="537"/>
      <c r="HFN187" s="537"/>
      <c r="HFO187" s="537"/>
      <c r="HFP187" s="537"/>
      <c r="HFQ187" s="537"/>
      <c r="HFR187" s="537"/>
      <c r="HFS187" s="537"/>
      <c r="HFT187" s="537"/>
      <c r="HFU187" s="537"/>
      <c r="HFV187" s="537"/>
      <c r="HFW187" s="537"/>
      <c r="HFX187" s="537"/>
      <c r="HFY187" s="537"/>
      <c r="HFZ187" s="537"/>
      <c r="HGA187" s="537"/>
      <c r="HGB187" s="537"/>
      <c r="HGC187" s="537"/>
      <c r="HGD187" s="537"/>
      <c r="HGE187" s="537"/>
      <c r="HGF187" s="537"/>
      <c r="HGG187" s="537"/>
      <c r="HGH187" s="537"/>
      <c r="HGI187" s="537"/>
      <c r="HGJ187" s="537"/>
      <c r="HGK187" s="537"/>
      <c r="HGL187" s="537"/>
      <c r="HGM187" s="537"/>
      <c r="HGN187" s="537"/>
      <c r="HGO187" s="537"/>
      <c r="HGP187" s="537"/>
      <c r="HGQ187" s="537"/>
      <c r="HGR187" s="537"/>
      <c r="HGS187" s="537"/>
      <c r="HGT187" s="537"/>
      <c r="HGU187" s="537"/>
      <c r="HGV187" s="537"/>
      <c r="HGW187" s="537"/>
      <c r="HGX187" s="537"/>
      <c r="HGY187" s="537"/>
      <c r="HGZ187" s="537"/>
      <c r="HHA187" s="537"/>
      <c r="HHB187" s="537"/>
      <c r="HHC187" s="537"/>
      <c r="HHD187" s="537"/>
      <c r="HHE187" s="537"/>
      <c r="HHF187" s="537"/>
      <c r="HHG187" s="537"/>
      <c r="HHH187" s="537"/>
      <c r="HHI187" s="537"/>
      <c r="HHJ187" s="537"/>
      <c r="HHK187" s="537"/>
      <c r="HHL187" s="537"/>
      <c r="HHM187" s="537"/>
      <c r="HHN187" s="537"/>
      <c r="HHO187" s="537"/>
      <c r="HHP187" s="537"/>
      <c r="HHQ187" s="537"/>
      <c r="HHR187" s="537"/>
      <c r="HHS187" s="537"/>
      <c r="HHT187" s="537"/>
      <c r="HHU187" s="537"/>
      <c r="HHV187" s="537"/>
      <c r="HHW187" s="537"/>
      <c r="HHX187" s="537"/>
      <c r="HHY187" s="537"/>
      <c r="HHZ187" s="537"/>
      <c r="HIA187" s="537"/>
      <c r="HIB187" s="537"/>
      <c r="HIC187" s="537"/>
      <c r="HID187" s="537"/>
      <c r="HIE187" s="537"/>
      <c r="HIF187" s="537"/>
      <c r="HIG187" s="537"/>
      <c r="HIH187" s="537"/>
      <c r="HII187" s="537"/>
      <c r="HIJ187" s="537"/>
      <c r="HIK187" s="537"/>
      <c r="HIL187" s="537"/>
      <c r="HIM187" s="537"/>
      <c r="HIN187" s="537"/>
      <c r="HIO187" s="537"/>
      <c r="HIP187" s="537"/>
      <c r="HIQ187" s="537"/>
      <c r="HIR187" s="537"/>
      <c r="HIS187" s="537"/>
      <c r="HIT187" s="537"/>
      <c r="HIU187" s="537"/>
      <c r="HIV187" s="537"/>
      <c r="HIW187" s="537"/>
      <c r="HIX187" s="537"/>
      <c r="HIY187" s="537"/>
      <c r="HIZ187" s="537"/>
      <c r="HJA187" s="537"/>
      <c r="HJB187" s="537"/>
      <c r="HJC187" s="537"/>
      <c r="HJD187" s="537"/>
      <c r="HJE187" s="537"/>
      <c r="HJF187" s="537"/>
      <c r="HJG187" s="537"/>
      <c r="HJH187" s="537"/>
      <c r="HJI187" s="537"/>
      <c r="HJJ187" s="537"/>
      <c r="HJK187" s="537"/>
      <c r="HJL187" s="537"/>
      <c r="HJM187" s="537"/>
      <c r="HJN187" s="537"/>
      <c r="HJO187" s="537"/>
      <c r="HJP187" s="537"/>
      <c r="HJQ187" s="537"/>
      <c r="HJR187" s="537"/>
      <c r="HJS187" s="537"/>
      <c r="HJT187" s="537"/>
      <c r="HJU187" s="537"/>
      <c r="HJV187" s="537"/>
      <c r="HJW187" s="537"/>
      <c r="HJX187" s="537"/>
      <c r="HJY187" s="537"/>
      <c r="HJZ187" s="537"/>
      <c r="HKA187" s="537"/>
      <c r="HKB187" s="537"/>
      <c r="HKC187" s="537"/>
      <c r="HKD187" s="537"/>
      <c r="HKE187" s="537"/>
      <c r="HKF187" s="537"/>
      <c r="HKG187" s="537"/>
      <c r="HKH187" s="537"/>
      <c r="HKI187" s="537"/>
      <c r="HKJ187" s="537"/>
      <c r="HKK187" s="537"/>
      <c r="HKL187" s="537"/>
      <c r="HKM187" s="537"/>
      <c r="HKN187" s="537"/>
      <c r="HKO187" s="537"/>
      <c r="HKP187" s="537"/>
      <c r="HKQ187" s="537"/>
      <c r="HKR187" s="537"/>
      <c r="HKS187" s="537"/>
      <c r="HKT187" s="537"/>
      <c r="HKU187" s="537"/>
      <c r="HKV187" s="537"/>
      <c r="HKW187" s="537"/>
      <c r="HKX187" s="537"/>
      <c r="HKY187" s="537"/>
      <c r="HKZ187" s="537"/>
      <c r="HLA187" s="537"/>
      <c r="HLB187" s="537"/>
      <c r="HLC187" s="537"/>
      <c r="HLD187" s="537"/>
      <c r="HLE187" s="537"/>
      <c r="HLF187" s="537"/>
      <c r="HLG187" s="537"/>
      <c r="HLH187" s="537"/>
      <c r="HLI187" s="537"/>
      <c r="HLJ187" s="537"/>
      <c r="HLK187" s="537"/>
      <c r="HLL187" s="537"/>
      <c r="HLM187" s="537"/>
      <c r="HLN187" s="537"/>
      <c r="HLO187" s="537"/>
      <c r="HLP187" s="537"/>
      <c r="HLQ187" s="537"/>
      <c r="HLR187" s="537"/>
      <c r="HLS187" s="537"/>
      <c r="HLT187" s="537"/>
      <c r="HLU187" s="537"/>
      <c r="HLV187" s="537"/>
      <c r="HLW187" s="537"/>
      <c r="HLX187" s="537"/>
      <c r="HLY187" s="537"/>
      <c r="HLZ187" s="537"/>
      <c r="HMA187" s="537"/>
      <c r="HMB187" s="537"/>
      <c r="HMC187" s="537"/>
      <c r="HMD187" s="537"/>
      <c r="HME187" s="537"/>
      <c r="HMF187" s="537"/>
      <c r="HMG187" s="537"/>
      <c r="HMH187" s="537"/>
      <c r="HMI187" s="537"/>
      <c r="HMJ187" s="537"/>
      <c r="HMK187" s="537"/>
      <c r="HML187" s="537"/>
      <c r="HMM187" s="537"/>
      <c r="HMN187" s="537"/>
      <c r="HMO187" s="537"/>
      <c r="HMP187" s="537"/>
      <c r="HMQ187" s="537"/>
      <c r="HMR187" s="537"/>
      <c r="HMS187" s="537"/>
      <c r="HMT187" s="537"/>
      <c r="HMU187" s="537"/>
      <c r="HMV187" s="537"/>
      <c r="HMW187" s="537"/>
      <c r="HMX187" s="537"/>
      <c r="HMY187" s="537"/>
      <c r="HMZ187" s="537"/>
      <c r="HNA187" s="537"/>
      <c r="HNB187" s="537"/>
      <c r="HNC187" s="537"/>
      <c r="HND187" s="537"/>
      <c r="HNE187" s="537"/>
      <c r="HNF187" s="537"/>
      <c r="HNG187" s="537"/>
      <c r="HNH187" s="537"/>
      <c r="HNI187" s="537"/>
      <c r="HNJ187" s="537"/>
      <c r="HNK187" s="537"/>
      <c r="HNL187" s="537"/>
      <c r="HNM187" s="537"/>
      <c r="HNN187" s="537"/>
      <c r="HNO187" s="537"/>
      <c r="HNP187" s="537"/>
      <c r="HNQ187" s="537"/>
      <c r="HNR187" s="537"/>
      <c r="HNS187" s="537"/>
      <c r="HNT187" s="537"/>
      <c r="HNU187" s="537"/>
      <c r="HNV187" s="537"/>
      <c r="HNW187" s="537"/>
      <c r="HNX187" s="537"/>
      <c r="HNY187" s="537"/>
      <c r="HNZ187" s="537"/>
      <c r="HOA187" s="537"/>
      <c r="HOB187" s="537"/>
      <c r="HOC187" s="537"/>
      <c r="HOD187" s="537"/>
      <c r="HOE187" s="537"/>
      <c r="HOF187" s="537"/>
      <c r="HOG187" s="537"/>
      <c r="HOH187" s="537"/>
      <c r="HOI187" s="537"/>
      <c r="HOJ187" s="537"/>
      <c r="HOK187" s="537"/>
      <c r="HOL187" s="537"/>
      <c r="HOM187" s="537"/>
      <c r="HON187" s="537"/>
      <c r="HOO187" s="537"/>
      <c r="HOP187" s="537"/>
      <c r="HOQ187" s="537"/>
      <c r="HOR187" s="537"/>
      <c r="HOS187" s="537"/>
      <c r="HOT187" s="537"/>
      <c r="HOU187" s="537"/>
      <c r="HOV187" s="537"/>
      <c r="HOW187" s="537"/>
      <c r="HOX187" s="537"/>
      <c r="HOY187" s="537"/>
      <c r="HOZ187" s="537"/>
      <c r="HPA187" s="537"/>
      <c r="HPB187" s="537"/>
      <c r="HPC187" s="537"/>
      <c r="HPD187" s="537"/>
      <c r="HPE187" s="537"/>
      <c r="HPF187" s="537"/>
      <c r="HPG187" s="537"/>
      <c r="HPH187" s="537"/>
      <c r="HPI187" s="537"/>
      <c r="HPJ187" s="537"/>
      <c r="HPK187" s="537"/>
      <c r="HPL187" s="537"/>
      <c r="HPM187" s="537"/>
      <c r="HPN187" s="537"/>
      <c r="HPO187" s="537"/>
      <c r="HPP187" s="537"/>
      <c r="HPQ187" s="537"/>
      <c r="HPR187" s="537"/>
      <c r="HPS187" s="537"/>
      <c r="HPT187" s="537"/>
      <c r="HPU187" s="537"/>
      <c r="HPV187" s="537"/>
      <c r="HPW187" s="537"/>
      <c r="HPX187" s="537"/>
      <c r="HPY187" s="537"/>
      <c r="HPZ187" s="537"/>
      <c r="HQA187" s="537"/>
      <c r="HQB187" s="537"/>
      <c r="HQC187" s="537"/>
      <c r="HQD187" s="537"/>
      <c r="HQE187" s="537"/>
      <c r="HQF187" s="537"/>
      <c r="HQG187" s="537"/>
      <c r="HQH187" s="537"/>
      <c r="HQI187" s="537"/>
      <c r="HQJ187" s="537"/>
      <c r="HQK187" s="537"/>
      <c r="HQL187" s="537"/>
      <c r="HQM187" s="537"/>
      <c r="HQN187" s="537"/>
      <c r="HQO187" s="537"/>
      <c r="HQP187" s="537"/>
      <c r="HQQ187" s="537"/>
      <c r="HQR187" s="537"/>
      <c r="HQS187" s="537"/>
      <c r="HQT187" s="537"/>
      <c r="HQU187" s="537"/>
      <c r="HQV187" s="537"/>
      <c r="HQW187" s="537"/>
      <c r="HQX187" s="537"/>
      <c r="HQY187" s="537"/>
      <c r="HQZ187" s="537"/>
      <c r="HRA187" s="537"/>
      <c r="HRB187" s="537"/>
      <c r="HRC187" s="537"/>
      <c r="HRD187" s="537"/>
      <c r="HRE187" s="537"/>
      <c r="HRF187" s="537"/>
      <c r="HRG187" s="537"/>
      <c r="HRH187" s="537"/>
      <c r="HRI187" s="537"/>
      <c r="HRJ187" s="537"/>
      <c r="HRK187" s="537"/>
      <c r="HRL187" s="537"/>
      <c r="HRM187" s="537"/>
      <c r="HRN187" s="537"/>
      <c r="HRO187" s="537"/>
      <c r="HRP187" s="537"/>
      <c r="HRQ187" s="537"/>
      <c r="HRR187" s="537"/>
      <c r="HRS187" s="537"/>
      <c r="HRT187" s="537"/>
      <c r="HRU187" s="537"/>
      <c r="HRV187" s="537"/>
      <c r="HRW187" s="537"/>
      <c r="HRX187" s="537"/>
      <c r="HRY187" s="537"/>
      <c r="HRZ187" s="537"/>
      <c r="HSA187" s="537"/>
      <c r="HSB187" s="537"/>
      <c r="HSC187" s="537"/>
      <c r="HSD187" s="537"/>
      <c r="HSE187" s="537"/>
      <c r="HSF187" s="537"/>
      <c r="HSG187" s="537"/>
      <c r="HSH187" s="537"/>
      <c r="HSI187" s="537"/>
      <c r="HSJ187" s="537"/>
      <c r="HSK187" s="537"/>
      <c r="HSL187" s="537"/>
      <c r="HSM187" s="537"/>
      <c r="HSN187" s="537"/>
      <c r="HSO187" s="537"/>
      <c r="HSP187" s="537"/>
      <c r="HSQ187" s="537"/>
      <c r="HSR187" s="537"/>
      <c r="HSS187" s="537"/>
      <c r="HST187" s="537"/>
      <c r="HSU187" s="537"/>
      <c r="HSV187" s="537"/>
      <c r="HSW187" s="537"/>
      <c r="HSX187" s="537"/>
      <c r="HSY187" s="537"/>
      <c r="HSZ187" s="537"/>
      <c r="HTA187" s="537"/>
      <c r="HTB187" s="537"/>
      <c r="HTC187" s="537"/>
      <c r="HTD187" s="537"/>
      <c r="HTE187" s="537"/>
      <c r="HTF187" s="537"/>
      <c r="HTG187" s="537"/>
      <c r="HTH187" s="537"/>
      <c r="HTI187" s="537"/>
      <c r="HTJ187" s="537"/>
      <c r="HTK187" s="537"/>
      <c r="HTL187" s="537"/>
      <c r="HTM187" s="537"/>
      <c r="HTN187" s="537"/>
      <c r="HTO187" s="537"/>
      <c r="HTP187" s="537"/>
      <c r="HTQ187" s="537"/>
      <c r="HTR187" s="537"/>
      <c r="HTS187" s="537"/>
      <c r="HTT187" s="537"/>
      <c r="HTU187" s="537"/>
      <c r="HTV187" s="537"/>
      <c r="HTW187" s="537"/>
      <c r="HTX187" s="537"/>
      <c r="HTY187" s="537"/>
      <c r="HTZ187" s="537"/>
      <c r="HUA187" s="537"/>
      <c r="HUB187" s="537"/>
      <c r="HUC187" s="537"/>
      <c r="HUD187" s="537"/>
      <c r="HUE187" s="537"/>
      <c r="HUF187" s="537"/>
      <c r="HUG187" s="537"/>
      <c r="HUH187" s="537"/>
      <c r="HUI187" s="537"/>
      <c r="HUJ187" s="537"/>
      <c r="HUK187" s="537"/>
      <c r="HUL187" s="537"/>
      <c r="HUM187" s="537"/>
      <c r="HUN187" s="537"/>
      <c r="HUO187" s="537"/>
      <c r="HUP187" s="537"/>
      <c r="HUQ187" s="537"/>
      <c r="HUR187" s="537"/>
      <c r="HUS187" s="537"/>
      <c r="HUT187" s="537"/>
      <c r="HUU187" s="537"/>
      <c r="HUV187" s="537"/>
      <c r="HUW187" s="537"/>
      <c r="HUX187" s="537"/>
      <c r="HUY187" s="537"/>
      <c r="HUZ187" s="537"/>
      <c r="HVA187" s="537"/>
      <c r="HVB187" s="537"/>
      <c r="HVC187" s="537"/>
      <c r="HVD187" s="537"/>
      <c r="HVE187" s="537"/>
      <c r="HVF187" s="537"/>
      <c r="HVG187" s="537"/>
      <c r="HVH187" s="537"/>
      <c r="HVI187" s="537"/>
      <c r="HVJ187" s="537"/>
      <c r="HVK187" s="537"/>
      <c r="HVL187" s="537"/>
      <c r="HVM187" s="537"/>
      <c r="HVN187" s="537"/>
      <c r="HVO187" s="537"/>
      <c r="HVP187" s="537"/>
      <c r="HVQ187" s="537"/>
      <c r="HVR187" s="537"/>
      <c r="HVS187" s="537"/>
      <c r="HVT187" s="537"/>
      <c r="HVU187" s="537"/>
      <c r="HVV187" s="537"/>
      <c r="HVW187" s="537"/>
      <c r="HVX187" s="537"/>
      <c r="HVY187" s="537"/>
      <c r="HVZ187" s="537"/>
      <c r="HWA187" s="537"/>
      <c r="HWB187" s="537"/>
      <c r="HWC187" s="537"/>
      <c r="HWD187" s="537"/>
      <c r="HWE187" s="537"/>
      <c r="HWF187" s="537"/>
      <c r="HWG187" s="537"/>
      <c r="HWH187" s="537"/>
      <c r="HWI187" s="537"/>
      <c r="HWJ187" s="537"/>
      <c r="HWK187" s="537"/>
      <c r="HWL187" s="537"/>
      <c r="HWM187" s="537"/>
      <c r="HWN187" s="537"/>
      <c r="HWO187" s="537"/>
      <c r="HWP187" s="537"/>
      <c r="HWQ187" s="537"/>
      <c r="HWR187" s="537"/>
      <c r="HWS187" s="537"/>
      <c r="HWT187" s="537"/>
      <c r="HWU187" s="537"/>
      <c r="HWV187" s="537"/>
      <c r="HWW187" s="537"/>
      <c r="HWX187" s="537"/>
      <c r="HWY187" s="537"/>
      <c r="HWZ187" s="537"/>
      <c r="HXA187" s="537"/>
      <c r="HXB187" s="537"/>
      <c r="HXC187" s="537"/>
      <c r="HXD187" s="537"/>
      <c r="HXE187" s="537"/>
      <c r="HXF187" s="537"/>
      <c r="HXG187" s="537"/>
      <c r="HXH187" s="537"/>
      <c r="HXI187" s="537"/>
      <c r="HXJ187" s="537"/>
      <c r="HXK187" s="537"/>
      <c r="HXL187" s="537"/>
      <c r="HXM187" s="537"/>
      <c r="HXN187" s="537"/>
      <c r="HXO187" s="537"/>
      <c r="HXP187" s="537"/>
      <c r="HXQ187" s="537"/>
      <c r="HXR187" s="537"/>
      <c r="HXS187" s="537"/>
      <c r="HXT187" s="537"/>
      <c r="HXU187" s="537"/>
      <c r="HXV187" s="537"/>
      <c r="HXW187" s="537"/>
      <c r="HXX187" s="537"/>
      <c r="HXY187" s="537"/>
      <c r="HXZ187" s="537"/>
      <c r="HYA187" s="537"/>
      <c r="HYB187" s="537"/>
      <c r="HYC187" s="537"/>
      <c r="HYD187" s="537"/>
      <c r="HYE187" s="537"/>
      <c r="HYF187" s="537"/>
      <c r="HYG187" s="537"/>
      <c r="HYH187" s="537"/>
      <c r="HYI187" s="537"/>
      <c r="HYJ187" s="537"/>
      <c r="HYK187" s="537"/>
      <c r="HYL187" s="537"/>
      <c r="HYM187" s="537"/>
      <c r="HYN187" s="537"/>
      <c r="HYO187" s="537"/>
      <c r="HYP187" s="537"/>
      <c r="HYQ187" s="537"/>
      <c r="HYR187" s="537"/>
      <c r="HYS187" s="537"/>
      <c r="HYT187" s="537"/>
      <c r="HYU187" s="537"/>
      <c r="HYV187" s="537"/>
      <c r="HYW187" s="537"/>
      <c r="HYX187" s="537"/>
      <c r="HYY187" s="537"/>
      <c r="HYZ187" s="537"/>
      <c r="HZA187" s="537"/>
      <c r="HZB187" s="537"/>
      <c r="HZC187" s="537"/>
      <c r="HZD187" s="537"/>
      <c r="HZE187" s="537"/>
      <c r="HZF187" s="537"/>
      <c r="HZG187" s="537"/>
      <c r="HZH187" s="537"/>
      <c r="HZI187" s="537"/>
      <c r="HZJ187" s="537"/>
      <c r="HZK187" s="537"/>
      <c r="HZL187" s="537"/>
      <c r="HZM187" s="537"/>
      <c r="HZN187" s="537"/>
      <c r="HZO187" s="537"/>
      <c r="HZP187" s="537"/>
      <c r="HZQ187" s="537"/>
      <c r="HZR187" s="537"/>
      <c r="HZS187" s="537"/>
      <c r="HZT187" s="537"/>
      <c r="HZU187" s="537"/>
      <c r="HZV187" s="537"/>
      <c r="HZW187" s="537"/>
      <c r="HZX187" s="537"/>
      <c r="HZY187" s="537"/>
      <c r="HZZ187" s="537"/>
      <c r="IAA187" s="537"/>
      <c r="IAB187" s="537"/>
      <c r="IAC187" s="537"/>
      <c r="IAD187" s="537"/>
      <c r="IAE187" s="537"/>
      <c r="IAF187" s="537"/>
      <c r="IAG187" s="537"/>
      <c r="IAH187" s="537"/>
      <c r="IAI187" s="537"/>
      <c r="IAJ187" s="537"/>
      <c r="IAK187" s="537"/>
      <c r="IAL187" s="537"/>
      <c r="IAM187" s="537"/>
      <c r="IAN187" s="537"/>
      <c r="IAO187" s="537"/>
      <c r="IAP187" s="537"/>
      <c r="IAQ187" s="537"/>
      <c r="IAR187" s="537"/>
      <c r="IAS187" s="537"/>
      <c r="IAT187" s="537"/>
      <c r="IAU187" s="537"/>
      <c r="IAV187" s="537"/>
      <c r="IAW187" s="537"/>
      <c r="IAX187" s="537"/>
      <c r="IAY187" s="537"/>
      <c r="IAZ187" s="537"/>
      <c r="IBA187" s="537"/>
      <c r="IBB187" s="537"/>
      <c r="IBC187" s="537"/>
      <c r="IBD187" s="537"/>
      <c r="IBE187" s="537"/>
      <c r="IBF187" s="537"/>
      <c r="IBG187" s="537"/>
      <c r="IBH187" s="537"/>
      <c r="IBI187" s="537"/>
      <c r="IBJ187" s="537"/>
      <c r="IBK187" s="537"/>
      <c r="IBL187" s="537"/>
      <c r="IBM187" s="537"/>
      <c r="IBN187" s="537"/>
      <c r="IBO187" s="537"/>
      <c r="IBP187" s="537"/>
      <c r="IBQ187" s="537"/>
      <c r="IBR187" s="537"/>
      <c r="IBS187" s="537"/>
      <c r="IBT187" s="537"/>
      <c r="IBU187" s="537"/>
      <c r="IBV187" s="537"/>
      <c r="IBW187" s="537"/>
      <c r="IBX187" s="537"/>
      <c r="IBY187" s="537"/>
      <c r="IBZ187" s="537"/>
      <c r="ICA187" s="537"/>
      <c r="ICB187" s="537"/>
      <c r="ICC187" s="537"/>
      <c r="ICD187" s="537"/>
      <c r="ICE187" s="537"/>
      <c r="ICF187" s="537"/>
      <c r="ICG187" s="537"/>
      <c r="ICH187" s="537"/>
      <c r="ICI187" s="537"/>
      <c r="ICJ187" s="537"/>
      <c r="ICK187" s="537"/>
      <c r="ICL187" s="537"/>
      <c r="ICM187" s="537"/>
      <c r="ICN187" s="537"/>
      <c r="ICO187" s="537"/>
      <c r="ICP187" s="537"/>
      <c r="ICQ187" s="537"/>
      <c r="ICR187" s="537"/>
      <c r="ICS187" s="537"/>
      <c r="ICT187" s="537"/>
      <c r="ICU187" s="537"/>
      <c r="ICV187" s="537"/>
      <c r="ICW187" s="537"/>
      <c r="ICX187" s="537"/>
      <c r="ICY187" s="537"/>
      <c r="ICZ187" s="537"/>
      <c r="IDA187" s="537"/>
      <c r="IDB187" s="537"/>
      <c r="IDC187" s="537"/>
      <c r="IDD187" s="537"/>
      <c r="IDE187" s="537"/>
      <c r="IDF187" s="537"/>
      <c r="IDG187" s="537"/>
      <c r="IDH187" s="537"/>
      <c r="IDI187" s="537"/>
      <c r="IDJ187" s="537"/>
      <c r="IDK187" s="537"/>
      <c r="IDL187" s="537"/>
      <c r="IDM187" s="537"/>
      <c r="IDN187" s="537"/>
      <c r="IDO187" s="537"/>
      <c r="IDP187" s="537"/>
      <c r="IDQ187" s="537"/>
      <c r="IDR187" s="537"/>
      <c r="IDS187" s="537"/>
      <c r="IDT187" s="537"/>
      <c r="IDU187" s="537"/>
      <c r="IDV187" s="537"/>
      <c r="IDW187" s="537"/>
      <c r="IDX187" s="537"/>
      <c r="IDY187" s="537"/>
      <c r="IDZ187" s="537"/>
      <c r="IEA187" s="537"/>
      <c r="IEB187" s="537"/>
      <c r="IEC187" s="537"/>
      <c r="IED187" s="537"/>
      <c r="IEE187" s="537"/>
      <c r="IEF187" s="537"/>
      <c r="IEG187" s="537"/>
      <c r="IEH187" s="537"/>
      <c r="IEI187" s="537"/>
      <c r="IEJ187" s="537"/>
      <c r="IEK187" s="537"/>
      <c r="IEL187" s="537"/>
      <c r="IEM187" s="537"/>
      <c r="IEN187" s="537"/>
      <c r="IEO187" s="537"/>
      <c r="IEP187" s="537"/>
      <c r="IEQ187" s="537"/>
      <c r="IER187" s="537"/>
      <c r="IES187" s="537"/>
      <c r="IET187" s="537"/>
      <c r="IEU187" s="537"/>
      <c r="IEV187" s="537"/>
      <c r="IEW187" s="537"/>
      <c r="IEX187" s="537"/>
      <c r="IEY187" s="537"/>
      <c r="IEZ187" s="537"/>
      <c r="IFA187" s="537"/>
      <c r="IFB187" s="537"/>
      <c r="IFC187" s="537"/>
      <c r="IFD187" s="537"/>
      <c r="IFE187" s="537"/>
      <c r="IFF187" s="537"/>
      <c r="IFG187" s="537"/>
      <c r="IFH187" s="537"/>
      <c r="IFI187" s="537"/>
      <c r="IFJ187" s="537"/>
      <c r="IFK187" s="537"/>
      <c r="IFL187" s="537"/>
      <c r="IFM187" s="537"/>
      <c r="IFN187" s="537"/>
      <c r="IFO187" s="537"/>
      <c r="IFP187" s="537"/>
      <c r="IFQ187" s="537"/>
      <c r="IFR187" s="537"/>
      <c r="IFS187" s="537"/>
      <c r="IFT187" s="537"/>
      <c r="IFU187" s="537"/>
      <c r="IFV187" s="537"/>
      <c r="IFW187" s="537"/>
      <c r="IFX187" s="537"/>
      <c r="IFY187" s="537"/>
      <c r="IFZ187" s="537"/>
      <c r="IGA187" s="537"/>
      <c r="IGB187" s="537"/>
      <c r="IGC187" s="537"/>
      <c r="IGD187" s="537"/>
      <c r="IGE187" s="537"/>
      <c r="IGF187" s="537"/>
      <c r="IGG187" s="537"/>
      <c r="IGH187" s="537"/>
      <c r="IGI187" s="537"/>
      <c r="IGJ187" s="537"/>
      <c r="IGK187" s="537"/>
      <c r="IGL187" s="537"/>
      <c r="IGM187" s="537"/>
      <c r="IGN187" s="537"/>
      <c r="IGO187" s="537"/>
      <c r="IGP187" s="537"/>
      <c r="IGQ187" s="537"/>
      <c r="IGR187" s="537"/>
      <c r="IGS187" s="537"/>
      <c r="IGT187" s="537"/>
      <c r="IGU187" s="537"/>
      <c r="IGV187" s="537"/>
      <c r="IGW187" s="537"/>
      <c r="IGX187" s="537"/>
      <c r="IGY187" s="537"/>
      <c r="IGZ187" s="537"/>
      <c r="IHA187" s="537"/>
      <c r="IHB187" s="537"/>
      <c r="IHC187" s="537"/>
      <c r="IHD187" s="537"/>
      <c r="IHE187" s="537"/>
      <c r="IHF187" s="537"/>
      <c r="IHG187" s="537"/>
      <c r="IHH187" s="537"/>
      <c r="IHI187" s="537"/>
      <c r="IHJ187" s="537"/>
      <c r="IHK187" s="537"/>
      <c r="IHL187" s="537"/>
      <c r="IHM187" s="537"/>
      <c r="IHN187" s="537"/>
      <c r="IHO187" s="537"/>
      <c r="IHP187" s="537"/>
      <c r="IHQ187" s="537"/>
      <c r="IHR187" s="537"/>
      <c r="IHS187" s="537"/>
      <c r="IHT187" s="537"/>
      <c r="IHU187" s="537"/>
      <c r="IHV187" s="537"/>
      <c r="IHW187" s="537"/>
      <c r="IHX187" s="537"/>
      <c r="IHY187" s="537"/>
      <c r="IHZ187" s="537"/>
      <c r="IIA187" s="537"/>
      <c r="IIB187" s="537"/>
      <c r="IIC187" s="537"/>
      <c r="IID187" s="537"/>
      <c r="IIE187" s="537"/>
      <c r="IIF187" s="537"/>
      <c r="IIG187" s="537"/>
      <c r="IIH187" s="537"/>
      <c r="III187" s="537"/>
      <c r="IIJ187" s="537"/>
      <c r="IIK187" s="537"/>
      <c r="IIL187" s="537"/>
      <c r="IIM187" s="537"/>
      <c r="IIN187" s="537"/>
      <c r="IIO187" s="537"/>
      <c r="IIP187" s="537"/>
      <c r="IIQ187" s="537"/>
      <c r="IIR187" s="537"/>
      <c r="IIS187" s="537"/>
      <c r="IIT187" s="537"/>
      <c r="IIU187" s="537"/>
      <c r="IIV187" s="537"/>
      <c r="IIW187" s="537"/>
      <c r="IIX187" s="537"/>
      <c r="IIY187" s="537"/>
      <c r="IIZ187" s="537"/>
      <c r="IJA187" s="537"/>
      <c r="IJB187" s="537"/>
      <c r="IJC187" s="537"/>
      <c r="IJD187" s="537"/>
      <c r="IJE187" s="537"/>
      <c r="IJF187" s="537"/>
      <c r="IJG187" s="537"/>
      <c r="IJH187" s="537"/>
      <c r="IJI187" s="537"/>
      <c r="IJJ187" s="537"/>
      <c r="IJK187" s="537"/>
      <c r="IJL187" s="537"/>
      <c r="IJM187" s="537"/>
      <c r="IJN187" s="537"/>
      <c r="IJO187" s="537"/>
      <c r="IJP187" s="537"/>
      <c r="IJQ187" s="537"/>
      <c r="IJR187" s="537"/>
      <c r="IJS187" s="537"/>
      <c r="IJT187" s="537"/>
      <c r="IJU187" s="537"/>
      <c r="IJV187" s="537"/>
      <c r="IJW187" s="537"/>
      <c r="IJX187" s="537"/>
      <c r="IJY187" s="537"/>
      <c r="IJZ187" s="537"/>
      <c r="IKA187" s="537"/>
      <c r="IKB187" s="537"/>
      <c r="IKC187" s="537"/>
      <c r="IKD187" s="537"/>
      <c r="IKE187" s="537"/>
      <c r="IKF187" s="537"/>
      <c r="IKG187" s="537"/>
      <c r="IKH187" s="537"/>
      <c r="IKI187" s="537"/>
      <c r="IKJ187" s="537"/>
      <c r="IKK187" s="537"/>
      <c r="IKL187" s="537"/>
      <c r="IKM187" s="537"/>
      <c r="IKN187" s="537"/>
      <c r="IKO187" s="537"/>
      <c r="IKP187" s="537"/>
      <c r="IKQ187" s="537"/>
      <c r="IKR187" s="537"/>
      <c r="IKS187" s="537"/>
      <c r="IKT187" s="537"/>
      <c r="IKU187" s="537"/>
      <c r="IKV187" s="537"/>
      <c r="IKW187" s="537"/>
      <c r="IKX187" s="537"/>
      <c r="IKY187" s="537"/>
      <c r="IKZ187" s="537"/>
      <c r="ILA187" s="537"/>
      <c r="ILB187" s="537"/>
      <c r="ILC187" s="537"/>
      <c r="ILD187" s="537"/>
      <c r="ILE187" s="537"/>
      <c r="ILF187" s="537"/>
      <c r="ILG187" s="537"/>
      <c r="ILH187" s="537"/>
      <c r="ILI187" s="537"/>
      <c r="ILJ187" s="537"/>
      <c r="ILK187" s="537"/>
      <c r="ILL187" s="537"/>
      <c r="ILM187" s="537"/>
      <c r="ILN187" s="537"/>
      <c r="ILO187" s="537"/>
      <c r="ILP187" s="537"/>
      <c r="ILQ187" s="537"/>
      <c r="ILR187" s="537"/>
      <c r="ILS187" s="537"/>
      <c r="ILT187" s="537"/>
      <c r="ILU187" s="537"/>
      <c r="ILV187" s="537"/>
      <c r="ILW187" s="537"/>
      <c r="ILX187" s="537"/>
      <c r="ILY187" s="537"/>
      <c r="ILZ187" s="537"/>
      <c r="IMA187" s="537"/>
      <c r="IMB187" s="537"/>
      <c r="IMC187" s="537"/>
      <c r="IMD187" s="537"/>
      <c r="IME187" s="537"/>
      <c r="IMF187" s="537"/>
      <c r="IMG187" s="537"/>
      <c r="IMH187" s="537"/>
      <c r="IMI187" s="537"/>
      <c r="IMJ187" s="537"/>
      <c r="IMK187" s="537"/>
      <c r="IML187" s="537"/>
      <c r="IMM187" s="537"/>
      <c r="IMN187" s="537"/>
      <c r="IMO187" s="537"/>
      <c r="IMP187" s="537"/>
      <c r="IMQ187" s="537"/>
      <c r="IMR187" s="537"/>
      <c r="IMS187" s="537"/>
      <c r="IMT187" s="537"/>
      <c r="IMU187" s="537"/>
      <c r="IMV187" s="537"/>
      <c r="IMW187" s="537"/>
      <c r="IMX187" s="537"/>
      <c r="IMY187" s="537"/>
      <c r="IMZ187" s="537"/>
      <c r="INA187" s="537"/>
      <c r="INB187" s="537"/>
      <c r="INC187" s="537"/>
      <c r="IND187" s="537"/>
      <c r="INE187" s="537"/>
      <c r="INF187" s="537"/>
      <c r="ING187" s="537"/>
      <c r="INH187" s="537"/>
      <c r="INI187" s="537"/>
      <c r="INJ187" s="537"/>
      <c r="INK187" s="537"/>
      <c r="INL187" s="537"/>
      <c r="INM187" s="537"/>
      <c r="INN187" s="537"/>
      <c r="INO187" s="537"/>
      <c r="INP187" s="537"/>
      <c r="INQ187" s="537"/>
      <c r="INR187" s="537"/>
      <c r="INS187" s="537"/>
      <c r="INT187" s="537"/>
      <c r="INU187" s="537"/>
      <c r="INV187" s="537"/>
      <c r="INW187" s="537"/>
      <c r="INX187" s="537"/>
      <c r="INY187" s="537"/>
      <c r="INZ187" s="537"/>
      <c r="IOA187" s="537"/>
      <c r="IOB187" s="537"/>
      <c r="IOC187" s="537"/>
      <c r="IOD187" s="537"/>
      <c r="IOE187" s="537"/>
      <c r="IOF187" s="537"/>
      <c r="IOG187" s="537"/>
      <c r="IOH187" s="537"/>
      <c r="IOI187" s="537"/>
      <c r="IOJ187" s="537"/>
      <c r="IOK187" s="537"/>
      <c r="IOL187" s="537"/>
      <c r="IOM187" s="537"/>
      <c r="ION187" s="537"/>
      <c r="IOO187" s="537"/>
      <c r="IOP187" s="537"/>
      <c r="IOQ187" s="537"/>
      <c r="IOR187" s="537"/>
      <c r="IOS187" s="537"/>
      <c r="IOT187" s="537"/>
      <c r="IOU187" s="537"/>
      <c r="IOV187" s="537"/>
      <c r="IOW187" s="537"/>
      <c r="IOX187" s="537"/>
      <c r="IOY187" s="537"/>
      <c r="IOZ187" s="537"/>
      <c r="IPA187" s="537"/>
      <c r="IPB187" s="537"/>
      <c r="IPC187" s="537"/>
      <c r="IPD187" s="537"/>
      <c r="IPE187" s="537"/>
      <c r="IPF187" s="537"/>
      <c r="IPG187" s="537"/>
      <c r="IPH187" s="537"/>
      <c r="IPI187" s="537"/>
      <c r="IPJ187" s="537"/>
      <c r="IPK187" s="537"/>
      <c r="IPL187" s="537"/>
      <c r="IPM187" s="537"/>
      <c r="IPN187" s="537"/>
      <c r="IPO187" s="537"/>
      <c r="IPP187" s="537"/>
      <c r="IPQ187" s="537"/>
      <c r="IPR187" s="537"/>
      <c r="IPS187" s="537"/>
      <c r="IPT187" s="537"/>
      <c r="IPU187" s="537"/>
      <c r="IPV187" s="537"/>
      <c r="IPW187" s="537"/>
      <c r="IPX187" s="537"/>
      <c r="IPY187" s="537"/>
      <c r="IPZ187" s="537"/>
      <c r="IQA187" s="537"/>
      <c r="IQB187" s="537"/>
      <c r="IQC187" s="537"/>
      <c r="IQD187" s="537"/>
      <c r="IQE187" s="537"/>
      <c r="IQF187" s="537"/>
      <c r="IQG187" s="537"/>
      <c r="IQH187" s="537"/>
      <c r="IQI187" s="537"/>
      <c r="IQJ187" s="537"/>
      <c r="IQK187" s="537"/>
      <c r="IQL187" s="537"/>
      <c r="IQM187" s="537"/>
      <c r="IQN187" s="537"/>
      <c r="IQO187" s="537"/>
      <c r="IQP187" s="537"/>
      <c r="IQQ187" s="537"/>
      <c r="IQR187" s="537"/>
      <c r="IQS187" s="537"/>
      <c r="IQT187" s="537"/>
      <c r="IQU187" s="537"/>
      <c r="IQV187" s="537"/>
      <c r="IQW187" s="537"/>
      <c r="IQX187" s="537"/>
      <c r="IQY187" s="537"/>
      <c r="IQZ187" s="537"/>
      <c r="IRA187" s="537"/>
      <c r="IRB187" s="537"/>
      <c r="IRC187" s="537"/>
      <c r="IRD187" s="537"/>
      <c r="IRE187" s="537"/>
      <c r="IRF187" s="537"/>
      <c r="IRG187" s="537"/>
      <c r="IRH187" s="537"/>
      <c r="IRI187" s="537"/>
      <c r="IRJ187" s="537"/>
      <c r="IRK187" s="537"/>
      <c r="IRL187" s="537"/>
      <c r="IRM187" s="537"/>
      <c r="IRN187" s="537"/>
      <c r="IRO187" s="537"/>
      <c r="IRP187" s="537"/>
      <c r="IRQ187" s="537"/>
      <c r="IRR187" s="537"/>
      <c r="IRS187" s="537"/>
      <c r="IRT187" s="537"/>
      <c r="IRU187" s="537"/>
      <c r="IRV187" s="537"/>
      <c r="IRW187" s="537"/>
      <c r="IRX187" s="537"/>
      <c r="IRY187" s="537"/>
      <c r="IRZ187" s="537"/>
      <c r="ISA187" s="537"/>
      <c r="ISB187" s="537"/>
      <c r="ISC187" s="537"/>
      <c r="ISD187" s="537"/>
      <c r="ISE187" s="537"/>
      <c r="ISF187" s="537"/>
      <c r="ISG187" s="537"/>
      <c r="ISH187" s="537"/>
      <c r="ISI187" s="537"/>
      <c r="ISJ187" s="537"/>
      <c r="ISK187" s="537"/>
      <c r="ISL187" s="537"/>
      <c r="ISM187" s="537"/>
      <c r="ISN187" s="537"/>
      <c r="ISO187" s="537"/>
      <c r="ISP187" s="537"/>
      <c r="ISQ187" s="537"/>
      <c r="ISR187" s="537"/>
      <c r="ISS187" s="537"/>
      <c r="IST187" s="537"/>
      <c r="ISU187" s="537"/>
      <c r="ISV187" s="537"/>
      <c r="ISW187" s="537"/>
      <c r="ISX187" s="537"/>
      <c r="ISY187" s="537"/>
      <c r="ISZ187" s="537"/>
      <c r="ITA187" s="537"/>
      <c r="ITB187" s="537"/>
      <c r="ITC187" s="537"/>
      <c r="ITD187" s="537"/>
      <c r="ITE187" s="537"/>
      <c r="ITF187" s="537"/>
      <c r="ITG187" s="537"/>
      <c r="ITH187" s="537"/>
      <c r="ITI187" s="537"/>
      <c r="ITJ187" s="537"/>
      <c r="ITK187" s="537"/>
      <c r="ITL187" s="537"/>
      <c r="ITM187" s="537"/>
      <c r="ITN187" s="537"/>
      <c r="ITO187" s="537"/>
      <c r="ITP187" s="537"/>
      <c r="ITQ187" s="537"/>
      <c r="ITR187" s="537"/>
      <c r="ITS187" s="537"/>
      <c r="ITT187" s="537"/>
      <c r="ITU187" s="537"/>
      <c r="ITV187" s="537"/>
      <c r="ITW187" s="537"/>
      <c r="ITX187" s="537"/>
      <c r="ITY187" s="537"/>
      <c r="ITZ187" s="537"/>
      <c r="IUA187" s="537"/>
      <c r="IUB187" s="537"/>
      <c r="IUC187" s="537"/>
      <c r="IUD187" s="537"/>
      <c r="IUE187" s="537"/>
      <c r="IUF187" s="537"/>
      <c r="IUG187" s="537"/>
      <c r="IUH187" s="537"/>
      <c r="IUI187" s="537"/>
      <c r="IUJ187" s="537"/>
      <c r="IUK187" s="537"/>
      <c r="IUL187" s="537"/>
      <c r="IUM187" s="537"/>
      <c r="IUN187" s="537"/>
      <c r="IUO187" s="537"/>
      <c r="IUP187" s="537"/>
      <c r="IUQ187" s="537"/>
      <c r="IUR187" s="537"/>
      <c r="IUS187" s="537"/>
      <c r="IUT187" s="537"/>
      <c r="IUU187" s="537"/>
      <c r="IUV187" s="537"/>
      <c r="IUW187" s="537"/>
      <c r="IUX187" s="537"/>
      <c r="IUY187" s="537"/>
      <c r="IUZ187" s="537"/>
      <c r="IVA187" s="537"/>
      <c r="IVB187" s="537"/>
      <c r="IVC187" s="537"/>
      <c r="IVD187" s="537"/>
      <c r="IVE187" s="537"/>
      <c r="IVF187" s="537"/>
      <c r="IVG187" s="537"/>
      <c r="IVH187" s="537"/>
      <c r="IVI187" s="537"/>
      <c r="IVJ187" s="537"/>
      <c r="IVK187" s="537"/>
      <c r="IVL187" s="537"/>
      <c r="IVM187" s="537"/>
      <c r="IVN187" s="537"/>
      <c r="IVO187" s="537"/>
      <c r="IVP187" s="537"/>
      <c r="IVQ187" s="537"/>
      <c r="IVR187" s="537"/>
      <c r="IVS187" s="537"/>
      <c r="IVT187" s="537"/>
      <c r="IVU187" s="537"/>
      <c r="IVV187" s="537"/>
      <c r="IVW187" s="537"/>
      <c r="IVX187" s="537"/>
      <c r="IVY187" s="537"/>
      <c r="IVZ187" s="537"/>
      <c r="IWA187" s="537"/>
      <c r="IWB187" s="537"/>
      <c r="IWC187" s="537"/>
      <c r="IWD187" s="537"/>
      <c r="IWE187" s="537"/>
      <c r="IWF187" s="537"/>
      <c r="IWG187" s="537"/>
      <c r="IWH187" s="537"/>
      <c r="IWI187" s="537"/>
      <c r="IWJ187" s="537"/>
      <c r="IWK187" s="537"/>
      <c r="IWL187" s="537"/>
      <c r="IWM187" s="537"/>
      <c r="IWN187" s="537"/>
      <c r="IWO187" s="537"/>
      <c r="IWP187" s="537"/>
      <c r="IWQ187" s="537"/>
      <c r="IWR187" s="537"/>
      <c r="IWS187" s="537"/>
      <c r="IWT187" s="537"/>
      <c r="IWU187" s="537"/>
      <c r="IWV187" s="537"/>
      <c r="IWW187" s="537"/>
      <c r="IWX187" s="537"/>
      <c r="IWY187" s="537"/>
      <c r="IWZ187" s="537"/>
      <c r="IXA187" s="537"/>
      <c r="IXB187" s="537"/>
      <c r="IXC187" s="537"/>
      <c r="IXD187" s="537"/>
      <c r="IXE187" s="537"/>
      <c r="IXF187" s="537"/>
      <c r="IXG187" s="537"/>
      <c r="IXH187" s="537"/>
      <c r="IXI187" s="537"/>
      <c r="IXJ187" s="537"/>
      <c r="IXK187" s="537"/>
      <c r="IXL187" s="537"/>
      <c r="IXM187" s="537"/>
      <c r="IXN187" s="537"/>
      <c r="IXO187" s="537"/>
      <c r="IXP187" s="537"/>
      <c r="IXQ187" s="537"/>
      <c r="IXR187" s="537"/>
      <c r="IXS187" s="537"/>
      <c r="IXT187" s="537"/>
      <c r="IXU187" s="537"/>
      <c r="IXV187" s="537"/>
      <c r="IXW187" s="537"/>
      <c r="IXX187" s="537"/>
      <c r="IXY187" s="537"/>
      <c r="IXZ187" s="537"/>
      <c r="IYA187" s="537"/>
      <c r="IYB187" s="537"/>
      <c r="IYC187" s="537"/>
      <c r="IYD187" s="537"/>
      <c r="IYE187" s="537"/>
      <c r="IYF187" s="537"/>
      <c r="IYG187" s="537"/>
      <c r="IYH187" s="537"/>
      <c r="IYI187" s="537"/>
      <c r="IYJ187" s="537"/>
      <c r="IYK187" s="537"/>
      <c r="IYL187" s="537"/>
      <c r="IYM187" s="537"/>
      <c r="IYN187" s="537"/>
      <c r="IYO187" s="537"/>
      <c r="IYP187" s="537"/>
      <c r="IYQ187" s="537"/>
      <c r="IYR187" s="537"/>
      <c r="IYS187" s="537"/>
      <c r="IYT187" s="537"/>
      <c r="IYU187" s="537"/>
      <c r="IYV187" s="537"/>
      <c r="IYW187" s="537"/>
      <c r="IYX187" s="537"/>
      <c r="IYY187" s="537"/>
      <c r="IYZ187" s="537"/>
      <c r="IZA187" s="537"/>
      <c r="IZB187" s="537"/>
      <c r="IZC187" s="537"/>
      <c r="IZD187" s="537"/>
      <c r="IZE187" s="537"/>
      <c r="IZF187" s="537"/>
      <c r="IZG187" s="537"/>
      <c r="IZH187" s="537"/>
      <c r="IZI187" s="537"/>
      <c r="IZJ187" s="537"/>
      <c r="IZK187" s="537"/>
      <c r="IZL187" s="537"/>
      <c r="IZM187" s="537"/>
      <c r="IZN187" s="537"/>
      <c r="IZO187" s="537"/>
      <c r="IZP187" s="537"/>
      <c r="IZQ187" s="537"/>
      <c r="IZR187" s="537"/>
      <c r="IZS187" s="537"/>
      <c r="IZT187" s="537"/>
      <c r="IZU187" s="537"/>
      <c r="IZV187" s="537"/>
      <c r="IZW187" s="537"/>
      <c r="IZX187" s="537"/>
      <c r="IZY187" s="537"/>
      <c r="IZZ187" s="537"/>
      <c r="JAA187" s="537"/>
      <c r="JAB187" s="537"/>
      <c r="JAC187" s="537"/>
      <c r="JAD187" s="537"/>
      <c r="JAE187" s="537"/>
      <c r="JAF187" s="537"/>
      <c r="JAG187" s="537"/>
      <c r="JAH187" s="537"/>
      <c r="JAI187" s="537"/>
      <c r="JAJ187" s="537"/>
      <c r="JAK187" s="537"/>
      <c r="JAL187" s="537"/>
      <c r="JAM187" s="537"/>
      <c r="JAN187" s="537"/>
      <c r="JAO187" s="537"/>
      <c r="JAP187" s="537"/>
      <c r="JAQ187" s="537"/>
      <c r="JAR187" s="537"/>
      <c r="JAS187" s="537"/>
      <c r="JAT187" s="537"/>
      <c r="JAU187" s="537"/>
      <c r="JAV187" s="537"/>
      <c r="JAW187" s="537"/>
      <c r="JAX187" s="537"/>
      <c r="JAY187" s="537"/>
      <c r="JAZ187" s="537"/>
      <c r="JBA187" s="537"/>
      <c r="JBB187" s="537"/>
      <c r="JBC187" s="537"/>
      <c r="JBD187" s="537"/>
      <c r="JBE187" s="537"/>
      <c r="JBF187" s="537"/>
      <c r="JBG187" s="537"/>
      <c r="JBH187" s="537"/>
      <c r="JBI187" s="537"/>
      <c r="JBJ187" s="537"/>
      <c r="JBK187" s="537"/>
      <c r="JBL187" s="537"/>
      <c r="JBM187" s="537"/>
      <c r="JBN187" s="537"/>
      <c r="JBO187" s="537"/>
      <c r="JBP187" s="537"/>
      <c r="JBQ187" s="537"/>
      <c r="JBR187" s="537"/>
      <c r="JBS187" s="537"/>
      <c r="JBT187" s="537"/>
      <c r="JBU187" s="537"/>
      <c r="JBV187" s="537"/>
      <c r="JBW187" s="537"/>
      <c r="JBX187" s="537"/>
      <c r="JBY187" s="537"/>
      <c r="JBZ187" s="537"/>
      <c r="JCA187" s="537"/>
      <c r="JCB187" s="537"/>
      <c r="JCC187" s="537"/>
      <c r="JCD187" s="537"/>
      <c r="JCE187" s="537"/>
      <c r="JCF187" s="537"/>
      <c r="JCG187" s="537"/>
      <c r="JCH187" s="537"/>
      <c r="JCI187" s="537"/>
      <c r="JCJ187" s="537"/>
      <c r="JCK187" s="537"/>
      <c r="JCL187" s="537"/>
      <c r="JCM187" s="537"/>
      <c r="JCN187" s="537"/>
      <c r="JCO187" s="537"/>
      <c r="JCP187" s="537"/>
      <c r="JCQ187" s="537"/>
      <c r="JCR187" s="537"/>
      <c r="JCS187" s="537"/>
      <c r="JCT187" s="537"/>
      <c r="JCU187" s="537"/>
      <c r="JCV187" s="537"/>
      <c r="JCW187" s="537"/>
      <c r="JCX187" s="537"/>
      <c r="JCY187" s="537"/>
      <c r="JCZ187" s="537"/>
      <c r="JDA187" s="537"/>
      <c r="JDB187" s="537"/>
      <c r="JDC187" s="537"/>
      <c r="JDD187" s="537"/>
      <c r="JDE187" s="537"/>
      <c r="JDF187" s="537"/>
      <c r="JDG187" s="537"/>
      <c r="JDH187" s="537"/>
      <c r="JDI187" s="537"/>
      <c r="JDJ187" s="537"/>
      <c r="JDK187" s="537"/>
      <c r="JDL187" s="537"/>
      <c r="JDM187" s="537"/>
      <c r="JDN187" s="537"/>
      <c r="JDO187" s="537"/>
      <c r="JDP187" s="537"/>
      <c r="JDQ187" s="537"/>
      <c r="JDR187" s="537"/>
      <c r="JDS187" s="537"/>
      <c r="JDT187" s="537"/>
      <c r="JDU187" s="537"/>
      <c r="JDV187" s="537"/>
      <c r="JDW187" s="537"/>
      <c r="JDX187" s="537"/>
      <c r="JDY187" s="537"/>
      <c r="JDZ187" s="537"/>
      <c r="JEA187" s="537"/>
      <c r="JEB187" s="537"/>
      <c r="JEC187" s="537"/>
      <c r="JED187" s="537"/>
      <c r="JEE187" s="537"/>
      <c r="JEF187" s="537"/>
      <c r="JEG187" s="537"/>
      <c r="JEH187" s="537"/>
      <c r="JEI187" s="537"/>
      <c r="JEJ187" s="537"/>
      <c r="JEK187" s="537"/>
      <c r="JEL187" s="537"/>
      <c r="JEM187" s="537"/>
      <c r="JEN187" s="537"/>
      <c r="JEO187" s="537"/>
      <c r="JEP187" s="537"/>
      <c r="JEQ187" s="537"/>
      <c r="JER187" s="537"/>
      <c r="JES187" s="537"/>
      <c r="JET187" s="537"/>
      <c r="JEU187" s="537"/>
      <c r="JEV187" s="537"/>
      <c r="JEW187" s="537"/>
      <c r="JEX187" s="537"/>
      <c r="JEY187" s="537"/>
      <c r="JEZ187" s="537"/>
      <c r="JFA187" s="537"/>
      <c r="JFB187" s="537"/>
      <c r="JFC187" s="537"/>
      <c r="JFD187" s="537"/>
      <c r="JFE187" s="537"/>
      <c r="JFF187" s="537"/>
      <c r="JFG187" s="537"/>
      <c r="JFH187" s="537"/>
      <c r="JFI187" s="537"/>
      <c r="JFJ187" s="537"/>
      <c r="JFK187" s="537"/>
      <c r="JFL187" s="537"/>
      <c r="JFM187" s="537"/>
      <c r="JFN187" s="537"/>
      <c r="JFO187" s="537"/>
      <c r="JFP187" s="537"/>
      <c r="JFQ187" s="537"/>
      <c r="JFR187" s="537"/>
      <c r="JFS187" s="537"/>
      <c r="JFT187" s="537"/>
      <c r="JFU187" s="537"/>
      <c r="JFV187" s="537"/>
      <c r="JFW187" s="537"/>
      <c r="JFX187" s="537"/>
      <c r="JFY187" s="537"/>
      <c r="JFZ187" s="537"/>
      <c r="JGA187" s="537"/>
      <c r="JGB187" s="537"/>
      <c r="JGC187" s="537"/>
      <c r="JGD187" s="537"/>
      <c r="JGE187" s="537"/>
      <c r="JGF187" s="537"/>
      <c r="JGG187" s="537"/>
      <c r="JGH187" s="537"/>
      <c r="JGI187" s="537"/>
      <c r="JGJ187" s="537"/>
      <c r="JGK187" s="537"/>
      <c r="JGL187" s="537"/>
      <c r="JGM187" s="537"/>
      <c r="JGN187" s="537"/>
      <c r="JGO187" s="537"/>
      <c r="JGP187" s="537"/>
      <c r="JGQ187" s="537"/>
      <c r="JGR187" s="537"/>
      <c r="JGS187" s="537"/>
      <c r="JGT187" s="537"/>
      <c r="JGU187" s="537"/>
      <c r="JGV187" s="537"/>
      <c r="JGW187" s="537"/>
      <c r="JGX187" s="537"/>
      <c r="JGY187" s="537"/>
      <c r="JGZ187" s="537"/>
      <c r="JHA187" s="537"/>
      <c r="JHB187" s="537"/>
      <c r="JHC187" s="537"/>
      <c r="JHD187" s="537"/>
      <c r="JHE187" s="537"/>
      <c r="JHF187" s="537"/>
      <c r="JHG187" s="537"/>
      <c r="JHH187" s="537"/>
      <c r="JHI187" s="537"/>
      <c r="JHJ187" s="537"/>
      <c r="JHK187" s="537"/>
      <c r="JHL187" s="537"/>
      <c r="JHM187" s="537"/>
      <c r="JHN187" s="537"/>
      <c r="JHO187" s="537"/>
      <c r="JHP187" s="537"/>
      <c r="JHQ187" s="537"/>
      <c r="JHR187" s="537"/>
      <c r="JHS187" s="537"/>
      <c r="JHT187" s="537"/>
      <c r="JHU187" s="537"/>
      <c r="JHV187" s="537"/>
      <c r="JHW187" s="537"/>
      <c r="JHX187" s="537"/>
      <c r="JHY187" s="537"/>
      <c r="JHZ187" s="537"/>
      <c r="JIA187" s="537"/>
      <c r="JIB187" s="537"/>
      <c r="JIC187" s="537"/>
      <c r="JID187" s="537"/>
      <c r="JIE187" s="537"/>
      <c r="JIF187" s="537"/>
      <c r="JIG187" s="537"/>
      <c r="JIH187" s="537"/>
      <c r="JII187" s="537"/>
      <c r="JIJ187" s="537"/>
      <c r="JIK187" s="537"/>
      <c r="JIL187" s="537"/>
      <c r="JIM187" s="537"/>
      <c r="JIN187" s="537"/>
      <c r="JIO187" s="537"/>
      <c r="JIP187" s="537"/>
      <c r="JIQ187" s="537"/>
      <c r="JIR187" s="537"/>
      <c r="JIS187" s="537"/>
      <c r="JIT187" s="537"/>
      <c r="JIU187" s="537"/>
      <c r="JIV187" s="537"/>
      <c r="JIW187" s="537"/>
      <c r="JIX187" s="537"/>
      <c r="JIY187" s="537"/>
      <c r="JIZ187" s="537"/>
      <c r="JJA187" s="537"/>
      <c r="JJB187" s="537"/>
      <c r="JJC187" s="537"/>
      <c r="JJD187" s="537"/>
      <c r="JJE187" s="537"/>
      <c r="JJF187" s="537"/>
      <c r="JJG187" s="537"/>
      <c r="JJH187" s="537"/>
      <c r="JJI187" s="537"/>
      <c r="JJJ187" s="537"/>
      <c r="JJK187" s="537"/>
      <c r="JJL187" s="537"/>
      <c r="JJM187" s="537"/>
      <c r="JJN187" s="537"/>
      <c r="JJO187" s="537"/>
      <c r="JJP187" s="537"/>
      <c r="JJQ187" s="537"/>
      <c r="JJR187" s="537"/>
      <c r="JJS187" s="537"/>
      <c r="JJT187" s="537"/>
      <c r="JJU187" s="537"/>
      <c r="JJV187" s="537"/>
      <c r="JJW187" s="537"/>
      <c r="JJX187" s="537"/>
      <c r="JJY187" s="537"/>
      <c r="JJZ187" s="537"/>
      <c r="JKA187" s="537"/>
      <c r="JKB187" s="537"/>
      <c r="JKC187" s="537"/>
      <c r="JKD187" s="537"/>
      <c r="JKE187" s="537"/>
      <c r="JKF187" s="537"/>
      <c r="JKG187" s="537"/>
      <c r="JKH187" s="537"/>
      <c r="JKI187" s="537"/>
      <c r="JKJ187" s="537"/>
      <c r="JKK187" s="537"/>
      <c r="JKL187" s="537"/>
      <c r="JKM187" s="537"/>
      <c r="JKN187" s="537"/>
      <c r="JKO187" s="537"/>
      <c r="JKP187" s="537"/>
      <c r="JKQ187" s="537"/>
      <c r="JKR187" s="537"/>
      <c r="JKS187" s="537"/>
      <c r="JKT187" s="537"/>
      <c r="JKU187" s="537"/>
      <c r="JKV187" s="537"/>
      <c r="JKW187" s="537"/>
      <c r="JKX187" s="537"/>
      <c r="JKY187" s="537"/>
      <c r="JKZ187" s="537"/>
      <c r="JLA187" s="537"/>
      <c r="JLB187" s="537"/>
      <c r="JLC187" s="537"/>
      <c r="JLD187" s="537"/>
      <c r="JLE187" s="537"/>
      <c r="JLF187" s="537"/>
      <c r="JLG187" s="537"/>
      <c r="JLH187" s="537"/>
      <c r="JLI187" s="537"/>
      <c r="JLJ187" s="537"/>
      <c r="JLK187" s="537"/>
      <c r="JLL187" s="537"/>
      <c r="JLM187" s="537"/>
      <c r="JLN187" s="537"/>
      <c r="JLO187" s="537"/>
      <c r="JLP187" s="537"/>
      <c r="JLQ187" s="537"/>
      <c r="JLR187" s="537"/>
      <c r="JLS187" s="537"/>
      <c r="JLT187" s="537"/>
      <c r="JLU187" s="537"/>
      <c r="JLV187" s="537"/>
      <c r="JLW187" s="537"/>
      <c r="JLX187" s="537"/>
      <c r="JLY187" s="537"/>
      <c r="JLZ187" s="537"/>
      <c r="JMA187" s="537"/>
      <c r="JMB187" s="537"/>
      <c r="JMC187" s="537"/>
      <c r="JMD187" s="537"/>
      <c r="JME187" s="537"/>
      <c r="JMF187" s="537"/>
      <c r="JMG187" s="537"/>
      <c r="JMH187" s="537"/>
      <c r="JMI187" s="537"/>
      <c r="JMJ187" s="537"/>
      <c r="JMK187" s="537"/>
      <c r="JML187" s="537"/>
      <c r="JMM187" s="537"/>
      <c r="JMN187" s="537"/>
      <c r="JMO187" s="537"/>
      <c r="JMP187" s="537"/>
      <c r="JMQ187" s="537"/>
      <c r="JMR187" s="537"/>
      <c r="JMS187" s="537"/>
      <c r="JMT187" s="537"/>
      <c r="JMU187" s="537"/>
      <c r="JMV187" s="537"/>
      <c r="JMW187" s="537"/>
      <c r="JMX187" s="537"/>
      <c r="JMY187" s="537"/>
      <c r="JMZ187" s="537"/>
      <c r="JNA187" s="537"/>
      <c r="JNB187" s="537"/>
      <c r="JNC187" s="537"/>
      <c r="JND187" s="537"/>
      <c r="JNE187" s="537"/>
      <c r="JNF187" s="537"/>
      <c r="JNG187" s="537"/>
      <c r="JNH187" s="537"/>
      <c r="JNI187" s="537"/>
      <c r="JNJ187" s="537"/>
      <c r="JNK187" s="537"/>
      <c r="JNL187" s="537"/>
      <c r="JNM187" s="537"/>
      <c r="JNN187" s="537"/>
      <c r="JNO187" s="537"/>
      <c r="JNP187" s="537"/>
      <c r="JNQ187" s="537"/>
      <c r="JNR187" s="537"/>
      <c r="JNS187" s="537"/>
      <c r="JNT187" s="537"/>
      <c r="JNU187" s="537"/>
      <c r="JNV187" s="537"/>
      <c r="JNW187" s="537"/>
      <c r="JNX187" s="537"/>
      <c r="JNY187" s="537"/>
      <c r="JNZ187" s="537"/>
      <c r="JOA187" s="537"/>
      <c r="JOB187" s="537"/>
      <c r="JOC187" s="537"/>
      <c r="JOD187" s="537"/>
      <c r="JOE187" s="537"/>
      <c r="JOF187" s="537"/>
      <c r="JOG187" s="537"/>
      <c r="JOH187" s="537"/>
      <c r="JOI187" s="537"/>
      <c r="JOJ187" s="537"/>
      <c r="JOK187" s="537"/>
      <c r="JOL187" s="537"/>
      <c r="JOM187" s="537"/>
      <c r="JON187" s="537"/>
      <c r="JOO187" s="537"/>
      <c r="JOP187" s="537"/>
      <c r="JOQ187" s="537"/>
      <c r="JOR187" s="537"/>
      <c r="JOS187" s="537"/>
      <c r="JOT187" s="537"/>
      <c r="JOU187" s="537"/>
      <c r="JOV187" s="537"/>
      <c r="JOW187" s="537"/>
      <c r="JOX187" s="537"/>
      <c r="JOY187" s="537"/>
      <c r="JOZ187" s="537"/>
      <c r="JPA187" s="537"/>
      <c r="JPB187" s="537"/>
      <c r="JPC187" s="537"/>
      <c r="JPD187" s="537"/>
      <c r="JPE187" s="537"/>
      <c r="JPF187" s="537"/>
      <c r="JPG187" s="537"/>
      <c r="JPH187" s="537"/>
      <c r="JPI187" s="537"/>
      <c r="JPJ187" s="537"/>
      <c r="JPK187" s="537"/>
      <c r="JPL187" s="537"/>
      <c r="JPM187" s="537"/>
      <c r="JPN187" s="537"/>
      <c r="JPO187" s="537"/>
      <c r="JPP187" s="537"/>
      <c r="JPQ187" s="537"/>
      <c r="JPR187" s="537"/>
      <c r="JPS187" s="537"/>
      <c r="JPT187" s="537"/>
      <c r="JPU187" s="537"/>
      <c r="JPV187" s="537"/>
      <c r="JPW187" s="537"/>
      <c r="JPX187" s="537"/>
      <c r="JPY187" s="537"/>
      <c r="JPZ187" s="537"/>
      <c r="JQA187" s="537"/>
      <c r="JQB187" s="537"/>
      <c r="JQC187" s="537"/>
      <c r="JQD187" s="537"/>
      <c r="JQE187" s="537"/>
      <c r="JQF187" s="537"/>
      <c r="JQG187" s="537"/>
      <c r="JQH187" s="537"/>
      <c r="JQI187" s="537"/>
      <c r="JQJ187" s="537"/>
      <c r="JQK187" s="537"/>
      <c r="JQL187" s="537"/>
      <c r="JQM187" s="537"/>
      <c r="JQN187" s="537"/>
      <c r="JQO187" s="537"/>
      <c r="JQP187" s="537"/>
      <c r="JQQ187" s="537"/>
      <c r="JQR187" s="537"/>
      <c r="JQS187" s="537"/>
      <c r="JQT187" s="537"/>
      <c r="JQU187" s="537"/>
      <c r="JQV187" s="537"/>
      <c r="JQW187" s="537"/>
      <c r="JQX187" s="537"/>
      <c r="JQY187" s="537"/>
      <c r="JQZ187" s="537"/>
      <c r="JRA187" s="537"/>
      <c r="JRB187" s="537"/>
      <c r="JRC187" s="537"/>
      <c r="JRD187" s="537"/>
      <c r="JRE187" s="537"/>
      <c r="JRF187" s="537"/>
      <c r="JRG187" s="537"/>
      <c r="JRH187" s="537"/>
      <c r="JRI187" s="537"/>
      <c r="JRJ187" s="537"/>
      <c r="JRK187" s="537"/>
      <c r="JRL187" s="537"/>
      <c r="JRM187" s="537"/>
      <c r="JRN187" s="537"/>
      <c r="JRO187" s="537"/>
      <c r="JRP187" s="537"/>
      <c r="JRQ187" s="537"/>
      <c r="JRR187" s="537"/>
      <c r="JRS187" s="537"/>
      <c r="JRT187" s="537"/>
      <c r="JRU187" s="537"/>
      <c r="JRV187" s="537"/>
      <c r="JRW187" s="537"/>
      <c r="JRX187" s="537"/>
      <c r="JRY187" s="537"/>
      <c r="JRZ187" s="537"/>
      <c r="JSA187" s="537"/>
      <c r="JSB187" s="537"/>
      <c r="JSC187" s="537"/>
      <c r="JSD187" s="537"/>
      <c r="JSE187" s="537"/>
      <c r="JSF187" s="537"/>
      <c r="JSG187" s="537"/>
      <c r="JSH187" s="537"/>
      <c r="JSI187" s="537"/>
      <c r="JSJ187" s="537"/>
      <c r="JSK187" s="537"/>
      <c r="JSL187" s="537"/>
      <c r="JSM187" s="537"/>
      <c r="JSN187" s="537"/>
      <c r="JSO187" s="537"/>
      <c r="JSP187" s="537"/>
      <c r="JSQ187" s="537"/>
      <c r="JSR187" s="537"/>
      <c r="JSS187" s="537"/>
      <c r="JST187" s="537"/>
      <c r="JSU187" s="537"/>
      <c r="JSV187" s="537"/>
      <c r="JSW187" s="537"/>
      <c r="JSX187" s="537"/>
      <c r="JSY187" s="537"/>
      <c r="JSZ187" s="537"/>
      <c r="JTA187" s="537"/>
      <c r="JTB187" s="537"/>
      <c r="JTC187" s="537"/>
      <c r="JTD187" s="537"/>
      <c r="JTE187" s="537"/>
      <c r="JTF187" s="537"/>
      <c r="JTG187" s="537"/>
      <c r="JTH187" s="537"/>
      <c r="JTI187" s="537"/>
      <c r="JTJ187" s="537"/>
      <c r="JTK187" s="537"/>
      <c r="JTL187" s="537"/>
      <c r="JTM187" s="537"/>
      <c r="JTN187" s="537"/>
      <c r="JTO187" s="537"/>
      <c r="JTP187" s="537"/>
      <c r="JTQ187" s="537"/>
      <c r="JTR187" s="537"/>
      <c r="JTS187" s="537"/>
      <c r="JTT187" s="537"/>
      <c r="JTU187" s="537"/>
      <c r="JTV187" s="537"/>
      <c r="JTW187" s="537"/>
      <c r="JTX187" s="537"/>
      <c r="JTY187" s="537"/>
      <c r="JTZ187" s="537"/>
      <c r="JUA187" s="537"/>
      <c r="JUB187" s="537"/>
      <c r="JUC187" s="537"/>
      <c r="JUD187" s="537"/>
      <c r="JUE187" s="537"/>
      <c r="JUF187" s="537"/>
      <c r="JUG187" s="537"/>
      <c r="JUH187" s="537"/>
      <c r="JUI187" s="537"/>
      <c r="JUJ187" s="537"/>
      <c r="JUK187" s="537"/>
      <c r="JUL187" s="537"/>
      <c r="JUM187" s="537"/>
      <c r="JUN187" s="537"/>
      <c r="JUO187" s="537"/>
      <c r="JUP187" s="537"/>
      <c r="JUQ187" s="537"/>
      <c r="JUR187" s="537"/>
      <c r="JUS187" s="537"/>
      <c r="JUT187" s="537"/>
      <c r="JUU187" s="537"/>
      <c r="JUV187" s="537"/>
      <c r="JUW187" s="537"/>
      <c r="JUX187" s="537"/>
      <c r="JUY187" s="537"/>
      <c r="JUZ187" s="537"/>
      <c r="JVA187" s="537"/>
      <c r="JVB187" s="537"/>
      <c r="JVC187" s="537"/>
      <c r="JVD187" s="537"/>
      <c r="JVE187" s="537"/>
      <c r="JVF187" s="537"/>
      <c r="JVG187" s="537"/>
      <c r="JVH187" s="537"/>
      <c r="JVI187" s="537"/>
      <c r="JVJ187" s="537"/>
      <c r="JVK187" s="537"/>
      <c r="JVL187" s="537"/>
      <c r="JVM187" s="537"/>
      <c r="JVN187" s="537"/>
      <c r="JVO187" s="537"/>
      <c r="JVP187" s="537"/>
      <c r="JVQ187" s="537"/>
      <c r="JVR187" s="537"/>
      <c r="JVS187" s="537"/>
      <c r="JVT187" s="537"/>
      <c r="JVU187" s="537"/>
      <c r="JVV187" s="537"/>
      <c r="JVW187" s="537"/>
      <c r="JVX187" s="537"/>
      <c r="JVY187" s="537"/>
      <c r="JVZ187" s="537"/>
      <c r="JWA187" s="537"/>
      <c r="JWB187" s="537"/>
      <c r="JWC187" s="537"/>
      <c r="JWD187" s="537"/>
      <c r="JWE187" s="537"/>
      <c r="JWF187" s="537"/>
      <c r="JWG187" s="537"/>
      <c r="JWH187" s="537"/>
      <c r="JWI187" s="537"/>
      <c r="JWJ187" s="537"/>
      <c r="JWK187" s="537"/>
      <c r="JWL187" s="537"/>
      <c r="JWM187" s="537"/>
      <c r="JWN187" s="537"/>
      <c r="JWO187" s="537"/>
      <c r="JWP187" s="537"/>
      <c r="JWQ187" s="537"/>
      <c r="JWR187" s="537"/>
      <c r="JWS187" s="537"/>
      <c r="JWT187" s="537"/>
      <c r="JWU187" s="537"/>
      <c r="JWV187" s="537"/>
      <c r="JWW187" s="537"/>
      <c r="JWX187" s="537"/>
      <c r="JWY187" s="537"/>
      <c r="JWZ187" s="537"/>
      <c r="JXA187" s="537"/>
      <c r="JXB187" s="537"/>
      <c r="JXC187" s="537"/>
      <c r="JXD187" s="537"/>
      <c r="JXE187" s="537"/>
      <c r="JXF187" s="537"/>
      <c r="JXG187" s="537"/>
      <c r="JXH187" s="537"/>
      <c r="JXI187" s="537"/>
      <c r="JXJ187" s="537"/>
      <c r="JXK187" s="537"/>
      <c r="JXL187" s="537"/>
      <c r="JXM187" s="537"/>
      <c r="JXN187" s="537"/>
      <c r="JXO187" s="537"/>
      <c r="JXP187" s="537"/>
      <c r="JXQ187" s="537"/>
      <c r="JXR187" s="537"/>
      <c r="JXS187" s="537"/>
      <c r="JXT187" s="537"/>
      <c r="JXU187" s="537"/>
      <c r="JXV187" s="537"/>
      <c r="JXW187" s="537"/>
      <c r="JXX187" s="537"/>
      <c r="JXY187" s="537"/>
      <c r="JXZ187" s="537"/>
      <c r="JYA187" s="537"/>
      <c r="JYB187" s="537"/>
      <c r="JYC187" s="537"/>
      <c r="JYD187" s="537"/>
      <c r="JYE187" s="537"/>
      <c r="JYF187" s="537"/>
      <c r="JYG187" s="537"/>
      <c r="JYH187" s="537"/>
      <c r="JYI187" s="537"/>
      <c r="JYJ187" s="537"/>
      <c r="JYK187" s="537"/>
      <c r="JYL187" s="537"/>
      <c r="JYM187" s="537"/>
      <c r="JYN187" s="537"/>
      <c r="JYO187" s="537"/>
      <c r="JYP187" s="537"/>
      <c r="JYQ187" s="537"/>
      <c r="JYR187" s="537"/>
      <c r="JYS187" s="537"/>
      <c r="JYT187" s="537"/>
      <c r="JYU187" s="537"/>
      <c r="JYV187" s="537"/>
      <c r="JYW187" s="537"/>
      <c r="JYX187" s="537"/>
      <c r="JYY187" s="537"/>
      <c r="JYZ187" s="537"/>
      <c r="JZA187" s="537"/>
      <c r="JZB187" s="537"/>
      <c r="JZC187" s="537"/>
      <c r="JZD187" s="537"/>
      <c r="JZE187" s="537"/>
      <c r="JZF187" s="537"/>
      <c r="JZG187" s="537"/>
      <c r="JZH187" s="537"/>
      <c r="JZI187" s="537"/>
      <c r="JZJ187" s="537"/>
      <c r="JZK187" s="537"/>
      <c r="JZL187" s="537"/>
      <c r="JZM187" s="537"/>
      <c r="JZN187" s="537"/>
      <c r="JZO187" s="537"/>
      <c r="JZP187" s="537"/>
      <c r="JZQ187" s="537"/>
      <c r="JZR187" s="537"/>
      <c r="JZS187" s="537"/>
      <c r="JZT187" s="537"/>
      <c r="JZU187" s="537"/>
      <c r="JZV187" s="537"/>
      <c r="JZW187" s="537"/>
      <c r="JZX187" s="537"/>
      <c r="JZY187" s="537"/>
      <c r="JZZ187" s="537"/>
      <c r="KAA187" s="537"/>
      <c r="KAB187" s="537"/>
      <c r="KAC187" s="537"/>
      <c r="KAD187" s="537"/>
      <c r="KAE187" s="537"/>
      <c r="KAF187" s="537"/>
      <c r="KAG187" s="537"/>
      <c r="KAH187" s="537"/>
      <c r="KAI187" s="537"/>
      <c r="KAJ187" s="537"/>
      <c r="KAK187" s="537"/>
      <c r="KAL187" s="537"/>
      <c r="KAM187" s="537"/>
      <c r="KAN187" s="537"/>
      <c r="KAO187" s="537"/>
      <c r="KAP187" s="537"/>
      <c r="KAQ187" s="537"/>
      <c r="KAR187" s="537"/>
      <c r="KAS187" s="537"/>
      <c r="KAT187" s="537"/>
      <c r="KAU187" s="537"/>
      <c r="KAV187" s="537"/>
      <c r="KAW187" s="537"/>
      <c r="KAX187" s="537"/>
      <c r="KAY187" s="537"/>
      <c r="KAZ187" s="537"/>
      <c r="KBA187" s="537"/>
      <c r="KBB187" s="537"/>
      <c r="KBC187" s="537"/>
      <c r="KBD187" s="537"/>
      <c r="KBE187" s="537"/>
      <c r="KBF187" s="537"/>
      <c r="KBG187" s="537"/>
      <c r="KBH187" s="537"/>
      <c r="KBI187" s="537"/>
      <c r="KBJ187" s="537"/>
      <c r="KBK187" s="537"/>
      <c r="KBL187" s="537"/>
      <c r="KBM187" s="537"/>
      <c r="KBN187" s="537"/>
      <c r="KBO187" s="537"/>
      <c r="KBP187" s="537"/>
      <c r="KBQ187" s="537"/>
      <c r="KBR187" s="537"/>
      <c r="KBS187" s="537"/>
      <c r="KBT187" s="537"/>
      <c r="KBU187" s="537"/>
      <c r="KBV187" s="537"/>
      <c r="KBW187" s="537"/>
      <c r="KBX187" s="537"/>
      <c r="KBY187" s="537"/>
      <c r="KBZ187" s="537"/>
      <c r="KCA187" s="537"/>
      <c r="KCB187" s="537"/>
      <c r="KCC187" s="537"/>
      <c r="KCD187" s="537"/>
      <c r="KCE187" s="537"/>
      <c r="KCF187" s="537"/>
      <c r="KCG187" s="537"/>
      <c r="KCH187" s="537"/>
      <c r="KCI187" s="537"/>
      <c r="KCJ187" s="537"/>
      <c r="KCK187" s="537"/>
      <c r="KCL187" s="537"/>
      <c r="KCM187" s="537"/>
      <c r="KCN187" s="537"/>
      <c r="KCO187" s="537"/>
      <c r="KCP187" s="537"/>
      <c r="KCQ187" s="537"/>
      <c r="KCR187" s="537"/>
      <c r="KCS187" s="537"/>
      <c r="KCT187" s="537"/>
      <c r="KCU187" s="537"/>
      <c r="KCV187" s="537"/>
      <c r="KCW187" s="537"/>
      <c r="KCX187" s="537"/>
      <c r="KCY187" s="537"/>
      <c r="KCZ187" s="537"/>
      <c r="KDA187" s="537"/>
      <c r="KDB187" s="537"/>
      <c r="KDC187" s="537"/>
      <c r="KDD187" s="537"/>
      <c r="KDE187" s="537"/>
      <c r="KDF187" s="537"/>
      <c r="KDG187" s="537"/>
      <c r="KDH187" s="537"/>
      <c r="KDI187" s="537"/>
      <c r="KDJ187" s="537"/>
      <c r="KDK187" s="537"/>
      <c r="KDL187" s="537"/>
      <c r="KDM187" s="537"/>
      <c r="KDN187" s="537"/>
      <c r="KDO187" s="537"/>
      <c r="KDP187" s="537"/>
      <c r="KDQ187" s="537"/>
      <c r="KDR187" s="537"/>
      <c r="KDS187" s="537"/>
      <c r="KDT187" s="537"/>
      <c r="KDU187" s="537"/>
      <c r="KDV187" s="537"/>
      <c r="KDW187" s="537"/>
      <c r="KDX187" s="537"/>
      <c r="KDY187" s="537"/>
      <c r="KDZ187" s="537"/>
      <c r="KEA187" s="537"/>
      <c r="KEB187" s="537"/>
      <c r="KEC187" s="537"/>
      <c r="KED187" s="537"/>
      <c r="KEE187" s="537"/>
      <c r="KEF187" s="537"/>
      <c r="KEG187" s="537"/>
      <c r="KEH187" s="537"/>
      <c r="KEI187" s="537"/>
      <c r="KEJ187" s="537"/>
      <c r="KEK187" s="537"/>
      <c r="KEL187" s="537"/>
      <c r="KEM187" s="537"/>
      <c r="KEN187" s="537"/>
      <c r="KEO187" s="537"/>
      <c r="KEP187" s="537"/>
      <c r="KEQ187" s="537"/>
      <c r="KER187" s="537"/>
      <c r="KES187" s="537"/>
      <c r="KET187" s="537"/>
      <c r="KEU187" s="537"/>
      <c r="KEV187" s="537"/>
      <c r="KEW187" s="537"/>
      <c r="KEX187" s="537"/>
      <c r="KEY187" s="537"/>
      <c r="KEZ187" s="537"/>
      <c r="KFA187" s="537"/>
      <c r="KFB187" s="537"/>
      <c r="KFC187" s="537"/>
      <c r="KFD187" s="537"/>
      <c r="KFE187" s="537"/>
      <c r="KFF187" s="537"/>
      <c r="KFG187" s="537"/>
      <c r="KFH187" s="537"/>
      <c r="KFI187" s="537"/>
      <c r="KFJ187" s="537"/>
      <c r="KFK187" s="537"/>
      <c r="KFL187" s="537"/>
      <c r="KFM187" s="537"/>
      <c r="KFN187" s="537"/>
      <c r="KFO187" s="537"/>
      <c r="KFP187" s="537"/>
      <c r="KFQ187" s="537"/>
      <c r="KFR187" s="537"/>
      <c r="KFS187" s="537"/>
      <c r="KFT187" s="537"/>
      <c r="KFU187" s="537"/>
      <c r="KFV187" s="537"/>
      <c r="KFW187" s="537"/>
      <c r="KFX187" s="537"/>
      <c r="KFY187" s="537"/>
      <c r="KFZ187" s="537"/>
      <c r="KGA187" s="537"/>
      <c r="KGB187" s="537"/>
      <c r="KGC187" s="537"/>
      <c r="KGD187" s="537"/>
      <c r="KGE187" s="537"/>
      <c r="KGF187" s="537"/>
      <c r="KGG187" s="537"/>
      <c r="KGH187" s="537"/>
      <c r="KGI187" s="537"/>
      <c r="KGJ187" s="537"/>
      <c r="KGK187" s="537"/>
      <c r="KGL187" s="537"/>
      <c r="KGM187" s="537"/>
      <c r="KGN187" s="537"/>
      <c r="KGO187" s="537"/>
      <c r="KGP187" s="537"/>
      <c r="KGQ187" s="537"/>
      <c r="KGR187" s="537"/>
      <c r="KGS187" s="537"/>
      <c r="KGT187" s="537"/>
      <c r="KGU187" s="537"/>
      <c r="KGV187" s="537"/>
      <c r="KGW187" s="537"/>
      <c r="KGX187" s="537"/>
      <c r="KGY187" s="537"/>
      <c r="KGZ187" s="537"/>
      <c r="KHA187" s="537"/>
      <c r="KHB187" s="537"/>
      <c r="KHC187" s="537"/>
      <c r="KHD187" s="537"/>
      <c r="KHE187" s="537"/>
      <c r="KHF187" s="537"/>
      <c r="KHG187" s="537"/>
      <c r="KHH187" s="537"/>
      <c r="KHI187" s="537"/>
      <c r="KHJ187" s="537"/>
      <c r="KHK187" s="537"/>
      <c r="KHL187" s="537"/>
      <c r="KHM187" s="537"/>
      <c r="KHN187" s="537"/>
      <c r="KHO187" s="537"/>
      <c r="KHP187" s="537"/>
      <c r="KHQ187" s="537"/>
      <c r="KHR187" s="537"/>
      <c r="KHS187" s="537"/>
      <c r="KHT187" s="537"/>
      <c r="KHU187" s="537"/>
      <c r="KHV187" s="537"/>
      <c r="KHW187" s="537"/>
      <c r="KHX187" s="537"/>
      <c r="KHY187" s="537"/>
      <c r="KHZ187" s="537"/>
      <c r="KIA187" s="537"/>
      <c r="KIB187" s="537"/>
      <c r="KIC187" s="537"/>
      <c r="KID187" s="537"/>
      <c r="KIE187" s="537"/>
      <c r="KIF187" s="537"/>
      <c r="KIG187" s="537"/>
      <c r="KIH187" s="537"/>
      <c r="KII187" s="537"/>
      <c r="KIJ187" s="537"/>
      <c r="KIK187" s="537"/>
      <c r="KIL187" s="537"/>
      <c r="KIM187" s="537"/>
      <c r="KIN187" s="537"/>
      <c r="KIO187" s="537"/>
      <c r="KIP187" s="537"/>
      <c r="KIQ187" s="537"/>
      <c r="KIR187" s="537"/>
      <c r="KIS187" s="537"/>
      <c r="KIT187" s="537"/>
      <c r="KIU187" s="537"/>
      <c r="KIV187" s="537"/>
      <c r="KIW187" s="537"/>
      <c r="KIX187" s="537"/>
      <c r="KIY187" s="537"/>
      <c r="KIZ187" s="537"/>
      <c r="KJA187" s="537"/>
      <c r="KJB187" s="537"/>
      <c r="KJC187" s="537"/>
      <c r="KJD187" s="537"/>
      <c r="KJE187" s="537"/>
      <c r="KJF187" s="537"/>
      <c r="KJG187" s="537"/>
      <c r="KJH187" s="537"/>
      <c r="KJI187" s="537"/>
      <c r="KJJ187" s="537"/>
      <c r="KJK187" s="537"/>
      <c r="KJL187" s="537"/>
      <c r="KJM187" s="537"/>
      <c r="KJN187" s="537"/>
      <c r="KJO187" s="537"/>
      <c r="KJP187" s="537"/>
      <c r="KJQ187" s="537"/>
      <c r="KJR187" s="537"/>
      <c r="KJS187" s="537"/>
      <c r="KJT187" s="537"/>
      <c r="KJU187" s="537"/>
      <c r="KJV187" s="537"/>
      <c r="KJW187" s="537"/>
      <c r="KJX187" s="537"/>
      <c r="KJY187" s="537"/>
      <c r="KJZ187" s="537"/>
      <c r="KKA187" s="537"/>
      <c r="KKB187" s="537"/>
      <c r="KKC187" s="537"/>
      <c r="KKD187" s="537"/>
      <c r="KKE187" s="537"/>
      <c r="KKF187" s="537"/>
      <c r="KKG187" s="537"/>
      <c r="KKH187" s="537"/>
      <c r="KKI187" s="537"/>
      <c r="KKJ187" s="537"/>
      <c r="KKK187" s="537"/>
      <c r="KKL187" s="537"/>
      <c r="KKM187" s="537"/>
      <c r="KKN187" s="537"/>
      <c r="KKO187" s="537"/>
      <c r="KKP187" s="537"/>
      <c r="KKQ187" s="537"/>
      <c r="KKR187" s="537"/>
      <c r="KKS187" s="537"/>
      <c r="KKT187" s="537"/>
      <c r="KKU187" s="537"/>
      <c r="KKV187" s="537"/>
      <c r="KKW187" s="537"/>
      <c r="KKX187" s="537"/>
      <c r="KKY187" s="537"/>
      <c r="KKZ187" s="537"/>
      <c r="KLA187" s="537"/>
      <c r="KLB187" s="537"/>
      <c r="KLC187" s="537"/>
      <c r="KLD187" s="537"/>
      <c r="KLE187" s="537"/>
      <c r="KLF187" s="537"/>
      <c r="KLG187" s="537"/>
      <c r="KLH187" s="537"/>
      <c r="KLI187" s="537"/>
      <c r="KLJ187" s="537"/>
      <c r="KLK187" s="537"/>
      <c r="KLL187" s="537"/>
      <c r="KLM187" s="537"/>
      <c r="KLN187" s="537"/>
      <c r="KLO187" s="537"/>
      <c r="KLP187" s="537"/>
      <c r="KLQ187" s="537"/>
      <c r="KLR187" s="537"/>
      <c r="KLS187" s="537"/>
      <c r="KLT187" s="537"/>
      <c r="KLU187" s="537"/>
      <c r="KLV187" s="537"/>
      <c r="KLW187" s="537"/>
      <c r="KLX187" s="537"/>
      <c r="KLY187" s="537"/>
      <c r="KLZ187" s="537"/>
      <c r="KMA187" s="537"/>
      <c r="KMB187" s="537"/>
      <c r="KMC187" s="537"/>
      <c r="KMD187" s="537"/>
      <c r="KME187" s="537"/>
      <c r="KMF187" s="537"/>
      <c r="KMG187" s="537"/>
      <c r="KMH187" s="537"/>
      <c r="KMI187" s="537"/>
      <c r="KMJ187" s="537"/>
      <c r="KMK187" s="537"/>
      <c r="KML187" s="537"/>
      <c r="KMM187" s="537"/>
      <c r="KMN187" s="537"/>
      <c r="KMO187" s="537"/>
      <c r="KMP187" s="537"/>
      <c r="KMQ187" s="537"/>
      <c r="KMR187" s="537"/>
      <c r="KMS187" s="537"/>
      <c r="KMT187" s="537"/>
      <c r="KMU187" s="537"/>
      <c r="KMV187" s="537"/>
      <c r="KMW187" s="537"/>
      <c r="KMX187" s="537"/>
      <c r="KMY187" s="537"/>
      <c r="KMZ187" s="537"/>
      <c r="KNA187" s="537"/>
      <c r="KNB187" s="537"/>
      <c r="KNC187" s="537"/>
      <c r="KND187" s="537"/>
      <c r="KNE187" s="537"/>
      <c r="KNF187" s="537"/>
      <c r="KNG187" s="537"/>
      <c r="KNH187" s="537"/>
      <c r="KNI187" s="537"/>
      <c r="KNJ187" s="537"/>
      <c r="KNK187" s="537"/>
      <c r="KNL187" s="537"/>
      <c r="KNM187" s="537"/>
      <c r="KNN187" s="537"/>
      <c r="KNO187" s="537"/>
      <c r="KNP187" s="537"/>
      <c r="KNQ187" s="537"/>
      <c r="KNR187" s="537"/>
      <c r="KNS187" s="537"/>
      <c r="KNT187" s="537"/>
      <c r="KNU187" s="537"/>
      <c r="KNV187" s="537"/>
      <c r="KNW187" s="537"/>
      <c r="KNX187" s="537"/>
      <c r="KNY187" s="537"/>
      <c r="KNZ187" s="537"/>
      <c r="KOA187" s="537"/>
      <c r="KOB187" s="537"/>
      <c r="KOC187" s="537"/>
      <c r="KOD187" s="537"/>
      <c r="KOE187" s="537"/>
      <c r="KOF187" s="537"/>
      <c r="KOG187" s="537"/>
      <c r="KOH187" s="537"/>
      <c r="KOI187" s="537"/>
      <c r="KOJ187" s="537"/>
      <c r="KOK187" s="537"/>
      <c r="KOL187" s="537"/>
      <c r="KOM187" s="537"/>
      <c r="KON187" s="537"/>
      <c r="KOO187" s="537"/>
      <c r="KOP187" s="537"/>
      <c r="KOQ187" s="537"/>
      <c r="KOR187" s="537"/>
      <c r="KOS187" s="537"/>
      <c r="KOT187" s="537"/>
      <c r="KOU187" s="537"/>
      <c r="KOV187" s="537"/>
      <c r="KOW187" s="537"/>
      <c r="KOX187" s="537"/>
      <c r="KOY187" s="537"/>
      <c r="KOZ187" s="537"/>
      <c r="KPA187" s="537"/>
      <c r="KPB187" s="537"/>
      <c r="KPC187" s="537"/>
      <c r="KPD187" s="537"/>
      <c r="KPE187" s="537"/>
      <c r="KPF187" s="537"/>
      <c r="KPG187" s="537"/>
      <c r="KPH187" s="537"/>
      <c r="KPI187" s="537"/>
      <c r="KPJ187" s="537"/>
      <c r="KPK187" s="537"/>
      <c r="KPL187" s="537"/>
      <c r="KPM187" s="537"/>
      <c r="KPN187" s="537"/>
      <c r="KPO187" s="537"/>
      <c r="KPP187" s="537"/>
      <c r="KPQ187" s="537"/>
      <c r="KPR187" s="537"/>
      <c r="KPS187" s="537"/>
      <c r="KPT187" s="537"/>
      <c r="KPU187" s="537"/>
      <c r="KPV187" s="537"/>
      <c r="KPW187" s="537"/>
      <c r="KPX187" s="537"/>
      <c r="KPY187" s="537"/>
      <c r="KPZ187" s="537"/>
      <c r="KQA187" s="537"/>
      <c r="KQB187" s="537"/>
      <c r="KQC187" s="537"/>
      <c r="KQD187" s="537"/>
      <c r="KQE187" s="537"/>
      <c r="KQF187" s="537"/>
      <c r="KQG187" s="537"/>
      <c r="KQH187" s="537"/>
      <c r="KQI187" s="537"/>
      <c r="KQJ187" s="537"/>
      <c r="KQK187" s="537"/>
      <c r="KQL187" s="537"/>
      <c r="KQM187" s="537"/>
      <c r="KQN187" s="537"/>
      <c r="KQO187" s="537"/>
      <c r="KQP187" s="537"/>
      <c r="KQQ187" s="537"/>
      <c r="KQR187" s="537"/>
      <c r="KQS187" s="537"/>
      <c r="KQT187" s="537"/>
      <c r="KQU187" s="537"/>
      <c r="KQV187" s="537"/>
      <c r="KQW187" s="537"/>
      <c r="KQX187" s="537"/>
      <c r="KQY187" s="537"/>
      <c r="KQZ187" s="537"/>
      <c r="KRA187" s="537"/>
      <c r="KRB187" s="537"/>
      <c r="KRC187" s="537"/>
      <c r="KRD187" s="537"/>
      <c r="KRE187" s="537"/>
      <c r="KRF187" s="537"/>
      <c r="KRG187" s="537"/>
      <c r="KRH187" s="537"/>
      <c r="KRI187" s="537"/>
      <c r="KRJ187" s="537"/>
      <c r="KRK187" s="537"/>
      <c r="KRL187" s="537"/>
      <c r="KRM187" s="537"/>
      <c r="KRN187" s="537"/>
      <c r="KRO187" s="537"/>
      <c r="KRP187" s="537"/>
      <c r="KRQ187" s="537"/>
      <c r="KRR187" s="537"/>
      <c r="KRS187" s="537"/>
      <c r="KRT187" s="537"/>
      <c r="KRU187" s="537"/>
      <c r="KRV187" s="537"/>
      <c r="KRW187" s="537"/>
      <c r="KRX187" s="537"/>
      <c r="KRY187" s="537"/>
      <c r="KRZ187" s="537"/>
      <c r="KSA187" s="537"/>
      <c r="KSB187" s="537"/>
      <c r="KSC187" s="537"/>
      <c r="KSD187" s="537"/>
      <c r="KSE187" s="537"/>
      <c r="KSF187" s="537"/>
      <c r="KSG187" s="537"/>
      <c r="KSH187" s="537"/>
      <c r="KSI187" s="537"/>
      <c r="KSJ187" s="537"/>
      <c r="KSK187" s="537"/>
      <c r="KSL187" s="537"/>
      <c r="KSM187" s="537"/>
      <c r="KSN187" s="537"/>
      <c r="KSO187" s="537"/>
      <c r="KSP187" s="537"/>
      <c r="KSQ187" s="537"/>
      <c r="KSR187" s="537"/>
      <c r="KSS187" s="537"/>
      <c r="KST187" s="537"/>
      <c r="KSU187" s="537"/>
      <c r="KSV187" s="537"/>
      <c r="KSW187" s="537"/>
      <c r="KSX187" s="537"/>
      <c r="KSY187" s="537"/>
      <c r="KSZ187" s="537"/>
      <c r="KTA187" s="537"/>
      <c r="KTB187" s="537"/>
      <c r="KTC187" s="537"/>
      <c r="KTD187" s="537"/>
      <c r="KTE187" s="537"/>
      <c r="KTF187" s="537"/>
      <c r="KTG187" s="537"/>
      <c r="KTH187" s="537"/>
      <c r="KTI187" s="537"/>
      <c r="KTJ187" s="537"/>
      <c r="KTK187" s="537"/>
      <c r="KTL187" s="537"/>
      <c r="KTM187" s="537"/>
      <c r="KTN187" s="537"/>
      <c r="KTO187" s="537"/>
      <c r="KTP187" s="537"/>
      <c r="KTQ187" s="537"/>
      <c r="KTR187" s="537"/>
      <c r="KTS187" s="537"/>
      <c r="KTT187" s="537"/>
      <c r="KTU187" s="537"/>
      <c r="KTV187" s="537"/>
      <c r="KTW187" s="537"/>
      <c r="KTX187" s="537"/>
      <c r="KTY187" s="537"/>
      <c r="KTZ187" s="537"/>
      <c r="KUA187" s="537"/>
      <c r="KUB187" s="537"/>
      <c r="KUC187" s="537"/>
      <c r="KUD187" s="537"/>
      <c r="KUE187" s="537"/>
      <c r="KUF187" s="537"/>
      <c r="KUG187" s="537"/>
      <c r="KUH187" s="537"/>
      <c r="KUI187" s="537"/>
      <c r="KUJ187" s="537"/>
      <c r="KUK187" s="537"/>
      <c r="KUL187" s="537"/>
      <c r="KUM187" s="537"/>
      <c r="KUN187" s="537"/>
      <c r="KUO187" s="537"/>
      <c r="KUP187" s="537"/>
      <c r="KUQ187" s="537"/>
      <c r="KUR187" s="537"/>
      <c r="KUS187" s="537"/>
      <c r="KUT187" s="537"/>
      <c r="KUU187" s="537"/>
      <c r="KUV187" s="537"/>
      <c r="KUW187" s="537"/>
      <c r="KUX187" s="537"/>
      <c r="KUY187" s="537"/>
      <c r="KUZ187" s="537"/>
      <c r="KVA187" s="537"/>
      <c r="KVB187" s="537"/>
      <c r="KVC187" s="537"/>
      <c r="KVD187" s="537"/>
      <c r="KVE187" s="537"/>
      <c r="KVF187" s="537"/>
      <c r="KVG187" s="537"/>
      <c r="KVH187" s="537"/>
      <c r="KVI187" s="537"/>
      <c r="KVJ187" s="537"/>
      <c r="KVK187" s="537"/>
      <c r="KVL187" s="537"/>
      <c r="KVM187" s="537"/>
      <c r="KVN187" s="537"/>
      <c r="KVO187" s="537"/>
      <c r="KVP187" s="537"/>
      <c r="KVQ187" s="537"/>
      <c r="KVR187" s="537"/>
      <c r="KVS187" s="537"/>
      <c r="KVT187" s="537"/>
      <c r="KVU187" s="537"/>
      <c r="KVV187" s="537"/>
      <c r="KVW187" s="537"/>
      <c r="KVX187" s="537"/>
      <c r="KVY187" s="537"/>
      <c r="KVZ187" s="537"/>
      <c r="KWA187" s="537"/>
      <c r="KWB187" s="537"/>
      <c r="KWC187" s="537"/>
      <c r="KWD187" s="537"/>
      <c r="KWE187" s="537"/>
      <c r="KWF187" s="537"/>
      <c r="KWG187" s="537"/>
      <c r="KWH187" s="537"/>
      <c r="KWI187" s="537"/>
      <c r="KWJ187" s="537"/>
      <c r="KWK187" s="537"/>
      <c r="KWL187" s="537"/>
      <c r="KWM187" s="537"/>
      <c r="KWN187" s="537"/>
      <c r="KWO187" s="537"/>
      <c r="KWP187" s="537"/>
      <c r="KWQ187" s="537"/>
      <c r="KWR187" s="537"/>
      <c r="KWS187" s="537"/>
      <c r="KWT187" s="537"/>
      <c r="KWU187" s="537"/>
      <c r="KWV187" s="537"/>
      <c r="KWW187" s="537"/>
      <c r="KWX187" s="537"/>
      <c r="KWY187" s="537"/>
      <c r="KWZ187" s="537"/>
      <c r="KXA187" s="537"/>
      <c r="KXB187" s="537"/>
      <c r="KXC187" s="537"/>
      <c r="KXD187" s="537"/>
      <c r="KXE187" s="537"/>
      <c r="KXF187" s="537"/>
      <c r="KXG187" s="537"/>
      <c r="KXH187" s="537"/>
      <c r="KXI187" s="537"/>
      <c r="KXJ187" s="537"/>
      <c r="KXK187" s="537"/>
      <c r="KXL187" s="537"/>
      <c r="KXM187" s="537"/>
      <c r="KXN187" s="537"/>
      <c r="KXO187" s="537"/>
      <c r="KXP187" s="537"/>
      <c r="KXQ187" s="537"/>
      <c r="KXR187" s="537"/>
      <c r="KXS187" s="537"/>
      <c r="KXT187" s="537"/>
      <c r="KXU187" s="537"/>
      <c r="KXV187" s="537"/>
      <c r="KXW187" s="537"/>
      <c r="KXX187" s="537"/>
      <c r="KXY187" s="537"/>
      <c r="KXZ187" s="537"/>
      <c r="KYA187" s="537"/>
      <c r="KYB187" s="537"/>
      <c r="KYC187" s="537"/>
      <c r="KYD187" s="537"/>
      <c r="KYE187" s="537"/>
      <c r="KYF187" s="537"/>
      <c r="KYG187" s="537"/>
      <c r="KYH187" s="537"/>
      <c r="KYI187" s="537"/>
      <c r="KYJ187" s="537"/>
      <c r="KYK187" s="537"/>
      <c r="KYL187" s="537"/>
      <c r="KYM187" s="537"/>
      <c r="KYN187" s="537"/>
      <c r="KYO187" s="537"/>
      <c r="KYP187" s="537"/>
      <c r="KYQ187" s="537"/>
      <c r="KYR187" s="537"/>
      <c r="KYS187" s="537"/>
      <c r="KYT187" s="537"/>
      <c r="KYU187" s="537"/>
      <c r="KYV187" s="537"/>
      <c r="KYW187" s="537"/>
      <c r="KYX187" s="537"/>
      <c r="KYY187" s="537"/>
      <c r="KYZ187" s="537"/>
      <c r="KZA187" s="537"/>
      <c r="KZB187" s="537"/>
      <c r="KZC187" s="537"/>
      <c r="KZD187" s="537"/>
      <c r="KZE187" s="537"/>
      <c r="KZF187" s="537"/>
      <c r="KZG187" s="537"/>
      <c r="KZH187" s="537"/>
      <c r="KZI187" s="537"/>
      <c r="KZJ187" s="537"/>
      <c r="KZK187" s="537"/>
      <c r="KZL187" s="537"/>
      <c r="KZM187" s="537"/>
      <c r="KZN187" s="537"/>
      <c r="KZO187" s="537"/>
      <c r="KZP187" s="537"/>
      <c r="KZQ187" s="537"/>
      <c r="KZR187" s="537"/>
      <c r="KZS187" s="537"/>
      <c r="KZT187" s="537"/>
      <c r="KZU187" s="537"/>
      <c r="KZV187" s="537"/>
      <c r="KZW187" s="537"/>
      <c r="KZX187" s="537"/>
      <c r="KZY187" s="537"/>
      <c r="KZZ187" s="537"/>
      <c r="LAA187" s="537"/>
      <c r="LAB187" s="537"/>
      <c r="LAC187" s="537"/>
      <c r="LAD187" s="537"/>
      <c r="LAE187" s="537"/>
      <c r="LAF187" s="537"/>
      <c r="LAG187" s="537"/>
      <c r="LAH187" s="537"/>
      <c r="LAI187" s="537"/>
      <c r="LAJ187" s="537"/>
      <c r="LAK187" s="537"/>
      <c r="LAL187" s="537"/>
      <c r="LAM187" s="537"/>
      <c r="LAN187" s="537"/>
      <c r="LAO187" s="537"/>
      <c r="LAP187" s="537"/>
      <c r="LAQ187" s="537"/>
      <c r="LAR187" s="537"/>
      <c r="LAS187" s="537"/>
      <c r="LAT187" s="537"/>
      <c r="LAU187" s="537"/>
      <c r="LAV187" s="537"/>
      <c r="LAW187" s="537"/>
      <c r="LAX187" s="537"/>
      <c r="LAY187" s="537"/>
      <c r="LAZ187" s="537"/>
      <c r="LBA187" s="537"/>
      <c r="LBB187" s="537"/>
      <c r="LBC187" s="537"/>
      <c r="LBD187" s="537"/>
      <c r="LBE187" s="537"/>
      <c r="LBF187" s="537"/>
      <c r="LBG187" s="537"/>
      <c r="LBH187" s="537"/>
      <c r="LBI187" s="537"/>
      <c r="LBJ187" s="537"/>
      <c r="LBK187" s="537"/>
      <c r="LBL187" s="537"/>
      <c r="LBM187" s="537"/>
      <c r="LBN187" s="537"/>
      <c r="LBO187" s="537"/>
      <c r="LBP187" s="537"/>
      <c r="LBQ187" s="537"/>
      <c r="LBR187" s="537"/>
      <c r="LBS187" s="537"/>
      <c r="LBT187" s="537"/>
      <c r="LBU187" s="537"/>
      <c r="LBV187" s="537"/>
      <c r="LBW187" s="537"/>
      <c r="LBX187" s="537"/>
      <c r="LBY187" s="537"/>
      <c r="LBZ187" s="537"/>
      <c r="LCA187" s="537"/>
      <c r="LCB187" s="537"/>
      <c r="LCC187" s="537"/>
      <c r="LCD187" s="537"/>
      <c r="LCE187" s="537"/>
      <c r="LCF187" s="537"/>
      <c r="LCG187" s="537"/>
      <c r="LCH187" s="537"/>
      <c r="LCI187" s="537"/>
      <c r="LCJ187" s="537"/>
      <c r="LCK187" s="537"/>
      <c r="LCL187" s="537"/>
      <c r="LCM187" s="537"/>
      <c r="LCN187" s="537"/>
      <c r="LCO187" s="537"/>
      <c r="LCP187" s="537"/>
      <c r="LCQ187" s="537"/>
      <c r="LCR187" s="537"/>
      <c r="LCS187" s="537"/>
      <c r="LCT187" s="537"/>
      <c r="LCU187" s="537"/>
      <c r="LCV187" s="537"/>
      <c r="LCW187" s="537"/>
      <c r="LCX187" s="537"/>
      <c r="LCY187" s="537"/>
      <c r="LCZ187" s="537"/>
      <c r="LDA187" s="537"/>
      <c r="LDB187" s="537"/>
      <c r="LDC187" s="537"/>
      <c r="LDD187" s="537"/>
      <c r="LDE187" s="537"/>
      <c r="LDF187" s="537"/>
      <c r="LDG187" s="537"/>
      <c r="LDH187" s="537"/>
      <c r="LDI187" s="537"/>
      <c r="LDJ187" s="537"/>
      <c r="LDK187" s="537"/>
      <c r="LDL187" s="537"/>
      <c r="LDM187" s="537"/>
      <c r="LDN187" s="537"/>
      <c r="LDO187" s="537"/>
      <c r="LDP187" s="537"/>
      <c r="LDQ187" s="537"/>
      <c r="LDR187" s="537"/>
      <c r="LDS187" s="537"/>
      <c r="LDT187" s="537"/>
      <c r="LDU187" s="537"/>
      <c r="LDV187" s="537"/>
      <c r="LDW187" s="537"/>
      <c r="LDX187" s="537"/>
      <c r="LDY187" s="537"/>
      <c r="LDZ187" s="537"/>
      <c r="LEA187" s="537"/>
      <c r="LEB187" s="537"/>
      <c r="LEC187" s="537"/>
      <c r="LED187" s="537"/>
      <c r="LEE187" s="537"/>
      <c r="LEF187" s="537"/>
      <c r="LEG187" s="537"/>
      <c r="LEH187" s="537"/>
      <c r="LEI187" s="537"/>
      <c r="LEJ187" s="537"/>
      <c r="LEK187" s="537"/>
      <c r="LEL187" s="537"/>
      <c r="LEM187" s="537"/>
      <c r="LEN187" s="537"/>
      <c r="LEO187" s="537"/>
      <c r="LEP187" s="537"/>
      <c r="LEQ187" s="537"/>
      <c r="LER187" s="537"/>
      <c r="LES187" s="537"/>
      <c r="LET187" s="537"/>
      <c r="LEU187" s="537"/>
      <c r="LEV187" s="537"/>
      <c r="LEW187" s="537"/>
      <c r="LEX187" s="537"/>
      <c r="LEY187" s="537"/>
      <c r="LEZ187" s="537"/>
      <c r="LFA187" s="537"/>
      <c r="LFB187" s="537"/>
      <c r="LFC187" s="537"/>
      <c r="LFD187" s="537"/>
      <c r="LFE187" s="537"/>
      <c r="LFF187" s="537"/>
      <c r="LFG187" s="537"/>
      <c r="LFH187" s="537"/>
      <c r="LFI187" s="537"/>
      <c r="LFJ187" s="537"/>
      <c r="LFK187" s="537"/>
      <c r="LFL187" s="537"/>
      <c r="LFM187" s="537"/>
      <c r="LFN187" s="537"/>
      <c r="LFO187" s="537"/>
      <c r="LFP187" s="537"/>
      <c r="LFQ187" s="537"/>
      <c r="LFR187" s="537"/>
      <c r="LFS187" s="537"/>
      <c r="LFT187" s="537"/>
      <c r="LFU187" s="537"/>
      <c r="LFV187" s="537"/>
      <c r="LFW187" s="537"/>
      <c r="LFX187" s="537"/>
      <c r="LFY187" s="537"/>
      <c r="LFZ187" s="537"/>
      <c r="LGA187" s="537"/>
      <c r="LGB187" s="537"/>
      <c r="LGC187" s="537"/>
      <c r="LGD187" s="537"/>
      <c r="LGE187" s="537"/>
      <c r="LGF187" s="537"/>
      <c r="LGG187" s="537"/>
      <c r="LGH187" s="537"/>
      <c r="LGI187" s="537"/>
      <c r="LGJ187" s="537"/>
      <c r="LGK187" s="537"/>
      <c r="LGL187" s="537"/>
      <c r="LGM187" s="537"/>
      <c r="LGN187" s="537"/>
      <c r="LGO187" s="537"/>
      <c r="LGP187" s="537"/>
      <c r="LGQ187" s="537"/>
      <c r="LGR187" s="537"/>
      <c r="LGS187" s="537"/>
      <c r="LGT187" s="537"/>
      <c r="LGU187" s="537"/>
      <c r="LGV187" s="537"/>
      <c r="LGW187" s="537"/>
      <c r="LGX187" s="537"/>
      <c r="LGY187" s="537"/>
      <c r="LGZ187" s="537"/>
      <c r="LHA187" s="537"/>
      <c r="LHB187" s="537"/>
      <c r="LHC187" s="537"/>
      <c r="LHD187" s="537"/>
      <c r="LHE187" s="537"/>
      <c r="LHF187" s="537"/>
      <c r="LHG187" s="537"/>
      <c r="LHH187" s="537"/>
      <c r="LHI187" s="537"/>
      <c r="LHJ187" s="537"/>
      <c r="LHK187" s="537"/>
      <c r="LHL187" s="537"/>
      <c r="LHM187" s="537"/>
      <c r="LHN187" s="537"/>
      <c r="LHO187" s="537"/>
      <c r="LHP187" s="537"/>
      <c r="LHQ187" s="537"/>
      <c r="LHR187" s="537"/>
      <c r="LHS187" s="537"/>
      <c r="LHT187" s="537"/>
      <c r="LHU187" s="537"/>
      <c r="LHV187" s="537"/>
      <c r="LHW187" s="537"/>
      <c r="LHX187" s="537"/>
      <c r="LHY187" s="537"/>
      <c r="LHZ187" s="537"/>
      <c r="LIA187" s="537"/>
      <c r="LIB187" s="537"/>
      <c r="LIC187" s="537"/>
      <c r="LID187" s="537"/>
      <c r="LIE187" s="537"/>
      <c r="LIF187" s="537"/>
      <c r="LIG187" s="537"/>
      <c r="LIH187" s="537"/>
      <c r="LII187" s="537"/>
      <c r="LIJ187" s="537"/>
      <c r="LIK187" s="537"/>
      <c r="LIL187" s="537"/>
      <c r="LIM187" s="537"/>
      <c r="LIN187" s="537"/>
      <c r="LIO187" s="537"/>
      <c r="LIP187" s="537"/>
      <c r="LIQ187" s="537"/>
      <c r="LIR187" s="537"/>
      <c r="LIS187" s="537"/>
      <c r="LIT187" s="537"/>
      <c r="LIU187" s="537"/>
      <c r="LIV187" s="537"/>
      <c r="LIW187" s="537"/>
      <c r="LIX187" s="537"/>
      <c r="LIY187" s="537"/>
      <c r="LIZ187" s="537"/>
      <c r="LJA187" s="537"/>
      <c r="LJB187" s="537"/>
      <c r="LJC187" s="537"/>
      <c r="LJD187" s="537"/>
      <c r="LJE187" s="537"/>
      <c r="LJF187" s="537"/>
      <c r="LJG187" s="537"/>
      <c r="LJH187" s="537"/>
      <c r="LJI187" s="537"/>
      <c r="LJJ187" s="537"/>
      <c r="LJK187" s="537"/>
      <c r="LJL187" s="537"/>
      <c r="LJM187" s="537"/>
      <c r="LJN187" s="537"/>
      <c r="LJO187" s="537"/>
      <c r="LJP187" s="537"/>
      <c r="LJQ187" s="537"/>
      <c r="LJR187" s="537"/>
      <c r="LJS187" s="537"/>
      <c r="LJT187" s="537"/>
      <c r="LJU187" s="537"/>
      <c r="LJV187" s="537"/>
      <c r="LJW187" s="537"/>
      <c r="LJX187" s="537"/>
      <c r="LJY187" s="537"/>
      <c r="LJZ187" s="537"/>
      <c r="LKA187" s="537"/>
      <c r="LKB187" s="537"/>
      <c r="LKC187" s="537"/>
      <c r="LKD187" s="537"/>
      <c r="LKE187" s="537"/>
      <c r="LKF187" s="537"/>
      <c r="LKG187" s="537"/>
      <c r="LKH187" s="537"/>
      <c r="LKI187" s="537"/>
      <c r="LKJ187" s="537"/>
      <c r="LKK187" s="537"/>
      <c r="LKL187" s="537"/>
      <c r="LKM187" s="537"/>
      <c r="LKN187" s="537"/>
      <c r="LKO187" s="537"/>
      <c r="LKP187" s="537"/>
      <c r="LKQ187" s="537"/>
      <c r="LKR187" s="537"/>
      <c r="LKS187" s="537"/>
      <c r="LKT187" s="537"/>
      <c r="LKU187" s="537"/>
      <c r="LKV187" s="537"/>
      <c r="LKW187" s="537"/>
      <c r="LKX187" s="537"/>
      <c r="LKY187" s="537"/>
      <c r="LKZ187" s="537"/>
      <c r="LLA187" s="537"/>
      <c r="LLB187" s="537"/>
      <c r="LLC187" s="537"/>
      <c r="LLD187" s="537"/>
      <c r="LLE187" s="537"/>
      <c r="LLF187" s="537"/>
      <c r="LLG187" s="537"/>
      <c r="LLH187" s="537"/>
      <c r="LLI187" s="537"/>
      <c r="LLJ187" s="537"/>
      <c r="LLK187" s="537"/>
      <c r="LLL187" s="537"/>
      <c r="LLM187" s="537"/>
      <c r="LLN187" s="537"/>
      <c r="LLO187" s="537"/>
      <c r="LLP187" s="537"/>
      <c r="LLQ187" s="537"/>
      <c r="LLR187" s="537"/>
      <c r="LLS187" s="537"/>
      <c r="LLT187" s="537"/>
      <c r="LLU187" s="537"/>
      <c r="LLV187" s="537"/>
      <c r="LLW187" s="537"/>
      <c r="LLX187" s="537"/>
      <c r="LLY187" s="537"/>
      <c r="LLZ187" s="537"/>
      <c r="LMA187" s="537"/>
      <c r="LMB187" s="537"/>
      <c r="LMC187" s="537"/>
      <c r="LMD187" s="537"/>
      <c r="LME187" s="537"/>
      <c r="LMF187" s="537"/>
      <c r="LMG187" s="537"/>
      <c r="LMH187" s="537"/>
      <c r="LMI187" s="537"/>
      <c r="LMJ187" s="537"/>
      <c r="LMK187" s="537"/>
      <c r="LML187" s="537"/>
      <c r="LMM187" s="537"/>
      <c r="LMN187" s="537"/>
      <c r="LMO187" s="537"/>
      <c r="LMP187" s="537"/>
      <c r="LMQ187" s="537"/>
      <c r="LMR187" s="537"/>
      <c r="LMS187" s="537"/>
      <c r="LMT187" s="537"/>
      <c r="LMU187" s="537"/>
      <c r="LMV187" s="537"/>
      <c r="LMW187" s="537"/>
      <c r="LMX187" s="537"/>
      <c r="LMY187" s="537"/>
      <c r="LMZ187" s="537"/>
      <c r="LNA187" s="537"/>
      <c r="LNB187" s="537"/>
      <c r="LNC187" s="537"/>
      <c r="LND187" s="537"/>
      <c r="LNE187" s="537"/>
      <c r="LNF187" s="537"/>
      <c r="LNG187" s="537"/>
      <c r="LNH187" s="537"/>
      <c r="LNI187" s="537"/>
      <c r="LNJ187" s="537"/>
      <c r="LNK187" s="537"/>
      <c r="LNL187" s="537"/>
      <c r="LNM187" s="537"/>
      <c r="LNN187" s="537"/>
      <c r="LNO187" s="537"/>
      <c r="LNP187" s="537"/>
      <c r="LNQ187" s="537"/>
      <c r="LNR187" s="537"/>
      <c r="LNS187" s="537"/>
      <c r="LNT187" s="537"/>
      <c r="LNU187" s="537"/>
      <c r="LNV187" s="537"/>
      <c r="LNW187" s="537"/>
      <c r="LNX187" s="537"/>
      <c r="LNY187" s="537"/>
      <c r="LNZ187" s="537"/>
      <c r="LOA187" s="537"/>
      <c r="LOB187" s="537"/>
      <c r="LOC187" s="537"/>
      <c r="LOD187" s="537"/>
      <c r="LOE187" s="537"/>
      <c r="LOF187" s="537"/>
      <c r="LOG187" s="537"/>
      <c r="LOH187" s="537"/>
      <c r="LOI187" s="537"/>
      <c r="LOJ187" s="537"/>
      <c r="LOK187" s="537"/>
      <c r="LOL187" s="537"/>
      <c r="LOM187" s="537"/>
      <c r="LON187" s="537"/>
      <c r="LOO187" s="537"/>
      <c r="LOP187" s="537"/>
      <c r="LOQ187" s="537"/>
      <c r="LOR187" s="537"/>
      <c r="LOS187" s="537"/>
      <c r="LOT187" s="537"/>
      <c r="LOU187" s="537"/>
      <c r="LOV187" s="537"/>
      <c r="LOW187" s="537"/>
      <c r="LOX187" s="537"/>
      <c r="LOY187" s="537"/>
      <c r="LOZ187" s="537"/>
      <c r="LPA187" s="537"/>
      <c r="LPB187" s="537"/>
      <c r="LPC187" s="537"/>
      <c r="LPD187" s="537"/>
      <c r="LPE187" s="537"/>
      <c r="LPF187" s="537"/>
      <c r="LPG187" s="537"/>
      <c r="LPH187" s="537"/>
      <c r="LPI187" s="537"/>
      <c r="LPJ187" s="537"/>
      <c r="LPK187" s="537"/>
      <c r="LPL187" s="537"/>
      <c r="LPM187" s="537"/>
      <c r="LPN187" s="537"/>
      <c r="LPO187" s="537"/>
      <c r="LPP187" s="537"/>
      <c r="LPQ187" s="537"/>
      <c r="LPR187" s="537"/>
      <c r="LPS187" s="537"/>
      <c r="LPT187" s="537"/>
      <c r="LPU187" s="537"/>
      <c r="LPV187" s="537"/>
      <c r="LPW187" s="537"/>
      <c r="LPX187" s="537"/>
      <c r="LPY187" s="537"/>
      <c r="LPZ187" s="537"/>
      <c r="LQA187" s="537"/>
      <c r="LQB187" s="537"/>
      <c r="LQC187" s="537"/>
      <c r="LQD187" s="537"/>
      <c r="LQE187" s="537"/>
      <c r="LQF187" s="537"/>
      <c r="LQG187" s="537"/>
      <c r="LQH187" s="537"/>
      <c r="LQI187" s="537"/>
      <c r="LQJ187" s="537"/>
      <c r="LQK187" s="537"/>
      <c r="LQL187" s="537"/>
      <c r="LQM187" s="537"/>
      <c r="LQN187" s="537"/>
      <c r="LQO187" s="537"/>
      <c r="LQP187" s="537"/>
      <c r="LQQ187" s="537"/>
      <c r="LQR187" s="537"/>
      <c r="LQS187" s="537"/>
      <c r="LQT187" s="537"/>
      <c r="LQU187" s="537"/>
      <c r="LQV187" s="537"/>
      <c r="LQW187" s="537"/>
      <c r="LQX187" s="537"/>
      <c r="LQY187" s="537"/>
      <c r="LQZ187" s="537"/>
      <c r="LRA187" s="537"/>
      <c r="LRB187" s="537"/>
      <c r="LRC187" s="537"/>
      <c r="LRD187" s="537"/>
      <c r="LRE187" s="537"/>
      <c r="LRF187" s="537"/>
      <c r="LRG187" s="537"/>
      <c r="LRH187" s="537"/>
      <c r="LRI187" s="537"/>
      <c r="LRJ187" s="537"/>
      <c r="LRK187" s="537"/>
      <c r="LRL187" s="537"/>
      <c r="LRM187" s="537"/>
      <c r="LRN187" s="537"/>
      <c r="LRO187" s="537"/>
      <c r="LRP187" s="537"/>
      <c r="LRQ187" s="537"/>
      <c r="LRR187" s="537"/>
      <c r="LRS187" s="537"/>
      <c r="LRT187" s="537"/>
      <c r="LRU187" s="537"/>
      <c r="LRV187" s="537"/>
      <c r="LRW187" s="537"/>
      <c r="LRX187" s="537"/>
      <c r="LRY187" s="537"/>
      <c r="LRZ187" s="537"/>
      <c r="LSA187" s="537"/>
      <c r="LSB187" s="537"/>
      <c r="LSC187" s="537"/>
      <c r="LSD187" s="537"/>
      <c r="LSE187" s="537"/>
      <c r="LSF187" s="537"/>
      <c r="LSG187" s="537"/>
      <c r="LSH187" s="537"/>
      <c r="LSI187" s="537"/>
      <c r="LSJ187" s="537"/>
      <c r="LSK187" s="537"/>
      <c r="LSL187" s="537"/>
      <c r="LSM187" s="537"/>
      <c r="LSN187" s="537"/>
      <c r="LSO187" s="537"/>
      <c r="LSP187" s="537"/>
      <c r="LSQ187" s="537"/>
      <c r="LSR187" s="537"/>
      <c r="LSS187" s="537"/>
      <c r="LST187" s="537"/>
      <c r="LSU187" s="537"/>
      <c r="LSV187" s="537"/>
      <c r="LSW187" s="537"/>
      <c r="LSX187" s="537"/>
      <c r="LSY187" s="537"/>
      <c r="LSZ187" s="537"/>
      <c r="LTA187" s="537"/>
      <c r="LTB187" s="537"/>
      <c r="LTC187" s="537"/>
      <c r="LTD187" s="537"/>
      <c r="LTE187" s="537"/>
      <c r="LTF187" s="537"/>
      <c r="LTG187" s="537"/>
      <c r="LTH187" s="537"/>
      <c r="LTI187" s="537"/>
      <c r="LTJ187" s="537"/>
      <c r="LTK187" s="537"/>
      <c r="LTL187" s="537"/>
      <c r="LTM187" s="537"/>
      <c r="LTN187" s="537"/>
      <c r="LTO187" s="537"/>
      <c r="LTP187" s="537"/>
      <c r="LTQ187" s="537"/>
      <c r="LTR187" s="537"/>
      <c r="LTS187" s="537"/>
      <c r="LTT187" s="537"/>
      <c r="LTU187" s="537"/>
      <c r="LTV187" s="537"/>
      <c r="LTW187" s="537"/>
      <c r="LTX187" s="537"/>
      <c r="LTY187" s="537"/>
      <c r="LTZ187" s="537"/>
      <c r="LUA187" s="537"/>
      <c r="LUB187" s="537"/>
      <c r="LUC187" s="537"/>
      <c r="LUD187" s="537"/>
      <c r="LUE187" s="537"/>
      <c r="LUF187" s="537"/>
      <c r="LUG187" s="537"/>
      <c r="LUH187" s="537"/>
      <c r="LUI187" s="537"/>
      <c r="LUJ187" s="537"/>
      <c r="LUK187" s="537"/>
      <c r="LUL187" s="537"/>
      <c r="LUM187" s="537"/>
      <c r="LUN187" s="537"/>
      <c r="LUO187" s="537"/>
      <c r="LUP187" s="537"/>
      <c r="LUQ187" s="537"/>
      <c r="LUR187" s="537"/>
      <c r="LUS187" s="537"/>
      <c r="LUT187" s="537"/>
      <c r="LUU187" s="537"/>
      <c r="LUV187" s="537"/>
      <c r="LUW187" s="537"/>
      <c r="LUX187" s="537"/>
      <c r="LUY187" s="537"/>
      <c r="LUZ187" s="537"/>
      <c r="LVA187" s="537"/>
      <c r="LVB187" s="537"/>
      <c r="LVC187" s="537"/>
      <c r="LVD187" s="537"/>
      <c r="LVE187" s="537"/>
      <c r="LVF187" s="537"/>
      <c r="LVG187" s="537"/>
      <c r="LVH187" s="537"/>
      <c r="LVI187" s="537"/>
      <c r="LVJ187" s="537"/>
      <c r="LVK187" s="537"/>
      <c r="LVL187" s="537"/>
      <c r="LVM187" s="537"/>
      <c r="LVN187" s="537"/>
      <c r="LVO187" s="537"/>
      <c r="LVP187" s="537"/>
      <c r="LVQ187" s="537"/>
      <c r="LVR187" s="537"/>
      <c r="LVS187" s="537"/>
      <c r="LVT187" s="537"/>
      <c r="LVU187" s="537"/>
      <c r="LVV187" s="537"/>
      <c r="LVW187" s="537"/>
      <c r="LVX187" s="537"/>
      <c r="LVY187" s="537"/>
      <c r="LVZ187" s="537"/>
      <c r="LWA187" s="537"/>
      <c r="LWB187" s="537"/>
      <c r="LWC187" s="537"/>
      <c r="LWD187" s="537"/>
      <c r="LWE187" s="537"/>
      <c r="LWF187" s="537"/>
      <c r="LWG187" s="537"/>
      <c r="LWH187" s="537"/>
      <c r="LWI187" s="537"/>
      <c r="LWJ187" s="537"/>
      <c r="LWK187" s="537"/>
      <c r="LWL187" s="537"/>
      <c r="LWM187" s="537"/>
      <c r="LWN187" s="537"/>
      <c r="LWO187" s="537"/>
      <c r="LWP187" s="537"/>
      <c r="LWQ187" s="537"/>
      <c r="LWR187" s="537"/>
      <c r="LWS187" s="537"/>
      <c r="LWT187" s="537"/>
      <c r="LWU187" s="537"/>
      <c r="LWV187" s="537"/>
      <c r="LWW187" s="537"/>
      <c r="LWX187" s="537"/>
      <c r="LWY187" s="537"/>
      <c r="LWZ187" s="537"/>
      <c r="LXA187" s="537"/>
      <c r="LXB187" s="537"/>
      <c r="LXC187" s="537"/>
      <c r="LXD187" s="537"/>
      <c r="LXE187" s="537"/>
      <c r="LXF187" s="537"/>
      <c r="LXG187" s="537"/>
      <c r="LXH187" s="537"/>
      <c r="LXI187" s="537"/>
      <c r="LXJ187" s="537"/>
      <c r="LXK187" s="537"/>
      <c r="LXL187" s="537"/>
      <c r="LXM187" s="537"/>
      <c r="LXN187" s="537"/>
      <c r="LXO187" s="537"/>
      <c r="LXP187" s="537"/>
      <c r="LXQ187" s="537"/>
      <c r="LXR187" s="537"/>
      <c r="LXS187" s="537"/>
      <c r="LXT187" s="537"/>
      <c r="LXU187" s="537"/>
      <c r="LXV187" s="537"/>
      <c r="LXW187" s="537"/>
      <c r="LXX187" s="537"/>
      <c r="LXY187" s="537"/>
      <c r="LXZ187" s="537"/>
      <c r="LYA187" s="537"/>
      <c r="LYB187" s="537"/>
      <c r="LYC187" s="537"/>
      <c r="LYD187" s="537"/>
      <c r="LYE187" s="537"/>
      <c r="LYF187" s="537"/>
      <c r="LYG187" s="537"/>
      <c r="LYH187" s="537"/>
      <c r="LYI187" s="537"/>
      <c r="LYJ187" s="537"/>
      <c r="LYK187" s="537"/>
      <c r="LYL187" s="537"/>
      <c r="LYM187" s="537"/>
      <c r="LYN187" s="537"/>
      <c r="LYO187" s="537"/>
      <c r="LYP187" s="537"/>
      <c r="LYQ187" s="537"/>
      <c r="LYR187" s="537"/>
      <c r="LYS187" s="537"/>
      <c r="LYT187" s="537"/>
      <c r="LYU187" s="537"/>
      <c r="LYV187" s="537"/>
      <c r="LYW187" s="537"/>
      <c r="LYX187" s="537"/>
      <c r="LYY187" s="537"/>
      <c r="LYZ187" s="537"/>
      <c r="LZA187" s="537"/>
      <c r="LZB187" s="537"/>
      <c r="LZC187" s="537"/>
      <c r="LZD187" s="537"/>
      <c r="LZE187" s="537"/>
      <c r="LZF187" s="537"/>
      <c r="LZG187" s="537"/>
      <c r="LZH187" s="537"/>
      <c r="LZI187" s="537"/>
      <c r="LZJ187" s="537"/>
      <c r="LZK187" s="537"/>
      <c r="LZL187" s="537"/>
      <c r="LZM187" s="537"/>
      <c r="LZN187" s="537"/>
      <c r="LZO187" s="537"/>
      <c r="LZP187" s="537"/>
      <c r="LZQ187" s="537"/>
      <c r="LZR187" s="537"/>
      <c r="LZS187" s="537"/>
      <c r="LZT187" s="537"/>
      <c r="LZU187" s="537"/>
      <c r="LZV187" s="537"/>
      <c r="LZW187" s="537"/>
      <c r="LZX187" s="537"/>
      <c r="LZY187" s="537"/>
      <c r="LZZ187" s="537"/>
      <c r="MAA187" s="537"/>
      <c r="MAB187" s="537"/>
      <c r="MAC187" s="537"/>
      <c r="MAD187" s="537"/>
      <c r="MAE187" s="537"/>
      <c r="MAF187" s="537"/>
      <c r="MAG187" s="537"/>
      <c r="MAH187" s="537"/>
      <c r="MAI187" s="537"/>
      <c r="MAJ187" s="537"/>
      <c r="MAK187" s="537"/>
      <c r="MAL187" s="537"/>
      <c r="MAM187" s="537"/>
      <c r="MAN187" s="537"/>
      <c r="MAO187" s="537"/>
      <c r="MAP187" s="537"/>
      <c r="MAQ187" s="537"/>
      <c r="MAR187" s="537"/>
      <c r="MAS187" s="537"/>
      <c r="MAT187" s="537"/>
      <c r="MAU187" s="537"/>
      <c r="MAV187" s="537"/>
      <c r="MAW187" s="537"/>
      <c r="MAX187" s="537"/>
      <c r="MAY187" s="537"/>
      <c r="MAZ187" s="537"/>
      <c r="MBA187" s="537"/>
      <c r="MBB187" s="537"/>
      <c r="MBC187" s="537"/>
      <c r="MBD187" s="537"/>
      <c r="MBE187" s="537"/>
      <c r="MBF187" s="537"/>
      <c r="MBG187" s="537"/>
      <c r="MBH187" s="537"/>
      <c r="MBI187" s="537"/>
      <c r="MBJ187" s="537"/>
      <c r="MBK187" s="537"/>
      <c r="MBL187" s="537"/>
      <c r="MBM187" s="537"/>
      <c r="MBN187" s="537"/>
      <c r="MBO187" s="537"/>
      <c r="MBP187" s="537"/>
      <c r="MBQ187" s="537"/>
      <c r="MBR187" s="537"/>
      <c r="MBS187" s="537"/>
      <c r="MBT187" s="537"/>
      <c r="MBU187" s="537"/>
      <c r="MBV187" s="537"/>
      <c r="MBW187" s="537"/>
      <c r="MBX187" s="537"/>
      <c r="MBY187" s="537"/>
      <c r="MBZ187" s="537"/>
      <c r="MCA187" s="537"/>
      <c r="MCB187" s="537"/>
      <c r="MCC187" s="537"/>
      <c r="MCD187" s="537"/>
      <c r="MCE187" s="537"/>
      <c r="MCF187" s="537"/>
      <c r="MCG187" s="537"/>
      <c r="MCH187" s="537"/>
      <c r="MCI187" s="537"/>
      <c r="MCJ187" s="537"/>
      <c r="MCK187" s="537"/>
      <c r="MCL187" s="537"/>
      <c r="MCM187" s="537"/>
      <c r="MCN187" s="537"/>
      <c r="MCO187" s="537"/>
      <c r="MCP187" s="537"/>
      <c r="MCQ187" s="537"/>
      <c r="MCR187" s="537"/>
      <c r="MCS187" s="537"/>
      <c r="MCT187" s="537"/>
      <c r="MCU187" s="537"/>
      <c r="MCV187" s="537"/>
      <c r="MCW187" s="537"/>
      <c r="MCX187" s="537"/>
      <c r="MCY187" s="537"/>
      <c r="MCZ187" s="537"/>
      <c r="MDA187" s="537"/>
      <c r="MDB187" s="537"/>
      <c r="MDC187" s="537"/>
      <c r="MDD187" s="537"/>
      <c r="MDE187" s="537"/>
      <c r="MDF187" s="537"/>
      <c r="MDG187" s="537"/>
      <c r="MDH187" s="537"/>
      <c r="MDI187" s="537"/>
      <c r="MDJ187" s="537"/>
      <c r="MDK187" s="537"/>
      <c r="MDL187" s="537"/>
      <c r="MDM187" s="537"/>
      <c r="MDN187" s="537"/>
      <c r="MDO187" s="537"/>
      <c r="MDP187" s="537"/>
      <c r="MDQ187" s="537"/>
      <c r="MDR187" s="537"/>
      <c r="MDS187" s="537"/>
      <c r="MDT187" s="537"/>
      <c r="MDU187" s="537"/>
      <c r="MDV187" s="537"/>
      <c r="MDW187" s="537"/>
      <c r="MDX187" s="537"/>
      <c r="MDY187" s="537"/>
      <c r="MDZ187" s="537"/>
      <c r="MEA187" s="537"/>
      <c r="MEB187" s="537"/>
      <c r="MEC187" s="537"/>
      <c r="MED187" s="537"/>
      <c r="MEE187" s="537"/>
      <c r="MEF187" s="537"/>
      <c r="MEG187" s="537"/>
      <c r="MEH187" s="537"/>
      <c r="MEI187" s="537"/>
      <c r="MEJ187" s="537"/>
      <c r="MEK187" s="537"/>
      <c r="MEL187" s="537"/>
      <c r="MEM187" s="537"/>
      <c r="MEN187" s="537"/>
      <c r="MEO187" s="537"/>
      <c r="MEP187" s="537"/>
      <c r="MEQ187" s="537"/>
      <c r="MER187" s="537"/>
      <c r="MES187" s="537"/>
      <c r="MET187" s="537"/>
      <c r="MEU187" s="537"/>
      <c r="MEV187" s="537"/>
      <c r="MEW187" s="537"/>
      <c r="MEX187" s="537"/>
      <c r="MEY187" s="537"/>
      <c r="MEZ187" s="537"/>
      <c r="MFA187" s="537"/>
      <c r="MFB187" s="537"/>
      <c r="MFC187" s="537"/>
      <c r="MFD187" s="537"/>
      <c r="MFE187" s="537"/>
      <c r="MFF187" s="537"/>
      <c r="MFG187" s="537"/>
      <c r="MFH187" s="537"/>
      <c r="MFI187" s="537"/>
      <c r="MFJ187" s="537"/>
      <c r="MFK187" s="537"/>
      <c r="MFL187" s="537"/>
      <c r="MFM187" s="537"/>
      <c r="MFN187" s="537"/>
      <c r="MFO187" s="537"/>
      <c r="MFP187" s="537"/>
      <c r="MFQ187" s="537"/>
      <c r="MFR187" s="537"/>
      <c r="MFS187" s="537"/>
      <c r="MFT187" s="537"/>
      <c r="MFU187" s="537"/>
      <c r="MFV187" s="537"/>
      <c r="MFW187" s="537"/>
      <c r="MFX187" s="537"/>
      <c r="MFY187" s="537"/>
      <c r="MFZ187" s="537"/>
      <c r="MGA187" s="537"/>
      <c r="MGB187" s="537"/>
      <c r="MGC187" s="537"/>
      <c r="MGD187" s="537"/>
      <c r="MGE187" s="537"/>
      <c r="MGF187" s="537"/>
      <c r="MGG187" s="537"/>
      <c r="MGH187" s="537"/>
      <c r="MGI187" s="537"/>
      <c r="MGJ187" s="537"/>
      <c r="MGK187" s="537"/>
      <c r="MGL187" s="537"/>
      <c r="MGM187" s="537"/>
      <c r="MGN187" s="537"/>
      <c r="MGO187" s="537"/>
      <c r="MGP187" s="537"/>
      <c r="MGQ187" s="537"/>
      <c r="MGR187" s="537"/>
      <c r="MGS187" s="537"/>
      <c r="MGT187" s="537"/>
      <c r="MGU187" s="537"/>
      <c r="MGV187" s="537"/>
      <c r="MGW187" s="537"/>
      <c r="MGX187" s="537"/>
      <c r="MGY187" s="537"/>
      <c r="MGZ187" s="537"/>
      <c r="MHA187" s="537"/>
      <c r="MHB187" s="537"/>
      <c r="MHC187" s="537"/>
      <c r="MHD187" s="537"/>
      <c r="MHE187" s="537"/>
      <c r="MHF187" s="537"/>
      <c r="MHG187" s="537"/>
      <c r="MHH187" s="537"/>
      <c r="MHI187" s="537"/>
      <c r="MHJ187" s="537"/>
      <c r="MHK187" s="537"/>
      <c r="MHL187" s="537"/>
      <c r="MHM187" s="537"/>
      <c r="MHN187" s="537"/>
      <c r="MHO187" s="537"/>
      <c r="MHP187" s="537"/>
      <c r="MHQ187" s="537"/>
      <c r="MHR187" s="537"/>
      <c r="MHS187" s="537"/>
      <c r="MHT187" s="537"/>
      <c r="MHU187" s="537"/>
      <c r="MHV187" s="537"/>
      <c r="MHW187" s="537"/>
      <c r="MHX187" s="537"/>
      <c r="MHY187" s="537"/>
      <c r="MHZ187" s="537"/>
      <c r="MIA187" s="537"/>
      <c r="MIB187" s="537"/>
      <c r="MIC187" s="537"/>
      <c r="MID187" s="537"/>
      <c r="MIE187" s="537"/>
      <c r="MIF187" s="537"/>
      <c r="MIG187" s="537"/>
      <c r="MIH187" s="537"/>
      <c r="MII187" s="537"/>
      <c r="MIJ187" s="537"/>
      <c r="MIK187" s="537"/>
      <c r="MIL187" s="537"/>
      <c r="MIM187" s="537"/>
      <c r="MIN187" s="537"/>
      <c r="MIO187" s="537"/>
      <c r="MIP187" s="537"/>
      <c r="MIQ187" s="537"/>
      <c r="MIR187" s="537"/>
      <c r="MIS187" s="537"/>
      <c r="MIT187" s="537"/>
      <c r="MIU187" s="537"/>
      <c r="MIV187" s="537"/>
      <c r="MIW187" s="537"/>
      <c r="MIX187" s="537"/>
      <c r="MIY187" s="537"/>
      <c r="MIZ187" s="537"/>
      <c r="MJA187" s="537"/>
      <c r="MJB187" s="537"/>
      <c r="MJC187" s="537"/>
      <c r="MJD187" s="537"/>
      <c r="MJE187" s="537"/>
      <c r="MJF187" s="537"/>
      <c r="MJG187" s="537"/>
      <c r="MJH187" s="537"/>
      <c r="MJI187" s="537"/>
      <c r="MJJ187" s="537"/>
      <c r="MJK187" s="537"/>
      <c r="MJL187" s="537"/>
      <c r="MJM187" s="537"/>
      <c r="MJN187" s="537"/>
      <c r="MJO187" s="537"/>
      <c r="MJP187" s="537"/>
      <c r="MJQ187" s="537"/>
      <c r="MJR187" s="537"/>
      <c r="MJS187" s="537"/>
      <c r="MJT187" s="537"/>
      <c r="MJU187" s="537"/>
      <c r="MJV187" s="537"/>
      <c r="MJW187" s="537"/>
      <c r="MJX187" s="537"/>
      <c r="MJY187" s="537"/>
      <c r="MJZ187" s="537"/>
      <c r="MKA187" s="537"/>
      <c r="MKB187" s="537"/>
      <c r="MKC187" s="537"/>
      <c r="MKD187" s="537"/>
      <c r="MKE187" s="537"/>
      <c r="MKF187" s="537"/>
      <c r="MKG187" s="537"/>
      <c r="MKH187" s="537"/>
      <c r="MKI187" s="537"/>
      <c r="MKJ187" s="537"/>
      <c r="MKK187" s="537"/>
      <c r="MKL187" s="537"/>
      <c r="MKM187" s="537"/>
      <c r="MKN187" s="537"/>
      <c r="MKO187" s="537"/>
      <c r="MKP187" s="537"/>
      <c r="MKQ187" s="537"/>
      <c r="MKR187" s="537"/>
      <c r="MKS187" s="537"/>
      <c r="MKT187" s="537"/>
      <c r="MKU187" s="537"/>
      <c r="MKV187" s="537"/>
      <c r="MKW187" s="537"/>
      <c r="MKX187" s="537"/>
      <c r="MKY187" s="537"/>
      <c r="MKZ187" s="537"/>
      <c r="MLA187" s="537"/>
      <c r="MLB187" s="537"/>
      <c r="MLC187" s="537"/>
      <c r="MLD187" s="537"/>
      <c r="MLE187" s="537"/>
      <c r="MLF187" s="537"/>
      <c r="MLG187" s="537"/>
      <c r="MLH187" s="537"/>
      <c r="MLI187" s="537"/>
      <c r="MLJ187" s="537"/>
      <c r="MLK187" s="537"/>
      <c r="MLL187" s="537"/>
      <c r="MLM187" s="537"/>
      <c r="MLN187" s="537"/>
      <c r="MLO187" s="537"/>
      <c r="MLP187" s="537"/>
      <c r="MLQ187" s="537"/>
      <c r="MLR187" s="537"/>
      <c r="MLS187" s="537"/>
      <c r="MLT187" s="537"/>
      <c r="MLU187" s="537"/>
      <c r="MLV187" s="537"/>
      <c r="MLW187" s="537"/>
      <c r="MLX187" s="537"/>
      <c r="MLY187" s="537"/>
      <c r="MLZ187" s="537"/>
      <c r="MMA187" s="537"/>
      <c r="MMB187" s="537"/>
      <c r="MMC187" s="537"/>
      <c r="MMD187" s="537"/>
      <c r="MME187" s="537"/>
      <c r="MMF187" s="537"/>
      <c r="MMG187" s="537"/>
      <c r="MMH187" s="537"/>
      <c r="MMI187" s="537"/>
      <c r="MMJ187" s="537"/>
      <c r="MMK187" s="537"/>
      <c r="MML187" s="537"/>
      <c r="MMM187" s="537"/>
      <c r="MMN187" s="537"/>
      <c r="MMO187" s="537"/>
      <c r="MMP187" s="537"/>
      <c r="MMQ187" s="537"/>
      <c r="MMR187" s="537"/>
      <c r="MMS187" s="537"/>
      <c r="MMT187" s="537"/>
      <c r="MMU187" s="537"/>
      <c r="MMV187" s="537"/>
      <c r="MMW187" s="537"/>
      <c r="MMX187" s="537"/>
      <c r="MMY187" s="537"/>
      <c r="MMZ187" s="537"/>
      <c r="MNA187" s="537"/>
      <c r="MNB187" s="537"/>
      <c r="MNC187" s="537"/>
      <c r="MND187" s="537"/>
      <c r="MNE187" s="537"/>
      <c r="MNF187" s="537"/>
      <c r="MNG187" s="537"/>
      <c r="MNH187" s="537"/>
      <c r="MNI187" s="537"/>
      <c r="MNJ187" s="537"/>
      <c r="MNK187" s="537"/>
      <c r="MNL187" s="537"/>
      <c r="MNM187" s="537"/>
      <c r="MNN187" s="537"/>
      <c r="MNO187" s="537"/>
      <c r="MNP187" s="537"/>
      <c r="MNQ187" s="537"/>
      <c r="MNR187" s="537"/>
      <c r="MNS187" s="537"/>
      <c r="MNT187" s="537"/>
      <c r="MNU187" s="537"/>
      <c r="MNV187" s="537"/>
      <c r="MNW187" s="537"/>
      <c r="MNX187" s="537"/>
      <c r="MNY187" s="537"/>
      <c r="MNZ187" s="537"/>
      <c r="MOA187" s="537"/>
      <c r="MOB187" s="537"/>
      <c r="MOC187" s="537"/>
      <c r="MOD187" s="537"/>
      <c r="MOE187" s="537"/>
      <c r="MOF187" s="537"/>
      <c r="MOG187" s="537"/>
      <c r="MOH187" s="537"/>
      <c r="MOI187" s="537"/>
      <c r="MOJ187" s="537"/>
      <c r="MOK187" s="537"/>
      <c r="MOL187" s="537"/>
      <c r="MOM187" s="537"/>
      <c r="MON187" s="537"/>
      <c r="MOO187" s="537"/>
      <c r="MOP187" s="537"/>
      <c r="MOQ187" s="537"/>
      <c r="MOR187" s="537"/>
      <c r="MOS187" s="537"/>
      <c r="MOT187" s="537"/>
      <c r="MOU187" s="537"/>
      <c r="MOV187" s="537"/>
      <c r="MOW187" s="537"/>
      <c r="MOX187" s="537"/>
      <c r="MOY187" s="537"/>
      <c r="MOZ187" s="537"/>
      <c r="MPA187" s="537"/>
      <c r="MPB187" s="537"/>
      <c r="MPC187" s="537"/>
      <c r="MPD187" s="537"/>
      <c r="MPE187" s="537"/>
      <c r="MPF187" s="537"/>
      <c r="MPG187" s="537"/>
      <c r="MPH187" s="537"/>
      <c r="MPI187" s="537"/>
      <c r="MPJ187" s="537"/>
      <c r="MPK187" s="537"/>
      <c r="MPL187" s="537"/>
      <c r="MPM187" s="537"/>
      <c r="MPN187" s="537"/>
      <c r="MPO187" s="537"/>
      <c r="MPP187" s="537"/>
      <c r="MPQ187" s="537"/>
      <c r="MPR187" s="537"/>
      <c r="MPS187" s="537"/>
      <c r="MPT187" s="537"/>
      <c r="MPU187" s="537"/>
      <c r="MPV187" s="537"/>
      <c r="MPW187" s="537"/>
      <c r="MPX187" s="537"/>
      <c r="MPY187" s="537"/>
      <c r="MPZ187" s="537"/>
      <c r="MQA187" s="537"/>
      <c r="MQB187" s="537"/>
      <c r="MQC187" s="537"/>
      <c r="MQD187" s="537"/>
      <c r="MQE187" s="537"/>
      <c r="MQF187" s="537"/>
      <c r="MQG187" s="537"/>
      <c r="MQH187" s="537"/>
      <c r="MQI187" s="537"/>
      <c r="MQJ187" s="537"/>
      <c r="MQK187" s="537"/>
      <c r="MQL187" s="537"/>
      <c r="MQM187" s="537"/>
      <c r="MQN187" s="537"/>
      <c r="MQO187" s="537"/>
      <c r="MQP187" s="537"/>
      <c r="MQQ187" s="537"/>
      <c r="MQR187" s="537"/>
      <c r="MQS187" s="537"/>
      <c r="MQT187" s="537"/>
      <c r="MQU187" s="537"/>
      <c r="MQV187" s="537"/>
      <c r="MQW187" s="537"/>
      <c r="MQX187" s="537"/>
      <c r="MQY187" s="537"/>
      <c r="MQZ187" s="537"/>
      <c r="MRA187" s="537"/>
      <c r="MRB187" s="537"/>
      <c r="MRC187" s="537"/>
      <c r="MRD187" s="537"/>
      <c r="MRE187" s="537"/>
      <c r="MRF187" s="537"/>
      <c r="MRG187" s="537"/>
      <c r="MRH187" s="537"/>
      <c r="MRI187" s="537"/>
      <c r="MRJ187" s="537"/>
      <c r="MRK187" s="537"/>
      <c r="MRL187" s="537"/>
      <c r="MRM187" s="537"/>
      <c r="MRN187" s="537"/>
      <c r="MRO187" s="537"/>
      <c r="MRP187" s="537"/>
      <c r="MRQ187" s="537"/>
      <c r="MRR187" s="537"/>
      <c r="MRS187" s="537"/>
      <c r="MRT187" s="537"/>
      <c r="MRU187" s="537"/>
      <c r="MRV187" s="537"/>
      <c r="MRW187" s="537"/>
      <c r="MRX187" s="537"/>
      <c r="MRY187" s="537"/>
      <c r="MRZ187" s="537"/>
      <c r="MSA187" s="537"/>
      <c r="MSB187" s="537"/>
      <c r="MSC187" s="537"/>
      <c r="MSD187" s="537"/>
      <c r="MSE187" s="537"/>
      <c r="MSF187" s="537"/>
      <c r="MSG187" s="537"/>
      <c r="MSH187" s="537"/>
      <c r="MSI187" s="537"/>
      <c r="MSJ187" s="537"/>
      <c r="MSK187" s="537"/>
      <c r="MSL187" s="537"/>
      <c r="MSM187" s="537"/>
      <c r="MSN187" s="537"/>
      <c r="MSO187" s="537"/>
      <c r="MSP187" s="537"/>
      <c r="MSQ187" s="537"/>
      <c r="MSR187" s="537"/>
      <c r="MSS187" s="537"/>
      <c r="MST187" s="537"/>
      <c r="MSU187" s="537"/>
      <c r="MSV187" s="537"/>
      <c r="MSW187" s="537"/>
      <c r="MSX187" s="537"/>
      <c r="MSY187" s="537"/>
      <c r="MSZ187" s="537"/>
      <c r="MTA187" s="537"/>
      <c r="MTB187" s="537"/>
      <c r="MTC187" s="537"/>
      <c r="MTD187" s="537"/>
      <c r="MTE187" s="537"/>
      <c r="MTF187" s="537"/>
      <c r="MTG187" s="537"/>
      <c r="MTH187" s="537"/>
      <c r="MTI187" s="537"/>
      <c r="MTJ187" s="537"/>
      <c r="MTK187" s="537"/>
      <c r="MTL187" s="537"/>
      <c r="MTM187" s="537"/>
      <c r="MTN187" s="537"/>
      <c r="MTO187" s="537"/>
      <c r="MTP187" s="537"/>
      <c r="MTQ187" s="537"/>
      <c r="MTR187" s="537"/>
      <c r="MTS187" s="537"/>
      <c r="MTT187" s="537"/>
      <c r="MTU187" s="537"/>
      <c r="MTV187" s="537"/>
      <c r="MTW187" s="537"/>
      <c r="MTX187" s="537"/>
      <c r="MTY187" s="537"/>
      <c r="MTZ187" s="537"/>
      <c r="MUA187" s="537"/>
      <c r="MUB187" s="537"/>
      <c r="MUC187" s="537"/>
      <c r="MUD187" s="537"/>
      <c r="MUE187" s="537"/>
      <c r="MUF187" s="537"/>
      <c r="MUG187" s="537"/>
      <c r="MUH187" s="537"/>
      <c r="MUI187" s="537"/>
      <c r="MUJ187" s="537"/>
      <c r="MUK187" s="537"/>
      <c r="MUL187" s="537"/>
      <c r="MUM187" s="537"/>
      <c r="MUN187" s="537"/>
      <c r="MUO187" s="537"/>
      <c r="MUP187" s="537"/>
      <c r="MUQ187" s="537"/>
      <c r="MUR187" s="537"/>
      <c r="MUS187" s="537"/>
      <c r="MUT187" s="537"/>
      <c r="MUU187" s="537"/>
      <c r="MUV187" s="537"/>
      <c r="MUW187" s="537"/>
      <c r="MUX187" s="537"/>
      <c r="MUY187" s="537"/>
      <c r="MUZ187" s="537"/>
      <c r="MVA187" s="537"/>
      <c r="MVB187" s="537"/>
      <c r="MVC187" s="537"/>
      <c r="MVD187" s="537"/>
      <c r="MVE187" s="537"/>
      <c r="MVF187" s="537"/>
      <c r="MVG187" s="537"/>
      <c r="MVH187" s="537"/>
      <c r="MVI187" s="537"/>
      <c r="MVJ187" s="537"/>
      <c r="MVK187" s="537"/>
      <c r="MVL187" s="537"/>
      <c r="MVM187" s="537"/>
      <c r="MVN187" s="537"/>
      <c r="MVO187" s="537"/>
      <c r="MVP187" s="537"/>
      <c r="MVQ187" s="537"/>
      <c r="MVR187" s="537"/>
      <c r="MVS187" s="537"/>
      <c r="MVT187" s="537"/>
      <c r="MVU187" s="537"/>
      <c r="MVV187" s="537"/>
      <c r="MVW187" s="537"/>
      <c r="MVX187" s="537"/>
      <c r="MVY187" s="537"/>
      <c r="MVZ187" s="537"/>
      <c r="MWA187" s="537"/>
      <c r="MWB187" s="537"/>
      <c r="MWC187" s="537"/>
      <c r="MWD187" s="537"/>
      <c r="MWE187" s="537"/>
      <c r="MWF187" s="537"/>
      <c r="MWG187" s="537"/>
      <c r="MWH187" s="537"/>
      <c r="MWI187" s="537"/>
      <c r="MWJ187" s="537"/>
      <c r="MWK187" s="537"/>
      <c r="MWL187" s="537"/>
      <c r="MWM187" s="537"/>
      <c r="MWN187" s="537"/>
      <c r="MWO187" s="537"/>
      <c r="MWP187" s="537"/>
      <c r="MWQ187" s="537"/>
      <c r="MWR187" s="537"/>
      <c r="MWS187" s="537"/>
      <c r="MWT187" s="537"/>
      <c r="MWU187" s="537"/>
      <c r="MWV187" s="537"/>
      <c r="MWW187" s="537"/>
      <c r="MWX187" s="537"/>
      <c r="MWY187" s="537"/>
      <c r="MWZ187" s="537"/>
      <c r="MXA187" s="537"/>
      <c r="MXB187" s="537"/>
      <c r="MXC187" s="537"/>
      <c r="MXD187" s="537"/>
      <c r="MXE187" s="537"/>
      <c r="MXF187" s="537"/>
      <c r="MXG187" s="537"/>
      <c r="MXH187" s="537"/>
      <c r="MXI187" s="537"/>
      <c r="MXJ187" s="537"/>
      <c r="MXK187" s="537"/>
      <c r="MXL187" s="537"/>
      <c r="MXM187" s="537"/>
      <c r="MXN187" s="537"/>
      <c r="MXO187" s="537"/>
      <c r="MXP187" s="537"/>
      <c r="MXQ187" s="537"/>
      <c r="MXR187" s="537"/>
      <c r="MXS187" s="537"/>
      <c r="MXT187" s="537"/>
      <c r="MXU187" s="537"/>
      <c r="MXV187" s="537"/>
      <c r="MXW187" s="537"/>
      <c r="MXX187" s="537"/>
      <c r="MXY187" s="537"/>
      <c r="MXZ187" s="537"/>
      <c r="MYA187" s="537"/>
      <c r="MYB187" s="537"/>
      <c r="MYC187" s="537"/>
      <c r="MYD187" s="537"/>
      <c r="MYE187" s="537"/>
      <c r="MYF187" s="537"/>
      <c r="MYG187" s="537"/>
      <c r="MYH187" s="537"/>
      <c r="MYI187" s="537"/>
      <c r="MYJ187" s="537"/>
      <c r="MYK187" s="537"/>
      <c r="MYL187" s="537"/>
      <c r="MYM187" s="537"/>
      <c r="MYN187" s="537"/>
      <c r="MYO187" s="537"/>
      <c r="MYP187" s="537"/>
      <c r="MYQ187" s="537"/>
      <c r="MYR187" s="537"/>
      <c r="MYS187" s="537"/>
      <c r="MYT187" s="537"/>
      <c r="MYU187" s="537"/>
      <c r="MYV187" s="537"/>
      <c r="MYW187" s="537"/>
      <c r="MYX187" s="537"/>
      <c r="MYY187" s="537"/>
      <c r="MYZ187" s="537"/>
      <c r="MZA187" s="537"/>
      <c r="MZB187" s="537"/>
      <c r="MZC187" s="537"/>
      <c r="MZD187" s="537"/>
      <c r="MZE187" s="537"/>
      <c r="MZF187" s="537"/>
      <c r="MZG187" s="537"/>
      <c r="MZH187" s="537"/>
      <c r="MZI187" s="537"/>
      <c r="MZJ187" s="537"/>
      <c r="MZK187" s="537"/>
      <c r="MZL187" s="537"/>
      <c r="MZM187" s="537"/>
      <c r="MZN187" s="537"/>
      <c r="MZO187" s="537"/>
      <c r="MZP187" s="537"/>
      <c r="MZQ187" s="537"/>
      <c r="MZR187" s="537"/>
      <c r="MZS187" s="537"/>
      <c r="MZT187" s="537"/>
      <c r="MZU187" s="537"/>
      <c r="MZV187" s="537"/>
      <c r="MZW187" s="537"/>
      <c r="MZX187" s="537"/>
      <c r="MZY187" s="537"/>
      <c r="MZZ187" s="537"/>
      <c r="NAA187" s="537"/>
      <c r="NAB187" s="537"/>
      <c r="NAC187" s="537"/>
      <c r="NAD187" s="537"/>
      <c r="NAE187" s="537"/>
      <c r="NAF187" s="537"/>
      <c r="NAG187" s="537"/>
      <c r="NAH187" s="537"/>
      <c r="NAI187" s="537"/>
      <c r="NAJ187" s="537"/>
      <c r="NAK187" s="537"/>
      <c r="NAL187" s="537"/>
      <c r="NAM187" s="537"/>
      <c r="NAN187" s="537"/>
      <c r="NAO187" s="537"/>
      <c r="NAP187" s="537"/>
      <c r="NAQ187" s="537"/>
      <c r="NAR187" s="537"/>
      <c r="NAS187" s="537"/>
      <c r="NAT187" s="537"/>
      <c r="NAU187" s="537"/>
      <c r="NAV187" s="537"/>
      <c r="NAW187" s="537"/>
      <c r="NAX187" s="537"/>
      <c r="NAY187" s="537"/>
      <c r="NAZ187" s="537"/>
      <c r="NBA187" s="537"/>
      <c r="NBB187" s="537"/>
      <c r="NBC187" s="537"/>
      <c r="NBD187" s="537"/>
      <c r="NBE187" s="537"/>
      <c r="NBF187" s="537"/>
      <c r="NBG187" s="537"/>
      <c r="NBH187" s="537"/>
      <c r="NBI187" s="537"/>
      <c r="NBJ187" s="537"/>
      <c r="NBK187" s="537"/>
      <c r="NBL187" s="537"/>
      <c r="NBM187" s="537"/>
      <c r="NBN187" s="537"/>
      <c r="NBO187" s="537"/>
      <c r="NBP187" s="537"/>
      <c r="NBQ187" s="537"/>
      <c r="NBR187" s="537"/>
      <c r="NBS187" s="537"/>
      <c r="NBT187" s="537"/>
      <c r="NBU187" s="537"/>
      <c r="NBV187" s="537"/>
      <c r="NBW187" s="537"/>
      <c r="NBX187" s="537"/>
      <c r="NBY187" s="537"/>
      <c r="NBZ187" s="537"/>
      <c r="NCA187" s="537"/>
      <c r="NCB187" s="537"/>
      <c r="NCC187" s="537"/>
      <c r="NCD187" s="537"/>
      <c r="NCE187" s="537"/>
      <c r="NCF187" s="537"/>
      <c r="NCG187" s="537"/>
      <c r="NCH187" s="537"/>
      <c r="NCI187" s="537"/>
      <c r="NCJ187" s="537"/>
      <c r="NCK187" s="537"/>
      <c r="NCL187" s="537"/>
      <c r="NCM187" s="537"/>
      <c r="NCN187" s="537"/>
      <c r="NCO187" s="537"/>
      <c r="NCP187" s="537"/>
      <c r="NCQ187" s="537"/>
      <c r="NCR187" s="537"/>
      <c r="NCS187" s="537"/>
      <c r="NCT187" s="537"/>
      <c r="NCU187" s="537"/>
      <c r="NCV187" s="537"/>
      <c r="NCW187" s="537"/>
      <c r="NCX187" s="537"/>
      <c r="NCY187" s="537"/>
      <c r="NCZ187" s="537"/>
      <c r="NDA187" s="537"/>
      <c r="NDB187" s="537"/>
      <c r="NDC187" s="537"/>
      <c r="NDD187" s="537"/>
      <c r="NDE187" s="537"/>
      <c r="NDF187" s="537"/>
      <c r="NDG187" s="537"/>
      <c r="NDH187" s="537"/>
      <c r="NDI187" s="537"/>
      <c r="NDJ187" s="537"/>
      <c r="NDK187" s="537"/>
      <c r="NDL187" s="537"/>
      <c r="NDM187" s="537"/>
      <c r="NDN187" s="537"/>
      <c r="NDO187" s="537"/>
      <c r="NDP187" s="537"/>
      <c r="NDQ187" s="537"/>
      <c r="NDR187" s="537"/>
      <c r="NDS187" s="537"/>
      <c r="NDT187" s="537"/>
      <c r="NDU187" s="537"/>
      <c r="NDV187" s="537"/>
      <c r="NDW187" s="537"/>
      <c r="NDX187" s="537"/>
      <c r="NDY187" s="537"/>
      <c r="NDZ187" s="537"/>
      <c r="NEA187" s="537"/>
      <c r="NEB187" s="537"/>
      <c r="NEC187" s="537"/>
      <c r="NED187" s="537"/>
      <c r="NEE187" s="537"/>
      <c r="NEF187" s="537"/>
      <c r="NEG187" s="537"/>
      <c r="NEH187" s="537"/>
      <c r="NEI187" s="537"/>
      <c r="NEJ187" s="537"/>
      <c r="NEK187" s="537"/>
      <c r="NEL187" s="537"/>
      <c r="NEM187" s="537"/>
      <c r="NEN187" s="537"/>
      <c r="NEO187" s="537"/>
      <c r="NEP187" s="537"/>
      <c r="NEQ187" s="537"/>
      <c r="NER187" s="537"/>
      <c r="NES187" s="537"/>
      <c r="NET187" s="537"/>
      <c r="NEU187" s="537"/>
      <c r="NEV187" s="537"/>
      <c r="NEW187" s="537"/>
      <c r="NEX187" s="537"/>
      <c r="NEY187" s="537"/>
      <c r="NEZ187" s="537"/>
      <c r="NFA187" s="537"/>
      <c r="NFB187" s="537"/>
      <c r="NFC187" s="537"/>
      <c r="NFD187" s="537"/>
      <c r="NFE187" s="537"/>
      <c r="NFF187" s="537"/>
      <c r="NFG187" s="537"/>
      <c r="NFH187" s="537"/>
      <c r="NFI187" s="537"/>
      <c r="NFJ187" s="537"/>
      <c r="NFK187" s="537"/>
      <c r="NFL187" s="537"/>
      <c r="NFM187" s="537"/>
      <c r="NFN187" s="537"/>
      <c r="NFO187" s="537"/>
      <c r="NFP187" s="537"/>
      <c r="NFQ187" s="537"/>
      <c r="NFR187" s="537"/>
      <c r="NFS187" s="537"/>
      <c r="NFT187" s="537"/>
      <c r="NFU187" s="537"/>
      <c r="NFV187" s="537"/>
      <c r="NFW187" s="537"/>
      <c r="NFX187" s="537"/>
      <c r="NFY187" s="537"/>
      <c r="NFZ187" s="537"/>
      <c r="NGA187" s="537"/>
      <c r="NGB187" s="537"/>
      <c r="NGC187" s="537"/>
      <c r="NGD187" s="537"/>
      <c r="NGE187" s="537"/>
      <c r="NGF187" s="537"/>
      <c r="NGG187" s="537"/>
      <c r="NGH187" s="537"/>
      <c r="NGI187" s="537"/>
      <c r="NGJ187" s="537"/>
      <c r="NGK187" s="537"/>
      <c r="NGL187" s="537"/>
      <c r="NGM187" s="537"/>
      <c r="NGN187" s="537"/>
      <c r="NGO187" s="537"/>
      <c r="NGP187" s="537"/>
      <c r="NGQ187" s="537"/>
      <c r="NGR187" s="537"/>
      <c r="NGS187" s="537"/>
      <c r="NGT187" s="537"/>
      <c r="NGU187" s="537"/>
      <c r="NGV187" s="537"/>
      <c r="NGW187" s="537"/>
      <c r="NGX187" s="537"/>
      <c r="NGY187" s="537"/>
      <c r="NGZ187" s="537"/>
      <c r="NHA187" s="537"/>
      <c r="NHB187" s="537"/>
      <c r="NHC187" s="537"/>
      <c r="NHD187" s="537"/>
      <c r="NHE187" s="537"/>
      <c r="NHF187" s="537"/>
      <c r="NHG187" s="537"/>
      <c r="NHH187" s="537"/>
      <c r="NHI187" s="537"/>
      <c r="NHJ187" s="537"/>
      <c r="NHK187" s="537"/>
      <c r="NHL187" s="537"/>
      <c r="NHM187" s="537"/>
      <c r="NHN187" s="537"/>
      <c r="NHO187" s="537"/>
      <c r="NHP187" s="537"/>
      <c r="NHQ187" s="537"/>
      <c r="NHR187" s="537"/>
      <c r="NHS187" s="537"/>
      <c r="NHT187" s="537"/>
      <c r="NHU187" s="537"/>
      <c r="NHV187" s="537"/>
      <c r="NHW187" s="537"/>
      <c r="NHX187" s="537"/>
      <c r="NHY187" s="537"/>
      <c r="NHZ187" s="537"/>
      <c r="NIA187" s="537"/>
      <c r="NIB187" s="537"/>
      <c r="NIC187" s="537"/>
      <c r="NID187" s="537"/>
      <c r="NIE187" s="537"/>
      <c r="NIF187" s="537"/>
      <c r="NIG187" s="537"/>
      <c r="NIH187" s="537"/>
      <c r="NII187" s="537"/>
      <c r="NIJ187" s="537"/>
      <c r="NIK187" s="537"/>
      <c r="NIL187" s="537"/>
      <c r="NIM187" s="537"/>
      <c r="NIN187" s="537"/>
      <c r="NIO187" s="537"/>
      <c r="NIP187" s="537"/>
      <c r="NIQ187" s="537"/>
      <c r="NIR187" s="537"/>
      <c r="NIS187" s="537"/>
      <c r="NIT187" s="537"/>
      <c r="NIU187" s="537"/>
      <c r="NIV187" s="537"/>
      <c r="NIW187" s="537"/>
      <c r="NIX187" s="537"/>
      <c r="NIY187" s="537"/>
      <c r="NIZ187" s="537"/>
      <c r="NJA187" s="537"/>
      <c r="NJB187" s="537"/>
      <c r="NJC187" s="537"/>
      <c r="NJD187" s="537"/>
      <c r="NJE187" s="537"/>
      <c r="NJF187" s="537"/>
      <c r="NJG187" s="537"/>
      <c r="NJH187" s="537"/>
      <c r="NJI187" s="537"/>
      <c r="NJJ187" s="537"/>
      <c r="NJK187" s="537"/>
      <c r="NJL187" s="537"/>
      <c r="NJM187" s="537"/>
      <c r="NJN187" s="537"/>
      <c r="NJO187" s="537"/>
      <c r="NJP187" s="537"/>
      <c r="NJQ187" s="537"/>
      <c r="NJR187" s="537"/>
      <c r="NJS187" s="537"/>
      <c r="NJT187" s="537"/>
      <c r="NJU187" s="537"/>
      <c r="NJV187" s="537"/>
      <c r="NJW187" s="537"/>
      <c r="NJX187" s="537"/>
      <c r="NJY187" s="537"/>
      <c r="NJZ187" s="537"/>
      <c r="NKA187" s="537"/>
      <c r="NKB187" s="537"/>
      <c r="NKC187" s="537"/>
      <c r="NKD187" s="537"/>
      <c r="NKE187" s="537"/>
      <c r="NKF187" s="537"/>
      <c r="NKG187" s="537"/>
      <c r="NKH187" s="537"/>
      <c r="NKI187" s="537"/>
      <c r="NKJ187" s="537"/>
      <c r="NKK187" s="537"/>
      <c r="NKL187" s="537"/>
      <c r="NKM187" s="537"/>
      <c r="NKN187" s="537"/>
      <c r="NKO187" s="537"/>
      <c r="NKP187" s="537"/>
      <c r="NKQ187" s="537"/>
      <c r="NKR187" s="537"/>
      <c r="NKS187" s="537"/>
      <c r="NKT187" s="537"/>
      <c r="NKU187" s="537"/>
      <c r="NKV187" s="537"/>
      <c r="NKW187" s="537"/>
      <c r="NKX187" s="537"/>
      <c r="NKY187" s="537"/>
      <c r="NKZ187" s="537"/>
      <c r="NLA187" s="537"/>
      <c r="NLB187" s="537"/>
      <c r="NLC187" s="537"/>
      <c r="NLD187" s="537"/>
      <c r="NLE187" s="537"/>
      <c r="NLF187" s="537"/>
      <c r="NLG187" s="537"/>
      <c r="NLH187" s="537"/>
      <c r="NLI187" s="537"/>
      <c r="NLJ187" s="537"/>
      <c r="NLK187" s="537"/>
      <c r="NLL187" s="537"/>
      <c r="NLM187" s="537"/>
      <c r="NLN187" s="537"/>
      <c r="NLO187" s="537"/>
      <c r="NLP187" s="537"/>
      <c r="NLQ187" s="537"/>
      <c r="NLR187" s="537"/>
      <c r="NLS187" s="537"/>
      <c r="NLT187" s="537"/>
      <c r="NLU187" s="537"/>
      <c r="NLV187" s="537"/>
      <c r="NLW187" s="537"/>
      <c r="NLX187" s="537"/>
      <c r="NLY187" s="537"/>
      <c r="NLZ187" s="537"/>
      <c r="NMA187" s="537"/>
      <c r="NMB187" s="537"/>
      <c r="NMC187" s="537"/>
      <c r="NMD187" s="537"/>
      <c r="NME187" s="537"/>
      <c r="NMF187" s="537"/>
      <c r="NMG187" s="537"/>
      <c r="NMH187" s="537"/>
      <c r="NMI187" s="537"/>
      <c r="NMJ187" s="537"/>
      <c r="NMK187" s="537"/>
      <c r="NML187" s="537"/>
      <c r="NMM187" s="537"/>
      <c r="NMN187" s="537"/>
      <c r="NMO187" s="537"/>
      <c r="NMP187" s="537"/>
      <c r="NMQ187" s="537"/>
      <c r="NMR187" s="537"/>
      <c r="NMS187" s="537"/>
      <c r="NMT187" s="537"/>
      <c r="NMU187" s="537"/>
      <c r="NMV187" s="537"/>
      <c r="NMW187" s="537"/>
      <c r="NMX187" s="537"/>
      <c r="NMY187" s="537"/>
      <c r="NMZ187" s="537"/>
      <c r="NNA187" s="537"/>
      <c r="NNB187" s="537"/>
      <c r="NNC187" s="537"/>
      <c r="NND187" s="537"/>
      <c r="NNE187" s="537"/>
      <c r="NNF187" s="537"/>
      <c r="NNG187" s="537"/>
      <c r="NNH187" s="537"/>
      <c r="NNI187" s="537"/>
      <c r="NNJ187" s="537"/>
      <c r="NNK187" s="537"/>
      <c r="NNL187" s="537"/>
      <c r="NNM187" s="537"/>
      <c r="NNN187" s="537"/>
      <c r="NNO187" s="537"/>
      <c r="NNP187" s="537"/>
      <c r="NNQ187" s="537"/>
      <c r="NNR187" s="537"/>
      <c r="NNS187" s="537"/>
      <c r="NNT187" s="537"/>
      <c r="NNU187" s="537"/>
      <c r="NNV187" s="537"/>
      <c r="NNW187" s="537"/>
      <c r="NNX187" s="537"/>
      <c r="NNY187" s="537"/>
      <c r="NNZ187" s="537"/>
      <c r="NOA187" s="537"/>
      <c r="NOB187" s="537"/>
      <c r="NOC187" s="537"/>
      <c r="NOD187" s="537"/>
      <c r="NOE187" s="537"/>
      <c r="NOF187" s="537"/>
      <c r="NOG187" s="537"/>
      <c r="NOH187" s="537"/>
      <c r="NOI187" s="537"/>
      <c r="NOJ187" s="537"/>
      <c r="NOK187" s="537"/>
      <c r="NOL187" s="537"/>
      <c r="NOM187" s="537"/>
      <c r="NON187" s="537"/>
      <c r="NOO187" s="537"/>
      <c r="NOP187" s="537"/>
      <c r="NOQ187" s="537"/>
      <c r="NOR187" s="537"/>
      <c r="NOS187" s="537"/>
      <c r="NOT187" s="537"/>
      <c r="NOU187" s="537"/>
      <c r="NOV187" s="537"/>
      <c r="NOW187" s="537"/>
      <c r="NOX187" s="537"/>
      <c r="NOY187" s="537"/>
      <c r="NOZ187" s="537"/>
      <c r="NPA187" s="537"/>
      <c r="NPB187" s="537"/>
      <c r="NPC187" s="537"/>
      <c r="NPD187" s="537"/>
      <c r="NPE187" s="537"/>
      <c r="NPF187" s="537"/>
      <c r="NPG187" s="537"/>
      <c r="NPH187" s="537"/>
      <c r="NPI187" s="537"/>
      <c r="NPJ187" s="537"/>
      <c r="NPK187" s="537"/>
      <c r="NPL187" s="537"/>
      <c r="NPM187" s="537"/>
      <c r="NPN187" s="537"/>
      <c r="NPO187" s="537"/>
      <c r="NPP187" s="537"/>
      <c r="NPQ187" s="537"/>
      <c r="NPR187" s="537"/>
      <c r="NPS187" s="537"/>
      <c r="NPT187" s="537"/>
      <c r="NPU187" s="537"/>
      <c r="NPV187" s="537"/>
      <c r="NPW187" s="537"/>
      <c r="NPX187" s="537"/>
      <c r="NPY187" s="537"/>
      <c r="NPZ187" s="537"/>
      <c r="NQA187" s="537"/>
      <c r="NQB187" s="537"/>
      <c r="NQC187" s="537"/>
      <c r="NQD187" s="537"/>
      <c r="NQE187" s="537"/>
      <c r="NQF187" s="537"/>
      <c r="NQG187" s="537"/>
      <c r="NQH187" s="537"/>
      <c r="NQI187" s="537"/>
      <c r="NQJ187" s="537"/>
      <c r="NQK187" s="537"/>
      <c r="NQL187" s="537"/>
      <c r="NQM187" s="537"/>
      <c r="NQN187" s="537"/>
      <c r="NQO187" s="537"/>
      <c r="NQP187" s="537"/>
      <c r="NQQ187" s="537"/>
      <c r="NQR187" s="537"/>
      <c r="NQS187" s="537"/>
      <c r="NQT187" s="537"/>
      <c r="NQU187" s="537"/>
      <c r="NQV187" s="537"/>
      <c r="NQW187" s="537"/>
      <c r="NQX187" s="537"/>
      <c r="NQY187" s="537"/>
      <c r="NQZ187" s="537"/>
      <c r="NRA187" s="537"/>
      <c r="NRB187" s="537"/>
      <c r="NRC187" s="537"/>
      <c r="NRD187" s="537"/>
      <c r="NRE187" s="537"/>
      <c r="NRF187" s="537"/>
      <c r="NRG187" s="537"/>
      <c r="NRH187" s="537"/>
      <c r="NRI187" s="537"/>
      <c r="NRJ187" s="537"/>
      <c r="NRK187" s="537"/>
      <c r="NRL187" s="537"/>
      <c r="NRM187" s="537"/>
      <c r="NRN187" s="537"/>
      <c r="NRO187" s="537"/>
      <c r="NRP187" s="537"/>
      <c r="NRQ187" s="537"/>
      <c r="NRR187" s="537"/>
      <c r="NRS187" s="537"/>
      <c r="NRT187" s="537"/>
      <c r="NRU187" s="537"/>
      <c r="NRV187" s="537"/>
      <c r="NRW187" s="537"/>
      <c r="NRX187" s="537"/>
      <c r="NRY187" s="537"/>
      <c r="NRZ187" s="537"/>
      <c r="NSA187" s="537"/>
      <c r="NSB187" s="537"/>
      <c r="NSC187" s="537"/>
      <c r="NSD187" s="537"/>
      <c r="NSE187" s="537"/>
      <c r="NSF187" s="537"/>
      <c r="NSG187" s="537"/>
      <c r="NSH187" s="537"/>
      <c r="NSI187" s="537"/>
      <c r="NSJ187" s="537"/>
      <c r="NSK187" s="537"/>
      <c r="NSL187" s="537"/>
      <c r="NSM187" s="537"/>
      <c r="NSN187" s="537"/>
      <c r="NSO187" s="537"/>
      <c r="NSP187" s="537"/>
      <c r="NSQ187" s="537"/>
      <c r="NSR187" s="537"/>
      <c r="NSS187" s="537"/>
      <c r="NST187" s="537"/>
      <c r="NSU187" s="537"/>
      <c r="NSV187" s="537"/>
      <c r="NSW187" s="537"/>
      <c r="NSX187" s="537"/>
      <c r="NSY187" s="537"/>
      <c r="NSZ187" s="537"/>
      <c r="NTA187" s="537"/>
      <c r="NTB187" s="537"/>
      <c r="NTC187" s="537"/>
      <c r="NTD187" s="537"/>
      <c r="NTE187" s="537"/>
      <c r="NTF187" s="537"/>
      <c r="NTG187" s="537"/>
      <c r="NTH187" s="537"/>
      <c r="NTI187" s="537"/>
      <c r="NTJ187" s="537"/>
      <c r="NTK187" s="537"/>
      <c r="NTL187" s="537"/>
      <c r="NTM187" s="537"/>
      <c r="NTN187" s="537"/>
      <c r="NTO187" s="537"/>
      <c r="NTP187" s="537"/>
      <c r="NTQ187" s="537"/>
      <c r="NTR187" s="537"/>
      <c r="NTS187" s="537"/>
      <c r="NTT187" s="537"/>
      <c r="NTU187" s="537"/>
      <c r="NTV187" s="537"/>
      <c r="NTW187" s="537"/>
      <c r="NTX187" s="537"/>
      <c r="NTY187" s="537"/>
      <c r="NTZ187" s="537"/>
      <c r="NUA187" s="537"/>
      <c r="NUB187" s="537"/>
      <c r="NUC187" s="537"/>
      <c r="NUD187" s="537"/>
      <c r="NUE187" s="537"/>
      <c r="NUF187" s="537"/>
      <c r="NUG187" s="537"/>
      <c r="NUH187" s="537"/>
      <c r="NUI187" s="537"/>
      <c r="NUJ187" s="537"/>
      <c r="NUK187" s="537"/>
      <c r="NUL187" s="537"/>
      <c r="NUM187" s="537"/>
      <c r="NUN187" s="537"/>
      <c r="NUO187" s="537"/>
      <c r="NUP187" s="537"/>
      <c r="NUQ187" s="537"/>
      <c r="NUR187" s="537"/>
      <c r="NUS187" s="537"/>
      <c r="NUT187" s="537"/>
      <c r="NUU187" s="537"/>
      <c r="NUV187" s="537"/>
      <c r="NUW187" s="537"/>
      <c r="NUX187" s="537"/>
      <c r="NUY187" s="537"/>
      <c r="NUZ187" s="537"/>
      <c r="NVA187" s="537"/>
      <c r="NVB187" s="537"/>
      <c r="NVC187" s="537"/>
      <c r="NVD187" s="537"/>
      <c r="NVE187" s="537"/>
      <c r="NVF187" s="537"/>
      <c r="NVG187" s="537"/>
      <c r="NVH187" s="537"/>
      <c r="NVI187" s="537"/>
      <c r="NVJ187" s="537"/>
      <c r="NVK187" s="537"/>
      <c r="NVL187" s="537"/>
      <c r="NVM187" s="537"/>
      <c r="NVN187" s="537"/>
      <c r="NVO187" s="537"/>
      <c r="NVP187" s="537"/>
      <c r="NVQ187" s="537"/>
      <c r="NVR187" s="537"/>
      <c r="NVS187" s="537"/>
      <c r="NVT187" s="537"/>
      <c r="NVU187" s="537"/>
      <c r="NVV187" s="537"/>
      <c r="NVW187" s="537"/>
      <c r="NVX187" s="537"/>
      <c r="NVY187" s="537"/>
      <c r="NVZ187" s="537"/>
      <c r="NWA187" s="537"/>
      <c r="NWB187" s="537"/>
      <c r="NWC187" s="537"/>
      <c r="NWD187" s="537"/>
      <c r="NWE187" s="537"/>
      <c r="NWF187" s="537"/>
      <c r="NWG187" s="537"/>
      <c r="NWH187" s="537"/>
      <c r="NWI187" s="537"/>
      <c r="NWJ187" s="537"/>
      <c r="NWK187" s="537"/>
      <c r="NWL187" s="537"/>
      <c r="NWM187" s="537"/>
      <c r="NWN187" s="537"/>
      <c r="NWO187" s="537"/>
      <c r="NWP187" s="537"/>
      <c r="NWQ187" s="537"/>
      <c r="NWR187" s="537"/>
      <c r="NWS187" s="537"/>
      <c r="NWT187" s="537"/>
      <c r="NWU187" s="537"/>
      <c r="NWV187" s="537"/>
      <c r="NWW187" s="537"/>
      <c r="NWX187" s="537"/>
      <c r="NWY187" s="537"/>
      <c r="NWZ187" s="537"/>
      <c r="NXA187" s="537"/>
      <c r="NXB187" s="537"/>
      <c r="NXC187" s="537"/>
      <c r="NXD187" s="537"/>
      <c r="NXE187" s="537"/>
      <c r="NXF187" s="537"/>
      <c r="NXG187" s="537"/>
      <c r="NXH187" s="537"/>
      <c r="NXI187" s="537"/>
      <c r="NXJ187" s="537"/>
      <c r="NXK187" s="537"/>
      <c r="NXL187" s="537"/>
      <c r="NXM187" s="537"/>
      <c r="NXN187" s="537"/>
      <c r="NXO187" s="537"/>
      <c r="NXP187" s="537"/>
      <c r="NXQ187" s="537"/>
      <c r="NXR187" s="537"/>
      <c r="NXS187" s="537"/>
      <c r="NXT187" s="537"/>
      <c r="NXU187" s="537"/>
      <c r="NXV187" s="537"/>
      <c r="NXW187" s="537"/>
      <c r="NXX187" s="537"/>
      <c r="NXY187" s="537"/>
      <c r="NXZ187" s="537"/>
      <c r="NYA187" s="537"/>
      <c r="NYB187" s="537"/>
      <c r="NYC187" s="537"/>
      <c r="NYD187" s="537"/>
      <c r="NYE187" s="537"/>
      <c r="NYF187" s="537"/>
      <c r="NYG187" s="537"/>
      <c r="NYH187" s="537"/>
      <c r="NYI187" s="537"/>
      <c r="NYJ187" s="537"/>
      <c r="NYK187" s="537"/>
      <c r="NYL187" s="537"/>
      <c r="NYM187" s="537"/>
      <c r="NYN187" s="537"/>
      <c r="NYO187" s="537"/>
      <c r="NYP187" s="537"/>
      <c r="NYQ187" s="537"/>
      <c r="NYR187" s="537"/>
      <c r="NYS187" s="537"/>
      <c r="NYT187" s="537"/>
      <c r="NYU187" s="537"/>
      <c r="NYV187" s="537"/>
      <c r="NYW187" s="537"/>
      <c r="NYX187" s="537"/>
      <c r="NYY187" s="537"/>
      <c r="NYZ187" s="537"/>
      <c r="NZA187" s="537"/>
      <c r="NZB187" s="537"/>
      <c r="NZC187" s="537"/>
      <c r="NZD187" s="537"/>
      <c r="NZE187" s="537"/>
      <c r="NZF187" s="537"/>
      <c r="NZG187" s="537"/>
      <c r="NZH187" s="537"/>
      <c r="NZI187" s="537"/>
      <c r="NZJ187" s="537"/>
      <c r="NZK187" s="537"/>
      <c r="NZL187" s="537"/>
      <c r="NZM187" s="537"/>
      <c r="NZN187" s="537"/>
      <c r="NZO187" s="537"/>
      <c r="NZP187" s="537"/>
      <c r="NZQ187" s="537"/>
      <c r="NZR187" s="537"/>
      <c r="NZS187" s="537"/>
      <c r="NZT187" s="537"/>
      <c r="NZU187" s="537"/>
      <c r="NZV187" s="537"/>
      <c r="NZW187" s="537"/>
      <c r="NZX187" s="537"/>
      <c r="NZY187" s="537"/>
      <c r="NZZ187" s="537"/>
      <c r="OAA187" s="537"/>
      <c r="OAB187" s="537"/>
      <c r="OAC187" s="537"/>
      <c r="OAD187" s="537"/>
      <c r="OAE187" s="537"/>
      <c r="OAF187" s="537"/>
      <c r="OAG187" s="537"/>
      <c r="OAH187" s="537"/>
      <c r="OAI187" s="537"/>
      <c r="OAJ187" s="537"/>
      <c r="OAK187" s="537"/>
      <c r="OAL187" s="537"/>
      <c r="OAM187" s="537"/>
      <c r="OAN187" s="537"/>
      <c r="OAO187" s="537"/>
      <c r="OAP187" s="537"/>
      <c r="OAQ187" s="537"/>
      <c r="OAR187" s="537"/>
      <c r="OAS187" s="537"/>
      <c r="OAT187" s="537"/>
      <c r="OAU187" s="537"/>
      <c r="OAV187" s="537"/>
      <c r="OAW187" s="537"/>
      <c r="OAX187" s="537"/>
      <c r="OAY187" s="537"/>
      <c r="OAZ187" s="537"/>
      <c r="OBA187" s="537"/>
      <c r="OBB187" s="537"/>
      <c r="OBC187" s="537"/>
      <c r="OBD187" s="537"/>
      <c r="OBE187" s="537"/>
      <c r="OBF187" s="537"/>
      <c r="OBG187" s="537"/>
      <c r="OBH187" s="537"/>
      <c r="OBI187" s="537"/>
      <c r="OBJ187" s="537"/>
      <c r="OBK187" s="537"/>
      <c r="OBL187" s="537"/>
      <c r="OBM187" s="537"/>
      <c r="OBN187" s="537"/>
      <c r="OBO187" s="537"/>
      <c r="OBP187" s="537"/>
      <c r="OBQ187" s="537"/>
      <c r="OBR187" s="537"/>
      <c r="OBS187" s="537"/>
      <c r="OBT187" s="537"/>
      <c r="OBU187" s="537"/>
      <c r="OBV187" s="537"/>
      <c r="OBW187" s="537"/>
      <c r="OBX187" s="537"/>
      <c r="OBY187" s="537"/>
      <c r="OBZ187" s="537"/>
      <c r="OCA187" s="537"/>
      <c r="OCB187" s="537"/>
      <c r="OCC187" s="537"/>
      <c r="OCD187" s="537"/>
      <c r="OCE187" s="537"/>
      <c r="OCF187" s="537"/>
      <c r="OCG187" s="537"/>
      <c r="OCH187" s="537"/>
      <c r="OCI187" s="537"/>
      <c r="OCJ187" s="537"/>
      <c r="OCK187" s="537"/>
      <c r="OCL187" s="537"/>
      <c r="OCM187" s="537"/>
      <c r="OCN187" s="537"/>
      <c r="OCO187" s="537"/>
      <c r="OCP187" s="537"/>
      <c r="OCQ187" s="537"/>
      <c r="OCR187" s="537"/>
      <c r="OCS187" s="537"/>
      <c r="OCT187" s="537"/>
      <c r="OCU187" s="537"/>
      <c r="OCV187" s="537"/>
      <c r="OCW187" s="537"/>
      <c r="OCX187" s="537"/>
      <c r="OCY187" s="537"/>
      <c r="OCZ187" s="537"/>
      <c r="ODA187" s="537"/>
      <c r="ODB187" s="537"/>
      <c r="ODC187" s="537"/>
      <c r="ODD187" s="537"/>
      <c r="ODE187" s="537"/>
      <c r="ODF187" s="537"/>
      <c r="ODG187" s="537"/>
      <c r="ODH187" s="537"/>
      <c r="ODI187" s="537"/>
      <c r="ODJ187" s="537"/>
      <c r="ODK187" s="537"/>
      <c r="ODL187" s="537"/>
      <c r="ODM187" s="537"/>
      <c r="ODN187" s="537"/>
      <c r="ODO187" s="537"/>
      <c r="ODP187" s="537"/>
      <c r="ODQ187" s="537"/>
      <c r="ODR187" s="537"/>
      <c r="ODS187" s="537"/>
      <c r="ODT187" s="537"/>
      <c r="ODU187" s="537"/>
      <c r="ODV187" s="537"/>
      <c r="ODW187" s="537"/>
      <c r="ODX187" s="537"/>
      <c r="ODY187" s="537"/>
      <c r="ODZ187" s="537"/>
      <c r="OEA187" s="537"/>
      <c r="OEB187" s="537"/>
      <c r="OEC187" s="537"/>
      <c r="OED187" s="537"/>
      <c r="OEE187" s="537"/>
      <c r="OEF187" s="537"/>
      <c r="OEG187" s="537"/>
      <c r="OEH187" s="537"/>
      <c r="OEI187" s="537"/>
      <c r="OEJ187" s="537"/>
      <c r="OEK187" s="537"/>
      <c r="OEL187" s="537"/>
      <c r="OEM187" s="537"/>
      <c r="OEN187" s="537"/>
      <c r="OEO187" s="537"/>
      <c r="OEP187" s="537"/>
      <c r="OEQ187" s="537"/>
      <c r="OER187" s="537"/>
      <c r="OES187" s="537"/>
      <c r="OET187" s="537"/>
      <c r="OEU187" s="537"/>
      <c r="OEV187" s="537"/>
      <c r="OEW187" s="537"/>
      <c r="OEX187" s="537"/>
      <c r="OEY187" s="537"/>
      <c r="OEZ187" s="537"/>
      <c r="OFA187" s="537"/>
      <c r="OFB187" s="537"/>
      <c r="OFC187" s="537"/>
      <c r="OFD187" s="537"/>
      <c r="OFE187" s="537"/>
      <c r="OFF187" s="537"/>
      <c r="OFG187" s="537"/>
      <c r="OFH187" s="537"/>
      <c r="OFI187" s="537"/>
      <c r="OFJ187" s="537"/>
      <c r="OFK187" s="537"/>
      <c r="OFL187" s="537"/>
      <c r="OFM187" s="537"/>
      <c r="OFN187" s="537"/>
      <c r="OFO187" s="537"/>
      <c r="OFP187" s="537"/>
      <c r="OFQ187" s="537"/>
      <c r="OFR187" s="537"/>
      <c r="OFS187" s="537"/>
      <c r="OFT187" s="537"/>
      <c r="OFU187" s="537"/>
      <c r="OFV187" s="537"/>
      <c r="OFW187" s="537"/>
      <c r="OFX187" s="537"/>
      <c r="OFY187" s="537"/>
      <c r="OFZ187" s="537"/>
      <c r="OGA187" s="537"/>
      <c r="OGB187" s="537"/>
      <c r="OGC187" s="537"/>
      <c r="OGD187" s="537"/>
      <c r="OGE187" s="537"/>
      <c r="OGF187" s="537"/>
      <c r="OGG187" s="537"/>
      <c r="OGH187" s="537"/>
      <c r="OGI187" s="537"/>
      <c r="OGJ187" s="537"/>
      <c r="OGK187" s="537"/>
      <c r="OGL187" s="537"/>
      <c r="OGM187" s="537"/>
      <c r="OGN187" s="537"/>
      <c r="OGO187" s="537"/>
      <c r="OGP187" s="537"/>
      <c r="OGQ187" s="537"/>
      <c r="OGR187" s="537"/>
      <c r="OGS187" s="537"/>
      <c r="OGT187" s="537"/>
      <c r="OGU187" s="537"/>
      <c r="OGV187" s="537"/>
      <c r="OGW187" s="537"/>
      <c r="OGX187" s="537"/>
      <c r="OGY187" s="537"/>
      <c r="OGZ187" s="537"/>
      <c r="OHA187" s="537"/>
      <c r="OHB187" s="537"/>
      <c r="OHC187" s="537"/>
      <c r="OHD187" s="537"/>
      <c r="OHE187" s="537"/>
      <c r="OHF187" s="537"/>
      <c r="OHG187" s="537"/>
      <c r="OHH187" s="537"/>
      <c r="OHI187" s="537"/>
      <c r="OHJ187" s="537"/>
      <c r="OHK187" s="537"/>
      <c r="OHL187" s="537"/>
      <c r="OHM187" s="537"/>
      <c r="OHN187" s="537"/>
      <c r="OHO187" s="537"/>
      <c r="OHP187" s="537"/>
      <c r="OHQ187" s="537"/>
      <c r="OHR187" s="537"/>
      <c r="OHS187" s="537"/>
      <c r="OHT187" s="537"/>
      <c r="OHU187" s="537"/>
      <c r="OHV187" s="537"/>
      <c r="OHW187" s="537"/>
      <c r="OHX187" s="537"/>
      <c r="OHY187" s="537"/>
      <c r="OHZ187" s="537"/>
      <c r="OIA187" s="537"/>
      <c r="OIB187" s="537"/>
      <c r="OIC187" s="537"/>
      <c r="OID187" s="537"/>
      <c r="OIE187" s="537"/>
      <c r="OIF187" s="537"/>
      <c r="OIG187" s="537"/>
      <c r="OIH187" s="537"/>
      <c r="OII187" s="537"/>
      <c r="OIJ187" s="537"/>
      <c r="OIK187" s="537"/>
      <c r="OIL187" s="537"/>
      <c r="OIM187" s="537"/>
      <c r="OIN187" s="537"/>
      <c r="OIO187" s="537"/>
      <c r="OIP187" s="537"/>
      <c r="OIQ187" s="537"/>
      <c r="OIR187" s="537"/>
      <c r="OIS187" s="537"/>
      <c r="OIT187" s="537"/>
      <c r="OIU187" s="537"/>
      <c r="OIV187" s="537"/>
      <c r="OIW187" s="537"/>
      <c r="OIX187" s="537"/>
      <c r="OIY187" s="537"/>
      <c r="OIZ187" s="537"/>
      <c r="OJA187" s="537"/>
      <c r="OJB187" s="537"/>
      <c r="OJC187" s="537"/>
      <c r="OJD187" s="537"/>
      <c r="OJE187" s="537"/>
      <c r="OJF187" s="537"/>
      <c r="OJG187" s="537"/>
      <c r="OJH187" s="537"/>
      <c r="OJI187" s="537"/>
      <c r="OJJ187" s="537"/>
      <c r="OJK187" s="537"/>
      <c r="OJL187" s="537"/>
      <c r="OJM187" s="537"/>
      <c r="OJN187" s="537"/>
      <c r="OJO187" s="537"/>
      <c r="OJP187" s="537"/>
      <c r="OJQ187" s="537"/>
      <c r="OJR187" s="537"/>
      <c r="OJS187" s="537"/>
      <c r="OJT187" s="537"/>
      <c r="OJU187" s="537"/>
      <c r="OJV187" s="537"/>
      <c r="OJW187" s="537"/>
      <c r="OJX187" s="537"/>
      <c r="OJY187" s="537"/>
      <c r="OJZ187" s="537"/>
      <c r="OKA187" s="537"/>
      <c r="OKB187" s="537"/>
      <c r="OKC187" s="537"/>
      <c r="OKD187" s="537"/>
      <c r="OKE187" s="537"/>
      <c r="OKF187" s="537"/>
      <c r="OKG187" s="537"/>
      <c r="OKH187" s="537"/>
      <c r="OKI187" s="537"/>
      <c r="OKJ187" s="537"/>
      <c r="OKK187" s="537"/>
      <c r="OKL187" s="537"/>
      <c r="OKM187" s="537"/>
      <c r="OKN187" s="537"/>
      <c r="OKO187" s="537"/>
      <c r="OKP187" s="537"/>
      <c r="OKQ187" s="537"/>
      <c r="OKR187" s="537"/>
      <c r="OKS187" s="537"/>
      <c r="OKT187" s="537"/>
      <c r="OKU187" s="537"/>
      <c r="OKV187" s="537"/>
      <c r="OKW187" s="537"/>
      <c r="OKX187" s="537"/>
      <c r="OKY187" s="537"/>
      <c r="OKZ187" s="537"/>
      <c r="OLA187" s="537"/>
      <c r="OLB187" s="537"/>
      <c r="OLC187" s="537"/>
      <c r="OLD187" s="537"/>
      <c r="OLE187" s="537"/>
      <c r="OLF187" s="537"/>
      <c r="OLG187" s="537"/>
      <c r="OLH187" s="537"/>
      <c r="OLI187" s="537"/>
      <c r="OLJ187" s="537"/>
      <c r="OLK187" s="537"/>
      <c r="OLL187" s="537"/>
      <c r="OLM187" s="537"/>
      <c r="OLN187" s="537"/>
      <c r="OLO187" s="537"/>
      <c r="OLP187" s="537"/>
      <c r="OLQ187" s="537"/>
      <c r="OLR187" s="537"/>
      <c r="OLS187" s="537"/>
      <c r="OLT187" s="537"/>
      <c r="OLU187" s="537"/>
      <c r="OLV187" s="537"/>
      <c r="OLW187" s="537"/>
      <c r="OLX187" s="537"/>
      <c r="OLY187" s="537"/>
      <c r="OLZ187" s="537"/>
      <c r="OMA187" s="537"/>
      <c r="OMB187" s="537"/>
      <c r="OMC187" s="537"/>
      <c r="OMD187" s="537"/>
      <c r="OME187" s="537"/>
      <c r="OMF187" s="537"/>
      <c r="OMG187" s="537"/>
      <c r="OMH187" s="537"/>
      <c r="OMI187" s="537"/>
      <c r="OMJ187" s="537"/>
      <c r="OMK187" s="537"/>
      <c r="OML187" s="537"/>
      <c r="OMM187" s="537"/>
      <c r="OMN187" s="537"/>
      <c r="OMO187" s="537"/>
      <c r="OMP187" s="537"/>
      <c r="OMQ187" s="537"/>
      <c r="OMR187" s="537"/>
      <c r="OMS187" s="537"/>
      <c r="OMT187" s="537"/>
      <c r="OMU187" s="537"/>
      <c r="OMV187" s="537"/>
      <c r="OMW187" s="537"/>
      <c r="OMX187" s="537"/>
      <c r="OMY187" s="537"/>
      <c r="OMZ187" s="537"/>
      <c r="ONA187" s="537"/>
      <c r="ONB187" s="537"/>
      <c r="ONC187" s="537"/>
      <c r="OND187" s="537"/>
      <c r="ONE187" s="537"/>
      <c r="ONF187" s="537"/>
      <c r="ONG187" s="537"/>
      <c r="ONH187" s="537"/>
      <c r="ONI187" s="537"/>
      <c r="ONJ187" s="537"/>
      <c r="ONK187" s="537"/>
      <c r="ONL187" s="537"/>
      <c r="ONM187" s="537"/>
      <c r="ONN187" s="537"/>
      <c r="ONO187" s="537"/>
      <c r="ONP187" s="537"/>
      <c r="ONQ187" s="537"/>
      <c r="ONR187" s="537"/>
      <c r="ONS187" s="537"/>
      <c r="ONT187" s="537"/>
      <c r="ONU187" s="537"/>
      <c r="ONV187" s="537"/>
      <c r="ONW187" s="537"/>
      <c r="ONX187" s="537"/>
      <c r="ONY187" s="537"/>
      <c r="ONZ187" s="537"/>
      <c r="OOA187" s="537"/>
      <c r="OOB187" s="537"/>
      <c r="OOC187" s="537"/>
      <c r="OOD187" s="537"/>
      <c r="OOE187" s="537"/>
      <c r="OOF187" s="537"/>
      <c r="OOG187" s="537"/>
      <c r="OOH187" s="537"/>
      <c r="OOI187" s="537"/>
      <c r="OOJ187" s="537"/>
      <c r="OOK187" s="537"/>
      <c r="OOL187" s="537"/>
      <c r="OOM187" s="537"/>
      <c r="OON187" s="537"/>
      <c r="OOO187" s="537"/>
      <c r="OOP187" s="537"/>
      <c r="OOQ187" s="537"/>
      <c r="OOR187" s="537"/>
      <c r="OOS187" s="537"/>
      <c r="OOT187" s="537"/>
      <c r="OOU187" s="537"/>
      <c r="OOV187" s="537"/>
      <c r="OOW187" s="537"/>
      <c r="OOX187" s="537"/>
      <c r="OOY187" s="537"/>
      <c r="OOZ187" s="537"/>
      <c r="OPA187" s="537"/>
      <c r="OPB187" s="537"/>
      <c r="OPC187" s="537"/>
      <c r="OPD187" s="537"/>
      <c r="OPE187" s="537"/>
      <c r="OPF187" s="537"/>
      <c r="OPG187" s="537"/>
      <c r="OPH187" s="537"/>
      <c r="OPI187" s="537"/>
      <c r="OPJ187" s="537"/>
      <c r="OPK187" s="537"/>
      <c r="OPL187" s="537"/>
      <c r="OPM187" s="537"/>
      <c r="OPN187" s="537"/>
      <c r="OPO187" s="537"/>
      <c r="OPP187" s="537"/>
      <c r="OPQ187" s="537"/>
      <c r="OPR187" s="537"/>
      <c r="OPS187" s="537"/>
      <c r="OPT187" s="537"/>
      <c r="OPU187" s="537"/>
      <c r="OPV187" s="537"/>
      <c r="OPW187" s="537"/>
      <c r="OPX187" s="537"/>
      <c r="OPY187" s="537"/>
      <c r="OPZ187" s="537"/>
      <c r="OQA187" s="537"/>
      <c r="OQB187" s="537"/>
      <c r="OQC187" s="537"/>
      <c r="OQD187" s="537"/>
      <c r="OQE187" s="537"/>
      <c r="OQF187" s="537"/>
      <c r="OQG187" s="537"/>
      <c r="OQH187" s="537"/>
      <c r="OQI187" s="537"/>
      <c r="OQJ187" s="537"/>
      <c r="OQK187" s="537"/>
      <c r="OQL187" s="537"/>
      <c r="OQM187" s="537"/>
      <c r="OQN187" s="537"/>
      <c r="OQO187" s="537"/>
      <c r="OQP187" s="537"/>
      <c r="OQQ187" s="537"/>
      <c r="OQR187" s="537"/>
      <c r="OQS187" s="537"/>
      <c r="OQT187" s="537"/>
      <c r="OQU187" s="537"/>
      <c r="OQV187" s="537"/>
      <c r="OQW187" s="537"/>
      <c r="OQX187" s="537"/>
      <c r="OQY187" s="537"/>
      <c r="OQZ187" s="537"/>
      <c r="ORA187" s="537"/>
      <c r="ORB187" s="537"/>
      <c r="ORC187" s="537"/>
      <c r="ORD187" s="537"/>
      <c r="ORE187" s="537"/>
      <c r="ORF187" s="537"/>
      <c r="ORG187" s="537"/>
      <c r="ORH187" s="537"/>
      <c r="ORI187" s="537"/>
      <c r="ORJ187" s="537"/>
      <c r="ORK187" s="537"/>
      <c r="ORL187" s="537"/>
      <c r="ORM187" s="537"/>
      <c r="ORN187" s="537"/>
      <c r="ORO187" s="537"/>
      <c r="ORP187" s="537"/>
      <c r="ORQ187" s="537"/>
      <c r="ORR187" s="537"/>
      <c r="ORS187" s="537"/>
      <c r="ORT187" s="537"/>
      <c r="ORU187" s="537"/>
      <c r="ORV187" s="537"/>
      <c r="ORW187" s="537"/>
      <c r="ORX187" s="537"/>
      <c r="ORY187" s="537"/>
      <c r="ORZ187" s="537"/>
      <c r="OSA187" s="537"/>
      <c r="OSB187" s="537"/>
      <c r="OSC187" s="537"/>
      <c r="OSD187" s="537"/>
      <c r="OSE187" s="537"/>
      <c r="OSF187" s="537"/>
      <c r="OSG187" s="537"/>
      <c r="OSH187" s="537"/>
      <c r="OSI187" s="537"/>
      <c r="OSJ187" s="537"/>
      <c r="OSK187" s="537"/>
      <c r="OSL187" s="537"/>
      <c r="OSM187" s="537"/>
      <c r="OSN187" s="537"/>
      <c r="OSO187" s="537"/>
      <c r="OSP187" s="537"/>
      <c r="OSQ187" s="537"/>
      <c r="OSR187" s="537"/>
      <c r="OSS187" s="537"/>
      <c r="OST187" s="537"/>
      <c r="OSU187" s="537"/>
      <c r="OSV187" s="537"/>
      <c r="OSW187" s="537"/>
      <c r="OSX187" s="537"/>
      <c r="OSY187" s="537"/>
      <c r="OSZ187" s="537"/>
      <c r="OTA187" s="537"/>
      <c r="OTB187" s="537"/>
      <c r="OTC187" s="537"/>
      <c r="OTD187" s="537"/>
      <c r="OTE187" s="537"/>
      <c r="OTF187" s="537"/>
      <c r="OTG187" s="537"/>
      <c r="OTH187" s="537"/>
      <c r="OTI187" s="537"/>
      <c r="OTJ187" s="537"/>
      <c r="OTK187" s="537"/>
      <c r="OTL187" s="537"/>
      <c r="OTM187" s="537"/>
      <c r="OTN187" s="537"/>
      <c r="OTO187" s="537"/>
      <c r="OTP187" s="537"/>
      <c r="OTQ187" s="537"/>
      <c r="OTR187" s="537"/>
      <c r="OTS187" s="537"/>
      <c r="OTT187" s="537"/>
      <c r="OTU187" s="537"/>
      <c r="OTV187" s="537"/>
      <c r="OTW187" s="537"/>
      <c r="OTX187" s="537"/>
      <c r="OTY187" s="537"/>
      <c r="OTZ187" s="537"/>
      <c r="OUA187" s="537"/>
      <c r="OUB187" s="537"/>
      <c r="OUC187" s="537"/>
      <c r="OUD187" s="537"/>
      <c r="OUE187" s="537"/>
      <c r="OUF187" s="537"/>
      <c r="OUG187" s="537"/>
      <c r="OUH187" s="537"/>
      <c r="OUI187" s="537"/>
      <c r="OUJ187" s="537"/>
      <c r="OUK187" s="537"/>
      <c r="OUL187" s="537"/>
      <c r="OUM187" s="537"/>
      <c r="OUN187" s="537"/>
      <c r="OUO187" s="537"/>
      <c r="OUP187" s="537"/>
      <c r="OUQ187" s="537"/>
      <c r="OUR187" s="537"/>
      <c r="OUS187" s="537"/>
      <c r="OUT187" s="537"/>
      <c r="OUU187" s="537"/>
      <c r="OUV187" s="537"/>
      <c r="OUW187" s="537"/>
      <c r="OUX187" s="537"/>
      <c r="OUY187" s="537"/>
      <c r="OUZ187" s="537"/>
      <c r="OVA187" s="537"/>
      <c r="OVB187" s="537"/>
      <c r="OVC187" s="537"/>
      <c r="OVD187" s="537"/>
      <c r="OVE187" s="537"/>
      <c r="OVF187" s="537"/>
      <c r="OVG187" s="537"/>
      <c r="OVH187" s="537"/>
      <c r="OVI187" s="537"/>
      <c r="OVJ187" s="537"/>
      <c r="OVK187" s="537"/>
      <c r="OVL187" s="537"/>
      <c r="OVM187" s="537"/>
      <c r="OVN187" s="537"/>
      <c r="OVO187" s="537"/>
      <c r="OVP187" s="537"/>
      <c r="OVQ187" s="537"/>
      <c r="OVR187" s="537"/>
      <c r="OVS187" s="537"/>
      <c r="OVT187" s="537"/>
      <c r="OVU187" s="537"/>
      <c r="OVV187" s="537"/>
      <c r="OVW187" s="537"/>
      <c r="OVX187" s="537"/>
      <c r="OVY187" s="537"/>
      <c r="OVZ187" s="537"/>
      <c r="OWA187" s="537"/>
      <c r="OWB187" s="537"/>
      <c r="OWC187" s="537"/>
      <c r="OWD187" s="537"/>
      <c r="OWE187" s="537"/>
      <c r="OWF187" s="537"/>
      <c r="OWG187" s="537"/>
      <c r="OWH187" s="537"/>
      <c r="OWI187" s="537"/>
      <c r="OWJ187" s="537"/>
      <c r="OWK187" s="537"/>
      <c r="OWL187" s="537"/>
      <c r="OWM187" s="537"/>
      <c r="OWN187" s="537"/>
      <c r="OWO187" s="537"/>
      <c r="OWP187" s="537"/>
      <c r="OWQ187" s="537"/>
      <c r="OWR187" s="537"/>
      <c r="OWS187" s="537"/>
      <c r="OWT187" s="537"/>
      <c r="OWU187" s="537"/>
      <c r="OWV187" s="537"/>
      <c r="OWW187" s="537"/>
      <c r="OWX187" s="537"/>
      <c r="OWY187" s="537"/>
      <c r="OWZ187" s="537"/>
      <c r="OXA187" s="537"/>
      <c r="OXB187" s="537"/>
      <c r="OXC187" s="537"/>
      <c r="OXD187" s="537"/>
      <c r="OXE187" s="537"/>
      <c r="OXF187" s="537"/>
      <c r="OXG187" s="537"/>
      <c r="OXH187" s="537"/>
      <c r="OXI187" s="537"/>
      <c r="OXJ187" s="537"/>
      <c r="OXK187" s="537"/>
      <c r="OXL187" s="537"/>
      <c r="OXM187" s="537"/>
      <c r="OXN187" s="537"/>
      <c r="OXO187" s="537"/>
      <c r="OXP187" s="537"/>
      <c r="OXQ187" s="537"/>
      <c r="OXR187" s="537"/>
      <c r="OXS187" s="537"/>
      <c r="OXT187" s="537"/>
      <c r="OXU187" s="537"/>
      <c r="OXV187" s="537"/>
      <c r="OXW187" s="537"/>
      <c r="OXX187" s="537"/>
      <c r="OXY187" s="537"/>
      <c r="OXZ187" s="537"/>
      <c r="OYA187" s="537"/>
      <c r="OYB187" s="537"/>
      <c r="OYC187" s="537"/>
      <c r="OYD187" s="537"/>
      <c r="OYE187" s="537"/>
      <c r="OYF187" s="537"/>
      <c r="OYG187" s="537"/>
      <c r="OYH187" s="537"/>
      <c r="OYI187" s="537"/>
      <c r="OYJ187" s="537"/>
      <c r="OYK187" s="537"/>
      <c r="OYL187" s="537"/>
      <c r="OYM187" s="537"/>
      <c r="OYN187" s="537"/>
      <c r="OYO187" s="537"/>
      <c r="OYP187" s="537"/>
      <c r="OYQ187" s="537"/>
      <c r="OYR187" s="537"/>
      <c r="OYS187" s="537"/>
      <c r="OYT187" s="537"/>
      <c r="OYU187" s="537"/>
      <c r="OYV187" s="537"/>
      <c r="OYW187" s="537"/>
      <c r="OYX187" s="537"/>
      <c r="OYY187" s="537"/>
      <c r="OYZ187" s="537"/>
      <c r="OZA187" s="537"/>
      <c r="OZB187" s="537"/>
      <c r="OZC187" s="537"/>
      <c r="OZD187" s="537"/>
      <c r="OZE187" s="537"/>
      <c r="OZF187" s="537"/>
      <c r="OZG187" s="537"/>
      <c r="OZH187" s="537"/>
      <c r="OZI187" s="537"/>
      <c r="OZJ187" s="537"/>
      <c r="OZK187" s="537"/>
      <c r="OZL187" s="537"/>
      <c r="OZM187" s="537"/>
      <c r="OZN187" s="537"/>
      <c r="OZO187" s="537"/>
      <c r="OZP187" s="537"/>
      <c r="OZQ187" s="537"/>
      <c r="OZR187" s="537"/>
      <c r="OZS187" s="537"/>
      <c r="OZT187" s="537"/>
      <c r="OZU187" s="537"/>
      <c r="OZV187" s="537"/>
      <c r="OZW187" s="537"/>
      <c r="OZX187" s="537"/>
      <c r="OZY187" s="537"/>
      <c r="OZZ187" s="537"/>
      <c r="PAA187" s="537"/>
      <c r="PAB187" s="537"/>
      <c r="PAC187" s="537"/>
      <c r="PAD187" s="537"/>
      <c r="PAE187" s="537"/>
      <c r="PAF187" s="537"/>
      <c r="PAG187" s="537"/>
      <c r="PAH187" s="537"/>
      <c r="PAI187" s="537"/>
      <c r="PAJ187" s="537"/>
      <c r="PAK187" s="537"/>
      <c r="PAL187" s="537"/>
      <c r="PAM187" s="537"/>
      <c r="PAN187" s="537"/>
      <c r="PAO187" s="537"/>
      <c r="PAP187" s="537"/>
      <c r="PAQ187" s="537"/>
      <c r="PAR187" s="537"/>
      <c r="PAS187" s="537"/>
      <c r="PAT187" s="537"/>
      <c r="PAU187" s="537"/>
      <c r="PAV187" s="537"/>
      <c r="PAW187" s="537"/>
      <c r="PAX187" s="537"/>
      <c r="PAY187" s="537"/>
      <c r="PAZ187" s="537"/>
      <c r="PBA187" s="537"/>
      <c r="PBB187" s="537"/>
      <c r="PBC187" s="537"/>
      <c r="PBD187" s="537"/>
      <c r="PBE187" s="537"/>
      <c r="PBF187" s="537"/>
      <c r="PBG187" s="537"/>
      <c r="PBH187" s="537"/>
      <c r="PBI187" s="537"/>
      <c r="PBJ187" s="537"/>
      <c r="PBK187" s="537"/>
      <c r="PBL187" s="537"/>
      <c r="PBM187" s="537"/>
      <c r="PBN187" s="537"/>
      <c r="PBO187" s="537"/>
      <c r="PBP187" s="537"/>
      <c r="PBQ187" s="537"/>
      <c r="PBR187" s="537"/>
      <c r="PBS187" s="537"/>
      <c r="PBT187" s="537"/>
      <c r="PBU187" s="537"/>
      <c r="PBV187" s="537"/>
      <c r="PBW187" s="537"/>
      <c r="PBX187" s="537"/>
      <c r="PBY187" s="537"/>
      <c r="PBZ187" s="537"/>
      <c r="PCA187" s="537"/>
      <c r="PCB187" s="537"/>
      <c r="PCC187" s="537"/>
      <c r="PCD187" s="537"/>
      <c r="PCE187" s="537"/>
      <c r="PCF187" s="537"/>
      <c r="PCG187" s="537"/>
      <c r="PCH187" s="537"/>
      <c r="PCI187" s="537"/>
      <c r="PCJ187" s="537"/>
      <c r="PCK187" s="537"/>
      <c r="PCL187" s="537"/>
      <c r="PCM187" s="537"/>
      <c r="PCN187" s="537"/>
      <c r="PCO187" s="537"/>
      <c r="PCP187" s="537"/>
      <c r="PCQ187" s="537"/>
      <c r="PCR187" s="537"/>
      <c r="PCS187" s="537"/>
      <c r="PCT187" s="537"/>
      <c r="PCU187" s="537"/>
      <c r="PCV187" s="537"/>
      <c r="PCW187" s="537"/>
      <c r="PCX187" s="537"/>
      <c r="PCY187" s="537"/>
      <c r="PCZ187" s="537"/>
      <c r="PDA187" s="537"/>
      <c r="PDB187" s="537"/>
      <c r="PDC187" s="537"/>
      <c r="PDD187" s="537"/>
      <c r="PDE187" s="537"/>
      <c r="PDF187" s="537"/>
      <c r="PDG187" s="537"/>
      <c r="PDH187" s="537"/>
      <c r="PDI187" s="537"/>
      <c r="PDJ187" s="537"/>
      <c r="PDK187" s="537"/>
      <c r="PDL187" s="537"/>
      <c r="PDM187" s="537"/>
      <c r="PDN187" s="537"/>
      <c r="PDO187" s="537"/>
      <c r="PDP187" s="537"/>
      <c r="PDQ187" s="537"/>
      <c r="PDR187" s="537"/>
      <c r="PDS187" s="537"/>
      <c r="PDT187" s="537"/>
      <c r="PDU187" s="537"/>
      <c r="PDV187" s="537"/>
      <c r="PDW187" s="537"/>
      <c r="PDX187" s="537"/>
      <c r="PDY187" s="537"/>
      <c r="PDZ187" s="537"/>
      <c r="PEA187" s="537"/>
      <c r="PEB187" s="537"/>
      <c r="PEC187" s="537"/>
      <c r="PED187" s="537"/>
      <c r="PEE187" s="537"/>
      <c r="PEF187" s="537"/>
      <c r="PEG187" s="537"/>
      <c r="PEH187" s="537"/>
      <c r="PEI187" s="537"/>
      <c r="PEJ187" s="537"/>
      <c r="PEK187" s="537"/>
      <c r="PEL187" s="537"/>
      <c r="PEM187" s="537"/>
      <c r="PEN187" s="537"/>
      <c r="PEO187" s="537"/>
      <c r="PEP187" s="537"/>
      <c r="PEQ187" s="537"/>
      <c r="PER187" s="537"/>
      <c r="PES187" s="537"/>
      <c r="PET187" s="537"/>
      <c r="PEU187" s="537"/>
      <c r="PEV187" s="537"/>
      <c r="PEW187" s="537"/>
      <c r="PEX187" s="537"/>
      <c r="PEY187" s="537"/>
      <c r="PEZ187" s="537"/>
      <c r="PFA187" s="537"/>
      <c r="PFB187" s="537"/>
      <c r="PFC187" s="537"/>
      <c r="PFD187" s="537"/>
      <c r="PFE187" s="537"/>
      <c r="PFF187" s="537"/>
      <c r="PFG187" s="537"/>
      <c r="PFH187" s="537"/>
      <c r="PFI187" s="537"/>
      <c r="PFJ187" s="537"/>
      <c r="PFK187" s="537"/>
      <c r="PFL187" s="537"/>
      <c r="PFM187" s="537"/>
      <c r="PFN187" s="537"/>
      <c r="PFO187" s="537"/>
      <c r="PFP187" s="537"/>
      <c r="PFQ187" s="537"/>
      <c r="PFR187" s="537"/>
      <c r="PFS187" s="537"/>
      <c r="PFT187" s="537"/>
      <c r="PFU187" s="537"/>
      <c r="PFV187" s="537"/>
      <c r="PFW187" s="537"/>
      <c r="PFX187" s="537"/>
      <c r="PFY187" s="537"/>
      <c r="PFZ187" s="537"/>
      <c r="PGA187" s="537"/>
      <c r="PGB187" s="537"/>
      <c r="PGC187" s="537"/>
      <c r="PGD187" s="537"/>
      <c r="PGE187" s="537"/>
      <c r="PGF187" s="537"/>
      <c r="PGG187" s="537"/>
      <c r="PGH187" s="537"/>
      <c r="PGI187" s="537"/>
      <c r="PGJ187" s="537"/>
      <c r="PGK187" s="537"/>
      <c r="PGL187" s="537"/>
      <c r="PGM187" s="537"/>
      <c r="PGN187" s="537"/>
      <c r="PGO187" s="537"/>
      <c r="PGP187" s="537"/>
      <c r="PGQ187" s="537"/>
      <c r="PGR187" s="537"/>
      <c r="PGS187" s="537"/>
      <c r="PGT187" s="537"/>
      <c r="PGU187" s="537"/>
      <c r="PGV187" s="537"/>
      <c r="PGW187" s="537"/>
      <c r="PGX187" s="537"/>
      <c r="PGY187" s="537"/>
      <c r="PGZ187" s="537"/>
      <c r="PHA187" s="537"/>
      <c r="PHB187" s="537"/>
      <c r="PHC187" s="537"/>
      <c r="PHD187" s="537"/>
      <c r="PHE187" s="537"/>
      <c r="PHF187" s="537"/>
      <c r="PHG187" s="537"/>
      <c r="PHH187" s="537"/>
      <c r="PHI187" s="537"/>
      <c r="PHJ187" s="537"/>
      <c r="PHK187" s="537"/>
      <c r="PHL187" s="537"/>
      <c r="PHM187" s="537"/>
      <c r="PHN187" s="537"/>
      <c r="PHO187" s="537"/>
      <c r="PHP187" s="537"/>
      <c r="PHQ187" s="537"/>
      <c r="PHR187" s="537"/>
      <c r="PHS187" s="537"/>
      <c r="PHT187" s="537"/>
      <c r="PHU187" s="537"/>
      <c r="PHV187" s="537"/>
      <c r="PHW187" s="537"/>
      <c r="PHX187" s="537"/>
      <c r="PHY187" s="537"/>
      <c r="PHZ187" s="537"/>
      <c r="PIA187" s="537"/>
      <c r="PIB187" s="537"/>
      <c r="PIC187" s="537"/>
      <c r="PID187" s="537"/>
      <c r="PIE187" s="537"/>
      <c r="PIF187" s="537"/>
      <c r="PIG187" s="537"/>
      <c r="PIH187" s="537"/>
      <c r="PII187" s="537"/>
      <c r="PIJ187" s="537"/>
      <c r="PIK187" s="537"/>
      <c r="PIL187" s="537"/>
      <c r="PIM187" s="537"/>
      <c r="PIN187" s="537"/>
      <c r="PIO187" s="537"/>
      <c r="PIP187" s="537"/>
      <c r="PIQ187" s="537"/>
      <c r="PIR187" s="537"/>
      <c r="PIS187" s="537"/>
      <c r="PIT187" s="537"/>
      <c r="PIU187" s="537"/>
      <c r="PIV187" s="537"/>
      <c r="PIW187" s="537"/>
      <c r="PIX187" s="537"/>
      <c r="PIY187" s="537"/>
      <c r="PIZ187" s="537"/>
      <c r="PJA187" s="537"/>
      <c r="PJB187" s="537"/>
      <c r="PJC187" s="537"/>
      <c r="PJD187" s="537"/>
      <c r="PJE187" s="537"/>
      <c r="PJF187" s="537"/>
      <c r="PJG187" s="537"/>
      <c r="PJH187" s="537"/>
      <c r="PJI187" s="537"/>
      <c r="PJJ187" s="537"/>
      <c r="PJK187" s="537"/>
      <c r="PJL187" s="537"/>
      <c r="PJM187" s="537"/>
      <c r="PJN187" s="537"/>
      <c r="PJO187" s="537"/>
      <c r="PJP187" s="537"/>
      <c r="PJQ187" s="537"/>
      <c r="PJR187" s="537"/>
      <c r="PJS187" s="537"/>
      <c r="PJT187" s="537"/>
      <c r="PJU187" s="537"/>
      <c r="PJV187" s="537"/>
      <c r="PJW187" s="537"/>
      <c r="PJX187" s="537"/>
      <c r="PJY187" s="537"/>
      <c r="PJZ187" s="537"/>
      <c r="PKA187" s="537"/>
      <c r="PKB187" s="537"/>
      <c r="PKC187" s="537"/>
      <c r="PKD187" s="537"/>
      <c r="PKE187" s="537"/>
      <c r="PKF187" s="537"/>
      <c r="PKG187" s="537"/>
      <c r="PKH187" s="537"/>
      <c r="PKI187" s="537"/>
      <c r="PKJ187" s="537"/>
      <c r="PKK187" s="537"/>
      <c r="PKL187" s="537"/>
      <c r="PKM187" s="537"/>
      <c r="PKN187" s="537"/>
      <c r="PKO187" s="537"/>
      <c r="PKP187" s="537"/>
      <c r="PKQ187" s="537"/>
      <c r="PKR187" s="537"/>
      <c r="PKS187" s="537"/>
      <c r="PKT187" s="537"/>
      <c r="PKU187" s="537"/>
      <c r="PKV187" s="537"/>
      <c r="PKW187" s="537"/>
      <c r="PKX187" s="537"/>
      <c r="PKY187" s="537"/>
      <c r="PKZ187" s="537"/>
      <c r="PLA187" s="537"/>
      <c r="PLB187" s="537"/>
      <c r="PLC187" s="537"/>
      <c r="PLD187" s="537"/>
      <c r="PLE187" s="537"/>
      <c r="PLF187" s="537"/>
      <c r="PLG187" s="537"/>
      <c r="PLH187" s="537"/>
      <c r="PLI187" s="537"/>
      <c r="PLJ187" s="537"/>
      <c r="PLK187" s="537"/>
      <c r="PLL187" s="537"/>
      <c r="PLM187" s="537"/>
      <c r="PLN187" s="537"/>
      <c r="PLO187" s="537"/>
      <c r="PLP187" s="537"/>
      <c r="PLQ187" s="537"/>
      <c r="PLR187" s="537"/>
      <c r="PLS187" s="537"/>
      <c r="PLT187" s="537"/>
      <c r="PLU187" s="537"/>
      <c r="PLV187" s="537"/>
      <c r="PLW187" s="537"/>
      <c r="PLX187" s="537"/>
      <c r="PLY187" s="537"/>
      <c r="PLZ187" s="537"/>
      <c r="PMA187" s="537"/>
      <c r="PMB187" s="537"/>
      <c r="PMC187" s="537"/>
      <c r="PMD187" s="537"/>
      <c r="PME187" s="537"/>
      <c r="PMF187" s="537"/>
      <c r="PMG187" s="537"/>
      <c r="PMH187" s="537"/>
      <c r="PMI187" s="537"/>
      <c r="PMJ187" s="537"/>
      <c r="PMK187" s="537"/>
      <c r="PML187" s="537"/>
      <c r="PMM187" s="537"/>
      <c r="PMN187" s="537"/>
      <c r="PMO187" s="537"/>
      <c r="PMP187" s="537"/>
      <c r="PMQ187" s="537"/>
      <c r="PMR187" s="537"/>
      <c r="PMS187" s="537"/>
      <c r="PMT187" s="537"/>
      <c r="PMU187" s="537"/>
      <c r="PMV187" s="537"/>
      <c r="PMW187" s="537"/>
      <c r="PMX187" s="537"/>
      <c r="PMY187" s="537"/>
      <c r="PMZ187" s="537"/>
      <c r="PNA187" s="537"/>
      <c r="PNB187" s="537"/>
      <c r="PNC187" s="537"/>
      <c r="PND187" s="537"/>
      <c r="PNE187" s="537"/>
      <c r="PNF187" s="537"/>
      <c r="PNG187" s="537"/>
      <c r="PNH187" s="537"/>
      <c r="PNI187" s="537"/>
      <c r="PNJ187" s="537"/>
      <c r="PNK187" s="537"/>
      <c r="PNL187" s="537"/>
      <c r="PNM187" s="537"/>
      <c r="PNN187" s="537"/>
      <c r="PNO187" s="537"/>
      <c r="PNP187" s="537"/>
      <c r="PNQ187" s="537"/>
      <c r="PNR187" s="537"/>
      <c r="PNS187" s="537"/>
      <c r="PNT187" s="537"/>
      <c r="PNU187" s="537"/>
      <c r="PNV187" s="537"/>
      <c r="PNW187" s="537"/>
      <c r="PNX187" s="537"/>
      <c r="PNY187" s="537"/>
      <c r="PNZ187" s="537"/>
      <c r="POA187" s="537"/>
      <c r="POB187" s="537"/>
      <c r="POC187" s="537"/>
      <c r="POD187" s="537"/>
      <c r="POE187" s="537"/>
      <c r="POF187" s="537"/>
      <c r="POG187" s="537"/>
      <c r="POH187" s="537"/>
      <c r="POI187" s="537"/>
      <c r="POJ187" s="537"/>
      <c r="POK187" s="537"/>
      <c r="POL187" s="537"/>
      <c r="POM187" s="537"/>
      <c r="PON187" s="537"/>
      <c r="POO187" s="537"/>
      <c r="POP187" s="537"/>
      <c r="POQ187" s="537"/>
      <c r="POR187" s="537"/>
      <c r="POS187" s="537"/>
      <c r="POT187" s="537"/>
      <c r="POU187" s="537"/>
      <c r="POV187" s="537"/>
      <c r="POW187" s="537"/>
      <c r="POX187" s="537"/>
      <c r="POY187" s="537"/>
      <c r="POZ187" s="537"/>
      <c r="PPA187" s="537"/>
      <c r="PPB187" s="537"/>
      <c r="PPC187" s="537"/>
      <c r="PPD187" s="537"/>
      <c r="PPE187" s="537"/>
      <c r="PPF187" s="537"/>
      <c r="PPG187" s="537"/>
      <c r="PPH187" s="537"/>
      <c r="PPI187" s="537"/>
      <c r="PPJ187" s="537"/>
      <c r="PPK187" s="537"/>
      <c r="PPL187" s="537"/>
      <c r="PPM187" s="537"/>
      <c r="PPN187" s="537"/>
      <c r="PPO187" s="537"/>
      <c r="PPP187" s="537"/>
      <c r="PPQ187" s="537"/>
      <c r="PPR187" s="537"/>
      <c r="PPS187" s="537"/>
      <c r="PPT187" s="537"/>
      <c r="PPU187" s="537"/>
      <c r="PPV187" s="537"/>
      <c r="PPW187" s="537"/>
      <c r="PPX187" s="537"/>
      <c r="PPY187" s="537"/>
      <c r="PPZ187" s="537"/>
      <c r="PQA187" s="537"/>
      <c r="PQB187" s="537"/>
      <c r="PQC187" s="537"/>
      <c r="PQD187" s="537"/>
      <c r="PQE187" s="537"/>
      <c r="PQF187" s="537"/>
      <c r="PQG187" s="537"/>
      <c r="PQH187" s="537"/>
      <c r="PQI187" s="537"/>
      <c r="PQJ187" s="537"/>
      <c r="PQK187" s="537"/>
      <c r="PQL187" s="537"/>
      <c r="PQM187" s="537"/>
      <c r="PQN187" s="537"/>
      <c r="PQO187" s="537"/>
      <c r="PQP187" s="537"/>
      <c r="PQQ187" s="537"/>
      <c r="PQR187" s="537"/>
      <c r="PQS187" s="537"/>
      <c r="PQT187" s="537"/>
      <c r="PQU187" s="537"/>
      <c r="PQV187" s="537"/>
      <c r="PQW187" s="537"/>
      <c r="PQX187" s="537"/>
      <c r="PQY187" s="537"/>
      <c r="PQZ187" s="537"/>
      <c r="PRA187" s="537"/>
      <c r="PRB187" s="537"/>
      <c r="PRC187" s="537"/>
      <c r="PRD187" s="537"/>
      <c r="PRE187" s="537"/>
      <c r="PRF187" s="537"/>
      <c r="PRG187" s="537"/>
      <c r="PRH187" s="537"/>
      <c r="PRI187" s="537"/>
      <c r="PRJ187" s="537"/>
      <c r="PRK187" s="537"/>
      <c r="PRL187" s="537"/>
      <c r="PRM187" s="537"/>
      <c r="PRN187" s="537"/>
      <c r="PRO187" s="537"/>
      <c r="PRP187" s="537"/>
      <c r="PRQ187" s="537"/>
      <c r="PRR187" s="537"/>
      <c r="PRS187" s="537"/>
      <c r="PRT187" s="537"/>
      <c r="PRU187" s="537"/>
      <c r="PRV187" s="537"/>
      <c r="PRW187" s="537"/>
      <c r="PRX187" s="537"/>
      <c r="PRY187" s="537"/>
      <c r="PRZ187" s="537"/>
      <c r="PSA187" s="537"/>
      <c r="PSB187" s="537"/>
      <c r="PSC187" s="537"/>
      <c r="PSD187" s="537"/>
      <c r="PSE187" s="537"/>
      <c r="PSF187" s="537"/>
      <c r="PSG187" s="537"/>
      <c r="PSH187" s="537"/>
      <c r="PSI187" s="537"/>
      <c r="PSJ187" s="537"/>
      <c r="PSK187" s="537"/>
      <c r="PSL187" s="537"/>
      <c r="PSM187" s="537"/>
      <c r="PSN187" s="537"/>
      <c r="PSO187" s="537"/>
      <c r="PSP187" s="537"/>
      <c r="PSQ187" s="537"/>
      <c r="PSR187" s="537"/>
      <c r="PSS187" s="537"/>
      <c r="PST187" s="537"/>
      <c r="PSU187" s="537"/>
      <c r="PSV187" s="537"/>
      <c r="PSW187" s="537"/>
      <c r="PSX187" s="537"/>
      <c r="PSY187" s="537"/>
      <c r="PSZ187" s="537"/>
      <c r="PTA187" s="537"/>
      <c r="PTB187" s="537"/>
      <c r="PTC187" s="537"/>
      <c r="PTD187" s="537"/>
      <c r="PTE187" s="537"/>
      <c r="PTF187" s="537"/>
      <c r="PTG187" s="537"/>
      <c r="PTH187" s="537"/>
      <c r="PTI187" s="537"/>
      <c r="PTJ187" s="537"/>
      <c r="PTK187" s="537"/>
      <c r="PTL187" s="537"/>
      <c r="PTM187" s="537"/>
      <c r="PTN187" s="537"/>
      <c r="PTO187" s="537"/>
      <c r="PTP187" s="537"/>
      <c r="PTQ187" s="537"/>
      <c r="PTR187" s="537"/>
      <c r="PTS187" s="537"/>
      <c r="PTT187" s="537"/>
      <c r="PTU187" s="537"/>
      <c r="PTV187" s="537"/>
      <c r="PTW187" s="537"/>
      <c r="PTX187" s="537"/>
      <c r="PTY187" s="537"/>
      <c r="PTZ187" s="537"/>
      <c r="PUA187" s="537"/>
      <c r="PUB187" s="537"/>
      <c r="PUC187" s="537"/>
      <c r="PUD187" s="537"/>
      <c r="PUE187" s="537"/>
      <c r="PUF187" s="537"/>
      <c r="PUG187" s="537"/>
      <c r="PUH187" s="537"/>
      <c r="PUI187" s="537"/>
      <c r="PUJ187" s="537"/>
      <c r="PUK187" s="537"/>
      <c r="PUL187" s="537"/>
      <c r="PUM187" s="537"/>
      <c r="PUN187" s="537"/>
      <c r="PUO187" s="537"/>
      <c r="PUP187" s="537"/>
      <c r="PUQ187" s="537"/>
      <c r="PUR187" s="537"/>
      <c r="PUS187" s="537"/>
      <c r="PUT187" s="537"/>
      <c r="PUU187" s="537"/>
      <c r="PUV187" s="537"/>
      <c r="PUW187" s="537"/>
      <c r="PUX187" s="537"/>
      <c r="PUY187" s="537"/>
      <c r="PUZ187" s="537"/>
      <c r="PVA187" s="537"/>
      <c r="PVB187" s="537"/>
      <c r="PVC187" s="537"/>
      <c r="PVD187" s="537"/>
      <c r="PVE187" s="537"/>
      <c r="PVF187" s="537"/>
      <c r="PVG187" s="537"/>
      <c r="PVH187" s="537"/>
      <c r="PVI187" s="537"/>
      <c r="PVJ187" s="537"/>
      <c r="PVK187" s="537"/>
      <c r="PVL187" s="537"/>
      <c r="PVM187" s="537"/>
      <c r="PVN187" s="537"/>
      <c r="PVO187" s="537"/>
      <c r="PVP187" s="537"/>
      <c r="PVQ187" s="537"/>
      <c r="PVR187" s="537"/>
      <c r="PVS187" s="537"/>
      <c r="PVT187" s="537"/>
      <c r="PVU187" s="537"/>
      <c r="PVV187" s="537"/>
      <c r="PVW187" s="537"/>
      <c r="PVX187" s="537"/>
      <c r="PVY187" s="537"/>
      <c r="PVZ187" s="537"/>
      <c r="PWA187" s="537"/>
      <c r="PWB187" s="537"/>
      <c r="PWC187" s="537"/>
      <c r="PWD187" s="537"/>
      <c r="PWE187" s="537"/>
      <c r="PWF187" s="537"/>
      <c r="PWG187" s="537"/>
      <c r="PWH187" s="537"/>
      <c r="PWI187" s="537"/>
      <c r="PWJ187" s="537"/>
      <c r="PWK187" s="537"/>
      <c r="PWL187" s="537"/>
      <c r="PWM187" s="537"/>
      <c r="PWN187" s="537"/>
      <c r="PWO187" s="537"/>
      <c r="PWP187" s="537"/>
      <c r="PWQ187" s="537"/>
      <c r="PWR187" s="537"/>
      <c r="PWS187" s="537"/>
      <c r="PWT187" s="537"/>
      <c r="PWU187" s="537"/>
      <c r="PWV187" s="537"/>
      <c r="PWW187" s="537"/>
      <c r="PWX187" s="537"/>
      <c r="PWY187" s="537"/>
      <c r="PWZ187" s="537"/>
      <c r="PXA187" s="537"/>
      <c r="PXB187" s="537"/>
      <c r="PXC187" s="537"/>
      <c r="PXD187" s="537"/>
      <c r="PXE187" s="537"/>
      <c r="PXF187" s="537"/>
      <c r="PXG187" s="537"/>
      <c r="PXH187" s="537"/>
      <c r="PXI187" s="537"/>
      <c r="PXJ187" s="537"/>
      <c r="PXK187" s="537"/>
      <c r="PXL187" s="537"/>
      <c r="PXM187" s="537"/>
      <c r="PXN187" s="537"/>
      <c r="PXO187" s="537"/>
      <c r="PXP187" s="537"/>
      <c r="PXQ187" s="537"/>
      <c r="PXR187" s="537"/>
      <c r="PXS187" s="537"/>
      <c r="PXT187" s="537"/>
      <c r="PXU187" s="537"/>
      <c r="PXV187" s="537"/>
      <c r="PXW187" s="537"/>
      <c r="PXX187" s="537"/>
      <c r="PXY187" s="537"/>
      <c r="PXZ187" s="537"/>
      <c r="PYA187" s="537"/>
      <c r="PYB187" s="537"/>
      <c r="PYC187" s="537"/>
      <c r="PYD187" s="537"/>
      <c r="PYE187" s="537"/>
      <c r="PYF187" s="537"/>
      <c r="PYG187" s="537"/>
      <c r="PYH187" s="537"/>
      <c r="PYI187" s="537"/>
      <c r="PYJ187" s="537"/>
      <c r="PYK187" s="537"/>
      <c r="PYL187" s="537"/>
      <c r="PYM187" s="537"/>
      <c r="PYN187" s="537"/>
      <c r="PYO187" s="537"/>
      <c r="PYP187" s="537"/>
      <c r="PYQ187" s="537"/>
      <c r="PYR187" s="537"/>
      <c r="PYS187" s="537"/>
      <c r="PYT187" s="537"/>
      <c r="PYU187" s="537"/>
      <c r="PYV187" s="537"/>
      <c r="PYW187" s="537"/>
      <c r="PYX187" s="537"/>
      <c r="PYY187" s="537"/>
      <c r="PYZ187" s="537"/>
      <c r="PZA187" s="537"/>
      <c r="PZB187" s="537"/>
      <c r="PZC187" s="537"/>
      <c r="PZD187" s="537"/>
      <c r="PZE187" s="537"/>
      <c r="PZF187" s="537"/>
      <c r="PZG187" s="537"/>
      <c r="PZH187" s="537"/>
      <c r="PZI187" s="537"/>
      <c r="PZJ187" s="537"/>
      <c r="PZK187" s="537"/>
      <c r="PZL187" s="537"/>
      <c r="PZM187" s="537"/>
      <c r="PZN187" s="537"/>
      <c r="PZO187" s="537"/>
      <c r="PZP187" s="537"/>
      <c r="PZQ187" s="537"/>
      <c r="PZR187" s="537"/>
      <c r="PZS187" s="537"/>
      <c r="PZT187" s="537"/>
      <c r="PZU187" s="537"/>
      <c r="PZV187" s="537"/>
      <c r="PZW187" s="537"/>
      <c r="PZX187" s="537"/>
      <c r="PZY187" s="537"/>
      <c r="PZZ187" s="537"/>
      <c r="QAA187" s="537"/>
      <c r="QAB187" s="537"/>
      <c r="QAC187" s="537"/>
      <c r="QAD187" s="537"/>
      <c r="QAE187" s="537"/>
      <c r="QAF187" s="537"/>
      <c r="QAG187" s="537"/>
      <c r="QAH187" s="537"/>
      <c r="QAI187" s="537"/>
      <c r="QAJ187" s="537"/>
      <c r="QAK187" s="537"/>
      <c r="QAL187" s="537"/>
      <c r="QAM187" s="537"/>
      <c r="QAN187" s="537"/>
      <c r="QAO187" s="537"/>
      <c r="QAP187" s="537"/>
      <c r="QAQ187" s="537"/>
      <c r="QAR187" s="537"/>
      <c r="QAS187" s="537"/>
      <c r="QAT187" s="537"/>
      <c r="QAU187" s="537"/>
      <c r="QAV187" s="537"/>
      <c r="QAW187" s="537"/>
      <c r="QAX187" s="537"/>
      <c r="QAY187" s="537"/>
      <c r="QAZ187" s="537"/>
      <c r="QBA187" s="537"/>
      <c r="QBB187" s="537"/>
      <c r="QBC187" s="537"/>
      <c r="QBD187" s="537"/>
      <c r="QBE187" s="537"/>
      <c r="QBF187" s="537"/>
      <c r="QBG187" s="537"/>
      <c r="QBH187" s="537"/>
      <c r="QBI187" s="537"/>
      <c r="QBJ187" s="537"/>
      <c r="QBK187" s="537"/>
      <c r="QBL187" s="537"/>
      <c r="QBM187" s="537"/>
      <c r="QBN187" s="537"/>
      <c r="QBO187" s="537"/>
      <c r="QBP187" s="537"/>
      <c r="QBQ187" s="537"/>
      <c r="QBR187" s="537"/>
      <c r="QBS187" s="537"/>
      <c r="QBT187" s="537"/>
      <c r="QBU187" s="537"/>
      <c r="QBV187" s="537"/>
      <c r="QBW187" s="537"/>
      <c r="QBX187" s="537"/>
      <c r="QBY187" s="537"/>
      <c r="QBZ187" s="537"/>
      <c r="QCA187" s="537"/>
      <c r="QCB187" s="537"/>
      <c r="QCC187" s="537"/>
      <c r="QCD187" s="537"/>
      <c r="QCE187" s="537"/>
      <c r="QCF187" s="537"/>
      <c r="QCG187" s="537"/>
      <c r="QCH187" s="537"/>
      <c r="QCI187" s="537"/>
      <c r="QCJ187" s="537"/>
      <c r="QCK187" s="537"/>
      <c r="QCL187" s="537"/>
      <c r="QCM187" s="537"/>
      <c r="QCN187" s="537"/>
      <c r="QCO187" s="537"/>
      <c r="QCP187" s="537"/>
      <c r="QCQ187" s="537"/>
      <c r="QCR187" s="537"/>
      <c r="QCS187" s="537"/>
      <c r="QCT187" s="537"/>
      <c r="QCU187" s="537"/>
      <c r="QCV187" s="537"/>
      <c r="QCW187" s="537"/>
      <c r="QCX187" s="537"/>
      <c r="QCY187" s="537"/>
      <c r="QCZ187" s="537"/>
      <c r="QDA187" s="537"/>
      <c r="QDB187" s="537"/>
      <c r="QDC187" s="537"/>
      <c r="QDD187" s="537"/>
      <c r="QDE187" s="537"/>
      <c r="QDF187" s="537"/>
      <c r="QDG187" s="537"/>
      <c r="QDH187" s="537"/>
      <c r="QDI187" s="537"/>
      <c r="QDJ187" s="537"/>
      <c r="QDK187" s="537"/>
      <c r="QDL187" s="537"/>
      <c r="QDM187" s="537"/>
      <c r="QDN187" s="537"/>
      <c r="QDO187" s="537"/>
      <c r="QDP187" s="537"/>
      <c r="QDQ187" s="537"/>
      <c r="QDR187" s="537"/>
      <c r="QDS187" s="537"/>
      <c r="QDT187" s="537"/>
      <c r="QDU187" s="537"/>
      <c r="QDV187" s="537"/>
      <c r="QDW187" s="537"/>
      <c r="QDX187" s="537"/>
      <c r="QDY187" s="537"/>
      <c r="QDZ187" s="537"/>
      <c r="QEA187" s="537"/>
      <c r="QEB187" s="537"/>
      <c r="QEC187" s="537"/>
      <c r="QED187" s="537"/>
      <c r="QEE187" s="537"/>
      <c r="QEF187" s="537"/>
      <c r="QEG187" s="537"/>
      <c r="QEH187" s="537"/>
      <c r="QEI187" s="537"/>
      <c r="QEJ187" s="537"/>
      <c r="QEK187" s="537"/>
      <c r="QEL187" s="537"/>
      <c r="QEM187" s="537"/>
      <c r="QEN187" s="537"/>
      <c r="QEO187" s="537"/>
      <c r="QEP187" s="537"/>
      <c r="QEQ187" s="537"/>
      <c r="QER187" s="537"/>
      <c r="QES187" s="537"/>
      <c r="QET187" s="537"/>
      <c r="QEU187" s="537"/>
      <c r="QEV187" s="537"/>
      <c r="QEW187" s="537"/>
      <c r="QEX187" s="537"/>
      <c r="QEY187" s="537"/>
      <c r="QEZ187" s="537"/>
      <c r="QFA187" s="537"/>
      <c r="QFB187" s="537"/>
      <c r="QFC187" s="537"/>
      <c r="QFD187" s="537"/>
      <c r="QFE187" s="537"/>
      <c r="QFF187" s="537"/>
      <c r="QFG187" s="537"/>
      <c r="QFH187" s="537"/>
      <c r="QFI187" s="537"/>
      <c r="QFJ187" s="537"/>
      <c r="QFK187" s="537"/>
      <c r="QFL187" s="537"/>
      <c r="QFM187" s="537"/>
      <c r="QFN187" s="537"/>
      <c r="QFO187" s="537"/>
      <c r="QFP187" s="537"/>
      <c r="QFQ187" s="537"/>
      <c r="QFR187" s="537"/>
      <c r="QFS187" s="537"/>
      <c r="QFT187" s="537"/>
      <c r="QFU187" s="537"/>
      <c r="QFV187" s="537"/>
      <c r="QFW187" s="537"/>
      <c r="QFX187" s="537"/>
      <c r="QFY187" s="537"/>
      <c r="QFZ187" s="537"/>
      <c r="QGA187" s="537"/>
      <c r="QGB187" s="537"/>
      <c r="QGC187" s="537"/>
      <c r="QGD187" s="537"/>
      <c r="QGE187" s="537"/>
      <c r="QGF187" s="537"/>
      <c r="QGG187" s="537"/>
      <c r="QGH187" s="537"/>
      <c r="QGI187" s="537"/>
      <c r="QGJ187" s="537"/>
      <c r="QGK187" s="537"/>
      <c r="QGL187" s="537"/>
      <c r="QGM187" s="537"/>
      <c r="QGN187" s="537"/>
      <c r="QGO187" s="537"/>
      <c r="QGP187" s="537"/>
      <c r="QGQ187" s="537"/>
      <c r="QGR187" s="537"/>
      <c r="QGS187" s="537"/>
      <c r="QGT187" s="537"/>
      <c r="QGU187" s="537"/>
      <c r="QGV187" s="537"/>
      <c r="QGW187" s="537"/>
      <c r="QGX187" s="537"/>
      <c r="QGY187" s="537"/>
      <c r="QGZ187" s="537"/>
      <c r="QHA187" s="537"/>
      <c r="QHB187" s="537"/>
      <c r="QHC187" s="537"/>
      <c r="QHD187" s="537"/>
      <c r="QHE187" s="537"/>
      <c r="QHF187" s="537"/>
      <c r="QHG187" s="537"/>
      <c r="QHH187" s="537"/>
      <c r="QHI187" s="537"/>
      <c r="QHJ187" s="537"/>
      <c r="QHK187" s="537"/>
      <c r="QHL187" s="537"/>
      <c r="QHM187" s="537"/>
      <c r="QHN187" s="537"/>
      <c r="QHO187" s="537"/>
      <c r="QHP187" s="537"/>
      <c r="QHQ187" s="537"/>
      <c r="QHR187" s="537"/>
      <c r="QHS187" s="537"/>
      <c r="QHT187" s="537"/>
      <c r="QHU187" s="537"/>
      <c r="QHV187" s="537"/>
      <c r="QHW187" s="537"/>
      <c r="QHX187" s="537"/>
      <c r="QHY187" s="537"/>
      <c r="QHZ187" s="537"/>
      <c r="QIA187" s="537"/>
      <c r="QIB187" s="537"/>
      <c r="QIC187" s="537"/>
      <c r="QID187" s="537"/>
      <c r="QIE187" s="537"/>
      <c r="QIF187" s="537"/>
      <c r="QIG187" s="537"/>
      <c r="QIH187" s="537"/>
      <c r="QII187" s="537"/>
      <c r="QIJ187" s="537"/>
      <c r="QIK187" s="537"/>
      <c r="QIL187" s="537"/>
      <c r="QIM187" s="537"/>
      <c r="QIN187" s="537"/>
      <c r="QIO187" s="537"/>
      <c r="QIP187" s="537"/>
      <c r="QIQ187" s="537"/>
      <c r="QIR187" s="537"/>
      <c r="QIS187" s="537"/>
      <c r="QIT187" s="537"/>
      <c r="QIU187" s="537"/>
      <c r="QIV187" s="537"/>
      <c r="QIW187" s="537"/>
      <c r="QIX187" s="537"/>
      <c r="QIY187" s="537"/>
      <c r="QIZ187" s="537"/>
      <c r="QJA187" s="537"/>
      <c r="QJB187" s="537"/>
      <c r="QJC187" s="537"/>
      <c r="QJD187" s="537"/>
      <c r="QJE187" s="537"/>
      <c r="QJF187" s="537"/>
      <c r="QJG187" s="537"/>
      <c r="QJH187" s="537"/>
      <c r="QJI187" s="537"/>
      <c r="QJJ187" s="537"/>
      <c r="QJK187" s="537"/>
      <c r="QJL187" s="537"/>
      <c r="QJM187" s="537"/>
      <c r="QJN187" s="537"/>
      <c r="QJO187" s="537"/>
      <c r="QJP187" s="537"/>
      <c r="QJQ187" s="537"/>
      <c r="QJR187" s="537"/>
      <c r="QJS187" s="537"/>
      <c r="QJT187" s="537"/>
      <c r="QJU187" s="537"/>
      <c r="QJV187" s="537"/>
      <c r="QJW187" s="537"/>
      <c r="QJX187" s="537"/>
      <c r="QJY187" s="537"/>
      <c r="QJZ187" s="537"/>
      <c r="QKA187" s="537"/>
      <c r="QKB187" s="537"/>
      <c r="QKC187" s="537"/>
      <c r="QKD187" s="537"/>
      <c r="QKE187" s="537"/>
      <c r="QKF187" s="537"/>
      <c r="QKG187" s="537"/>
      <c r="QKH187" s="537"/>
      <c r="QKI187" s="537"/>
      <c r="QKJ187" s="537"/>
      <c r="QKK187" s="537"/>
      <c r="QKL187" s="537"/>
      <c r="QKM187" s="537"/>
      <c r="QKN187" s="537"/>
      <c r="QKO187" s="537"/>
      <c r="QKP187" s="537"/>
      <c r="QKQ187" s="537"/>
      <c r="QKR187" s="537"/>
      <c r="QKS187" s="537"/>
      <c r="QKT187" s="537"/>
      <c r="QKU187" s="537"/>
      <c r="QKV187" s="537"/>
      <c r="QKW187" s="537"/>
      <c r="QKX187" s="537"/>
      <c r="QKY187" s="537"/>
      <c r="QKZ187" s="537"/>
      <c r="QLA187" s="537"/>
      <c r="QLB187" s="537"/>
      <c r="QLC187" s="537"/>
      <c r="QLD187" s="537"/>
      <c r="QLE187" s="537"/>
      <c r="QLF187" s="537"/>
      <c r="QLG187" s="537"/>
      <c r="QLH187" s="537"/>
      <c r="QLI187" s="537"/>
      <c r="QLJ187" s="537"/>
      <c r="QLK187" s="537"/>
      <c r="QLL187" s="537"/>
      <c r="QLM187" s="537"/>
      <c r="QLN187" s="537"/>
      <c r="QLO187" s="537"/>
      <c r="QLP187" s="537"/>
      <c r="QLQ187" s="537"/>
      <c r="QLR187" s="537"/>
      <c r="QLS187" s="537"/>
      <c r="QLT187" s="537"/>
      <c r="QLU187" s="537"/>
      <c r="QLV187" s="537"/>
      <c r="QLW187" s="537"/>
      <c r="QLX187" s="537"/>
      <c r="QLY187" s="537"/>
      <c r="QLZ187" s="537"/>
      <c r="QMA187" s="537"/>
      <c r="QMB187" s="537"/>
      <c r="QMC187" s="537"/>
      <c r="QMD187" s="537"/>
      <c r="QME187" s="537"/>
      <c r="QMF187" s="537"/>
      <c r="QMG187" s="537"/>
      <c r="QMH187" s="537"/>
      <c r="QMI187" s="537"/>
      <c r="QMJ187" s="537"/>
      <c r="QMK187" s="537"/>
      <c r="QML187" s="537"/>
      <c r="QMM187" s="537"/>
      <c r="QMN187" s="537"/>
      <c r="QMO187" s="537"/>
      <c r="QMP187" s="537"/>
      <c r="QMQ187" s="537"/>
      <c r="QMR187" s="537"/>
      <c r="QMS187" s="537"/>
      <c r="QMT187" s="537"/>
      <c r="QMU187" s="537"/>
      <c r="QMV187" s="537"/>
      <c r="QMW187" s="537"/>
      <c r="QMX187" s="537"/>
      <c r="QMY187" s="537"/>
      <c r="QMZ187" s="537"/>
      <c r="QNA187" s="537"/>
      <c r="QNB187" s="537"/>
      <c r="QNC187" s="537"/>
      <c r="QND187" s="537"/>
      <c r="QNE187" s="537"/>
      <c r="QNF187" s="537"/>
      <c r="QNG187" s="537"/>
      <c r="QNH187" s="537"/>
      <c r="QNI187" s="537"/>
      <c r="QNJ187" s="537"/>
      <c r="QNK187" s="537"/>
      <c r="QNL187" s="537"/>
      <c r="QNM187" s="537"/>
      <c r="QNN187" s="537"/>
      <c r="QNO187" s="537"/>
      <c r="QNP187" s="537"/>
      <c r="QNQ187" s="537"/>
      <c r="QNR187" s="537"/>
      <c r="QNS187" s="537"/>
      <c r="QNT187" s="537"/>
      <c r="QNU187" s="537"/>
      <c r="QNV187" s="537"/>
      <c r="QNW187" s="537"/>
      <c r="QNX187" s="537"/>
      <c r="QNY187" s="537"/>
      <c r="QNZ187" s="537"/>
      <c r="QOA187" s="537"/>
      <c r="QOB187" s="537"/>
      <c r="QOC187" s="537"/>
      <c r="QOD187" s="537"/>
      <c r="QOE187" s="537"/>
      <c r="QOF187" s="537"/>
      <c r="QOG187" s="537"/>
      <c r="QOH187" s="537"/>
      <c r="QOI187" s="537"/>
      <c r="QOJ187" s="537"/>
      <c r="QOK187" s="537"/>
      <c r="QOL187" s="537"/>
      <c r="QOM187" s="537"/>
      <c r="QON187" s="537"/>
      <c r="QOO187" s="537"/>
      <c r="QOP187" s="537"/>
      <c r="QOQ187" s="537"/>
      <c r="QOR187" s="537"/>
      <c r="QOS187" s="537"/>
      <c r="QOT187" s="537"/>
      <c r="QOU187" s="537"/>
      <c r="QOV187" s="537"/>
      <c r="QOW187" s="537"/>
      <c r="QOX187" s="537"/>
      <c r="QOY187" s="537"/>
      <c r="QOZ187" s="537"/>
      <c r="QPA187" s="537"/>
      <c r="QPB187" s="537"/>
      <c r="QPC187" s="537"/>
      <c r="QPD187" s="537"/>
      <c r="QPE187" s="537"/>
      <c r="QPF187" s="537"/>
      <c r="QPG187" s="537"/>
      <c r="QPH187" s="537"/>
      <c r="QPI187" s="537"/>
      <c r="QPJ187" s="537"/>
      <c r="QPK187" s="537"/>
      <c r="QPL187" s="537"/>
      <c r="QPM187" s="537"/>
      <c r="QPN187" s="537"/>
      <c r="QPO187" s="537"/>
      <c r="QPP187" s="537"/>
      <c r="QPQ187" s="537"/>
      <c r="QPR187" s="537"/>
      <c r="QPS187" s="537"/>
      <c r="QPT187" s="537"/>
      <c r="QPU187" s="537"/>
      <c r="QPV187" s="537"/>
      <c r="QPW187" s="537"/>
      <c r="QPX187" s="537"/>
      <c r="QPY187" s="537"/>
      <c r="QPZ187" s="537"/>
      <c r="QQA187" s="537"/>
      <c r="QQB187" s="537"/>
      <c r="QQC187" s="537"/>
      <c r="QQD187" s="537"/>
      <c r="QQE187" s="537"/>
      <c r="QQF187" s="537"/>
      <c r="QQG187" s="537"/>
      <c r="QQH187" s="537"/>
      <c r="QQI187" s="537"/>
      <c r="QQJ187" s="537"/>
      <c r="QQK187" s="537"/>
      <c r="QQL187" s="537"/>
      <c r="QQM187" s="537"/>
      <c r="QQN187" s="537"/>
      <c r="QQO187" s="537"/>
      <c r="QQP187" s="537"/>
      <c r="QQQ187" s="537"/>
      <c r="QQR187" s="537"/>
      <c r="QQS187" s="537"/>
      <c r="QQT187" s="537"/>
      <c r="QQU187" s="537"/>
      <c r="QQV187" s="537"/>
      <c r="QQW187" s="537"/>
      <c r="QQX187" s="537"/>
      <c r="QQY187" s="537"/>
      <c r="QQZ187" s="537"/>
      <c r="QRA187" s="537"/>
      <c r="QRB187" s="537"/>
      <c r="QRC187" s="537"/>
      <c r="QRD187" s="537"/>
      <c r="QRE187" s="537"/>
      <c r="QRF187" s="537"/>
      <c r="QRG187" s="537"/>
      <c r="QRH187" s="537"/>
      <c r="QRI187" s="537"/>
      <c r="QRJ187" s="537"/>
      <c r="QRK187" s="537"/>
      <c r="QRL187" s="537"/>
      <c r="QRM187" s="537"/>
      <c r="QRN187" s="537"/>
      <c r="QRO187" s="537"/>
      <c r="QRP187" s="537"/>
      <c r="QRQ187" s="537"/>
      <c r="QRR187" s="537"/>
      <c r="QRS187" s="537"/>
      <c r="QRT187" s="537"/>
      <c r="QRU187" s="537"/>
      <c r="QRV187" s="537"/>
      <c r="QRW187" s="537"/>
      <c r="QRX187" s="537"/>
      <c r="QRY187" s="537"/>
      <c r="QRZ187" s="537"/>
      <c r="QSA187" s="537"/>
      <c r="QSB187" s="537"/>
      <c r="QSC187" s="537"/>
      <c r="QSD187" s="537"/>
      <c r="QSE187" s="537"/>
      <c r="QSF187" s="537"/>
      <c r="QSG187" s="537"/>
      <c r="QSH187" s="537"/>
      <c r="QSI187" s="537"/>
      <c r="QSJ187" s="537"/>
      <c r="QSK187" s="537"/>
      <c r="QSL187" s="537"/>
      <c r="QSM187" s="537"/>
      <c r="QSN187" s="537"/>
      <c r="QSO187" s="537"/>
      <c r="QSP187" s="537"/>
      <c r="QSQ187" s="537"/>
      <c r="QSR187" s="537"/>
      <c r="QSS187" s="537"/>
      <c r="QST187" s="537"/>
      <c r="QSU187" s="537"/>
      <c r="QSV187" s="537"/>
      <c r="QSW187" s="537"/>
      <c r="QSX187" s="537"/>
      <c r="QSY187" s="537"/>
      <c r="QSZ187" s="537"/>
      <c r="QTA187" s="537"/>
      <c r="QTB187" s="537"/>
      <c r="QTC187" s="537"/>
      <c r="QTD187" s="537"/>
      <c r="QTE187" s="537"/>
      <c r="QTF187" s="537"/>
      <c r="QTG187" s="537"/>
      <c r="QTH187" s="537"/>
      <c r="QTI187" s="537"/>
      <c r="QTJ187" s="537"/>
      <c r="QTK187" s="537"/>
      <c r="QTL187" s="537"/>
      <c r="QTM187" s="537"/>
      <c r="QTN187" s="537"/>
      <c r="QTO187" s="537"/>
      <c r="QTP187" s="537"/>
      <c r="QTQ187" s="537"/>
      <c r="QTR187" s="537"/>
      <c r="QTS187" s="537"/>
      <c r="QTT187" s="537"/>
      <c r="QTU187" s="537"/>
      <c r="QTV187" s="537"/>
      <c r="QTW187" s="537"/>
      <c r="QTX187" s="537"/>
      <c r="QTY187" s="537"/>
      <c r="QTZ187" s="537"/>
      <c r="QUA187" s="537"/>
      <c r="QUB187" s="537"/>
      <c r="QUC187" s="537"/>
      <c r="QUD187" s="537"/>
      <c r="QUE187" s="537"/>
      <c r="QUF187" s="537"/>
      <c r="QUG187" s="537"/>
      <c r="QUH187" s="537"/>
      <c r="QUI187" s="537"/>
      <c r="QUJ187" s="537"/>
      <c r="QUK187" s="537"/>
      <c r="QUL187" s="537"/>
      <c r="QUM187" s="537"/>
      <c r="QUN187" s="537"/>
      <c r="QUO187" s="537"/>
      <c r="QUP187" s="537"/>
      <c r="QUQ187" s="537"/>
      <c r="QUR187" s="537"/>
      <c r="QUS187" s="537"/>
      <c r="QUT187" s="537"/>
      <c r="QUU187" s="537"/>
      <c r="QUV187" s="537"/>
      <c r="QUW187" s="537"/>
      <c r="QUX187" s="537"/>
      <c r="QUY187" s="537"/>
      <c r="QUZ187" s="537"/>
      <c r="QVA187" s="537"/>
      <c r="QVB187" s="537"/>
      <c r="QVC187" s="537"/>
      <c r="QVD187" s="537"/>
      <c r="QVE187" s="537"/>
      <c r="QVF187" s="537"/>
      <c r="QVG187" s="537"/>
      <c r="QVH187" s="537"/>
      <c r="QVI187" s="537"/>
      <c r="QVJ187" s="537"/>
      <c r="QVK187" s="537"/>
      <c r="QVL187" s="537"/>
      <c r="QVM187" s="537"/>
      <c r="QVN187" s="537"/>
      <c r="QVO187" s="537"/>
      <c r="QVP187" s="537"/>
      <c r="QVQ187" s="537"/>
      <c r="QVR187" s="537"/>
      <c r="QVS187" s="537"/>
      <c r="QVT187" s="537"/>
      <c r="QVU187" s="537"/>
      <c r="QVV187" s="537"/>
      <c r="QVW187" s="537"/>
      <c r="QVX187" s="537"/>
      <c r="QVY187" s="537"/>
      <c r="QVZ187" s="537"/>
      <c r="QWA187" s="537"/>
      <c r="QWB187" s="537"/>
      <c r="QWC187" s="537"/>
      <c r="QWD187" s="537"/>
      <c r="QWE187" s="537"/>
      <c r="QWF187" s="537"/>
      <c r="QWG187" s="537"/>
      <c r="QWH187" s="537"/>
      <c r="QWI187" s="537"/>
      <c r="QWJ187" s="537"/>
      <c r="QWK187" s="537"/>
      <c r="QWL187" s="537"/>
      <c r="QWM187" s="537"/>
      <c r="QWN187" s="537"/>
      <c r="QWO187" s="537"/>
      <c r="QWP187" s="537"/>
      <c r="QWQ187" s="537"/>
      <c r="QWR187" s="537"/>
      <c r="QWS187" s="537"/>
      <c r="QWT187" s="537"/>
      <c r="QWU187" s="537"/>
      <c r="QWV187" s="537"/>
      <c r="QWW187" s="537"/>
      <c r="QWX187" s="537"/>
      <c r="QWY187" s="537"/>
      <c r="QWZ187" s="537"/>
      <c r="QXA187" s="537"/>
      <c r="QXB187" s="537"/>
      <c r="QXC187" s="537"/>
      <c r="QXD187" s="537"/>
      <c r="QXE187" s="537"/>
      <c r="QXF187" s="537"/>
      <c r="QXG187" s="537"/>
      <c r="QXH187" s="537"/>
      <c r="QXI187" s="537"/>
      <c r="QXJ187" s="537"/>
      <c r="QXK187" s="537"/>
      <c r="QXL187" s="537"/>
      <c r="QXM187" s="537"/>
      <c r="QXN187" s="537"/>
      <c r="QXO187" s="537"/>
      <c r="QXP187" s="537"/>
      <c r="QXQ187" s="537"/>
      <c r="QXR187" s="537"/>
      <c r="QXS187" s="537"/>
      <c r="QXT187" s="537"/>
      <c r="QXU187" s="537"/>
      <c r="QXV187" s="537"/>
      <c r="QXW187" s="537"/>
      <c r="QXX187" s="537"/>
      <c r="QXY187" s="537"/>
      <c r="QXZ187" s="537"/>
      <c r="QYA187" s="537"/>
      <c r="QYB187" s="537"/>
      <c r="QYC187" s="537"/>
      <c r="QYD187" s="537"/>
      <c r="QYE187" s="537"/>
      <c r="QYF187" s="537"/>
      <c r="QYG187" s="537"/>
      <c r="QYH187" s="537"/>
      <c r="QYI187" s="537"/>
      <c r="QYJ187" s="537"/>
      <c r="QYK187" s="537"/>
      <c r="QYL187" s="537"/>
      <c r="QYM187" s="537"/>
      <c r="QYN187" s="537"/>
      <c r="QYO187" s="537"/>
      <c r="QYP187" s="537"/>
      <c r="QYQ187" s="537"/>
      <c r="QYR187" s="537"/>
      <c r="QYS187" s="537"/>
      <c r="QYT187" s="537"/>
      <c r="QYU187" s="537"/>
      <c r="QYV187" s="537"/>
      <c r="QYW187" s="537"/>
      <c r="QYX187" s="537"/>
      <c r="QYY187" s="537"/>
      <c r="QYZ187" s="537"/>
      <c r="QZA187" s="537"/>
      <c r="QZB187" s="537"/>
      <c r="QZC187" s="537"/>
      <c r="QZD187" s="537"/>
      <c r="QZE187" s="537"/>
      <c r="QZF187" s="537"/>
      <c r="QZG187" s="537"/>
      <c r="QZH187" s="537"/>
      <c r="QZI187" s="537"/>
      <c r="QZJ187" s="537"/>
      <c r="QZK187" s="537"/>
      <c r="QZL187" s="537"/>
      <c r="QZM187" s="537"/>
      <c r="QZN187" s="537"/>
      <c r="QZO187" s="537"/>
      <c r="QZP187" s="537"/>
      <c r="QZQ187" s="537"/>
      <c r="QZR187" s="537"/>
      <c r="QZS187" s="537"/>
      <c r="QZT187" s="537"/>
      <c r="QZU187" s="537"/>
      <c r="QZV187" s="537"/>
      <c r="QZW187" s="537"/>
      <c r="QZX187" s="537"/>
      <c r="QZY187" s="537"/>
      <c r="QZZ187" s="537"/>
      <c r="RAA187" s="537"/>
      <c r="RAB187" s="537"/>
      <c r="RAC187" s="537"/>
      <c r="RAD187" s="537"/>
      <c r="RAE187" s="537"/>
      <c r="RAF187" s="537"/>
      <c r="RAG187" s="537"/>
      <c r="RAH187" s="537"/>
      <c r="RAI187" s="537"/>
      <c r="RAJ187" s="537"/>
      <c r="RAK187" s="537"/>
      <c r="RAL187" s="537"/>
      <c r="RAM187" s="537"/>
      <c r="RAN187" s="537"/>
      <c r="RAO187" s="537"/>
      <c r="RAP187" s="537"/>
      <c r="RAQ187" s="537"/>
      <c r="RAR187" s="537"/>
      <c r="RAS187" s="537"/>
      <c r="RAT187" s="537"/>
      <c r="RAU187" s="537"/>
      <c r="RAV187" s="537"/>
      <c r="RAW187" s="537"/>
      <c r="RAX187" s="537"/>
      <c r="RAY187" s="537"/>
      <c r="RAZ187" s="537"/>
      <c r="RBA187" s="537"/>
      <c r="RBB187" s="537"/>
      <c r="RBC187" s="537"/>
      <c r="RBD187" s="537"/>
      <c r="RBE187" s="537"/>
      <c r="RBF187" s="537"/>
      <c r="RBG187" s="537"/>
      <c r="RBH187" s="537"/>
      <c r="RBI187" s="537"/>
      <c r="RBJ187" s="537"/>
      <c r="RBK187" s="537"/>
      <c r="RBL187" s="537"/>
      <c r="RBM187" s="537"/>
      <c r="RBN187" s="537"/>
      <c r="RBO187" s="537"/>
      <c r="RBP187" s="537"/>
      <c r="RBQ187" s="537"/>
      <c r="RBR187" s="537"/>
      <c r="RBS187" s="537"/>
      <c r="RBT187" s="537"/>
      <c r="RBU187" s="537"/>
      <c r="RBV187" s="537"/>
      <c r="RBW187" s="537"/>
      <c r="RBX187" s="537"/>
      <c r="RBY187" s="537"/>
      <c r="RBZ187" s="537"/>
      <c r="RCA187" s="537"/>
      <c r="RCB187" s="537"/>
      <c r="RCC187" s="537"/>
      <c r="RCD187" s="537"/>
      <c r="RCE187" s="537"/>
      <c r="RCF187" s="537"/>
      <c r="RCG187" s="537"/>
      <c r="RCH187" s="537"/>
      <c r="RCI187" s="537"/>
      <c r="RCJ187" s="537"/>
      <c r="RCK187" s="537"/>
      <c r="RCL187" s="537"/>
      <c r="RCM187" s="537"/>
      <c r="RCN187" s="537"/>
      <c r="RCO187" s="537"/>
      <c r="RCP187" s="537"/>
      <c r="RCQ187" s="537"/>
      <c r="RCR187" s="537"/>
      <c r="RCS187" s="537"/>
      <c r="RCT187" s="537"/>
      <c r="RCU187" s="537"/>
      <c r="RCV187" s="537"/>
      <c r="RCW187" s="537"/>
      <c r="RCX187" s="537"/>
      <c r="RCY187" s="537"/>
      <c r="RCZ187" s="537"/>
      <c r="RDA187" s="537"/>
      <c r="RDB187" s="537"/>
      <c r="RDC187" s="537"/>
      <c r="RDD187" s="537"/>
      <c r="RDE187" s="537"/>
      <c r="RDF187" s="537"/>
      <c r="RDG187" s="537"/>
      <c r="RDH187" s="537"/>
      <c r="RDI187" s="537"/>
      <c r="RDJ187" s="537"/>
      <c r="RDK187" s="537"/>
      <c r="RDL187" s="537"/>
      <c r="RDM187" s="537"/>
      <c r="RDN187" s="537"/>
      <c r="RDO187" s="537"/>
      <c r="RDP187" s="537"/>
      <c r="RDQ187" s="537"/>
      <c r="RDR187" s="537"/>
      <c r="RDS187" s="537"/>
      <c r="RDT187" s="537"/>
      <c r="RDU187" s="537"/>
      <c r="RDV187" s="537"/>
      <c r="RDW187" s="537"/>
      <c r="RDX187" s="537"/>
      <c r="RDY187" s="537"/>
      <c r="RDZ187" s="537"/>
      <c r="REA187" s="537"/>
      <c r="REB187" s="537"/>
      <c r="REC187" s="537"/>
      <c r="RED187" s="537"/>
      <c r="REE187" s="537"/>
      <c r="REF187" s="537"/>
      <c r="REG187" s="537"/>
      <c r="REH187" s="537"/>
      <c r="REI187" s="537"/>
      <c r="REJ187" s="537"/>
      <c r="REK187" s="537"/>
      <c r="REL187" s="537"/>
      <c r="REM187" s="537"/>
      <c r="REN187" s="537"/>
      <c r="REO187" s="537"/>
      <c r="REP187" s="537"/>
      <c r="REQ187" s="537"/>
      <c r="RER187" s="537"/>
      <c r="RES187" s="537"/>
      <c r="RET187" s="537"/>
      <c r="REU187" s="537"/>
      <c r="REV187" s="537"/>
      <c r="REW187" s="537"/>
      <c r="REX187" s="537"/>
      <c r="REY187" s="537"/>
      <c r="REZ187" s="537"/>
      <c r="RFA187" s="537"/>
      <c r="RFB187" s="537"/>
      <c r="RFC187" s="537"/>
      <c r="RFD187" s="537"/>
      <c r="RFE187" s="537"/>
      <c r="RFF187" s="537"/>
      <c r="RFG187" s="537"/>
      <c r="RFH187" s="537"/>
      <c r="RFI187" s="537"/>
      <c r="RFJ187" s="537"/>
      <c r="RFK187" s="537"/>
      <c r="RFL187" s="537"/>
      <c r="RFM187" s="537"/>
      <c r="RFN187" s="537"/>
      <c r="RFO187" s="537"/>
      <c r="RFP187" s="537"/>
      <c r="RFQ187" s="537"/>
      <c r="RFR187" s="537"/>
      <c r="RFS187" s="537"/>
      <c r="RFT187" s="537"/>
      <c r="RFU187" s="537"/>
      <c r="RFV187" s="537"/>
      <c r="RFW187" s="537"/>
      <c r="RFX187" s="537"/>
      <c r="RFY187" s="537"/>
      <c r="RFZ187" s="537"/>
      <c r="RGA187" s="537"/>
      <c r="RGB187" s="537"/>
      <c r="RGC187" s="537"/>
      <c r="RGD187" s="537"/>
      <c r="RGE187" s="537"/>
      <c r="RGF187" s="537"/>
      <c r="RGG187" s="537"/>
      <c r="RGH187" s="537"/>
      <c r="RGI187" s="537"/>
      <c r="RGJ187" s="537"/>
      <c r="RGK187" s="537"/>
      <c r="RGL187" s="537"/>
      <c r="RGM187" s="537"/>
      <c r="RGN187" s="537"/>
      <c r="RGO187" s="537"/>
      <c r="RGP187" s="537"/>
      <c r="RGQ187" s="537"/>
      <c r="RGR187" s="537"/>
      <c r="RGS187" s="537"/>
      <c r="RGT187" s="537"/>
      <c r="RGU187" s="537"/>
      <c r="RGV187" s="537"/>
      <c r="RGW187" s="537"/>
      <c r="RGX187" s="537"/>
      <c r="RGY187" s="537"/>
      <c r="RGZ187" s="537"/>
      <c r="RHA187" s="537"/>
      <c r="RHB187" s="537"/>
      <c r="RHC187" s="537"/>
      <c r="RHD187" s="537"/>
      <c r="RHE187" s="537"/>
      <c r="RHF187" s="537"/>
      <c r="RHG187" s="537"/>
      <c r="RHH187" s="537"/>
      <c r="RHI187" s="537"/>
      <c r="RHJ187" s="537"/>
      <c r="RHK187" s="537"/>
      <c r="RHL187" s="537"/>
      <c r="RHM187" s="537"/>
      <c r="RHN187" s="537"/>
      <c r="RHO187" s="537"/>
      <c r="RHP187" s="537"/>
      <c r="RHQ187" s="537"/>
      <c r="RHR187" s="537"/>
      <c r="RHS187" s="537"/>
      <c r="RHT187" s="537"/>
      <c r="RHU187" s="537"/>
      <c r="RHV187" s="537"/>
      <c r="RHW187" s="537"/>
      <c r="RHX187" s="537"/>
      <c r="RHY187" s="537"/>
      <c r="RHZ187" s="537"/>
      <c r="RIA187" s="537"/>
      <c r="RIB187" s="537"/>
      <c r="RIC187" s="537"/>
      <c r="RID187" s="537"/>
      <c r="RIE187" s="537"/>
      <c r="RIF187" s="537"/>
      <c r="RIG187" s="537"/>
      <c r="RIH187" s="537"/>
      <c r="RII187" s="537"/>
      <c r="RIJ187" s="537"/>
      <c r="RIK187" s="537"/>
      <c r="RIL187" s="537"/>
      <c r="RIM187" s="537"/>
      <c r="RIN187" s="537"/>
      <c r="RIO187" s="537"/>
      <c r="RIP187" s="537"/>
      <c r="RIQ187" s="537"/>
      <c r="RIR187" s="537"/>
      <c r="RIS187" s="537"/>
      <c r="RIT187" s="537"/>
      <c r="RIU187" s="537"/>
      <c r="RIV187" s="537"/>
      <c r="RIW187" s="537"/>
      <c r="RIX187" s="537"/>
      <c r="RIY187" s="537"/>
      <c r="RIZ187" s="537"/>
      <c r="RJA187" s="537"/>
      <c r="RJB187" s="537"/>
      <c r="RJC187" s="537"/>
      <c r="RJD187" s="537"/>
      <c r="RJE187" s="537"/>
      <c r="RJF187" s="537"/>
      <c r="RJG187" s="537"/>
      <c r="RJH187" s="537"/>
      <c r="RJI187" s="537"/>
      <c r="RJJ187" s="537"/>
      <c r="RJK187" s="537"/>
      <c r="RJL187" s="537"/>
      <c r="RJM187" s="537"/>
      <c r="RJN187" s="537"/>
      <c r="RJO187" s="537"/>
      <c r="RJP187" s="537"/>
      <c r="RJQ187" s="537"/>
      <c r="RJR187" s="537"/>
      <c r="RJS187" s="537"/>
      <c r="RJT187" s="537"/>
      <c r="RJU187" s="537"/>
      <c r="RJV187" s="537"/>
      <c r="RJW187" s="537"/>
      <c r="RJX187" s="537"/>
      <c r="RJY187" s="537"/>
      <c r="RJZ187" s="537"/>
      <c r="RKA187" s="537"/>
      <c r="RKB187" s="537"/>
      <c r="RKC187" s="537"/>
      <c r="RKD187" s="537"/>
      <c r="RKE187" s="537"/>
      <c r="RKF187" s="537"/>
      <c r="RKG187" s="537"/>
      <c r="RKH187" s="537"/>
      <c r="RKI187" s="537"/>
      <c r="RKJ187" s="537"/>
      <c r="RKK187" s="537"/>
      <c r="RKL187" s="537"/>
      <c r="RKM187" s="537"/>
      <c r="RKN187" s="537"/>
      <c r="RKO187" s="537"/>
      <c r="RKP187" s="537"/>
      <c r="RKQ187" s="537"/>
      <c r="RKR187" s="537"/>
      <c r="RKS187" s="537"/>
      <c r="RKT187" s="537"/>
      <c r="RKU187" s="537"/>
      <c r="RKV187" s="537"/>
      <c r="RKW187" s="537"/>
      <c r="RKX187" s="537"/>
      <c r="RKY187" s="537"/>
      <c r="RKZ187" s="537"/>
      <c r="RLA187" s="537"/>
      <c r="RLB187" s="537"/>
      <c r="RLC187" s="537"/>
      <c r="RLD187" s="537"/>
      <c r="RLE187" s="537"/>
      <c r="RLF187" s="537"/>
      <c r="RLG187" s="537"/>
      <c r="RLH187" s="537"/>
      <c r="RLI187" s="537"/>
      <c r="RLJ187" s="537"/>
      <c r="RLK187" s="537"/>
      <c r="RLL187" s="537"/>
      <c r="RLM187" s="537"/>
      <c r="RLN187" s="537"/>
      <c r="RLO187" s="537"/>
      <c r="RLP187" s="537"/>
      <c r="RLQ187" s="537"/>
      <c r="RLR187" s="537"/>
      <c r="RLS187" s="537"/>
      <c r="RLT187" s="537"/>
      <c r="RLU187" s="537"/>
      <c r="RLV187" s="537"/>
      <c r="RLW187" s="537"/>
      <c r="RLX187" s="537"/>
      <c r="RLY187" s="537"/>
      <c r="RLZ187" s="537"/>
      <c r="RMA187" s="537"/>
      <c r="RMB187" s="537"/>
      <c r="RMC187" s="537"/>
      <c r="RMD187" s="537"/>
      <c r="RME187" s="537"/>
      <c r="RMF187" s="537"/>
      <c r="RMG187" s="537"/>
      <c r="RMH187" s="537"/>
      <c r="RMI187" s="537"/>
      <c r="RMJ187" s="537"/>
      <c r="RMK187" s="537"/>
      <c r="RML187" s="537"/>
      <c r="RMM187" s="537"/>
      <c r="RMN187" s="537"/>
      <c r="RMO187" s="537"/>
      <c r="RMP187" s="537"/>
      <c r="RMQ187" s="537"/>
      <c r="RMR187" s="537"/>
      <c r="RMS187" s="537"/>
      <c r="RMT187" s="537"/>
      <c r="RMU187" s="537"/>
      <c r="RMV187" s="537"/>
      <c r="RMW187" s="537"/>
      <c r="RMX187" s="537"/>
      <c r="RMY187" s="537"/>
      <c r="RMZ187" s="537"/>
      <c r="RNA187" s="537"/>
      <c r="RNB187" s="537"/>
      <c r="RNC187" s="537"/>
      <c r="RND187" s="537"/>
      <c r="RNE187" s="537"/>
      <c r="RNF187" s="537"/>
      <c r="RNG187" s="537"/>
      <c r="RNH187" s="537"/>
      <c r="RNI187" s="537"/>
      <c r="RNJ187" s="537"/>
      <c r="RNK187" s="537"/>
      <c r="RNL187" s="537"/>
      <c r="RNM187" s="537"/>
      <c r="RNN187" s="537"/>
      <c r="RNO187" s="537"/>
      <c r="RNP187" s="537"/>
      <c r="RNQ187" s="537"/>
      <c r="RNR187" s="537"/>
      <c r="RNS187" s="537"/>
      <c r="RNT187" s="537"/>
      <c r="RNU187" s="537"/>
      <c r="RNV187" s="537"/>
      <c r="RNW187" s="537"/>
      <c r="RNX187" s="537"/>
      <c r="RNY187" s="537"/>
      <c r="RNZ187" s="537"/>
      <c r="ROA187" s="537"/>
      <c r="ROB187" s="537"/>
      <c r="ROC187" s="537"/>
      <c r="ROD187" s="537"/>
      <c r="ROE187" s="537"/>
      <c r="ROF187" s="537"/>
      <c r="ROG187" s="537"/>
      <c r="ROH187" s="537"/>
      <c r="ROI187" s="537"/>
      <c r="ROJ187" s="537"/>
      <c r="ROK187" s="537"/>
      <c r="ROL187" s="537"/>
      <c r="ROM187" s="537"/>
      <c r="RON187" s="537"/>
      <c r="ROO187" s="537"/>
      <c r="ROP187" s="537"/>
      <c r="ROQ187" s="537"/>
      <c r="ROR187" s="537"/>
      <c r="ROS187" s="537"/>
      <c r="ROT187" s="537"/>
      <c r="ROU187" s="537"/>
      <c r="ROV187" s="537"/>
      <c r="ROW187" s="537"/>
      <c r="ROX187" s="537"/>
      <c r="ROY187" s="537"/>
      <c r="ROZ187" s="537"/>
      <c r="RPA187" s="537"/>
      <c r="RPB187" s="537"/>
      <c r="RPC187" s="537"/>
      <c r="RPD187" s="537"/>
      <c r="RPE187" s="537"/>
      <c r="RPF187" s="537"/>
      <c r="RPG187" s="537"/>
      <c r="RPH187" s="537"/>
      <c r="RPI187" s="537"/>
      <c r="RPJ187" s="537"/>
      <c r="RPK187" s="537"/>
      <c r="RPL187" s="537"/>
      <c r="RPM187" s="537"/>
      <c r="RPN187" s="537"/>
      <c r="RPO187" s="537"/>
      <c r="RPP187" s="537"/>
      <c r="RPQ187" s="537"/>
      <c r="RPR187" s="537"/>
      <c r="RPS187" s="537"/>
      <c r="RPT187" s="537"/>
      <c r="RPU187" s="537"/>
      <c r="RPV187" s="537"/>
      <c r="RPW187" s="537"/>
      <c r="RPX187" s="537"/>
      <c r="RPY187" s="537"/>
      <c r="RPZ187" s="537"/>
      <c r="RQA187" s="537"/>
      <c r="RQB187" s="537"/>
      <c r="RQC187" s="537"/>
      <c r="RQD187" s="537"/>
      <c r="RQE187" s="537"/>
      <c r="RQF187" s="537"/>
      <c r="RQG187" s="537"/>
      <c r="RQH187" s="537"/>
      <c r="RQI187" s="537"/>
      <c r="RQJ187" s="537"/>
      <c r="RQK187" s="537"/>
      <c r="RQL187" s="537"/>
      <c r="RQM187" s="537"/>
      <c r="RQN187" s="537"/>
      <c r="RQO187" s="537"/>
      <c r="RQP187" s="537"/>
      <c r="RQQ187" s="537"/>
      <c r="RQR187" s="537"/>
      <c r="RQS187" s="537"/>
      <c r="RQT187" s="537"/>
      <c r="RQU187" s="537"/>
      <c r="RQV187" s="537"/>
      <c r="RQW187" s="537"/>
      <c r="RQX187" s="537"/>
      <c r="RQY187" s="537"/>
      <c r="RQZ187" s="537"/>
      <c r="RRA187" s="537"/>
      <c r="RRB187" s="537"/>
      <c r="RRC187" s="537"/>
      <c r="RRD187" s="537"/>
      <c r="RRE187" s="537"/>
      <c r="RRF187" s="537"/>
      <c r="RRG187" s="537"/>
      <c r="RRH187" s="537"/>
      <c r="RRI187" s="537"/>
      <c r="RRJ187" s="537"/>
      <c r="RRK187" s="537"/>
      <c r="RRL187" s="537"/>
      <c r="RRM187" s="537"/>
      <c r="RRN187" s="537"/>
      <c r="RRO187" s="537"/>
      <c r="RRP187" s="537"/>
      <c r="RRQ187" s="537"/>
      <c r="RRR187" s="537"/>
      <c r="RRS187" s="537"/>
      <c r="RRT187" s="537"/>
      <c r="RRU187" s="537"/>
      <c r="RRV187" s="537"/>
      <c r="RRW187" s="537"/>
      <c r="RRX187" s="537"/>
      <c r="RRY187" s="537"/>
      <c r="RRZ187" s="537"/>
      <c r="RSA187" s="537"/>
      <c r="RSB187" s="537"/>
      <c r="RSC187" s="537"/>
      <c r="RSD187" s="537"/>
      <c r="RSE187" s="537"/>
      <c r="RSF187" s="537"/>
      <c r="RSG187" s="537"/>
      <c r="RSH187" s="537"/>
      <c r="RSI187" s="537"/>
      <c r="RSJ187" s="537"/>
      <c r="RSK187" s="537"/>
      <c r="RSL187" s="537"/>
      <c r="RSM187" s="537"/>
      <c r="RSN187" s="537"/>
      <c r="RSO187" s="537"/>
      <c r="RSP187" s="537"/>
      <c r="RSQ187" s="537"/>
      <c r="RSR187" s="537"/>
      <c r="RSS187" s="537"/>
      <c r="RST187" s="537"/>
      <c r="RSU187" s="537"/>
      <c r="RSV187" s="537"/>
      <c r="RSW187" s="537"/>
      <c r="RSX187" s="537"/>
      <c r="RSY187" s="537"/>
      <c r="RSZ187" s="537"/>
      <c r="RTA187" s="537"/>
      <c r="RTB187" s="537"/>
      <c r="RTC187" s="537"/>
      <c r="RTD187" s="537"/>
      <c r="RTE187" s="537"/>
      <c r="RTF187" s="537"/>
      <c r="RTG187" s="537"/>
      <c r="RTH187" s="537"/>
      <c r="RTI187" s="537"/>
      <c r="RTJ187" s="537"/>
      <c r="RTK187" s="537"/>
      <c r="RTL187" s="537"/>
      <c r="RTM187" s="537"/>
      <c r="RTN187" s="537"/>
      <c r="RTO187" s="537"/>
      <c r="RTP187" s="537"/>
      <c r="RTQ187" s="537"/>
      <c r="RTR187" s="537"/>
      <c r="RTS187" s="537"/>
      <c r="RTT187" s="537"/>
      <c r="RTU187" s="537"/>
      <c r="RTV187" s="537"/>
      <c r="RTW187" s="537"/>
      <c r="RTX187" s="537"/>
      <c r="RTY187" s="537"/>
      <c r="RTZ187" s="537"/>
      <c r="RUA187" s="537"/>
      <c r="RUB187" s="537"/>
      <c r="RUC187" s="537"/>
      <c r="RUD187" s="537"/>
      <c r="RUE187" s="537"/>
      <c r="RUF187" s="537"/>
      <c r="RUG187" s="537"/>
      <c r="RUH187" s="537"/>
      <c r="RUI187" s="537"/>
      <c r="RUJ187" s="537"/>
      <c r="RUK187" s="537"/>
      <c r="RUL187" s="537"/>
      <c r="RUM187" s="537"/>
      <c r="RUN187" s="537"/>
      <c r="RUO187" s="537"/>
      <c r="RUP187" s="537"/>
      <c r="RUQ187" s="537"/>
      <c r="RUR187" s="537"/>
      <c r="RUS187" s="537"/>
      <c r="RUT187" s="537"/>
      <c r="RUU187" s="537"/>
      <c r="RUV187" s="537"/>
      <c r="RUW187" s="537"/>
      <c r="RUX187" s="537"/>
      <c r="RUY187" s="537"/>
      <c r="RUZ187" s="537"/>
      <c r="RVA187" s="537"/>
      <c r="RVB187" s="537"/>
      <c r="RVC187" s="537"/>
      <c r="RVD187" s="537"/>
      <c r="RVE187" s="537"/>
      <c r="RVF187" s="537"/>
      <c r="RVG187" s="537"/>
      <c r="RVH187" s="537"/>
      <c r="RVI187" s="537"/>
      <c r="RVJ187" s="537"/>
      <c r="RVK187" s="537"/>
      <c r="RVL187" s="537"/>
      <c r="RVM187" s="537"/>
      <c r="RVN187" s="537"/>
      <c r="RVO187" s="537"/>
      <c r="RVP187" s="537"/>
      <c r="RVQ187" s="537"/>
      <c r="RVR187" s="537"/>
      <c r="RVS187" s="537"/>
      <c r="RVT187" s="537"/>
      <c r="RVU187" s="537"/>
      <c r="RVV187" s="537"/>
      <c r="RVW187" s="537"/>
      <c r="RVX187" s="537"/>
      <c r="RVY187" s="537"/>
      <c r="RVZ187" s="537"/>
      <c r="RWA187" s="537"/>
      <c r="RWB187" s="537"/>
      <c r="RWC187" s="537"/>
      <c r="RWD187" s="537"/>
      <c r="RWE187" s="537"/>
      <c r="RWF187" s="537"/>
      <c r="RWG187" s="537"/>
      <c r="RWH187" s="537"/>
      <c r="RWI187" s="537"/>
      <c r="RWJ187" s="537"/>
      <c r="RWK187" s="537"/>
      <c r="RWL187" s="537"/>
      <c r="RWM187" s="537"/>
      <c r="RWN187" s="537"/>
      <c r="RWO187" s="537"/>
      <c r="RWP187" s="537"/>
      <c r="RWQ187" s="537"/>
      <c r="RWR187" s="537"/>
      <c r="RWS187" s="537"/>
      <c r="RWT187" s="537"/>
      <c r="RWU187" s="537"/>
      <c r="RWV187" s="537"/>
      <c r="RWW187" s="537"/>
      <c r="RWX187" s="537"/>
      <c r="RWY187" s="537"/>
      <c r="RWZ187" s="537"/>
      <c r="RXA187" s="537"/>
      <c r="RXB187" s="537"/>
      <c r="RXC187" s="537"/>
      <c r="RXD187" s="537"/>
      <c r="RXE187" s="537"/>
      <c r="RXF187" s="537"/>
      <c r="RXG187" s="537"/>
      <c r="RXH187" s="537"/>
      <c r="RXI187" s="537"/>
      <c r="RXJ187" s="537"/>
      <c r="RXK187" s="537"/>
      <c r="RXL187" s="537"/>
      <c r="RXM187" s="537"/>
      <c r="RXN187" s="537"/>
      <c r="RXO187" s="537"/>
      <c r="RXP187" s="537"/>
      <c r="RXQ187" s="537"/>
      <c r="RXR187" s="537"/>
      <c r="RXS187" s="537"/>
      <c r="RXT187" s="537"/>
      <c r="RXU187" s="537"/>
      <c r="RXV187" s="537"/>
      <c r="RXW187" s="537"/>
      <c r="RXX187" s="537"/>
      <c r="RXY187" s="537"/>
      <c r="RXZ187" s="537"/>
      <c r="RYA187" s="537"/>
      <c r="RYB187" s="537"/>
      <c r="RYC187" s="537"/>
      <c r="RYD187" s="537"/>
      <c r="RYE187" s="537"/>
      <c r="RYF187" s="537"/>
      <c r="RYG187" s="537"/>
      <c r="RYH187" s="537"/>
      <c r="RYI187" s="537"/>
      <c r="RYJ187" s="537"/>
      <c r="RYK187" s="537"/>
      <c r="RYL187" s="537"/>
      <c r="RYM187" s="537"/>
      <c r="RYN187" s="537"/>
      <c r="RYO187" s="537"/>
      <c r="RYP187" s="537"/>
      <c r="RYQ187" s="537"/>
      <c r="RYR187" s="537"/>
      <c r="RYS187" s="537"/>
      <c r="RYT187" s="537"/>
      <c r="RYU187" s="537"/>
      <c r="RYV187" s="537"/>
      <c r="RYW187" s="537"/>
      <c r="RYX187" s="537"/>
      <c r="RYY187" s="537"/>
      <c r="RYZ187" s="537"/>
      <c r="RZA187" s="537"/>
      <c r="RZB187" s="537"/>
      <c r="RZC187" s="537"/>
      <c r="RZD187" s="537"/>
      <c r="RZE187" s="537"/>
      <c r="RZF187" s="537"/>
      <c r="RZG187" s="537"/>
      <c r="RZH187" s="537"/>
      <c r="RZI187" s="537"/>
      <c r="RZJ187" s="537"/>
      <c r="RZK187" s="537"/>
      <c r="RZL187" s="537"/>
      <c r="RZM187" s="537"/>
      <c r="RZN187" s="537"/>
      <c r="RZO187" s="537"/>
      <c r="RZP187" s="537"/>
      <c r="RZQ187" s="537"/>
      <c r="RZR187" s="537"/>
      <c r="RZS187" s="537"/>
      <c r="RZT187" s="537"/>
      <c r="RZU187" s="537"/>
      <c r="RZV187" s="537"/>
      <c r="RZW187" s="537"/>
      <c r="RZX187" s="537"/>
      <c r="RZY187" s="537"/>
      <c r="RZZ187" s="537"/>
      <c r="SAA187" s="537"/>
      <c r="SAB187" s="537"/>
      <c r="SAC187" s="537"/>
      <c r="SAD187" s="537"/>
      <c r="SAE187" s="537"/>
      <c r="SAF187" s="537"/>
      <c r="SAG187" s="537"/>
      <c r="SAH187" s="537"/>
      <c r="SAI187" s="537"/>
      <c r="SAJ187" s="537"/>
      <c r="SAK187" s="537"/>
      <c r="SAL187" s="537"/>
      <c r="SAM187" s="537"/>
      <c r="SAN187" s="537"/>
      <c r="SAO187" s="537"/>
      <c r="SAP187" s="537"/>
      <c r="SAQ187" s="537"/>
      <c r="SAR187" s="537"/>
      <c r="SAS187" s="537"/>
      <c r="SAT187" s="537"/>
      <c r="SAU187" s="537"/>
      <c r="SAV187" s="537"/>
      <c r="SAW187" s="537"/>
      <c r="SAX187" s="537"/>
      <c r="SAY187" s="537"/>
      <c r="SAZ187" s="537"/>
      <c r="SBA187" s="537"/>
      <c r="SBB187" s="537"/>
      <c r="SBC187" s="537"/>
      <c r="SBD187" s="537"/>
      <c r="SBE187" s="537"/>
      <c r="SBF187" s="537"/>
      <c r="SBG187" s="537"/>
      <c r="SBH187" s="537"/>
      <c r="SBI187" s="537"/>
      <c r="SBJ187" s="537"/>
      <c r="SBK187" s="537"/>
      <c r="SBL187" s="537"/>
      <c r="SBM187" s="537"/>
      <c r="SBN187" s="537"/>
      <c r="SBO187" s="537"/>
      <c r="SBP187" s="537"/>
      <c r="SBQ187" s="537"/>
      <c r="SBR187" s="537"/>
      <c r="SBS187" s="537"/>
      <c r="SBT187" s="537"/>
      <c r="SBU187" s="537"/>
      <c r="SBV187" s="537"/>
      <c r="SBW187" s="537"/>
      <c r="SBX187" s="537"/>
      <c r="SBY187" s="537"/>
      <c r="SBZ187" s="537"/>
      <c r="SCA187" s="537"/>
      <c r="SCB187" s="537"/>
      <c r="SCC187" s="537"/>
      <c r="SCD187" s="537"/>
      <c r="SCE187" s="537"/>
      <c r="SCF187" s="537"/>
      <c r="SCG187" s="537"/>
      <c r="SCH187" s="537"/>
      <c r="SCI187" s="537"/>
      <c r="SCJ187" s="537"/>
      <c r="SCK187" s="537"/>
      <c r="SCL187" s="537"/>
      <c r="SCM187" s="537"/>
      <c r="SCN187" s="537"/>
      <c r="SCO187" s="537"/>
      <c r="SCP187" s="537"/>
      <c r="SCQ187" s="537"/>
      <c r="SCR187" s="537"/>
      <c r="SCS187" s="537"/>
      <c r="SCT187" s="537"/>
      <c r="SCU187" s="537"/>
      <c r="SCV187" s="537"/>
      <c r="SCW187" s="537"/>
      <c r="SCX187" s="537"/>
      <c r="SCY187" s="537"/>
      <c r="SCZ187" s="537"/>
      <c r="SDA187" s="537"/>
      <c r="SDB187" s="537"/>
      <c r="SDC187" s="537"/>
      <c r="SDD187" s="537"/>
      <c r="SDE187" s="537"/>
      <c r="SDF187" s="537"/>
      <c r="SDG187" s="537"/>
      <c r="SDH187" s="537"/>
      <c r="SDI187" s="537"/>
      <c r="SDJ187" s="537"/>
      <c r="SDK187" s="537"/>
      <c r="SDL187" s="537"/>
      <c r="SDM187" s="537"/>
      <c r="SDN187" s="537"/>
      <c r="SDO187" s="537"/>
      <c r="SDP187" s="537"/>
      <c r="SDQ187" s="537"/>
      <c r="SDR187" s="537"/>
      <c r="SDS187" s="537"/>
      <c r="SDT187" s="537"/>
      <c r="SDU187" s="537"/>
      <c r="SDV187" s="537"/>
      <c r="SDW187" s="537"/>
      <c r="SDX187" s="537"/>
      <c r="SDY187" s="537"/>
      <c r="SDZ187" s="537"/>
      <c r="SEA187" s="537"/>
      <c r="SEB187" s="537"/>
      <c r="SEC187" s="537"/>
      <c r="SED187" s="537"/>
      <c r="SEE187" s="537"/>
      <c r="SEF187" s="537"/>
      <c r="SEG187" s="537"/>
      <c r="SEH187" s="537"/>
      <c r="SEI187" s="537"/>
      <c r="SEJ187" s="537"/>
      <c r="SEK187" s="537"/>
      <c r="SEL187" s="537"/>
      <c r="SEM187" s="537"/>
      <c r="SEN187" s="537"/>
      <c r="SEO187" s="537"/>
      <c r="SEP187" s="537"/>
      <c r="SEQ187" s="537"/>
      <c r="SER187" s="537"/>
      <c r="SES187" s="537"/>
      <c r="SET187" s="537"/>
      <c r="SEU187" s="537"/>
      <c r="SEV187" s="537"/>
      <c r="SEW187" s="537"/>
      <c r="SEX187" s="537"/>
      <c r="SEY187" s="537"/>
      <c r="SEZ187" s="537"/>
      <c r="SFA187" s="537"/>
      <c r="SFB187" s="537"/>
      <c r="SFC187" s="537"/>
      <c r="SFD187" s="537"/>
      <c r="SFE187" s="537"/>
      <c r="SFF187" s="537"/>
      <c r="SFG187" s="537"/>
      <c r="SFH187" s="537"/>
      <c r="SFI187" s="537"/>
      <c r="SFJ187" s="537"/>
      <c r="SFK187" s="537"/>
      <c r="SFL187" s="537"/>
      <c r="SFM187" s="537"/>
      <c r="SFN187" s="537"/>
      <c r="SFO187" s="537"/>
      <c r="SFP187" s="537"/>
      <c r="SFQ187" s="537"/>
      <c r="SFR187" s="537"/>
      <c r="SFS187" s="537"/>
      <c r="SFT187" s="537"/>
      <c r="SFU187" s="537"/>
      <c r="SFV187" s="537"/>
      <c r="SFW187" s="537"/>
      <c r="SFX187" s="537"/>
      <c r="SFY187" s="537"/>
      <c r="SFZ187" s="537"/>
      <c r="SGA187" s="537"/>
      <c r="SGB187" s="537"/>
      <c r="SGC187" s="537"/>
      <c r="SGD187" s="537"/>
      <c r="SGE187" s="537"/>
      <c r="SGF187" s="537"/>
      <c r="SGG187" s="537"/>
      <c r="SGH187" s="537"/>
      <c r="SGI187" s="537"/>
      <c r="SGJ187" s="537"/>
      <c r="SGK187" s="537"/>
      <c r="SGL187" s="537"/>
      <c r="SGM187" s="537"/>
      <c r="SGN187" s="537"/>
      <c r="SGO187" s="537"/>
      <c r="SGP187" s="537"/>
      <c r="SGQ187" s="537"/>
      <c r="SGR187" s="537"/>
      <c r="SGS187" s="537"/>
      <c r="SGT187" s="537"/>
      <c r="SGU187" s="537"/>
      <c r="SGV187" s="537"/>
      <c r="SGW187" s="537"/>
      <c r="SGX187" s="537"/>
      <c r="SGY187" s="537"/>
      <c r="SGZ187" s="537"/>
      <c r="SHA187" s="537"/>
      <c r="SHB187" s="537"/>
      <c r="SHC187" s="537"/>
      <c r="SHD187" s="537"/>
      <c r="SHE187" s="537"/>
      <c r="SHF187" s="537"/>
      <c r="SHG187" s="537"/>
      <c r="SHH187" s="537"/>
      <c r="SHI187" s="537"/>
      <c r="SHJ187" s="537"/>
      <c r="SHK187" s="537"/>
      <c r="SHL187" s="537"/>
      <c r="SHM187" s="537"/>
      <c r="SHN187" s="537"/>
      <c r="SHO187" s="537"/>
      <c r="SHP187" s="537"/>
      <c r="SHQ187" s="537"/>
      <c r="SHR187" s="537"/>
      <c r="SHS187" s="537"/>
      <c r="SHT187" s="537"/>
      <c r="SHU187" s="537"/>
      <c r="SHV187" s="537"/>
      <c r="SHW187" s="537"/>
      <c r="SHX187" s="537"/>
      <c r="SHY187" s="537"/>
      <c r="SHZ187" s="537"/>
      <c r="SIA187" s="537"/>
      <c r="SIB187" s="537"/>
      <c r="SIC187" s="537"/>
      <c r="SID187" s="537"/>
      <c r="SIE187" s="537"/>
      <c r="SIF187" s="537"/>
      <c r="SIG187" s="537"/>
      <c r="SIH187" s="537"/>
      <c r="SII187" s="537"/>
      <c r="SIJ187" s="537"/>
      <c r="SIK187" s="537"/>
      <c r="SIL187" s="537"/>
      <c r="SIM187" s="537"/>
      <c r="SIN187" s="537"/>
      <c r="SIO187" s="537"/>
      <c r="SIP187" s="537"/>
      <c r="SIQ187" s="537"/>
      <c r="SIR187" s="537"/>
      <c r="SIS187" s="537"/>
      <c r="SIT187" s="537"/>
      <c r="SIU187" s="537"/>
      <c r="SIV187" s="537"/>
      <c r="SIW187" s="537"/>
      <c r="SIX187" s="537"/>
      <c r="SIY187" s="537"/>
      <c r="SIZ187" s="537"/>
      <c r="SJA187" s="537"/>
      <c r="SJB187" s="537"/>
      <c r="SJC187" s="537"/>
      <c r="SJD187" s="537"/>
      <c r="SJE187" s="537"/>
      <c r="SJF187" s="537"/>
      <c r="SJG187" s="537"/>
      <c r="SJH187" s="537"/>
      <c r="SJI187" s="537"/>
      <c r="SJJ187" s="537"/>
      <c r="SJK187" s="537"/>
      <c r="SJL187" s="537"/>
      <c r="SJM187" s="537"/>
      <c r="SJN187" s="537"/>
      <c r="SJO187" s="537"/>
      <c r="SJP187" s="537"/>
      <c r="SJQ187" s="537"/>
      <c r="SJR187" s="537"/>
      <c r="SJS187" s="537"/>
      <c r="SJT187" s="537"/>
      <c r="SJU187" s="537"/>
      <c r="SJV187" s="537"/>
      <c r="SJW187" s="537"/>
      <c r="SJX187" s="537"/>
      <c r="SJY187" s="537"/>
      <c r="SJZ187" s="537"/>
      <c r="SKA187" s="537"/>
      <c r="SKB187" s="537"/>
      <c r="SKC187" s="537"/>
      <c r="SKD187" s="537"/>
      <c r="SKE187" s="537"/>
      <c r="SKF187" s="537"/>
      <c r="SKG187" s="537"/>
      <c r="SKH187" s="537"/>
      <c r="SKI187" s="537"/>
      <c r="SKJ187" s="537"/>
      <c r="SKK187" s="537"/>
      <c r="SKL187" s="537"/>
      <c r="SKM187" s="537"/>
      <c r="SKN187" s="537"/>
      <c r="SKO187" s="537"/>
      <c r="SKP187" s="537"/>
      <c r="SKQ187" s="537"/>
      <c r="SKR187" s="537"/>
      <c r="SKS187" s="537"/>
      <c r="SKT187" s="537"/>
      <c r="SKU187" s="537"/>
      <c r="SKV187" s="537"/>
      <c r="SKW187" s="537"/>
      <c r="SKX187" s="537"/>
      <c r="SKY187" s="537"/>
      <c r="SKZ187" s="537"/>
      <c r="SLA187" s="537"/>
      <c r="SLB187" s="537"/>
      <c r="SLC187" s="537"/>
      <c r="SLD187" s="537"/>
      <c r="SLE187" s="537"/>
      <c r="SLF187" s="537"/>
      <c r="SLG187" s="537"/>
      <c r="SLH187" s="537"/>
      <c r="SLI187" s="537"/>
      <c r="SLJ187" s="537"/>
      <c r="SLK187" s="537"/>
      <c r="SLL187" s="537"/>
      <c r="SLM187" s="537"/>
      <c r="SLN187" s="537"/>
      <c r="SLO187" s="537"/>
      <c r="SLP187" s="537"/>
      <c r="SLQ187" s="537"/>
      <c r="SLR187" s="537"/>
      <c r="SLS187" s="537"/>
      <c r="SLT187" s="537"/>
      <c r="SLU187" s="537"/>
      <c r="SLV187" s="537"/>
      <c r="SLW187" s="537"/>
      <c r="SLX187" s="537"/>
      <c r="SLY187" s="537"/>
      <c r="SLZ187" s="537"/>
      <c r="SMA187" s="537"/>
      <c r="SMB187" s="537"/>
      <c r="SMC187" s="537"/>
      <c r="SMD187" s="537"/>
      <c r="SME187" s="537"/>
      <c r="SMF187" s="537"/>
      <c r="SMG187" s="537"/>
      <c r="SMH187" s="537"/>
      <c r="SMI187" s="537"/>
      <c r="SMJ187" s="537"/>
      <c r="SMK187" s="537"/>
      <c r="SML187" s="537"/>
      <c r="SMM187" s="537"/>
      <c r="SMN187" s="537"/>
      <c r="SMO187" s="537"/>
      <c r="SMP187" s="537"/>
      <c r="SMQ187" s="537"/>
      <c r="SMR187" s="537"/>
      <c r="SMS187" s="537"/>
      <c r="SMT187" s="537"/>
      <c r="SMU187" s="537"/>
      <c r="SMV187" s="537"/>
      <c r="SMW187" s="537"/>
      <c r="SMX187" s="537"/>
      <c r="SMY187" s="537"/>
      <c r="SMZ187" s="537"/>
      <c r="SNA187" s="537"/>
      <c r="SNB187" s="537"/>
      <c r="SNC187" s="537"/>
      <c r="SND187" s="537"/>
      <c r="SNE187" s="537"/>
      <c r="SNF187" s="537"/>
      <c r="SNG187" s="537"/>
      <c r="SNH187" s="537"/>
      <c r="SNI187" s="537"/>
      <c r="SNJ187" s="537"/>
      <c r="SNK187" s="537"/>
      <c r="SNL187" s="537"/>
      <c r="SNM187" s="537"/>
      <c r="SNN187" s="537"/>
      <c r="SNO187" s="537"/>
      <c r="SNP187" s="537"/>
      <c r="SNQ187" s="537"/>
      <c r="SNR187" s="537"/>
      <c r="SNS187" s="537"/>
      <c r="SNT187" s="537"/>
      <c r="SNU187" s="537"/>
      <c r="SNV187" s="537"/>
      <c r="SNW187" s="537"/>
      <c r="SNX187" s="537"/>
      <c r="SNY187" s="537"/>
      <c r="SNZ187" s="537"/>
      <c r="SOA187" s="537"/>
      <c r="SOB187" s="537"/>
      <c r="SOC187" s="537"/>
      <c r="SOD187" s="537"/>
      <c r="SOE187" s="537"/>
      <c r="SOF187" s="537"/>
      <c r="SOG187" s="537"/>
      <c r="SOH187" s="537"/>
      <c r="SOI187" s="537"/>
      <c r="SOJ187" s="537"/>
      <c r="SOK187" s="537"/>
      <c r="SOL187" s="537"/>
      <c r="SOM187" s="537"/>
      <c r="SON187" s="537"/>
      <c r="SOO187" s="537"/>
      <c r="SOP187" s="537"/>
      <c r="SOQ187" s="537"/>
      <c r="SOR187" s="537"/>
      <c r="SOS187" s="537"/>
      <c r="SOT187" s="537"/>
      <c r="SOU187" s="537"/>
      <c r="SOV187" s="537"/>
      <c r="SOW187" s="537"/>
      <c r="SOX187" s="537"/>
      <c r="SOY187" s="537"/>
      <c r="SOZ187" s="537"/>
      <c r="SPA187" s="537"/>
      <c r="SPB187" s="537"/>
      <c r="SPC187" s="537"/>
      <c r="SPD187" s="537"/>
      <c r="SPE187" s="537"/>
      <c r="SPF187" s="537"/>
      <c r="SPG187" s="537"/>
      <c r="SPH187" s="537"/>
      <c r="SPI187" s="537"/>
      <c r="SPJ187" s="537"/>
      <c r="SPK187" s="537"/>
      <c r="SPL187" s="537"/>
      <c r="SPM187" s="537"/>
      <c r="SPN187" s="537"/>
      <c r="SPO187" s="537"/>
      <c r="SPP187" s="537"/>
      <c r="SPQ187" s="537"/>
      <c r="SPR187" s="537"/>
      <c r="SPS187" s="537"/>
      <c r="SPT187" s="537"/>
      <c r="SPU187" s="537"/>
      <c r="SPV187" s="537"/>
      <c r="SPW187" s="537"/>
      <c r="SPX187" s="537"/>
      <c r="SPY187" s="537"/>
      <c r="SPZ187" s="537"/>
      <c r="SQA187" s="537"/>
      <c r="SQB187" s="537"/>
      <c r="SQC187" s="537"/>
      <c r="SQD187" s="537"/>
      <c r="SQE187" s="537"/>
      <c r="SQF187" s="537"/>
      <c r="SQG187" s="537"/>
      <c r="SQH187" s="537"/>
      <c r="SQI187" s="537"/>
      <c r="SQJ187" s="537"/>
      <c r="SQK187" s="537"/>
      <c r="SQL187" s="537"/>
      <c r="SQM187" s="537"/>
      <c r="SQN187" s="537"/>
      <c r="SQO187" s="537"/>
      <c r="SQP187" s="537"/>
      <c r="SQQ187" s="537"/>
      <c r="SQR187" s="537"/>
      <c r="SQS187" s="537"/>
      <c r="SQT187" s="537"/>
      <c r="SQU187" s="537"/>
      <c r="SQV187" s="537"/>
      <c r="SQW187" s="537"/>
      <c r="SQX187" s="537"/>
      <c r="SQY187" s="537"/>
      <c r="SQZ187" s="537"/>
      <c r="SRA187" s="537"/>
      <c r="SRB187" s="537"/>
      <c r="SRC187" s="537"/>
      <c r="SRD187" s="537"/>
      <c r="SRE187" s="537"/>
      <c r="SRF187" s="537"/>
      <c r="SRG187" s="537"/>
      <c r="SRH187" s="537"/>
      <c r="SRI187" s="537"/>
      <c r="SRJ187" s="537"/>
      <c r="SRK187" s="537"/>
      <c r="SRL187" s="537"/>
      <c r="SRM187" s="537"/>
      <c r="SRN187" s="537"/>
      <c r="SRO187" s="537"/>
      <c r="SRP187" s="537"/>
      <c r="SRQ187" s="537"/>
      <c r="SRR187" s="537"/>
      <c r="SRS187" s="537"/>
      <c r="SRT187" s="537"/>
      <c r="SRU187" s="537"/>
      <c r="SRV187" s="537"/>
      <c r="SRW187" s="537"/>
      <c r="SRX187" s="537"/>
      <c r="SRY187" s="537"/>
      <c r="SRZ187" s="537"/>
      <c r="SSA187" s="537"/>
      <c r="SSB187" s="537"/>
      <c r="SSC187" s="537"/>
      <c r="SSD187" s="537"/>
      <c r="SSE187" s="537"/>
      <c r="SSF187" s="537"/>
      <c r="SSG187" s="537"/>
      <c r="SSH187" s="537"/>
      <c r="SSI187" s="537"/>
      <c r="SSJ187" s="537"/>
      <c r="SSK187" s="537"/>
      <c r="SSL187" s="537"/>
      <c r="SSM187" s="537"/>
      <c r="SSN187" s="537"/>
      <c r="SSO187" s="537"/>
      <c r="SSP187" s="537"/>
      <c r="SSQ187" s="537"/>
      <c r="SSR187" s="537"/>
      <c r="SSS187" s="537"/>
      <c r="SST187" s="537"/>
      <c r="SSU187" s="537"/>
      <c r="SSV187" s="537"/>
      <c r="SSW187" s="537"/>
      <c r="SSX187" s="537"/>
      <c r="SSY187" s="537"/>
      <c r="SSZ187" s="537"/>
      <c r="STA187" s="537"/>
      <c r="STB187" s="537"/>
      <c r="STC187" s="537"/>
      <c r="STD187" s="537"/>
      <c r="STE187" s="537"/>
      <c r="STF187" s="537"/>
      <c r="STG187" s="537"/>
      <c r="STH187" s="537"/>
      <c r="STI187" s="537"/>
      <c r="STJ187" s="537"/>
      <c r="STK187" s="537"/>
      <c r="STL187" s="537"/>
      <c r="STM187" s="537"/>
      <c r="STN187" s="537"/>
      <c r="STO187" s="537"/>
      <c r="STP187" s="537"/>
      <c r="STQ187" s="537"/>
      <c r="STR187" s="537"/>
      <c r="STS187" s="537"/>
      <c r="STT187" s="537"/>
      <c r="STU187" s="537"/>
      <c r="STV187" s="537"/>
      <c r="STW187" s="537"/>
      <c r="STX187" s="537"/>
      <c r="STY187" s="537"/>
      <c r="STZ187" s="537"/>
      <c r="SUA187" s="537"/>
      <c r="SUB187" s="537"/>
      <c r="SUC187" s="537"/>
      <c r="SUD187" s="537"/>
      <c r="SUE187" s="537"/>
      <c r="SUF187" s="537"/>
      <c r="SUG187" s="537"/>
      <c r="SUH187" s="537"/>
      <c r="SUI187" s="537"/>
      <c r="SUJ187" s="537"/>
      <c r="SUK187" s="537"/>
      <c r="SUL187" s="537"/>
      <c r="SUM187" s="537"/>
      <c r="SUN187" s="537"/>
      <c r="SUO187" s="537"/>
      <c r="SUP187" s="537"/>
      <c r="SUQ187" s="537"/>
      <c r="SUR187" s="537"/>
      <c r="SUS187" s="537"/>
      <c r="SUT187" s="537"/>
      <c r="SUU187" s="537"/>
      <c r="SUV187" s="537"/>
      <c r="SUW187" s="537"/>
      <c r="SUX187" s="537"/>
      <c r="SUY187" s="537"/>
      <c r="SUZ187" s="537"/>
      <c r="SVA187" s="537"/>
      <c r="SVB187" s="537"/>
      <c r="SVC187" s="537"/>
      <c r="SVD187" s="537"/>
      <c r="SVE187" s="537"/>
      <c r="SVF187" s="537"/>
      <c r="SVG187" s="537"/>
      <c r="SVH187" s="537"/>
      <c r="SVI187" s="537"/>
      <c r="SVJ187" s="537"/>
      <c r="SVK187" s="537"/>
      <c r="SVL187" s="537"/>
      <c r="SVM187" s="537"/>
      <c r="SVN187" s="537"/>
      <c r="SVO187" s="537"/>
      <c r="SVP187" s="537"/>
      <c r="SVQ187" s="537"/>
      <c r="SVR187" s="537"/>
      <c r="SVS187" s="537"/>
      <c r="SVT187" s="537"/>
      <c r="SVU187" s="537"/>
      <c r="SVV187" s="537"/>
      <c r="SVW187" s="537"/>
      <c r="SVX187" s="537"/>
      <c r="SVY187" s="537"/>
      <c r="SVZ187" s="537"/>
      <c r="SWA187" s="537"/>
      <c r="SWB187" s="537"/>
      <c r="SWC187" s="537"/>
      <c r="SWD187" s="537"/>
      <c r="SWE187" s="537"/>
      <c r="SWF187" s="537"/>
      <c r="SWG187" s="537"/>
      <c r="SWH187" s="537"/>
      <c r="SWI187" s="537"/>
      <c r="SWJ187" s="537"/>
      <c r="SWK187" s="537"/>
      <c r="SWL187" s="537"/>
      <c r="SWM187" s="537"/>
      <c r="SWN187" s="537"/>
      <c r="SWO187" s="537"/>
      <c r="SWP187" s="537"/>
      <c r="SWQ187" s="537"/>
      <c r="SWR187" s="537"/>
      <c r="SWS187" s="537"/>
      <c r="SWT187" s="537"/>
      <c r="SWU187" s="537"/>
      <c r="SWV187" s="537"/>
      <c r="SWW187" s="537"/>
      <c r="SWX187" s="537"/>
      <c r="SWY187" s="537"/>
      <c r="SWZ187" s="537"/>
      <c r="SXA187" s="537"/>
      <c r="SXB187" s="537"/>
      <c r="SXC187" s="537"/>
      <c r="SXD187" s="537"/>
      <c r="SXE187" s="537"/>
      <c r="SXF187" s="537"/>
      <c r="SXG187" s="537"/>
      <c r="SXH187" s="537"/>
      <c r="SXI187" s="537"/>
      <c r="SXJ187" s="537"/>
      <c r="SXK187" s="537"/>
      <c r="SXL187" s="537"/>
      <c r="SXM187" s="537"/>
      <c r="SXN187" s="537"/>
      <c r="SXO187" s="537"/>
      <c r="SXP187" s="537"/>
      <c r="SXQ187" s="537"/>
      <c r="SXR187" s="537"/>
      <c r="SXS187" s="537"/>
      <c r="SXT187" s="537"/>
      <c r="SXU187" s="537"/>
      <c r="SXV187" s="537"/>
      <c r="SXW187" s="537"/>
      <c r="SXX187" s="537"/>
      <c r="SXY187" s="537"/>
      <c r="SXZ187" s="537"/>
      <c r="SYA187" s="537"/>
      <c r="SYB187" s="537"/>
      <c r="SYC187" s="537"/>
      <c r="SYD187" s="537"/>
      <c r="SYE187" s="537"/>
      <c r="SYF187" s="537"/>
      <c r="SYG187" s="537"/>
      <c r="SYH187" s="537"/>
      <c r="SYI187" s="537"/>
      <c r="SYJ187" s="537"/>
      <c r="SYK187" s="537"/>
      <c r="SYL187" s="537"/>
      <c r="SYM187" s="537"/>
      <c r="SYN187" s="537"/>
      <c r="SYO187" s="537"/>
      <c r="SYP187" s="537"/>
      <c r="SYQ187" s="537"/>
      <c r="SYR187" s="537"/>
      <c r="SYS187" s="537"/>
      <c r="SYT187" s="537"/>
      <c r="SYU187" s="537"/>
      <c r="SYV187" s="537"/>
      <c r="SYW187" s="537"/>
      <c r="SYX187" s="537"/>
      <c r="SYY187" s="537"/>
      <c r="SYZ187" s="537"/>
      <c r="SZA187" s="537"/>
      <c r="SZB187" s="537"/>
      <c r="SZC187" s="537"/>
      <c r="SZD187" s="537"/>
      <c r="SZE187" s="537"/>
      <c r="SZF187" s="537"/>
      <c r="SZG187" s="537"/>
      <c r="SZH187" s="537"/>
      <c r="SZI187" s="537"/>
      <c r="SZJ187" s="537"/>
      <c r="SZK187" s="537"/>
      <c r="SZL187" s="537"/>
      <c r="SZM187" s="537"/>
      <c r="SZN187" s="537"/>
      <c r="SZO187" s="537"/>
      <c r="SZP187" s="537"/>
      <c r="SZQ187" s="537"/>
      <c r="SZR187" s="537"/>
      <c r="SZS187" s="537"/>
      <c r="SZT187" s="537"/>
      <c r="SZU187" s="537"/>
      <c r="SZV187" s="537"/>
      <c r="SZW187" s="537"/>
      <c r="SZX187" s="537"/>
      <c r="SZY187" s="537"/>
      <c r="SZZ187" s="537"/>
      <c r="TAA187" s="537"/>
      <c r="TAB187" s="537"/>
      <c r="TAC187" s="537"/>
      <c r="TAD187" s="537"/>
      <c r="TAE187" s="537"/>
      <c r="TAF187" s="537"/>
      <c r="TAG187" s="537"/>
      <c r="TAH187" s="537"/>
      <c r="TAI187" s="537"/>
      <c r="TAJ187" s="537"/>
      <c r="TAK187" s="537"/>
      <c r="TAL187" s="537"/>
      <c r="TAM187" s="537"/>
      <c r="TAN187" s="537"/>
      <c r="TAO187" s="537"/>
      <c r="TAP187" s="537"/>
      <c r="TAQ187" s="537"/>
      <c r="TAR187" s="537"/>
      <c r="TAS187" s="537"/>
      <c r="TAT187" s="537"/>
      <c r="TAU187" s="537"/>
      <c r="TAV187" s="537"/>
      <c r="TAW187" s="537"/>
      <c r="TAX187" s="537"/>
      <c r="TAY187" s="537"/>
      <c r="TAZ187" s="537"/>
      <c r="TBA187" s="537"/>
      <c r="TBB187" s="537"/>
      <c r="TBC187" s="537"/>
      <c r="TBD187" s="537"/>
      <c r="TBE187" s="537"/>
      <c r="TBF187" s="537"/>
      <c r="TBG187" s="537"/>
      <c r="TBH187" s="537"/>
      <c r="TBI187" s="537"/>
      <c r="TBJ187" s="537"/>
      <c r="TBK187" s="537"/>
      <c r="TBL187" s="537"/>
      <c r="TBM187" s="537"/>
      <c r="TBN187" s="537"/>
      <c r="TBO187" s="537"/>
      <c r="TBP187" s="537"/>
      <c r="TBQ187" s="537"/>
      <c r="TBR187" s="537"/>
      <c r="TBS187" s="537"/>
      <c r="TBT187" s="537"/>
      <c r="TBU187" s="537"/>
      <c r="TBV187" s="537"/>
      <c r="TBW187" s="537"/>
      <c r="TBX187" s="537"/>
      <c r="TBY187" s="537"/>
      <c r="TBZ187" s="537"/>
      <c r="TCA187" s="537"/>
      <c r="TCB187" s="537"/>
      <c r="TCC187" s="537"/>
      <c r="TCD187" s="537"/>
      <c r="TCE187" s="537"/>
      <c r="TCF187" s="537"/>
      <c r="TCG187" s="537"/>
      <c r="TCH187" s="537"/>
      <c r="TCI187" s="537"/>
      <c r="TCJ187" s="537"/>
      <c r="TCK187" s="537"/>
      <c r="TCL187" s="537"/>
      <c r="TCM187" s="537"/>
      <c r="TCN187" s="537"/>
      <c r="TCO187" s="537"/>
      <c r="TCP187" s="537"/>
      <c r="TCQ187" s="537"/>
      <c r="TCR187" s="537"/>
      <c r="TCS187" s="537"/>
      <c r="TCT187" s="537"/>
      <c r="TCU187" s="537"/>
      <c r="TCV187" s="537"/>
      <c r="TCW187" s="537"/>
      <c r="TCX187" s="537"/>
      <c r="TCY187" s="537"/>
      <c r="TCZ187" s="537"/>
      <c r="TDA187" s="537"/>
      <c r="TDB187" s="537"/>
      <c r="TDC187" s="537"/>
      <c r="TDD187" s="537"/>
      <c r="TDE187" s="537"/>
      <c r="TDF187" s="537"/>
      <c r="TDG187" s="537"/>
      <c r="TDH187" s="537"/>
      <c r="TDI187" s="537"/>
      <c r="TDJ187" s="537"/>
      <c r="TDK187" s="537"/>
      <c r="TDL187" s="537"/>
      <c r="TDM187" s="537"/>
      <c r="TDN187" s="537"/>
      <c r="TDO187" s="537"/>
      <c r="TDP187" s="537"/>
      <c r="TDQ187" s="537"/>
      <c r="TDR187" s="537"/>
      <c r="TDS187" s="537"/>
      <c r="TDT187" s="537"/>
      <c r="TDU187" s="537"/>
      <c r="TDV187" s="537"/>
      <c r="TDW187" s="537"/>
      <c r="TDX187" s="537"/>
      <c r="TDY187" s="537"/>
      <c r="TDZ187" s="537"/>
      <c r="TEA187" s="537"/>
      <c r="TEB187" s="537"/>
      <c r="TEC187" s="537"/>
      <c r="TED187" s="537"/>
      <c r="TEE187" s="537"/>
      <c r="TEF187" s="537"/>
      <c r="TEG187" s="537"/>
      <c r="TEH187" s="537"/>
      <c r="TEI187" s="537"/>
      <c r="TEJ187" s="537"/>
      <c r="TEK187" s="537"/>
      <c r="TEL187" s="537"/>
      <c r="TEM187" s="537"/>
      <c r="TEN187" s="537"/>
      <c r="TEO187" s="537"/>
      <c r="TEP187" s="537"/>
      <c r="TEQ187" s="537"/>
      <c r="TER187" s="537"/>
      <c r="TES187" s="537"/>
      <c r="TET187" s="537"/>
      <c r="TEU187" s="537"/>
      <c r="TEV187" s="537"/>
      <c r="TEW187" s="537"/>
      <c r="TEX187" s="537"/>
      <c r="TEY187" s="537"/>
      <c r="TEZ187" s="537"/>
      <c r="TFA187" s="537"/>
      <c r="TFB187" s="537"/>
      <c r="TFC187" s="537"/>
      <c r="TFD187" s="537"/>
      <c r="TFE187" s="537"/>
      <c r="TFF187" s="537"/>
      <c r="TFG187" s="537"/>
      <c r="TFH187" s="537"/>
      <c r="TFI187" s="537"/>
      <c r="TFJ187" s="537"/>
      <c r="TFK187" s="537"/>
      <c r="TFL187" s="537"/>
      <c r="TFM187" s="537"/>
      <c r="TFN187" s="537"/>
      <c r="TFO187" s="537"/>
      <c r="TFP187" s="537"/>
      <c r="TFQ187" s="537"/>
      <c r="TFR187" s="537"/>
      <c r="TFS187" s="537"/>
      <c r="TFT187" s="537"/>
      <c r="TFU187" s="537"/>
      <c r="TFV187" s="537"/>
      <c r="TFW187" s="537"/>
      <c r="TFX187" s="537"/>
      <c r="TFY187" s="537"/>
      <c r="TFZ187" s="537"/>
      <c r="TGA187" s="537"/>
      <c r="TGB187" s="537"/>
      <c r="TGC187" s="537"/>
      <c r="TGD187" s="537"/>
      <c r="TGE187" s="537"/>
      <c r="TGF187" s="537"/>
      <c r="TGG187" s="537"/>
      <c r="TGH187" s="537"/>
      <c r="TGI187" s="537"/>
      <c r="TGJ187" s="537"/>
      <c r="TGK187" s="537"/>
      <c r="TGL187" s="537"/>
      <c r="TGM187" s="537"/>
      <c r="TGN187" s="537"/>
      <c r="TGO187" s="537"/>
      <c r="TGP187" s="537"/>
      <c r="TGQ187" s="537"/>
      <c r="TGR187" s="537"/>
      <c r="TGS187" s="537"/>
      <c r="TGT187" s="537"/>
      <c r="TGU187" s="537"/>
      <c r="TGV187" s="537"/>
      <c r="TGW187" s="537"/>
      <c r="TGX187" s="537"/>
      <c r="TGY187" s="537"/>
      <c r="TGZ187" s="537"/>
      <c r="THA187" s="537"/>
      <c r="THB187" s="537"/>
      <c r="THC187" s="537"/>
      <c r="THD187" s="537"/>
      <c r="THE187" s="537"/>
      <c r="THF187" s="537"/>
      <c r="THG187" s="537"/>
      <c r="THH187" s="537"/>
      <c r="THI187" s="537"/>
      <c r="THJ187" s="537"/>
      <c r="THK187" s="537"/>
      <c r="THL187" s="537"/>
      <c r="THM187" s="537"/>
      <c r="THN187" s="537"/>
      <c r="THO187" s="537"/>
      <c r="THP187" s="537"/>
      <c r="THQ187" s="537"/>
      <c r="THR187" s="537"/>
      <c r="THS187" s="537"/>
      <c r="THT187" s="537"/>
      <c r="THU187" s="537"/>
      <c r="THV187" s="537"/>
      <c r="THW187" s="537"/>
      <c r="THX187" s="537"/>
      <c r="THY187" s="537"/>
      <c r="THZ187" s="537"/>
      <c r="TIA187" s="537"/>
      <c r="TIB187" s="537"/>
      <c r="TIC187" s="537"/>
      <c r="TID187" s="537"/>
      <c r="TIE187" s="537"/>
      <c r="TIF187" s="537"/>
      <c r="TIG187" s="537"/>
      <c r="TIH187" s="537"/>
      <c r="TII187" s="537"/>
      <c r="TIJ187" s="537"/>
      <c r="TIK187" s="537"/>
      <c r="TIL187" s="537"/>
      <c r="TIM187" s="537"/>
      <c r="TIN187" s="537"/>
      <c r="TIO187" s="537"/>
      <c r="TIP187" s="537"/>
      <c r="TIQ187" s="537"/>
      <c r="TIR187" s="537"/>
      <c r="TIS187" s="537"/>
      <c r="TIT187" s="537"/>
      <c r="TIU187" s="537"/>
      <c r="TIV187" s="537"/>
      <c r="TIW187" s="537"/>
      <c r="TIX187" s="537"/>
      <c r="TIY187" s="537"/>
      <c r="TIZ187" s="537"/>
      <c r="TJA187" s="537"/>
      <c r="TJB187" s="537"/>
      <c r="TJC187" s="537"/>
      <c r="TJD187" s="537"/>
      <c r="TJE187" s="537"/>
      <c r="TJF187" s="537"/>
      <c r="TJG187" s="537"/>
      <c r="TJH187" s="537"/>
      <c r="TJI187" s="537"/>
      <c r="TJJ187" s="537"/>
      <c r="TJK187" s="537"/>
      <c r="TJL187" s="537"/>
      <c r="TJM187" s="537"/>
      <c r="TJN187" s="537"/>
      <c r="TJO187" s="537"/>
      <c r="TJP187" s="537"/>
      <c r="TJQ187" s="537"/>
      <c r="TJR187" s="537"/>
      <c r="TJS187" s="537"/>
      <c r="TJT187" s="537"/>
      <c r="TJU187" s="537"/>
      <c r="TJV187" s="537"/>
      <c r="TJW187" s="537"/>
      <c r="TJX187" s="537"/>
      <c r="TJY187" s="537"/>
      <c r="TJZ187" s="537"/>
      <c r="TKA187" s="537"/>
      <c r="TKB187" s="537"/>
      <c r="TKC187" s="537"/>
      <c r="TKD187" s="537"/>
      <c r="TKE187" s="537"/>
      <c r="TKF187" s="537"/>
      <c r="TKG187" s="537"/>
      <c r="TKH187" s="537"/>
      <c r="TKI187" s="537"/>
      <c r="TKJ187" s="537"/>
      <c r="TKK187" s="537"/>
      <c r="TKL187" s="537"/>
      <c r="TKM187" s="537"/>
      <c r="TKN187" s="537"/>
      <c r="TKO187" s="537"/>
      <c r="TKP187" s="537"/>
      <c r="TKQ187" s="537"/>
      <c r="TKR187" s="537"/>
      <c r="TKS187" s="537"/>
      <c r="TKT187" s="537"/>
      <c r="TKU187" s="537"/>
      <c r="TKV187" s="537"/>
      <c r="TKW187" s="537"/>
      <c r="TKX187" s="537"/>
      <c r="TKY187" s="537"/>
      <c r="TKZ187" s="537"/>
      <c r="TLA187" s="537"/>
      <c r="TLB187" s="537"/>
      <c r="TLC187" s="537"/>
      <c r="TLD187" s="537"/>
      <c r="TLE187" s="537"/>
      <c r="TLF187" s="537"/>
      <c r="TLG187" s="537"/>
      <c r="TLH187" s="537"/>
      <c r="TLI187" s="537"/>
      <c r="TLJ187" s="537"/>
      <c r="TLK187" s="537"/>
      <c r="TLL187" s="537"/>
      <c r="TLM187" s="537"/>
      <c r="TLN187" s="537"/>
      <c r="TLO187" s="537"/>
      <c r="TLP187" s="537"/>
      <c r="TLQ187" s="537"/>
      <c r="TLR187" s="537"/>
      <c r="TLS187" s="537"/>
      <c r="TLT187" s="537"/>
      <c r="TLU187" s="537"/>
      <c r="TLV187" s="537"/>
      <c r="TLW187" s="537"/>
      <c r="TLX187" s="537"/>
      <c r="TLY187" s="537"/>
      <c r="TLZ187" s="537"/>
      <c r="TMA187" s="537"/>
      <c r="TMB187" s="537"/>
      <c r="TMC187" s="537"/>
      <c r="TMD187" s="537"/>
      <c r="TME187" s="537"/>
      <c r="TMF187" s="537"/>
      <c r="TMG187" s="537"/>
      <c r="TMH187" s="537"/>
      <c r="TMI187" s="537"/>
      <c r="TMJ187" s="537"/>
      <c r="TMK187" s="537"/>
      <c r="TML187" s="537"/>
      <c r="TMM187" s="537"/>
      <c r="TMN187" s="537"/>
      <c r="TMO187" s="537"/>
      <c r="TMP187" s="537"/>
      <c r="TMQ187" s="537"/>
      <c r="TMR187" s="537"/>
      <c r="TMS187" s="537"/>
      <c r="TMT187" s="537"/>
      <c r="TMU187" s="537"/>
      <c r="TMV187" s="537"/>
      <c r="TMW187" s="537"/>
      <c r="TMX187" s="537"/>
      <c r="TMY187" s="537"/>
      <c r="TMZ187" s="537"/>
      <c r="TNA187" s="537"/>
      <c r="TNB187" s="537"/>
      <c r="TNC187" s="537"/>
      <c r="TND187" s="537"/>
      <c r="TNE187" s="537"/>
      <c r="TNF187" s="537"/>
      <c r="TNG187" s="537"/>
      <c r="TNH187" s="537"/>
      <c r="TNI187" s="537"/>
      <c r="TNJ187" s="537"/>
      <c r="TNK187" s="537"/>
      <c r="TNL187" s="537"/>
      <c r="TNM187" s="537"/>
      <c r="TNN187" s="537"/>
      <c r="TNO187" s="537"/>
      <c r="TNP187" s="537"/>
      <c r="TNQ187" s="537"/>
      <c r="TNR187" s="537"/>
      <c r="TNS187" s="537"/>
      <c r="TNT187" s="537"/>
      <c r="TNU187" s="537"/>
      <c r="TNV187" s="537"/>
      <c r="TNW187" s="537"/>
      <c r="TNX187" s="537"/>
      <c r="TNY187" s="537"/>
      <c r="TNZ187" s="537"/>
      <c r="TOA187" s="537"/>
      <c r="TOB187" s="537"/>
      <c r="TOC187" s="537"/>
      <c r="TOD187" s="537"/>
      <c r="TOE187" s="537"/>
      <c r="TOF187" s="537"/>
      <c r="TOG187" s="537"/>
      <c r="TOH187" s="537"/>
      <c r="TOI187" s="537"/>
      <c r="TOJ187" s="537"/>
      <c r="TOK187" s="537"/>
      <c r="TOL187" s="537"/>
      <c r="TOM187" s="537"/>
      <c r="TON187" s="537"/>
      <c r="TOO187" s="537"/>
      <c r="TOP187" s="537"/>
      <c r="TOQ187" s="537"/>
      <c r="TOR187" s="537"/>
      <c r="TOS187" s="537"/>
      <c r="TOT187" s="537"/>
      <c r="TOU187" s="537"/>
      <c r="TOV187" s="537"/>
      <c r="TOW187" s="537"/>
      <c r="TOX187" s="537"/>
      <c r="TOY187" s="537"/>
      <c r="TOZ187" s="537"/>
      <c r="TPA187" s="537"/>
      <c r="TPB187" s="537"/>
      <c r="TPC187" s="537"/>
      <c r="TPD187" s="537"/>
      <c r="TPE187" s="537"/>
      <c r="TPF187" s="537"/>
      <c r="TPG187" s="537"/>
      <c r="TPH187" s="537"/>
      <c r="TPI187" s="537"/>
      <c r="TPJ187" s="537"/>
      <c r="TPK187" s="537"/>
      <c r="TPL187" s="537"/>
      <c r="TPM187" s="537"/>
      <c r="TPN187" s="537"/>
      <c r="TPO187" s="537"/>
      <c r="TPP187" s="537"/>
      <c r="TPQ187" s="537"/>
      <c r="TPR187" s="537"/>
      <c r="TPS187" s="537"/>
      <c r="TPT187" s="537"/>
      <c r="TPU187" s="537"/>
      <c r="TPV187" s="537"/>
      <c r="TPW187" s="537"/>
      <c r="TPX187" s="537"/>
      <c r="TPY187" s="537"/>
      <c r="TPZ187" s="537"/>
      <c r="TQA187" s="537"/>
      <c r="TQB187" s="537"/>
      <c r="TQC187" s="537"/>
      <c r="TQD187" s="537"/>
      <c r="TQE187" s="537"/>
      <c r="TQF187" s="537"/>
      <c r="TQG187" s="537"/>
      <c r="TQH187" s="537"/>
      <c r="TQI187" s="537"/>
      <c r="TQJ187" s="537"/>
      <c r="TQK187" s="537"/>
      <c r="TQL187" s="537"/>
      <c r="TQM187" s="537"/>
      <c r="TQN187" s="537"/>
      <c r="TQO187" s="537"/>
      <c r="TQP187" s="537"/>
      <c r="TQQ187" s="537"/>
      <c r="TQR187" s="537"/>
      <c r="TQS187" s="537"/>
      <c r="TQT187" s="537"/>
      <c r="TQU187" s="537"/>
      <c r="TQV187" s="537"/>
      <c r="TQW187" s="537"/>
      <c r="TQX187" s="537"/>
      <c r="TQY187" s="537"/>
      <c r="TQZ187" s="537"/>
      <c r="TRA187" s="537"/>
      <c r="TRB187" s="537"/>
      <c r="TRC187" s="537"/>
      <c r="TRD187" s="537"/>
      <c r="TRE187" s="537"/>
      <c r="TRF187" s="537"/>
      <c r="TRG187" s="537"/>
      <c r="TRH187" s="537"/>
      <c r="TRI187" s="537"/>
      <c r="TRJ187" s="537"/>
      <c r="TRK187" s="537"/>
      <c r="TRL187" s="537"/>
      <c r="TRM187" s="537"/>
      <c r="TRN187" s="537"/>
      <c r="TRO187" s="537"/>
      <c r="TRP187" s="537"/>
      <c r="TRQ187" s="537"/>
      <c r="TRR187" s="537"/>
      <c r="TRS187" s="537"/>
      <c r="TRT187" s="537"/>
      <c r="TRU187" s="537"/>
      <c r="TRV187" s="537"/>
      <c r="TRW187" s="537"/>
      <c r="TRX187" s="537"/>
      <c r="TRY187" s="537"/>
      <c r="TRZ187" s="537"/>
      <c r="TSA187" s="537"/>
      <c r="TSB187" s="537"/>
      <c r="TSC187" s="537"/>
      <c r="TSD187" s="537"/>
      <c r="TSE187" s="537"/>
      <c r="TSF187" s="537"/>
      <c r="TSG187" s="537"/>
      <c r="TSH187" s="537"/>
      <c r="TSI187" s="537"/>
      <c r="TSJ187" s="537"/>
      <c r="TSK187" s="537"/>
      <c r="TSL187" s="537"/>
      <c r="TSM187" s="537"/>
      <c r="TSN187" s="537"/>
      <c r="TSO187" s="537"/>
      <c r="TSP187" s="537"/>
      <c r="TSQ187" s="537"/>
      <c r="TSR187" s="537"/>
      <c r="TSS187" s="537"/>
      <c r="TST187" s="537"/>
      <c r="TSU187" s="537"/>
      <c r="TSV187" s="537"/>
      <c r="TSW187" s="537"/>
      <c r="TSX187" s="537"/>
      <c r="TSY187" s="537"/>
      <c r="TSZ187" s="537"/>
      <c r="TTA187" s="537"/>
      <c r="TTB187" s="537"/>
      <c r="TTC187" s="537"/>
      <c r="TTD187" s="537"/>
      <c r="TTE187" s="537"/>
      <c r="TTF187" s="537"/>
      <c r="TTG187" s="537"/>
      <c r="TTH187" s="537"/>
      <c r="TTI187" s="537"/>
      <c r="TTJ187" s="537"/>
      <c r="TTK187" s="537"/>
      <c r="TTL187" s="537"/>
      <c r="TTM187" s="537"/>
      <c r="TTN187" s="537"/>
      <c r="TTO187" s="537"/>
      <c r="TTP187" s="537"/>
      <c r="TTQ187" s="537"/>
      <c r="TTR187" s="537"/>
      <c r="TTS187" s="537"/>
      <c r="TTT187" s="537"/>
      <c r="TTU187" s="537"/>
      <c r="TTV187" s="537"/>
      <c r="TTW187" s="537"/>
      <c r="TTX187" s="537"/>
      <c r="TTY187" s="537"/>
      <c r="TTZ187" s="537"/>
      <c r="TUA187" s="537"/>
      <c r="TUB187" s="537"/>
      <c r="TUC187" s="537"/>
      <c r="TUD187" s="537"/>
      <c r="TUE187" s="537"/>
      <c r="TUF187" s="537"/>
      <c r="TUG187" s="537"/>
      <c r="TUH187" s="537"/>
      <c r="TUI187" s="537"/>
      <c r="TUJ187" s="537"/>
      <c r="TUK187" s="537"/>
      <c r="TUL187" s="537"/>
      <c r="TUM187" s="537"/>
      <c r="TUN187" s="537"/>
      <c r="TUO187" s="537"/>
      <c r="TUP187" s="537"/>
      <c r="TUQ187" s="537"/>
      <c r="TUR187" s="537"/>
      <c r="TUS187" s="537"/>
      <c r="TUT187" s="537"/>
      <c r="TUU187" s="537"/>
      <c r="TUV187" s="537"/>
      <c r="TUW187" s="537"/>
      <c r="TUX187" s="537"/>
      <c r="TUY187" s="537"/>
      <c r="TUZ187" s="537"/>
      <c r="TVA187" s="537"/>
      <c r="TVB187" s="537"/>
      <c r="TVC187" s="537"/>
      <c r="TVD187" s="537"/>
      <c r="TVE187" s="537"/>
      <c r="TVF187" s="537"/>
      <c r="TVG187" s="537"/>
      <c r="TVH187" s="537"/>
      <c r="TVI187" s="537"/>
      <c r="TVJ187" s="537"/>
      <c r="TVK187" s="537"/>
      <c r="TVL187" s="537"/>
      <c r="TVM187" s="537"/>
      <c r="TVN187" s="537"/>
      <c r="TVO187" s="537"/>
      <c r="TVP187" s="537"/>
      <c r="TVQ187" s="537"/>
      <c r="TVR187" s="537"/>
      <c r="TVS187" s="537"/>
      <c r="TVT187" s="537"/>
      <c r="TVU187" s="537"/>
      <c r="TVV187" s="537"/>
      <c r="TVW187" s="537"/>
      <c r="TVX187" s="537"/>
      <c r="TVY187" s="537"/>
      <c r="TVZ187" s="537"/>
      <c r="TWA187" s="537"/>
      <c r="TWB187" s="537"/>
      <c r="TWC187" s="537"/>
      <c r="TWD187" s="537"/>
      <c r="TWE187" s="537"/>
      <c r="TWF187" s="537"/>
      <c r="TWG187" s="537"/>
      <c r="TWH187" s="537"/>
      <c r="TWI187" s="537"/>
      <c r="TWJ187" s="537"/>
      <c r="TWK187" s="537"/>
      <c r="TWL187" s="537"/>
      <c r="TWM187" s="537"/>
      <c r="TWN187" s="537"/>
      <c r="TWO187" s="537"/>
      <c r="TWP187" s="537"/>
      <c r="TWQ187" s="537"/>
      <c r="TWR187" s="537"/>
      <c r="TWS187" s="537"/>
      <c r="TWT187" s="537"/>
      <c r="TWU187" s="537"/>
      <c r="TWV187" s="537"/>
      <c r="TWW187" s="537"/>
      <c r="TWX187" s="537"/>
      <c r="TWY187" s="537"/>
      <c r="TWZ187" s="537"/>
      <c r="TXA187" s="537"/>
      <c r="TXB187" s="537"/>
      <c r="TXC187" s="537"/>
      <c r="TXD187" s="537"/>
      <c r="TXE187" s="537"/>
      <c r="TXF187" s="537"/>
      <c r="TXG187" s="537"/>
      <c r="TXH187" s="537"/>
      <c r="TXI187" s="537"/>
      <c r="TXJ187" s="537"/>
      <c r="TXK187" s="537"/>
      <c r="TXL187" s="537"/>
      <c r="TXM187" s="537"/>
      <c r="TXN187" s="537"/>
      <c r="TXO187" s="537"/>
      <c r="TXP187" s="537"/>
      <c r="TXQ187" s="537"/>
      <c r="TXR187" s="537"/>
      <c r="TXS187" s="537"/>
      <c r="TXT187" s="537"/>
      <c r="TXU187" s="537"/>
      <c r="TXV187" s="537"/>
      <c r="TXW187" s="537"/>
      <c r="TXX187" s="537"/>
      <c r="TXY187" s="537"/>
      <c r="TXZ187" s="537"/>
      <c r="TYA187" s="537"/>
      <c r="TYB187" s="537"/>
      <c r="TYC187" s="537"/>
      <c r="TYD187" s="537"/>
      <c r="TYE187" s="537"/>
      <c r="TYF187" s="537"/>
      <c r="TYG187" s="537"/>
      <c r="TYH187" s="537"/>
      <c r="TYI187" s="537"/>
      <c r="TYJ187" s="537"/>
      <c r="TYK187" s="537"/>
      <c r="TYL187" s="537"/>
      <c r="TYM187" s="537"/>
      <c r="TYN187" s="537"/>
      <c r="TYO187" s="537"/>
      <c r="TYP187" s="537"/>
      <c r="TYQ187" s="537"/>
      <c r="TYR187" s="537"/>
      <c r="TYS187" s="537"/>
      <c r="TYT187" s="537"/>
      <c r="TYU187" s="537"/>
      <c r="TYV187" s="537"/>
      <c r="TYW187" s="537"/>
      <c r="TYX187" s="537"/>
      <c r="TYY187" s="537"/>
      <c r="TYZ187" s="537"/>
      <c r="TZA187" s="537"/>
      <c r="TZB187" s="537"/>
      <c r="TZC187" s="537"/>
      <c r="TZD187" s="537"/>
      <c r="TZE187" s="537"/>
      <c r="TZF187" s="537"/>
      <c r="TZG187" s="537"/>
      <c r="TZH187" s="537"/>
      <c r="TZI187" s="537"/>
      <c r="TZJ187" s="537"/>
      <c r="TZK187" s="537"/>
      <c r="TZL187" s="537"/>
      <c r="TZM187" s="537"/>
      <c r="TZN187" s="537"/>
      <c r="TZO187" s="537"/>
      <c r="TZP187" s="537"/>
      <c r="TZQ187" s="537"/>
      <c r="TZR187" s="537"/>
      <c r="TZS187" s="537"/>
      <c r="TZT187" s="537"/>
      <c r="TZU187" s="537"/>
      <c r="TZV187" s="537"/>
      <c r="TZW187" s="537"/>
      <c r="TZX187" s="537"/>
      <c r="TZY187" s="537"/>
      <c r="TZZ187" s="537"/>
      <c r="UAA187" s="537"/>
      <c r="UAB187" s="537"/>
      <c r="UAC187" s="537"/>
      <c r="UAD187" s="537"/>
      <c r="UAE187" s="537"/>
      <c r="UAF187" s="537"/>
      <c r="UAG187" s="537"/>
      <c r="UAH187" s="537"/>
      <c r="UAI187" s="537"/>
      <c r="UAJ187" s="537"/>
      <c r="UAK187" s="537"/>
      <c r="UAL187" s="537"/>
      <c r="UAM187" s="537"/>
      <c r="UAN187" s="537"/>
      <c r="UAO187" s="537"/>
      <c r="UAP187" s="537"/>
      <c r="UAQ187" s="537"/>
      <c r="UAR187" s="537"/>
      <c r="UAS187" s="537"/>
      <c r="UAT187" s="537"/>
      <c r="UAU187" s="537"/>
      <c r="UAV187" s="537"/>
      <c r="UAW187" s="537"/>
      <c r="UAX187" s="537"/>
      <c r="UAY187" s="537"/>
      <c r="UAZ187" s="537"/>
      <c r="UBA187" s="537"/>
      <c r="UBB187" s="537"/>
      <c r="UBC187" s="537"/>
      <c r="UBD187" s="537"/>
      <c r="UBE187" s="537"/>
      <c r="UBF187" s="537"/>
      <c r="UBG187" s="537"/>
      <c r="UBH187" s="537"/>
      <c r="UBI187" s="537"/>
      <c r="UBJ187" s="537"/>
      <c r="UBK187" s="537"/>
      <c r="UBL187" s="537"/>
      <c r="UBM187" s="537"/>
      <c r="UBN187" s="537"/>
      <c r="UBO187" s="537"/>
      <c r="UBP187" s="537"/>
      <c r="UBQ187" s="537"/>
      <c r="UBR187" s="537"/>
      <c r="UBS187" s="537"/>
      <c r="UBT187" s="537"/>
      <c r="UBU187" s="537"/>
      <c r="UBV187" s="537"/>
      <c r="UBW187" s="537"/>
      <c r="UBX187" s="537"/>
      <c r="UBY187" s="537"/>
      <c r="UBZ187" s="537"/>
      <c r="UCA187" s="537"/>
      <c r="UCB187" s="537"/>
      <c r="UCC187" s="537"/>
      <c r="UCD187" s="537"/>
      <c r="UCE187" s="537"/>
      <c r="UCF187" s="537"/>
      <c r="UCG187" s="537"/>
      <c r="UCH187" s="537"/>
      <c r="UCI187" s="537"/>
      <c r="UCJ187" s="537"/>
      <c r="UCK187" s="537"/>
      <c r="UCL187" s="537"/>
      <c r="UCM187" s="537"/>
      <c r="UCN187" s="537"/>
      <c r="UCO187" s="537"/>
      <c r="UCP187" s="537"/>
      <c r="UCQ187" s="537"/>
      <c r="UCR187" s="537"/>
      <c r="UCS187" s="537"/>
      <c r="UCT187" s="537"/>
      <c r="UCU187" s="537"/>
      <c r="UCV187" s="537"/>
      <c r="UCW187" s="537"/>
      <c r="UCX187" s="537"/>
      <c r="UCY187" s="537"/>
      <c r="UCZ187" s="537"/>
      <c r="UDA187" s="537"/>
      <c r="UDB187" s="537"/>
      <c r="UDC187" s="537"/>
      <c r="UDD187" s="537"/>
      <c r="UDE187" s="537"/>
      <c r="UDF187" s="537"/>
      <c r="UDG187" s="537"/>
      <c r="UDH187" s="537"/>
      <c r="UDI187" s="537"/>
      <c r="UDJ187" s="537"/>
      <c r="UDK187" s="537"/>
      <c r="UDL187" s="537"/>
      <c r="UDM187" s="537"/>
      <c r="UDN187" s="537"/>
      <c r="UDO187" s="537"/>
      <c r="UDP187" s="537"/>
      <c r="UDQ187" s="537"/>
      <c r="UDR187" s="537"/>
      <c r="UDS187" s="537"/>
      <c r="UDT187" s="537"/>
      <c r="UDU187" s="537"/>
      <c r="UDV187" s="537"/>
      <c r="UDW187" s="537"/>
      <c r="UDX187" s="537"/>
      <c r="UDY187" s="537"/>
      <c r="UDZ187" s="537"/>
      <c r="UEA187" s="537"/>
      <c r="UEB187" s="537"/>
      <c r="UEC187" s="537"/>
      <c r="UED187" s="537"/>
      <c r="UEE187" s="537"/>
      <c r="UEF187" s="537"/>
      <c r="UEG187" s="537"/>
      <c r="UEH187" s="537"/>
      <c r="UEI187" s="537"/>
      <c r="UEJ187" s="537"/>
      <c r="UEK187" s="537"/>
      <c r="UEL187" s="537"/>
      <c r="UEM187" s="537"/>
      <c r="UEN187" s="537"/>
      <c r="UEO187" s="537"/>
      <c r="UEP187" s="537"/>
      <c r="UEQ187" s="537"/>
      <c r="UER187" s="537"/>
      <c r="UES187" s="537"/>
      <c r="UET187" s="537"/>
      <c r="UEU187" s="537"/>
      <c r="UEV187" s="537"/>
      <c r="UEW187" s="537"/>
      <c r="UEX187" s="537"/>
      <c r="UEY187" s="537"/>
      <c r="UEZ187" s="537"/>
      <c r="UFA187" s="537"/>
      <c r="UFB187" s="537"/>
      <c r="UFC187" s="537"/>
      <c r="UFD187" s="537"/>
      <c r="UFE187" s="537"/>
      <c r="UFF187" s="537"/>
      <c r="UFG187" s="537"/>
      <c r="UFH187" s="537"/>
      <c r="UFI187" s="537"/>
      <c r="UFJ187" s="537"/>
      <c r="UFK187" s="537"/>
      <c r="UFL187" s="537"/>
      <c r="UFM187" s="537"/>
      <c r="UFN187" s="537"/>
      <c r="UFO187" s="537"/>
      <c r="UFP187" s="537"/>
      <c r="UFQ187" s="537"/>
      <c r="UFR187" s="537"/>
      <c r="UFS187" s="537"/>
      <c r="UFT187" s="537"/>
      <c r="UFU187" s="537"/>
      <c r="UFV187" s="537"/>
      <c r="UFW187" s="537"/>
      <c r="UFX187" s="537"/>
      <c r="UFY187" s="537"/>
      <c r="UFZ187" s="537"/>
      <c r="UGA187" s="537"/>
      <c r="UGB187" s="537"/>
      <c r="UGC187" s="537"/>
      <c r="UGD187" s="537"/>
      <c r="UGE187" s="537"/>
      <c r="UGF187" s="537"/>
      <c r="UGG187" s="537"/>
      <c r="UGH187" s="537"/>
      <c r="UGI187" s="537"/>
      <c r="UGJ187" s="537"/>
      <c r="UGK187" s="537"/>
      <c r="UGL187" s="537"/>
      <c r="UGM187" s="537"/>
      <c r="UGN187" s="537"/>
      <c r="UGO187" s="537"/>
      <c r="UGP187" s="537"/>
      <c r="UGQ187" s="537"/>
      <c r="UGR187" s="537"/>
      <c r="UGS187" s="537"/>
      <c r="UGT187" s="537"/>
      <c r="UGU187" s="537"/>
      <c r="UGV187" s="537"/>
      <c r="UGW187" s="537"/>
      <c r="UGX187" s="537"/>
      <c r="UGY187" s="537"/>
      <c r="UGZ187" s="537"/>
      <c r="UHA187" s="537"/>
      <c r="UHB187" s="537"/>
      <c r="UHC187" s="537"/>
      <c r="UHD187" s="537"/>
      <c r="UHE187" s="537"/>
      <c r="UHF187" s="537"/>
      <c r="UHG187" s="537"/>
      <c r="UHH187" s="537"/>
      <c r="UHI187" s="537"/>
      <c r="UHJ187" s="537"/>
      <c r="UHK187" s="537"/>
      <c r="UHL187" s="537"/>
      <c r="UHM187" s="537"/>
      <c r="UHN187" s="537"/>
      <c r="UHO187" s="537"/>
      <c r="UHP187" s="537"/>
      <c r="UHQ187" s="537"/>
      <c r="UHR187" s="537"/>
      <c r="UHS187" s="537"/>
      <c r="UHT187" s="537"/>
      <c r="UHU187" s="537"/>
      <c r="UHV187" s="537"/>
      <c r="UHW187" s="537"/>
      <c r="UHX187" s="537"/>
      <c r="UHY187" s="537"/>
      <c r="UHZ187" s="537"/>
      <c r="UIA187" s="537"/>
      <c r="UIB187" s="537"/>
      <c r="UIC187" s="537"/>
      <c r="UID187" s="537"/>
      <c r="UIE187" s="537"/>
      <c r="UIF187" s="537"/>
      <c r="UIG187" s="537"/>
      <c r="UIH187" s="537"/>
      <c r="UII187" s="537"/>
      <c r="UIJ187" s="537"/>
      <c r="UIK187" s="537"/>
      <c r="UIL187" s="537"/>
      <c r="UIM187" s="537"/>
      <c r="UIN187" s="537"/>
      <c r="UIO187" s="537"/>
      <c r="UIP187" s="537"/>
      <c r="UIQ187" s="537"/>
      <c r="UIR187" s="537"/>
      <c r="UIS187" s="537"/>
      <c r="UIT187" s="537"/>
      <c r="UIU187" s="537"/>
      <c r="UIV187" s="537"/>
      <c r="UIW187" s="537"/>
      <c r="UIX187" s="537"/>
      <c r="UIY187" s="537"/>
      <c r="UIZ187" s="537"/>
      <c r="UJA187" s="537"/>
      <c r="UJB187" s="537"/>
      <c r="UJC187" s="537"/>
      <c r="UJD187" s="537"/>
      <c r="UJE187" s="537"/>
      <c r="UJF187" s="537"/>
      <c r="UJG187" s="537"/>
      <c r="UJH187" s="537"/>
      <c r="UJI187" s="537"/>
      <c r="UJJ187" s="537"/>
      <c r="UJK187" s="537"/>
      <c r="UJL187" s="537"/>
      <c r="UJM187" s="537"/>
      <c r="UJN187" s="537"/>
      <c r="UJO187" s="537"/>
      <c r="UJP187" s="537"/>
      <c r="UJQ187" s="537"/>
      <c r="UJR187" s="537"/>
      <c r="UJS187" s="537"/>
      <c r="UJT187" s="537"/>
      <c r="UJU187" s="537"/>
      <c r="UJV187" s="537"/>
      <c r="UJW187" s="537"/>
      <c r="UJX187" s="537"/>
      <c r="UJY187" s="537"/>
      <c r="UJZ187" s="537"/>
      <c r="UKA187" s="537"/>
      <c r="UKB187" s="537"/>
      <c r="UKC187" s="537"/>
      <c r="UKD187" s="537"/>
      <c r="UKE187" s="537"/>
      <c r="UKF187" s="537"/>
      <c r="UKG187" s="537"/>
      <c r="UKH187" s="537"/>
      <c r="UKI187" s="537"/>
      <c r="UKJ187" s="537"/>
      <c r="UKK187" s="537"/>
      <c r="UKL187" s="537"/>
      <c r="UKM187" s="537"/>
      <c r="UKN187" s="537"/>
      <c r="UKO187" s="537"/>
      <c r="UKP187" s="537"/>
      <c r="UKQ187" s="537"/>
      <c r="UKR187" s="537"/>
      <c r="UKS187" s="537"/>
      <c r="UKT187" s="537"/>
      <c r="UKU187" s="537"/>
      <c r="UKV187" s="537"/>
      <c r="UKW187" s="537"/>
      <c r="UKX187" s="537"/>
      <c r="UKY187" s="537"/>
      <c r="UKZ187" s="537"/>
      <c r="ULA187" s="537"/>
      <c r="ULB187" s="537"/>
      <c r="ULC187" s="537"/>
      <c r="ULD187" s="537"/>
      <c r="ULE187" s="537"/>
      <c r="ULF187" s="537"/>
      <c r="ULG187" s="537"/>
      <c r="ULH187" s="537"/>
      <c r="ULI187" s="537"/>
      <c r="ULJ187" s="537"/>
      <c r="ULK187" s="537"/>
      <c r="ULL187" s="537"/>
      <c r="ULM187" s="537"/>
      <c r="ULN187" s="537"/>
      <c r="ULO187" s="537"/>
      <c r="ULP187" s="537"/>
      <c r="ULQ187" s="537"/>
      <c r="ULR187" s="537"/>
      <c r="ULS187" s="537"/>
      <c r="ULT187" s="537"/>
      <c r="ULU187" s="537"/>
      <c r="ULV187" s="537"/>
      <c r="ULW187" s="537"/>
      <c r="ULX187" s="537"/>
      <c r="ULY187" s="537"/>
      <c r="ULZ187" s="537"/>
      <c r="UMA187" s="537"/>
      <c r="UMB187" s="537"/>
      <c r="UMC187" s="537"/>
      <c r="UMD187" s="537"/>
      <c r="UME187" s="537"/>
      <c r="UMF187" s="537"/>
      <c r="UMG187" s="537"/>
      <c r="UMH187" s="537"/>
      <c r="UMI187" s="537"/>
      <c r="UMJ187" s="537"/>
      <c r="UMK187" s="537"/>
      <c r="UML187" s="537"/>
      <c r="UMM187" s="537"/>
      <c r="UMN187" s="537"/>
      <c r="UMO187" s="537"/>
      <c r="UMP187" s="537"/>
      <c r="UMQ187" s="537"/>
      <c r="UMR187" s="537"/>
      <c r="UMS187" s="537"/>
      <c r="UMT187" s="537"/>
      <c r="UMU187" s="537"/>
      <c r="UMV187" s="537"/>
      <c r="UMW187" s="537"/>
      <c r="UMX187" s="537"/>
      <c r="UMY187" s="537"/>
      <c r="UMZ187" s="537"/>
      <c r="UNA187" s="537"/>
      <c r="UNB187" s="537"/>
      <c r="UNC187" s="537"/>
      <c r="UND187" s="537"/>
      <c r="UNE187" s="537"/>
      <c r="UNF187" s="537"/>
      <c r="UNG187" s="537"/>
      <c r="UNH187" s="537"/>
      <c r="UNI187" s="537"/>
      <c r="UNJ187" s="537"/>
      <c r="UNK187" s="537"/>
      <c r="UNL187" s="537"/>
      <c r="UNM187" s="537"/>
      <c r="UNN187" s="537"/>
      <c r="UNO187" s="537"/>
      <c r="UNP187" s="537"/>
      <c r="UNQ187" s="537"/>
      <c r="UNR187" s="537"/>
      <c r="UNS187" s="537"/>
      <c r="UNT187" s="537"/>
      <c r="UNU187" s="537"/>
      <c r="UNV187" s="537"/>
      <c r="UNW187" s="537"/>
      <c r="UNX187" s="537"/>
      <c r="UNY187" s="537"/>
      <c r="UNZ187" s="537"/>
      <c r="UOA187" s="537"/>
      <c r="UOB187" s="537"/>
      <c r="UOC187" s="537"/>
      <c r="UOD187" s="537"/>
      <c r="UOE187" s="537"/>
      <c r="UOF187" s="537"/>
      <c r="UOG187" s="537"/>
      <c r="UOH187" s="537"/>
      <c r="UOI187" s="537"/>
      <c r="UOJ187" s="537"/>
      <c r="UOK187" s="537"/>
      <c r="UOL187" s="537"/>
      <c r="UOM187" s="537"/>
      <c r="UON187" s="537"/>
      <c r="UOO187" s="537"/>
      <c r="UOP187" s="537"/>
      <c r="UOQ187" s="537"/>
      <c r="UOR187" s="537"/>
      <c r="UOS187" s="537"/>
      <c r="UOT187" s="537"/>
      <c r="UOU187" s="537"/>
      <c r="UOV187" s="537"/>
      <c r="UOW187" s="537"/>
      <c r="UOX187" s="537"/>
      <c r="UOY187" s="537"/>
      <c r="UOZ187" s="537"/>
      <c r="UPA187" s="537"/>
      <c r="UPB187" s="537"/>
      <c r="UPC187" s="537"/>
      <c r="UPD187" s="537"/>
      <c r="UPE187" s="537"/>
      <c r="UPF187" s="537"/>
      <c r="UPG187" s="537"/>
      <c r="UPH187" s="537"/>
      <c r="UPI187" s="537"/>
      <c r="UPJ187" s="537"/>
      <c r="UPK187" s="537"/>
      <c r="UPL187" s="537"/>
      <c r="UPM187" s="537"/>
      <c r="UPN187" s="537"/>
      <c r="UPO187" s="537"/>
      <c r="UPP187" s="537"/>
      <c r="UPQ187" s="537"/>
      <c r="UPR187" s="537"/>
      <c r="UPS187" s="537"/>
      <c r="UPT187" s="537"/>
      <c r="UPU187" s="537"/>
      <c r="UPV187" s="537"/>
      <c r="UPW187" s="537"/>
      <c r="UPX187" s="537"/>
      <c r="UPY187" s="537"/>
      <c r="UPZ187" s="537"/>
      <c r="UQA187" s="537"/>
      <c r="UQB187" s="537"/>
      <c r="UQC187" s="537"/>
      <c r="UQD187" s="537"/>
      <c r="UQE187" s="537"/>
      <c r="UQF187" s="537"/>
      <c r="UQG187" s="537"/>
      <c r="UQH187" s="537"/>
      <c r="UQI187" s="537"/>
      <c r="UQJ187" s="537"/>
      <c r="UQK187" s="537"/>
      <c r="UQL187" s="537"/>
      <c r="UQM187" s="537"/>
      <c r="UQN187" s="537"/>
      <c r="UQO187" s="537"/>
      <c r="UQP187" s="537"/>
      <c r="UQQ187" s="537"/>
      <c r="UQR187" s="537"/>
      <c r="UQS187" s="537"/>
      <c r="UQT187" s="537"/>
      <c r="UQU187" s="537"/>
      <c r="UQV187" s="537"/>
      <c r="UQW187" s="537"/>
      <c r="UQX187" s="537"/>
      <c r="UQY187" s="537"/>
      <c r="UQZ187" s="537"/>
      <c r="URA187" s="537"/>
      <c r="URB187" s="537"/>
      <c r="URC187" s="537"/>
      <c r="URD187" s="537"/>
      <c r="URE187" s="537"/>
      <c r="URF187" s="537"/>
      <c r="URG187" s="537"/>
      <c r="URH187" s="537"/>
      <c r="URI187" s="537"/>
      <c r="URJ187" s="537"/>
      <c r="URK187" s="537"/>
      <c r="URL187" s="537"/>
      <c r="URM187" s="537"/>
      <c r="URN187" s="537"/>
      <c r="URO187" s="537"/>
      <c r="URP187" s="537"/>
      <c r="URQ187" s="537"/>
      <c r="URR187" s="537"/>
      <c r="URS187" s="537"/>
      <c r="URT187" s="537"/>
      <c r="URU187" s="537"/>
      <c r="URV187" s="537"/>
      <c r="URW187" s="537"/>
      <c r="URX187" s="537"/>
      <c r="URY187" s="537"/>
      <c r="URZ187" s="537"/>
      <c r="USA187" s="537"/>
      <c r="USB187" s="537"/>
      <c r="USC187" s="537"/>
      <c r="USD187" s="537"/>
      <c r="USE187" s="537"/>
      <c r="USF187" s="537"/>
      <c r="USG187" s="537"/>
      <c r="USH187" s="537"/>
      <c r="USI187" s="537"/>
      <c r="USJ187" s="537"/>
      <c r="USK187" s="537"/>
      <c r="USL187" s="537"/>
      <c r="USM187" s="537"/>
      <c r="USN187" s="537"/>
      <c r="USO187" s="537"/>
      <c r="USP187" s="537"/>
      <c r="USQ187" s="537"/>
      <c r="USR187" s="537"/>
      <c r="USS187" s="537"/>
      <c r="UST187" s="537"/>
      <c r="USU187" s="537"/>
      <c r="USV187" s="537"/>
      <c r="USW187" s="537"/>
      <c r="USX187" s="537"/>
      <c r="USY187" s="537"/>
      <c r="USZ187" s="537"/>
      <c r="UTA187" s="537"/>
      <c r="UTB187" s="537"/>
      <c r="UTC187" s="537"/>
      <c r="UTD187" s="537"/>
      <c r="UTE187" s="537"/>
      <c r="UTF187" s="537"/>
      <c r="UTG187" s="537"/>
      <c r="UTH187" s="537"/>
      <c r="UTI187" s="537"/>
      <c r="UTJ187" s="537"/>
      <c r="UTK187" s="537"/>
      <c r="UTL187" s="537"/>
      <c r="UTM187" s="537"/>
      <c r="UTN187" s="537"/>
      <c r="UTO187" s="537"/>
      <c r="UTP187" s="537"/>
      <c r="UTQ187" s="537"/>
      <c r="UTR187" s="537"/>
      <c r="UTS187" s="537"/>
      <c r="UTT187" s="537"/>
      <c r="UTU187" s="537"/>
      <c r="UTV187" s="537"/>
      <c r="UTW187" s="537"/>
      <c r="UTX187" s="537"/>
      <c r="UTY187" s="537"/>
      <c r="UTZ187" s="537"/>
      <c r="UUA187" s="537"/>
      <c r="UUB187" s="537"/>
      <c r="UUC187" s="537"/>
      <c r="UUD187" s="537"/>
      <c r="UUE187" s="537"/>
      <c r="UUF187" s="537"/>
      <c r="UUG187" s="537"/>
      <c r="UUH187" s="537"/>
      <c r="UUI187" s="537"/>
      <c r="UUJ187" s="537"/>
      <c r="UUK187" s="537"/>
      <c r="UUL187" s="537"/>
      <c r="UUM187" s="537"/>
      <c r="UUN187" s="537"/>
      <c r="UUO187" s="537"/>
      <c r="UUP187" s="537"/>
      <c r="UUQ187" s="537"/>
      <c r="UUR187" s="537"/>
      <c r="UUS187" s="537"/>
      <c r="UUT187" s="537"/>
      <c r="UUU187" s="537"/>
      <c r="UUV187" s="537"/>
      <c r="UUW187" s="537"/>
      <c r="UUX187" s="537"/>
      <c r="UUY187" s="537"/>
      <c r="UUZ187" s="537"/>
      <c r="UVA187" s="537"/>
      <c r="UVB187" s="537"/>
      <c r="UVC187" s="537"/>
      <c r="UVD187" s="537"/>
      <c r="UVE187" s="537"/>
      <c r="UVF187" s="537"/>
      <c r="UVG187" s="537"/>
      <c r="UVH187" s="537"/>
      <c r="UVI187" s="537"/>
      <c r="UVJ187" s="537"/>
      <c r="UVK187" s="537"/>
      <c r="UVL187" s="537"/>
      <c r="UVM187" s="537"/>
      <c r="UVN187" s="537"/>
      <c r="UVO187" s="537"/>
      <c r="UVP187" s="537"/>
      <c r="UVQ187" s="537"/>
      <c r="UVR187" s="537"/>
      <c r="UVS187" s="537"/>
      <c r="UVT187" s="537"/>
      <c r="UVU187" s="537"/>
      <c r="UVV187" s="537"/>
      <c r="UVW187" s="537"/>
      <c r="UVX187" s="537"/>
      <c r="UVY187" s="537"/>
      <c r="UVZ187" s="537"/>
      <c r="UWA187" s="537"/>
      <c r="UWB187" s="537"/>
      <c r="UWC187" s="537"/>
      <c r="UWD187" s="537"/>
      <c r="UWE187" s="537"/>
      <c r="UWF187" s="537"/>
      <c r="UWG187" s="537"/>
      <c r="UWH187" s="537"/>
      <c r="UWI187" s="537"/>
      <c r="UWJ187" s="537"/>
      <c r="UWK187" s="537"/>
      <c r="UWL187" s="537"/>
      <c r="UWM187" s="537"/>
      <c r="UWN187" s="537"/>
      <c r="UWO187" s="537"/>
      <c r="UWP187" s="537"/>
      <c r="UWQ187" s="537"/>
      <c r="UWR187" s="537"/>
      <c r="UWS187" s="537"/>
      <c r="UWT187" s="537"/>
      <c r="UWU187" s="537"/>
      <c r="UWV187" s="537"/>
      <c r="UWW187" s="537"/>
      <c r="UWX187" s="537"/>
      <c r="UWY187" s="537"/>
      <c r="UWZ187" s="537"/>
      <c r="UXA187" s="537"/>
      <c r="UXB187" s="537"/>
      <c r="UXC187" s="537"/>
      <c r="UXD187" s="537"/>
      <c r="UXE187" s="537"/>
      <c r="UXF187" s="537"/>
      <c r="UXG187" s="537"/>
      <c r="UXH187" s="537"/>
      <c r="UXI187" s="537"/>
      <c r="UXJ187" s="537"/>
      <c r="UXK187" s="537"/>
      <c r="UXL187" s="537"/>
      <c r="UXM187" s="537"/>
      <c r="UXN187" s="537"/>
      <c r="UXO187" s="537"/>
      <c r="UXP187" s="537"/>
      <c r="UXQ187" s="537"/>
      <c r="UXR187" s="537"/>
      <c r="UXS187" s="537"/>
      <c r="UXT187" s="537"/>
      <c r="UXU187" s="537"/>
      <c r="UXV187" s="537"/>
      <c r="UXW187" s="537"/>
      <c r="UXX187" s="537"/>
      <c r="UXY187" s="537"/>
      <c r="UXZ187" s="537"/>
      <c r="UYA187" s="537"/>
      <c r="UYB187" s="537"/>
      <c r="UYC187" s="537"/>
      <c r="UYD187" s="537"/>
      <c r="UYE187" s="537"/>
      <c r="UYF187" s="537"/>
      <c r="UYG187" s="537"/>
      <c r="UYH187" s="537"/>
      <c r="UYI187" s="537"/>
      <c r="UYJ187" s="537"/>
      <c r="UYK187" s="537"/>
      <c r="UYL187" s="537"/>
      <c r="UYM187" s="537"/>
      <c r="UYN187" s="537"/>
      <c r="UYO187" s="537"/>
      <c r="UYP187" s="537"/>
      <c r="UYQ187" s="537"/>
      <c r="UYR187" s="537"/>
      <c r="UYS187" s="537"/>
      <c r="UYT187" s="537"/>
      <c r="UYU187" s="537"/>
      <c r="UYV187" s="537"/>
      <c r="UYW187" s="537"/>
      <c r="UYX187" s="537"/>
      <c r="UYY187" s="537"/>
      <c r="UYZ187" s="537"/>
      <c r="UZA187" s="537"/>
      <c r="UZB187" s="537"/>
      <c r="UZC187" s="537"/>
      <c r="UZD187" s="537"/>
      <c r="UZE187" s="537"/>
      <c r="UZF187" s="537"/>
      <c r="UZG187" s="537"/>
      <c r="UZH187" s="537"/>
      <c r="UZI187" s="537"/>
      <c r="UZJ187" s="537"/>
      <c r="UZK187" s="537"/>
      <c r="UZL187" s="537"/>
      <c r="UZM187" s="537"/>
      <c r="UZN187" s="537"/>
      <c r="UZO187" s="537"/>
      <c r="UZP187" s="537"/>
      <c r="UZQ187" s="537"/>
      <c r="UZR187" s="537"/>
      <c r="UZS187" s="537"/>
      <c r="UZT187" s="537"/>
      <c r="UZU187" s="537"/>
      <c r="UZV187" s="537"/>
      <c r="UZW187" s="537"/>
      <c r="UZX187" s="537"/>
      <c r="UZY187" s="537"/>
      <c r="UZZ187" s="537"/>
      <c r="VAA187" s="537"/>
      <c r="VAB187" s="537"/>
      <c r="VAC187" s="537"/>
      <c r="VAD187" s="537"/>
      <c r="VAE187" s="537"/>
      <c r="VAF187" s="537"/>
      <c r="VAG187" s="537"/>
      <c r="VAH187" s="537"/>
      <c r="VAI187" s="537"/>
      <c r="VAJ187" s="537"/>
      <c r="VAK187" s="537"/>
      <c r="VAL187" s="537"/>
      <c r="VAM187" s="537"/>
      <c r="VAN187" s="537"/>
      <c r="VAO187" s="537"/>
      <c r="VAP187" s="537"/>
      <c r="VAQ187" s="537"/>
      <c r="VAR187" s="537"/>
      <c r="VAS187" s="537"/>
      <c r="VAT187" s="537"/>
      <c r="VAU187" s="537"/>
      <c r="VAV187" s="537"/>
      <c r="VAW187" s="537"/>
      <c r="VAX187" s="537"/>
      <c r="VAY187" s="537"/>
      <c r="VAZ187" s="537"/>
      <c r="VBA187" s="537"/>
      <c r="VBB187" s="537"/>
      <c r="VBC187" s="537"/>
      <c r="VBD187" s="537"/>
      <c r="VBE187" s="537"/>
      <c r="VBF187" s="537"/>
      <c r="VBG187" s="537"/>
      <c r="VBH187" s="537"/>
      <c r="VBI187" s="537"/>
      <c r="VBJ187" s="537"/>
      <c r="VBK187" s="537"/>
      <c r="VBL187" s="537"/>
      <c r="VBM187" s="537"/>
      <c r="VBN187" s="537"/>
      <c r="VBO187" s="537"/>
      <c r="VBP187" s="537"/>
      <c r="VBQ187" s="537"/>
      <c r="VBR187" s="537"/>
      <c r="VBS187" s="537"/>
      <c r="VBT187" s="537"/>
      <c r="VBU187" s="537"/>
      <c r="VBV187" s="537"/>
      <c r="VBW187" s="537"/>
      <c r="VBX187" s="537"/>
      <c r="VBY187" s="537"/>
      <c r="VBZ187" s="537"/>
      <c r="VCA187" s="537"/>
      <c r="VCB187" s="537"/>
      <c r="VCC187" s="537"/>
      <c r="VCD187" s="537"/>
      <c r="VCE187" s="537"/>
      <c r="VCF187" s="537"/>
      <c r="VCG187" s="537"/>
      <c r="VCH187" s="537"/>
      <c r="VCI187" s="537"/>
      <c r="VCJ187" s="537"/>
      <c r="VCK187" s="537"/>
      <c r="VCL187" s="537"/>
      <c r="VCM187" s="537"/>
      <c r="VCN187" s="537"/>
      <c r="VCO187" s="537"/>
      <c r="VCP187" s="537"/>
      <c r="VCQ187" s="537"/>
      <c r="VCR187" s="537"/>
      <c r="VCS187" s="537"/>
      <c r="VCT187" s="537"/>
      <c r="VCU187" s="537"/>
      <c r="VCV187" s="537"/>
      <c r="VCW187" s="537"/>
      <c r="VCX187" s="537"/>
      <c r="VCY187" s="537"/>
      <c r="VCZ187" s="537"/>
      <c r="VDA187" s="537"/>
      <c r="VDB187" s="537"/>
      <c r="VDC187" s="537"/>
      <c r="VDD187" s="537"/>
      <c r="VDE187" s="537"/>
      <c r="VDF187" s="537"/>
      <c r="VDG187" s="537"/>
      <c r="VDH187" s="537"/>
      <c r="VDI187" s="537"/>
      <c r="VDJ187" s="537"/>
      <c r="VDK187" s="537"/>
      <c r="VDL187" s="537"/>
      <c r="VDM187" s="537"/>
      <c r="VDN187" s="537"/>
      <c r="VDO187" s="537"/>
      <c r="VDP187" s="537"/>
      <c r="VDQ187" s="537"/>
      <c r="VDR187" s="537"/>
      <c r="VDS187" s="537"/>
      <c r="VDT187" s="537"/>
      <c r="VDU187" s="537"/>
      <c r="VDV187" s="537"/>
      <c r="VDW187" s="537"/>
      <c r="VDX187" s="537"/>
      <c r="VDY187" s="537"/>
      <c r="VDZ187" s="537"/>
      <c r="VEA187" s="537"/>
      <c r="VEB187" s="537"/>
      <c r="VEC187" s="537"/>
      <c r="VED187" s="537"/>
      <c r="VEE187" s="537"/>
      <c r="VEF187" s="537"/>
      <c r="VEG187" s="537"/>
      <c r="VEH187" s="537"/>
      <c r="VEI187" s="537"/>
      <c r="VEJ187" s="537"/>
      <c r="VEK187" s="537"/>
      <c r="VEL187" s="537"/>
      <c r="VEM187" s="537"/>
      <c r="VEN187" s="537"/>
      <c r="VEO187" s="537"/>
      <c r="VEP187" s="537"/>
      <c r="VEQ187" s="537"/>
      <c r="VER187" s="537"/>
      <c r="VES187" s="537"/>
      <c r="VET187" s="537"/>
      <c r="VEU187" s="537"/>
      <c r="VEV187" s="537"/>
      <c r="VEW187" s="537"/>
      <c r="VEX187" s="537"/>
      <c r="VEY187" s="537"/>
      <c r="VEZ187" s="537"/>
      <c r="VFA187" s="537"/>
      <c r="VFB187" s="537"/>
      <c r="VFC187" s="537"/>
      <c r="VFD187" s="537"/>
      <c r="VFE187" s="537"/>
      <c r="VFF187" s="537"/>
      <c r="VFG187" s="537"/>
      <c r="VFH187" s="537"/>
      <c r="VFI187" s="537"/>
      <c r="VFJ187" s="537"/>
      <c r="VFK187" s="537"/>
      <c r="VFL187" s="537"/>
      <c r="VFM187" s="537"/>
      <c r="VFN187" s="537"/>
      <c r="VFO187" s="537"/>
      <c r="VFP187" s="537"/>
      <c r="VFQ187" s="537"/>
      <c r="VFR187" s="537"/>
      <c r="VFS187" s="537"/>
      <c r="VFT187" s="537"/>
      <c r="VFU187" s="537"/>
      <c r="VFV187" s="537"/>
      <c r="VFW187" s="537"/>
      <c r="VFX187" s="537"/>
      <c r="VFY187" s="537"/>
      <c r="VFZ187" s="537"/>
      <c r="VGA187" s="537"/>
      <c r="VGB187" s="537"/>
      <c r="VGC187" s="537"/>
      <c r="VGD187" s="537"/>
      <c r="VGE187" s="537"/>
      <c r="VGF187" s="537"/>
      <c r="VGG187" s="537"/>
      <c r="VGH187" s="537"/>
      <c r="VGI187" s="537"/>
      <c r="VGJ187" s="537"/>
      <c r="VGK187" s="537"/>
      <c r="VGL187" s="537"/>
      <c r="VGM187" s="537"/>
      <c r="VGN187" s="537"/>
      <c r="VGO187" s="537"/>
      <c r="VGP187" s="537"/>
      <c r="VGQ187" s="537"/>
      <c r="VGR187" s="537"/>
      <c r="VGS187" s="537"/>
      <c r="VGT187" s="537"/>
      <c r="VGU187" s="537"/>
      <c r="VGV187" s="537"/>
      <c r="VGW187" s="537"/>
      <c r="VGX187" s="537"/>
      <c r="VGY187" s="537"/>
      <c r="VGZ187" s="537"/>
      <c r="VHA187" s="537"/>
      <c r="VHB187" s="537"/>
      <c r="VHC187" s="537"/>
      <c r="VHD187" s="537"/>
      <c r="VHE187" s="537"/>
      <c r="VHF187" s="537"/>
      <c r="VHG187" s="537"/>
      <c r="VHH187" s="537"/>
      <c r="VHI187" s="537"/>
      <c r="VHJ187" s="537"/>
      <c r="VHK187" s="537"/>
      <c r="VHL187" s="537"/>
      <c r="VHM187" s="537"/>
      <c r="VHN187" s="537"/>
      <c r="VHO187" s="537"/>
      <c r="VHP187" s="537"/>
      <c r="VHQ187" s="537"/>
      <c r="VHR187" s="537"/>
      <c r="VHS187" s="537"/>
      <c r="VHT187" s="537"/>
      <c r="VHU187" s="537"/>
      <c r="VHV187" s="537"/>
      <c r="VHW187" s="537"/>
      <c r="VHX187" s="537"/>
      <c r="VHY187" s="537"/>
      <c r="VHZ187" s="537"/>
      <c r="VIA187" s="537"/>
      <c r="VIB187" s="537"/>
      <c r="VIC187" s="537"/>
      <c r="VID187" s="537"/>
      <c r="VIE187" s="537"/>
      <c r="VIF187" s="537"/>
      <c r="VIG187" s="537"/>
      <c r="VIH187" s="537"/>
      <c r="VII187" s="537"/>
      <c r="VIJ187" s="537"/>
      <c r="VIK187" s="537"/>
      <c r="VIL187" s="537"/>
      <c r="VIM187" s="537"/>
      <c r="VIN187" s="537"/>
      <c r="VIO187" s="537"/>
      <c r="VIP187" s="537"/>
      <c r="VIQ187" s="537"/>
      <c r="VIR187" s="537"/>
      <c r="VIS187" s="537"/>
      <c r="VIT187" s="537"/>
      <c r="VIU187" s="537"/>
      <c r="VIV187" s="537"/>
      <c r="VIW187" s="537"/>
      <c r="VIX187" s="537"/>
      <c r="VIY187" s="537"/>
      <c r="VIZ187" s="537"/>
      <c r="VJA187" s="537"/>
      <c r="VJB187" s="537"/>
      <c r="VJC187" s="537"/>
      <c r="VJD187" s="537"/>
      <c r="VJE187" s="537"/>
      <c r="VJF187" s="537"/>
      <c r="VJG187" s="537"/>
      <c r="VJH187" s="537"/>
      <c r="VJI187" s="537"/>
      <c r="VJJ187" s="537"/>
      <c r="VJK187" s="537"/>
      <c r="VJL187" s="537"/>
      <c r="VJM187" s="537"/>
      <c r="VJN187" s="537"/>
      <c r="VJO187" s="537"/>
      <c r="VJP187" s="537"/>
      <c r="VJQ187" s="537"/>
      <c r="VJR187" s="537"/>
      <c r="VJS187" s="537"/>
      <c r="VJT187" s="537"/>
      <c r="VJU187" s="537"/>
      <c r="VJV187" s="537"/>
      <c r="VJW187" s="537"/>
      <c r="VJX187" s="537"/>
      <c r="VJY187" s="537"/>
      <c r="VJZ187" s="537"/>
      <c r="VKA187" s="537"/>
      <c r="VKB187" s="537"/>
      <c r="VKC187" s="537"/>
      <c r="VKD187" s="537"/>
      <c r="VKE187" s="537"/>
      <c r="VKF187" s="537"/>
      <c r="VKG187" s="537"/>
      <c r="VKH187" s="537"/>
      <c r="VKI187" s="537"/>
      <c r="VKJ187" s="537"/>
      <c r="VKK187" s="537"/>
      <c r="VKL187" s="537"/>
      <c r="VKM187" s="537"/>
      <c r="VKN187" s="537"/>
      <c r="VKO187" s="537"/>
      <c r="VKP187" s="537"/>
      <c r="VKQ187" s="537"/>
      <c r="VKR187" s="537"/>
      <c r="VKS187" s="537"/>
      <c r="VKT187" s="537"/>
      <c r="VKU187" s="537"/>
      <c r="VKV187" s="537"/>
      <c r="VKW187" s="537"/>
      <c r="VKX187" s="537"/>
      <c r="VKY187" s="537"/>
      <c r="VKZ187" s="537"/>
      <c r="VLA187" s="537"/>
      <c r="VLB187" s="537"/>
      <c r="VLC187" s="537"/>
      <c r="VLD187" s="537"/>
      <c r="VLE187" s="537"/>
      <c r="VLF187" s="537"/>
      <c r="VLG187" s="537"/>
      <c r="VLH187" s="537"/>
      <c r="VLI187" s="537"/>
      <c r="VLJ187" s="537"/>
      <c r="VLK187" s="537"/>
      <c r="VLL187" s="537"/>
      <c r="VLM187" s="537"/>
      <c r="VLN187" s="537"/>
      <c r="VLO187" s="537"/>
      <c r="VLP187" s="537"/>
      <c r="VLQ187" s="537"/>
      <c r="VLR187" s="537"/>
      <c r="VLS187" s="537"/>
      <c r="VLT187" s="537"/>
      <c r="VLU187" s="537"/>
      <c r="VLV187" s="537"/>
      <c r="VLW187" s="537"/>
      <c r="VLX187" s="537"/>
      <c r="VLY187" s="537"/>
      <c r="VLZ187" s="537"/>
      <c r="VMA187" s="537"/>
      <c r="VMB187" s="537"/>
      <c r="VMC187" s="537"/>
      <c r="VMD187" s="537"/>
      <c r="VME187" s="537"/>
      <c r="VMF187" s="537"/>
      <c r="VMG187" s="537"/>
      <c r="VMH187" s="537"/>
      <c r="VMI187" s="537"/>
      <c r="VMJ187" s="537"/>
      <c r="VMK187" s="537"/>
      <c r="VML187" s="537"/>
      <c r="VMM187" s="537"/>
      <c r="VMN187" s="537"/>
      <c r="VMO187" s="537"/>
      <c r="VMP187" s="537"/>
      <c r="VMQ187" s="537"/>
      <c r="VMR187" s="537"/>
      <c r="VMS187" s="537"/>
      <c r="VMT187" s="537"/>
      <c r="VMU187" s="537"/>
      <c r="VMV187" s="537"/>
      <c r="VMW187" s="537"/>
      <c r="VMX187" s="537"/>
      <c r="VMY187" s="537"/>
      <c r="VMZ187" s="537"/>
      <c r="VNA187" s="537"/>
      <c r="VNB187" s="537"/>
      <c r="VNC187" s="537"/>
      <c r="VND187" s="537"/>
      <c r="VNE187" s="537"/>
      <c r="VNF187" s="537"/>
      <c r="VNG187" s="537"/>
      <c r="VNH187" s="537"/>
      <c r="VNI187" s="537"/>
      <c r="VNJ187" s="537"/>
      <c r="VNK187" s="537"/>
      <c r="VNL187" s="537"/>
      <c r="VNM187" s="537"/>
      <c r="VNN187" s="537"/>
      <c r="VNO187" s="537"/>
      <c r="VNP187" s="537"/>
      <c r="VNQ187" s="537"/>
      <c r="VNR187" s="537"/>
      <c r="VNS187" s="537"/>
      <c r="VNT187" s="537"/>
      <c r="VNU187" s="537"/>
      <c r="VNV187" s="537"/>
      <c r="VNW187" s="537"/>
      <c r="VNX187" s="537"/>
      <c r="VNY187" s="537"/>
      <c r="VNZ187" s="537"/>
      <c r="VOA187" s="537"/>
      <c r="VOB187" s="537"/>
      <c r="VOC187" s="537"/>
      <c r="VOD187" s="537"/>
      <c r="VOE187" s="537"/>
      <c r="VOF187" s="537"/>
      <c r="VOG187" s="537"/>
      <c r="VOH187" s="537"/>
      <c r="VOI187" s="537"/>
      <c r="VOJ187" s="537"/>
      <c r="VOK187" s="537"/>
      <c r="VOL187" s="537"/>
      <c r="VOM187" s="537"/>
      <c r="VON187" s="537"/>
      <c r="VOO187" s="537"/>
      <c r="VOP187" s="537"/>
      <c r="VOQ187" s="537"/>
      <c r="VOR187" s="537"/>
      <c r="VOS187" s="537"/>
      <c r="VOT187" s="537"/>
      <c r="VOU187" s="537"/>
      <c r="VOV187" s="537"/>
      <c r="VOW187" s="537"/>
      <c r="VOX187" s="537"/>
      <c r="VOY187" s="537"/>
      <c r="VOZ187" s="537"/>
      <c r="VPA187" s="537"/>
      <c r="VPB187" s="537"/>
      <c r="VPC187" s="537"/>
      <c r="VPD187" s="537"/>
      <c r="VPE187" s="537"/>
      <c r="VPF187" s="537"/>
      <c r="VPG187" s="537"/>
      <c r="VPH187" s="537"/>
      <c r="VPI187" s="537"/>
      <c r="VPJ187" s="537"/>
      <c r="VPK187" s="537"/>
      <c r="VPL187" s="537"/>
      <c r="VPM187" s="537"/>
      <c r="VPN187" s="537"/>
      <c r="VPO187" s="537"/>
      <c r="VPP187" s="537"/>
      <c r="VPQ187" s="537"/>
      <c r="VPR187" s="537"/>
      <c r="VPS187" s="537"/>
      <c r="VPT187" s="537"/>
      <c r="VPU187" s="537"/>
      <c r="VPV187" s="537"/>
      <c r="VPW187" s="537"/>
      <c r="VPX187" s="537"/>
      <c r="VPY187" s="537"/>
      <c r="VPZ187" s="537"/>
      <c r="VQA187" s="537"/>
      <c r="VQB187" s="537"/>
      <c r="VQC187" s="537"/>
      <c r="VQD187" s="537"/>
      <c r="VQE187" s="537"/>
      <c r="VQF187" s="537"/>
      <c r="VQG187" s="537"/>
      <c r="VQH187" s="537"/>
      <c r="VQI187" s="537"/>
      <c r="VQJ187" s="537"/>
      <c r="VQK187" s="537"/>
      <c r="VQL187" s="537"/>
      <c r="VQM187" s="537"/>
      <c r="VQN187" s="537"/>
      <c r="VQO187" s="537"/>
      <c r="VQP187" s="537"/>
      <c r="VQQ187" s="537"/>
      <c r="VQR187" s="537"/>
      <c r="VQS187" s="537"/>
      <c r="VQT187" s="537"/>
      <c r="VQU187" s="537"/>
      <c r="VQV187" s="537"/>
      <c r="VQW187" s="537"/>
      <c r="VQX187" s="537"/>
      <c r="VQY187" s="537"/>
      <c r="VQZ187" s="537"/>
      <c r="VRA187" s="537"/>
      <c r="VRB187" s="537"/>
      <c r="VRC187" s="537"/>
      <c r="VRD187" s="537"/>
      <c r="VRE187" s="537"/>
      <c r="VRF187" s="537"/>
      <c r="VRG187" s="537"/>
      <c r="VRH187" s="537"/>
      <c r="VRI187" s="537"/>
      <c r="VRJ187" s="537"/>
      <c r="VRK187" s="537"/>
      <c r="VRL187" s="537"/>
      <c r="VRM187" s="537"/>
      <c r="VRN187" s="537"/>
      <c r="VRO187" s="537"/>
      <c r="VRP187" s="537"/>
      <c r="VRQ187" s="537"/>
      <c r="VRR187" s="537"/>
      <c r="VRS187" s="537"/>
      <c r="VRT187" s="537"/>
      <c r="VRU187" s="537"/>
      <c r="VRV187" s="537"/>
      <c r="VRW187" s="537"/>
      <c r="VRX187" s="537"/>
      <c r="VRY187" s="537"/>
      <c r="VRZ187" s="537"/>
      <c r="VSA187" s="537"/>
      <c r="VSB187" s="537"/>
      <c r="VSC187" s="537"/>
      <c r="VSD187" s="537"/>
      <c r="VSE187" s="537"/>
      <c r="VSF187" s="537"/>
      <c r="VSG187" s="537"/>
      <c r="VSH187" s="537"/>
      <c r="VSI187" s="537"/>
      <c r="VSJ187" s="537"/>
      <c r="VSK187" s="537"/>
      <c r="VSL187" s="537"/>
      <c r="VSM187" s="537"/>
      <c r="VSN187" s="537"/>
      <c r="VSO187" s="537"/>
      <c r="VSP187" s="537"/>
      <c r="VSQ187" s="537"/>
      <c r="VSR187" s="537"/>
      <c r="VSS187" s="537"/>
      <c r="VST187" s="537"/>
      <c r="VSU187" s="537"/>
      <c r="VSV187" s="537"/>
      <c r="VSW187" s="537"/>
      <c r="VSX187" s="537"/>
      <c r="VSY187" s="537"/>
      <c r="VSZ187" s="537"/>
      <c r="VTA187" s="537"/>
      <c r="VTB187" s="537"/>
      <c r="VTC187" s="537"/>
      <c r="VTD187" s="537"/>
      <c r="VTE187" s="537"/>
      <c r="VTF187" s="537"/>
      <c r="VTG187" s="537"/>
      <c r="VTH187" s="537"/>
      <c r="VTI187" s="537"/>
      <c r="VTJ187" s="537"/>
      <c r="VTK187" s="537"/>
      <c r="VTL187" s="537"/>
      <c r="VTM187" s="537"/>
      <c r="VTN187" s="537"/>
      <c r="VTO187" s="537"/>
      <c r="VTP187" s="537"/>
      <c r="VTQ187" s="537"/>
      <c r="VTR187" s="537"/>
      <c r="VTS187" s="537"/>
      <c r="VTT187" s="537"/>
      <c r="VTU187" s="537"/>
      <c r="VTV187" s="537"/>
      <c r="VTW187" s="537"/>
      <c r="VTX187" s="537"/>
      <c r="VTY187" s="537"/>
      <c r="VTZ187" s="537"/>
      <c r="VUA187" s="537"/>
      <c r="VUB187" s="537"/>
      <c r="VUC187" s="537"/>
      <c r="VUD187" s="537"/>
      <c r="VUE187" s="537"/>
      <c r="VUF187" s="537"/>
      <c r="VUG187" s="537"/>
      <c r="VUH187" s="537"/>
      <c r="VUI187" s="537"/>
      <c r="VUJ187" s="537"/>
      <c r="VUK187" s="537"/>
      <c r="VUL187" s="537"/>
      <c r="VUM187" s="537"/>
      <c r="VUN187" s="537"/>
      <c r="VUO187" s="537"/>
      <c r="VUP187" s="537"/>
      <c r="VUQ187" s="537"/>
      <c r="VUR187" s="537"/>
      <c r="VUS187" s="537"/>
      <c r="VUT187" s="537"/>
      <c r="VUU187" s="537"/>
      <c r="VUV187" s="537"/>
      <c r="VUW187" s="537"/>
      <c r="VUX187" s="537"/>
      <c r="VUY187" s="537"/>
      <c r="VUZ187" s="537"/>
      <c r="VVA187" s="537"/>
      <c r="VVB187" s="537"/>
      <c r="VVC187" s="537"/>
      <c r="VVD187" s="537"/>
      <c r="VVE187" s="537"/>
      <c r="VVF187" s="537"/>
      <c r="VVG187" s="537"/>
      <c r="VVH187" s="537"/>
      <c r="VVI187" s="537"/>
      <c r="VVJ187" s="537"/>
      <c r="VVK187" s="537"/>
      <c r="VVL187" s="537"/>
      <c r="VVM187" s="537"/>
      <c r="VVN187" s="537"/>
      <c r="VVO187" s="537"/>
      <c r="VVP187" s="537"/>
      <c r="VVQ187" s="537"/>
      <c r="VVR187" s="537"/>
      <c r="VVS187" s="537"/>
      <c r="VVT187" s="537"/>
      <c r="VVU187" s="537"/>
      <c r="VVV187" s="537"/>
      <c r="VVW187" s="537"/>
      <c r="VVX187" s="537"/>
      <c r="VVY187" s="537"/>
      <c r="VVZ187" s="537"/>
      <c r="VWA187" s="537"/>
      <c r="VWB187" s="537"/>
      <c r="VWC187" s="537"/>
      <c r="VWD187" s="537"/>
      <c r="VWE187" s="537"/>
      <c r="VWF187" s="537"/>
      <c r="VWG187" s="537"/>
      <c r="VWH187" s="537"/>
      <c r="VWI187" s="537"/>
      <c r="VWJ187" s="537"/>
      <c r="VWK187" s="537"/>
      <c r="VWL187" s="537"/>
      <c r="VWM187" s="537"/>
      <c r="VWN187" s="537"/>
      <c r="VWO187" s="537"/>
      <c r="VWP187" s="537"/>
      <c r="VWQ187" s="537"/>
      <c r="VWR187" s="537"/>
      <c r="VWS187" s="537"/>
      <c r="VWT187" s="537"/>
      <c r="VWU187" s="537"/>
      <c r="VWV187" s="537"/>
      <c r="VWW187" s="537"/>
      <c r="VWX187" s="537"/>
      <c r="VWY187" s="537"/>
      <c r="VWZ187" s="537"/>
      <c r="VXA187" s="537"/>
      <c r="VXB187" s="537"/>
      <c r="VXC187" s="537"/>
      <c r="VXD187" s="537"/>
      <c r="VXE187" s="537"/>
      <c r="VXF187" s="537"/>
      <c r="VXG187" s="537"/>
      <c r="VXH187" s="537"/>
      <c r="VXI187" s="537"/>
      <c r="VXJ187" s="537"/>
      <c r="VXK187" s="537"/>
      <c r="VXL187" s="537"/>
      <c r="VXM187" s="537"/>
      <c r="VXN187" s="537"/>
      <c r="VXO187" s="537"/>
      <c r="VXP187" s="537"/>
      <c r="VXQ187" s="537"/>
      <c r="VXR187" s="537"/>
      <c r="VXS187" s="537"/>
      <c r="VXT187" s="537"/>
      <c r="VXU187" s="537"/>
      <c r="VXV187" s="537"/>
      <c r="VXW187" s="537"/>
      <c r="VXX187" s="537"/>
      <c r="VXY187" s="537"/>
      <c r="VXZ187" s="537"/>
      <c r="VYA187" s="537"/>
      <c r="VYB187" s="537"/>
      <c r="VYC187" s="537"/>
      <c r="VYD187" s="537"/>
      <c r="VYE187" s="537"/>
      <c r="VYF187" s="537"/>
      <c r="VYG187" s="537"/>
      <c r="VYH187" s="537"/>
      <c r="VYI187" s="537"/>
      <c r="VYJ187" s="537"/>
      <c r="VYK187" s="537"/>
      <c r="VYL187" s="537"/>
      <c r="VYM187" s="537"/>
      <c r="VYN187" s="537"/>
      <c r="VYO187" s="537"/>
      <c r="VYP187" s="537"/>
      <c r="VYQ187" s="537"/>
      <c r="VYR187" s="537"/>
      <c r="VYS187" s="537"/>
      <c r="VYT187" s="537"/>
      <c r="VYU187" s="537"/>
      <c r="VYV187" s="537"/>
      <c r="VYW187" s="537"/>
      <c r="VYX187" s="537"/>
      <c r="VYY187" s="537"/>
      <c r="VYZ187" s="537"/>
      <c r="VZA187" s="537"/>
      <c r="VZB187" s="537"/>
      <c r="VZC187" s="537"/>
      <c r="VZD187" s="537"/>
      <c r="VZE187" s="537"/>
      <c r="VZF187" s="537"/>
      <c r="VZG187" s="537"/>
      <c r="VZH187" s="537"/>
      <c r="VZI187" s="537"/>
      <c r="VZJ187" s="537"/>
      <c r="VZK187" s="537"/>
      <c r="VZL187" s="537"/>
      <c r="VZM187" s="537"/>
      <c r="VZN187" s="537"/>
      <c r="VZO187" s="537"/>
      <c r="VZP187" s="537"/>
      <c r="VZQ187" s="537"/>
      <c r="VZR187" s="537"/>
      <c r="VZS187" s="537"/>
      <c r="VZT187" s="537"/>
      <c r="VZU187" s="537"/>
      <c r="VZV187" s="537"/>
      <c r="VZW187" s="537"/>
      <c r="VZX187" s="537"/>
      <c r="VZY187" s="537"/>
      <c r="VZZ187" s="537"/>
      <c r="WAA187" s="537"/>
      <c r="WAB187" s="537"/>
      <c r="WAC187" s="537"/>
      <c r="WAD187" s="537"/>
      <c r="WAE187" s="537"/>
      <c r="WAF187" s="537"/>
      <c r="WAG187" s="537"/>
      <c r="WAH187" s="537"/>
      <c r="WAI187" s="537"/>
      <c r="WAJ187" s="537"/>
      <c r="WAK187" s="537"/>
      <c r="WAL187" s="537"/>
      <c r="WAM187" s="537"/>
      <c r="WAN187" s="537"/>
      <c r="WAO187" s="537"/>
      <c r="WAP187" s="537"/>
      <c r="WAQ187" s="537"/>
      <c r="WAR187" s="537"/>
      <c r="WAS187" s="537"/>
      <c r="WAT187" s="537"/>
      <c r="WAU187" s="537"/>
      <c r="WAV187" s="537"/>
      <c r="WAW187" s="537"/>
      <c r="WAX187" s="537"/>
      <c r="WAY187" s="537"/>
      <c r="WAZ187" s="537"/>
      <c r="WBA187" s="537"/>
      <c r="WBB187" s="537"/>
      <c r="WBC187" s="537"/>
      <c r="WBD187" s="537"/>
      <c r="WBE187" s="537"/>
      <c r="WBF187" s="537"/>
      <c r="WBG187" s="537"/>
      <c r="WBH187" s="537"/>
      <c r="WBI187" s="537"/>
      <c r="WBJ187" s="537"/>
      <c r="WBK187" s="537"/>
      <c r="WBL187" s="537"/>
      <c r="WBM187" s="537"/>
      <c r="WBN187" s="537"/>
      <c r="WBO187" s="537"/>
      <c r="WBP187" s="537"/>
      <c r="WBQ187" s="537"/>
      <c r="WBR187" s="537"/>
      <c r="WBS187" s="537"/>
      <c r="WBT187" s="537"/>
      <c r="WBU187" s="537"/>
      <c r="WBV187" s="537"/>
      <c r="WBW187" s="537"/>
      <c r="WBX187" s="537"/>
      <c r="WBY187" s="537"/>
      <c r="WBZ187" s="537"/>
      <c r="WCA187" s="537"/>
      <c r="WCB187" s="537"/>
      <c r="WCC187" s="537"/>
      <c r="WCD187" s="537"/>
      <c r="WCE187" s="537"/>
      <c r="WCF187" s="537"/>
      <c r="WCG187" s="537"/>
      <c r="WCH187" s="537"/>
      <c r="WCI187" s="537"/>
      <c r="WCJ187" s="537"/>
      <c r="WCK187" s="537"/>
      <c r="WCL187" s="537"/>
      <c r="WCM187" s="537"/>
      <c r="WCN187" s="537"/>
      <c r="WCO187" s="537"/>
      <c r="WCP187" s="537"/>
      <c r="WCQ187" s="537"/>
      <c r="WCR187" s="537"/>
      <c r="WCS187" s="537"/>
      <c r="WCT187" s="537"/>
      <c r="WCU187" s="537"/>
      <c r="WCV187" s="537"/>
      <c r="WCW187" s="537"/>
      <c r="WCX187" s="537"/>
      <c r="WCY187" s="537"/>
      <c r="WCZ187" s="537"/>
      <c r="WDA187" s="537"/>
      <c r="WDB187" s="537"/>
      <c r="WDC187" s="537"/>
      <c r="WDD187" s="537"/>
      <c r="WDE187" s="537"/>
      <c r="WDF187" s="537"/>
      <c r="WDG187" s="537"/>
      <c r="WDH187" s="537"/>
      <c r="WDI187" s="537"/>
      <c r="WDJ187" s="537"/>
      <c r="WDK187" s="537"/>
      <c r="WDL187" s="537"/>
      <c r="WDM187" s="537"/>
      <c r="WDN187" s="537"/>
      <c r="WDO187" s="537"/>
      <c r="WDP187" s="537"/>
      <c r="WDQ187" s="537"/>
      <c r="WDR187" s="537"/>
      <c r="WDS187" s="537"/>
      <c r="WDT187" s="537"/>
      <c r="WDU187" s="537"/>
      <c r="WDV187" s="537"/>
      <c r="WDW187" s="537"/>
      <c r="WDX187" s="537"/>
      <c r="WDY187" s="537"/>
      <c r="WDZ187" s="537"/>
      <c r="WEA187" s="537"/>
      <c r="WEB187" s="537"/>
      <c r="WEC187" s="537"/>
      <c r="WED187" s="537"/>
      <c r="WEE187" s="537"/>
      <c r="WEF187" s="537"/>
      <c r="WEG187" s="537"/>
      <c r="WEH187" s="537"/>
      <c r="WEI187" s="537"/>
      <c r="WEJ187" s="537"/>
      <c r="WEK187" s="537"/>
      <c r="WEL187" s="537"/>
      <c r="WEM187" s="537"/>
      <c r="WEN187" s="537"/>
      <c r="WEO187" s="537"/>
      <c r="WEP187" s="537"/>
      <c r="WEQ187" s="537"/>
      <c r="WER187" s="537"/>
      <c r="WES187" s="537"/>
      <c r="WET187" s="537"/>
      <c r="WEU187" s="537"/>
      <c r="WEV187" s="537"/>
      <c r="WEW187" s="537"/>
      <c r="WEX187" s="537"/>
      <c r="WEY187" s="537"/>
      <c r="WEZ187" s="537"/>
      <c r="WFA187" s="537"/>
      <c r="WFB187" s="537"/>
      <c r="WFC187" s="537"/>
      <c r="WFD187" s="537"/>
      <c r="WFE187" s="537"/>
      <c r="WFF187" s="537"/>
      <c r="WFG187" s="537"/>
      <c r="WFH187" s="537"/>
      <c r="WFI187" s="537"/>
      <c r="WFJ187" s="537"/>
      <c r="WFK187" s="537"/>
      <c r="WFL187" s="537"/>
      <c r="WFM187" s="537"/>
      <c r="WFN187" s="537"/>
      <c r="WFO187" s="537"/>
      <c r="WFP187" s="537"/>
      <c r="WFQ187" s="537"/>
      <c r="WFR187" s="537"/>
      <c r="WFS187" s="537"/>
      <c r="WFT187" s="537"/>
      <c r="WFU187" s="537"/>
      <c r="WFV187" s="537"/>
      <c r="WFW187" s="537"/>
      <c r="WFX187" s="537"/>
      <c r="WFY187" s="537"/>
      <c r="WFZ187" s="537"/>
      <c r="WGA187" s="537"/>
      <c r="WGB187" s="537"/>
      <c r="WGC187" s="537"/>
      <c r="WGD187" s="537"/>
      <c r="WGE187" s="537"/>
      <c r="WGF187" s="537"/>
      <c r="WGG187" s="537"/>
      <c r="WGH187" s="537"/>
      <c r="WGI187" s="537"/>
      <c r="WGJ187" s="537"/>
      <c r="WGK187" s="537"/>
      <c r="WGL187" s="537"/>
      <c r="WGM187" s="537"/>
      <c r="WGN187" s="537"/>
      <c r="WGO187" s="537"/>
      <c r="WGP187" s="537"/>
      <c r="WGQ187" s="537"/>
      <c r="WGR187" s="537"/>
      <c r="WGS187" s="537"/>
      <c r="WGT187" s="537"/>
      <c r="WGU187" s="537"/>
      <c r="WGV187" s="537"/>
      <c r="WGW187" s="537"/>
      <c r="WGX187" s="537"/>
      <c r="WGY187" s="537"/>
      <c r="WGZ187" s="537"/>
      <c r="WHA187" s="537"/>
      <c r="WHB187" s="537"/>
      <c r="WHC187" s="537"/>
      <c r="WHD187" s="537"/>
      <c r="WHE187" s="537"/>
      <c r="WHF187" s="537"/>
      <c r="WHG187" s="537"/>
      <c r="WHH187" s="537"/>
      <c r="WHI187" s="537"/>
      <c r="WHJ187" s="537"/>
      <c r="WHK187" s="537"/>
      <c r="WHL187" s="537"/>
      <c r="WHM187" s="537"/>
      <c r="WHN187" s="537"/>
      <c r="WHO187" s="537"/>
      <c r="WHP187" s="537"/>
      <c r="WHQ187" s="537"/>
      <c r="WHR187" s="537"/>
      <c r="WHS187" s="537"/>
      <c r="WHT187" s="537"/>
      <c r="WHU187" s="537"/>
      <c r="WHV187" s="537"/>
      <c r="WHW187" s="537"/>
      <c r="WHX187" s="537"/>
      <c r="WHY187" s="537"/>
      <c r="WHZ187" s="537"/>
      <c r="WIA187" s="537"/>
      <c r="WIB187" s="537"/>
      <c r="WIC187" s="537"/>
      <c r="WID187" s="537"/>
      <c r="WIE187" s="537"/>
      <c r="WIF187" s="537"/>
      <c r="WIG187" s="537"/>
      <c r="WIH187" s="537"/>
      <c r="WII187" s="537"/>
      <c r="WIJ187" s="537"/>
      <c r="WIK187" s="537"/>
      <c r="WIL187" s="537"/>
      <c r="WIM187" s="537"/>
      <c r="WIN187" s="537"/>
      <c r="WIO187" s="537"/>
      <c r="WIP187" s="537"/>
      <c r="WIQ187" s="537"/>
      <c r="WIR187" s="537"/>
      <c r="WIS187" s="537"/>
      <c r="WIT187" s="537"/>
      <c r="WIU187" s="537"/>
      <c r="WIV187" s="537"/>
      <c r="WIW187" s="537"/>
      <c r="WIX187" s="537"/>
      <c r="WIY187" s="537"/>
      <c r="WIZ187" s="537"/>
      <c r="WJA187" s="537"/>
      <c r="WJB187" s="537"/>
      <c r="WJC187" s="537"/>
      <c r="WJD187" s="537"/>
      <c r="WJE187" s="537"/>
      <c r="WJF187" s="537"/>
      <c r="WJG187" s="537"/>
      <c r="WJH187" s="537"/>
      <c r="WJI187" s="537"/>
      <c r="WJJ187" s="537"/>
      <c r="WJK187" s="537"/>
      <c r="WJL187" s="537"/>
      <c r="WJM187" s="537"/>
      <c r="WJN187" s="537"/>
      <c r="WJO187" s="537"/>
      <c r="WJP187" s="537"/>
      <c r="WJQ187" s="537"/>
      <c r="WJR187" s="537"/>
      <c r="WJS187" s="537"/>
      <c r="WJT187" s="537"/>
      <c r="WJU187" s="537"/>
      <c r="WJV187" s="537"/>
      <c r="WJW187" s="537"/>
      <c r="WJX187" s="537"/>
      <c r="WJY187" s="537"/>
      <c r="WJZ187" s="537"/>
      <c r="WKA187" s="537"/>
      <c r="WKB187" s="537"/>
      <c r="WKC187" s="537"/>
      <c r="WKD187" s="537"/>
      <c r="WKE187" s="537"/>
      <c r="WKF187" s="537"/>
      <c r="WKG187" s="537"/>
      <c r="WKH187" s="537"/>
      <c r="WKI187" s="537"/>
      <c r="WKJ187" s="537"/>
      <c r="WKK187" s="537"/>
      <c r="WKL187" s="537"/>
      <c r="WKM187" s="537"/>
      <c r="WKN187" s="537"/>
      <c r="WKO187" s="537"/>
      <c r="WKP187" s="537"/>
      <c r="WKQ187" s="537"/>
      <c r="WKR187" s="537"/>
      <c r="WKS187" s="537"/>
      <c r="WKT187" s="537"/>
      <c r="WKU187" s="537"/>
      <c r="WKV187" s="537"/>
      <c r="WKW187" s="537"/>
      <c r="WKX187" s="537"/>
      <c r="WKY187" s="537"/>
      <c r="WKZ187" s="537"/>
      <c r="WLA187" s="537"/>
      <c r="WLB187" s="537"/>
      <c r="WLC187" s="537"/>
      <c r="WLD187" s="537"/>
      <c r="WLE187" s="537"/>
      <c r="WLF187" s="537"/>
      <c r="WLG187" s="537"/>
      <c r="WLH187" s="537"/>
      <c r="WLI187" s="537"/>
      <c r="WLJ187" s="537"/>
      <c r="WLK187" s="537"/>
      <c r="WLL187" s="537"/>
      <c r="WLM187" s="537"/>
      <c r="WLN187" s="537"/>
      <c r="WLO187" s="537"/>
      <c r="WLP187" s="537"/>
      <c r="WLQ187" s="537"/>
      <c r="WLR187" s="537"/>
      <c r="WLS187" s="537"/>
      <c r="WLT187" s="537"/>
      <c r="WLU187" s="537"/>
      <c r="WLV187" s="537"/>
      <c r="WLW187" s="537"/>
      <c r="WLX187" s="537"/>
      <c r="WLY187" s="537"/>
      <c r="WLZ187" s="537"/>
      <c r="WMA187" s="537"/>
      <c r="WMB187" s="537"/>
      <c r="WMC187" s="537"/>
      <c r="WMD187" s="537"/>
      <c r="WME187" s="537"/>
      <c r="WMF187" s="537"/>
      <c r="WMG187" s="537"/>
      <c r="WMH187" s="537"/>
      <c r="WMI187" s="537"/>
      <c r="WMJ187" s="537"/>
      <c r="WMK187" s="537"/>
      <c r="WML187" s="537"/>
      <c r="WMM187" s="537"/>
      <c r="WMN187" s="537"/>
      <c r="WMO187" s="537"/>
      <c r="WMP187" s="537"/>
      <c r="WMQ187" s="537"/>
      <c r="WMR187" s="537"/>
      <c r="WMS187" s="537"/>
      <c r="WMT187" s="537"/>
      <c r="WMU187" s="537"/>
      <c r="WMV187" s="537"/>
      <c r="WMW187" s="537"/>
      <c r="WMX187" s="537"/>
      <c r="WMY187" s="537"/>
      <c r="WMZ187" s="537"/>
      <c r="WNA187" s="537"/>
      <c r="WNB187" s="537"/>
      <c r="WNC187" s="537"/>
      <c r="WND187" s="537"/>
      <c r="WNE187" s="537"/>
      <c r="WNF187" s="537"/>
      <c r="WNG187" s="537"/>
      <c r="WNH187" s="537"/>
      <c r="WNI187" s="537"/>
      <c r="WNJ187" s="537"/>
      <c r="WNK187" s="537"/>
      <c r="WNL187" s="537"/>
      <c r="WNM187" s="537"/>
      <c r="WNN187" s="537"/>
      <c r="WNO187" s="537"/>
      <c r="WNP187" s="537"/>
      <c r="WNQ187" s="537"/>
      <c r="WNR187" s="537"/>
      <c r="WNS187" s="537"/>
      <c r="WNT187" s="537"/>
      <c r="WNU187" s="537"/>
      <c r="WNV187" s="537"/>
      <c r="WNW187" s="537"/>
      <c r="WNX187" s="537"/>
      <c r="WNY187" s="537"/>
      <c r="WNZ187" s="537"/>
      <c r="WOA187" s="537"/>
      <c r="WOB187" s="537"/>
      <c r="WOC187" s="537"/>
      <c r="WOD187" s="537"/>
      <c r="WOE187" s="537"/>
      <c r="WOF187" s="537"/>
      <c r="WOG187" s="537"/>
      <c r="WOH187" s="537"/>
      <c r="WOI187" s="537"/>
      <c r="WOJ187" s="537"/>
      <c r="WOK187" s="537"/>
      <c r="WOL187" s="537"/>
      <c r="WOM187" s="537"/>
      <c r="WON187" s="537"/>
      <c r="WOO187" s="537"/>
      <c r="WOP187" s="537"/>
      <c r="WOQ187" s="537"/>
      <c r="WOR187" s="537"/>
      <c r="WOS187" s="537"/>
      <c r="WOT187" s="537"/>
      <c r="WOU187" s="537"/>
      <c r="WOV187" s="537"/>
      <c r="WOW187" s="537"/>
      <c r="WOX187" s="537"/>
      <c r="WOY187" s="537"/>
      <c r="WOZ187" s="537"/>
      <c r="WPA187" s="537"/>
      <c r="WPB187" s="537"/>
      <c r="WPC187" s="537"/>
      <c r="WPD187" s="537"/>
      <c r="WPE187" s="537"/>
      <c r="WPF187" s="537"/>
      <c r="WPG187" s="537"/>
      <c r="WPH187" s="537"/>
      <c r="WPI187" s="537"/>
      <c r="WPJ187" s="537"/>
      <c r="WPK187" s="537"/>
      <c r="WPL187" s="537"/>
      <c r="WPM187" s="537"/>
      <c r="WPN187" s="537"/>
      <c r="WPO187" s="537"/>
      <c r="WPP187" s="537"/>
      <c r="WPQ187" s="537"/>
      <c r="WPR187" s="537"/>
      <c r="WPS187" s="537"/>
      <c r="WPT187" s="537"/>
      <c r="WPU187" s="537"/>
      <c r="WPV187" s="537"/>
      <c r="WPW187" s="537"/>
      <c r="WPX187" s="537"/>
      <c r="WPY187" s="537"/>
      <c r="WPZ187" s="537"/>
      <c r="WQA187" s="537"/>
      <c r="WQB187" s="537"/>
      <c r="WQC187" s="537"/>
      <c r="WQD187" s="537"/>
      <c r="WQE187" s="537"/>
      <c r="WQF187" s="537"/>
      <c r="WQG187" s="537"/>
      <c r="WQH187" s="537"/>
      <c r="WQI187" s="537"/>
      <c r="WQJ187" s="537"/>
      <c r="WQK187" s="537"/>
      <c r="WQL187" s="537"/>
      <c r="WQM187" s="537"/>
      <c r="WQN187" s="537"/>
      <c r="WQO187" s="537"/>
      <c r="WQP187" s="537"/>
      <c r="WQQ187" s="537"/>
      <c r="WQR187" s="537"/>
      <c r="WQS187" s="537"/>
      <c r="WQT187" s="537"/>
      <c r="WQU187" s="537"/>
      <c r="WQV187" s="537"/>
      <c r="WQW187" s="537"/>
      <c r="WQX187" s="537"/>
      <c r="WQY187" s="537"/>
      <c r="WQZ187" s="537"/>
      <c r="WRA187" s="537"/>
      <c r="WRB187" s="537"/>
      <c r="WRC187" s="537"/>
      <c r="WRD187" s="537"/>
      <c r="WRE187" s="537"/>
      <c r="WRF187" s="537"/>
      <c r="WRG187" s="537"/>
      <c r="WRH187" s="537"/>
      <c r="WRI187" s="537"/>
      <c r="WRJ187" s="537"/>
      <c r="WRK187" s="537"/>
      <c r="WRL187" s="537"/>
      <c r="WRM187" s="537"/>
      <c r="WRN187" s="537"/>
      <c r="WRO187" s="537"/>
      <c r="WRP187" s="537"/>
      <c r="WRQ187" s="537"/>
      <c r="WRR187" s="537"/>
      <c r="WRS187" s="537"/>
      <c r="WRT187" s="537"/>
      <c r="WRU187" s="537"/>
      <c r="WRV187" s="537"/>
      <c r="WRW187" s="537"/>
      <c r="WRX187" s="537"/>
      <c r="WRY187" s="537"/>
      <c r="WRZ187" s="537"/>
      <c r="WSA187" s="537"/>
      <c r="WSB187" s="537"/>
      <c r="WSC187" s="537"/>
      <c r="WSD187" s="537"/>
      <c r="WSE187" s="537"/>
      <c r="WSF187" s="537"/>
      <c r="WSG187" s="537"/>
      <c r="WSH187" s="537"/>
      <c r="WSI187" s="537"/>
      <c r="WSJ187" s="537"/>
      <c r="WSK187" s="537"/>
      <c r="WSL187" s="537"/>
      <c r="WSM187" s="537"/>
      <c r="WSN187" s="537"/>
      <c r="WSO187" s="537"/>
      <c r="WSP187" s="537"/>
      <c r="WSQ187" s="537"/>
      <c r="WSR187" s="537"/>
      <c r="WSS187" s="537"/>
      <c r="WST187" s="537"/>
      <c r="WSU187" s="537"/>
      <c r="WSV187" s="537"/>
      <c r="WSW187" s="537"/>
      <c r="WSX187" s="537"/>
      <c r="WSY187" s="537"/>
      <c r="WSZ187" s="537"/>
      <c r="WTA187" s="537"/>
      <c r="WTB187" s="537"/>
      <c r="WTC187" s="537"/>
      <c r="WTD187" s="537"/>
      <c r="WTE187" s="537"/>
      <c r="WTF187" s="537"/>
      <c r="WTG187" s="537"/>
      <c r="WTH187" s="537"/>
      <c r="WTI187" s="537"/>
      <c r="WTJ187" s="537"/>
      <c r="WTK187" s="537"/>
      <c r="WTL187" s="537"/>
      <c r="WTM187" s="537"/>
      <c r="WTN187" s="537"/>
      <c r="WTO187" s="537"/>
      <c r="WTP187" s="537"/>
      <c r="WTQ187" s="537"/>
      <c r="WTR187" s="537"/>
      <c r="WTS187" s="537"/>
      <c r="WTT187" s="537"/>
      <c r="WTU187" s="537"/>
      <c r="WTV187" s="537"/>
      <c r="WTW187" s="537"/>
      <c r="WTX187" s="537"/>
      <c r="WTY187" s="537"/>
      <c r="WTZ187" s="537"/>
      <c r="WUA187" s="537"/>
      <c r="WUB187" s="537"/>
      <c r="WUC187" s="537"/>
      <c r="WUD187" s="537"/>
      <c r="WUE187" s="537"/>
      <c r="WUF187" s="537"/>
      <c r="WUG187" s="537"/>
      <c r="WUH187" s="537"/>
      <c r="WUI187" s="537"/>
      <c r="WUJ187" s="537"/>
      <c r="WUK187" s="537"/>
      <c r="WUL187" s="537"/>
      <c r="WUM187" s="537"/>
      <c r="WUN187" s="537"/>
      <c r="WUO187" s="537"/>
      <c r="WUP187" s="537"/>
      <c r="WUQ187" s="537"/>
      <c r="WUR187" s="537"/>
      <c r="WUS187" s="537"/>
      <c r="WUT187" s="537"/>
      <c r="WUU187" s="537"/>
      <c r="WUV187" s="537"/>
      <c r="WUW187" s="537"/>
      <c r="WUX187" s="537"/>
      <c r="WUY187" s="537"/>
      <c r="WUZ187" s="537"/>
      <c r="WVA187" s="537"/>
      <c r="WVB187" s="537"/>
      <c r="WVC187" s="537"/>
      <c r="WVD187" s="537"/>
      <c r="WVE187" s="537"/>
      <c r="WVF187" s="537"/>
      <c r="WVG187" s="537"/>
      <c r="WVH187" s="537"/>
      <c r="WVI187" s="537"/>
      <c r="WVJ187" s="537"/>
      <c r="WVK187" s="537"/>
      <c r="WVL187" s="537"/>
      <c r="WVM187" s="537"/>
      <c r="WVN187" s="537"/>
      <c r="WVO187" s="537"/>
      <c r="WVP187" s="537"/>
      <c r="WVQ187" s="537"/>
      <c r="WVR187" s="537"/>
      <c r="WVS187" s="537"/>
      <c r="WVT187" s="537"/>
      <c r="WVU187" s="537"/>
      <c r="WVV187" s="537"/>
      <c r="WVW187" s="537"/>
      <c r="WVX187" s="537"/>
      <c r="WVY187" s="537"/>
      <c r="WVZ187" s="537"/>
      <c r="WWA187" s="537"/>
      <c r="WWB187" s="537"/>
      <c r="WWC187" s="537"/>
      <c r="WWD187" s="537"/>
      <c r="WWE187" s="537"/>
      <c r="WWF187" s="537"/>
      <c r="WWG187" s="537"/>
      <c r="WWH187" s="537"/>
      <c r="WWI187" s="537"/>
      <c r="WWJ187" s="537"/>
      <c r="WWK187" s="537"/>
      <c r="WWL187" s="537"/>
      <c r="WWM187" s="537"/>
      <c r="WWN187" s="537"/>
      <c r="WWO187" s="537"/>
      <c r="WWP187" s="537"/>
      <c r="WWQ187" s="537"/>
      <c r="WWR187" s="537"/>
      <c r="WWS187" s="537"/>
      <c r="WWT187" s="537"/>
      <c r="WWU187" s="537"/>
      <c r="WWV187" s="537"/>
      <c r="WWW187" s="537"/>
      <c r="WWX187" s="537"/>
      <c r="WWY187" s="537"/>
      <c r="WWZ187" s="537"/>
      <c r="WXA187" s="537"/>
      <c r="WXB187" s="537"/>
      <c r="WXC187" s="537"/>
      <c r="WXD187" s="537"/>
      <c r="WXE187" s="537"/>
      <c r="WXF187" s="537"/>
      <c r="WXG187" s="537"/>
      <c r="WXH187" s="537"/>
      <c r="WXI187" s="537"/>
      <c r="WXJ187" s="537"/>
      <c r="WXK187" s="537"/>
      <c r="WXL187" s="537"/>
      <c r="WXM187" s="537"/>
      <c r="WXN187" s="537"/>
      <c r="WXO187" s="537"/>
      <c r="WXP187" s="537"/>
      <c r="WXQ187" s="537"/>
      <c r="WXR187" s="537"/>
      <c r="WXS187" s="537"/>
      <c r="WXT187" s="537"/>
      <c r="WXU187" s="537"/>
      <c r="WXV187" s="537"/>
      <c r="WXW187" s="537"/>
      <c r="WXX187" s="537"/>
      <c r="WXY187" s="537"/>
      <c r="WXZ187" s="537"/>
      <c r="WYA187" s="537"/>
      <c r="WYB187" s="537"/>
      <c r="WYC187" s="537"/>
      <c r="WYD187" s="537"/>
      <c r="WYE187" s="537"/>
      <c r="WYF187" s="537"/>
      <c r="WYG187" s="537"/>
      <c r="WYH187" s="537"/>
      <c r="WYI187" s="537"/>
      <c r="WYJ187" s="537"/>
      <c r="WYK187" s="537"/>
      <c r="WYL187" s="537"/>
      <c r="WYM187" s="537"/>
      <c r="WYN187" s="537"/>
      <c r="WYO187" s="537"/>
      <c r="WYP187" s="537"/>
      <c r="WYQ187" s="537"/>
      <c r="WYR187" s="537"/>
      <c r="WYS187" s="537"/>
      <c r="WYT187" s="537"/>
      <c r="WYU187" s="537"/>
      <c r="WYV187" s="537"/>
      <c r="WYW187" s="537"/>
      <c r="WYX187" s="537"/>
      <c r="WYY187" s="537"/>
      <c r="WYZ187" s="537"/>
      <c r="WZA187" s="537"/>
      <c r="WZB187" s="537"/>
      <c r="WZC187" s="537"/>
      <c r="WZD187" s="537"/>
      <c r="WZE187" s="537"/>
      <c r="WZF187" s="537"/>
      <c r="WZG187" s="537"/>
      <c r="WZH187" s="537"/>
      <c r="WZI187" s="537"/>
      <c r="WZJ187" s="537"/>
      <c r="WZK187" s="537"/>
      <c r="WZL187" s="537"/>
      <c r="WZM187" s="537"/>
      <c r="WZN187" s="537"/>
      <c r="WZO187" s="537"/>
      <c r="WZP187" s="537"/>
      <c r="WZQ187" s="537"/>
      <c r="WZR187" s="537"/>
      <c r="WZS187" s="537"/>
      <c r="WZT187" s="537"/>
      <c r="WZU187" s="537"/>
      <c r="WZV187" s="537"/>
      <c r="WZW187" s="537"/>
      <c r="WZX187" s="537"/>
      <c r="WZY187" s="537"/>
      <c r="WZZ187" s="537"/>
      <c r="XAA187" s="537"/>
      <c r="XAB187" s="537"/>
      <c r="XAC187" s="537"/>
      <c r="XAD187" s="537"/>
      <c r="XAE187" s="537"/>
      <c r="XAF187" s="537"/>
      <c r="XAG187" s="537"/>
      <c r="XAH187" s="537"/>
      <c r="XAI187" s="537"/>
      <c r="XAJ187" s="537"/>
      <c r="XAK187" s="537"/>
      <c r="XAL187" s="537"/>
      <c r="XAM187" s="537"/>
      <c r="XAN187" s="537"/>
      <c r="XAO187" s="537"/>
      <c r="XAP187" s="537"/>
      <c r="XAQ187" s="537"/>
      <c r="XAR187" s="537"/>
      <c r="XAS187" s="537"/>
      <c r="XAT187" s="537"/>
      <c r="XAU187" s="537"/>
      <c r="XAV187" s="537"/>
      <c r="XAW187" s="537"/>
      <c r="XAX187" s="537"/>
      <c r="XAY187" s="537"/>
      <c r="XAZ187" s="537"/>
      <c r="XBA187" s="537"/>
      <c r="XBB187" s="537"/>
      <c r="XBC187" s="537"/>
      <c r="XBD187" s="537"/>
      <c r="XBE187" s="537"/>
      <c r="XBF187" s="537"/>
      <c r="XBG187" s="537"/>
      <c r="XBH187" s="537"/>
      <c r="XBI187" s="537"/>
      <c r="XBJ187" s="537"/>
      <c r="XBK187" s="537"/>
      <c r="XBL187" s="537"/>
      <c r="XBM187" s="537"/>
      <c r="XBN187" s="537"/>
      <c r="XBO187" s="537"/>
      <c r="XBP187" s="537"/>
      <c r="XBQ187" s="537"/>
      <c r="XBR187" s="537"/>
      <c r="XBS187" s="537"/>
      <c r="XBT187" s="537"/>
      <c r="XBU187" s="537"/>
      <c r="XBV187" s="537"/>
      <c r="XBW187" s="537"/>
      <c r="XBX187" s="537"/>
      <c r="XBY187" s="537"/>
      <c r="XBZ187" s="537"/>
      <c r="XCA187" s="537"/>
      <c r="XCB187" s="537"/>
      <c r="XCC187" s="537"/>
      <c r="XCD187" s="537"/>
      <c r="XCE187" s="537"/>
      <c r="XCF187" s="537"/>
      <c r="XCG187" s="537"/>
      <c r="XCH187" s="537"/>
      <c r="XCI187" s="537"/>
      <c r="XCJ187" s="537"/>
      <c r="XCK187" s="537"/>
      <c r="XCL187" s="537"/>
      <c r="XCM187" s="537"/>
      <c r="XCN187" s="537"/>
      <c r="XCO187" s="537"/>
      <c r="XCP187" s="537"/>
      <c r="XCQ187" s="537"/>
      <c r="XCR187" s="537"/>
      <c r="XCS187" s="537"/>
      <c r="XCT187" s="537"/>
      <c r="XCU187" s="537"/>
      <c r="XCV187" s="537"/>
      <c r="XCW187" s="537"/>
      <c r="XCX187" s="537"/>
      <c r="XCY187" s="537"/>
      <c r="XCZ187" s="537"/>
      <c r="XDA187" s="537"/>
      <c r="XDB187" s="537"/>
      <c r="XDC187" s="537"/>
      <c r="XDD187" s="537"/>
      <c r="XDE187" s="537"/>
      <c r="XDF187" s="537"/>
      <c r="XDG187" s="537"/>
      <c r="XDH187" s="537"/>
      <c r="XDI187" s="537"/>
      <c r="XDJ187" s="537"/>
      <c r="XDK187" s="537"/>
      <c r="XDL187" s="537"/>
      <c r="XDM187" s="537"/>
      <c r="XDN187" s="537"/>
      <c r="XDO187" s="537"/>
      <c r="XDP187" s="537"/>
      <c r="XDQ187" s="537"/>
      <c r="XDR187" s="537"/>
      <c r="XDS187" s="537"/>
      <c r="XDT187" s="537"/>
      <c r="XDU187" s="537"/>
      <c r="XDV187" s="537"/>
      <c r="XDW187" s="537"/>
      <c r="XDX187" s="537"/>
      <c r="XDY187" s="537"/>
      <c r="XDZ187" s="537"/>
      <c r="XEA187" s="537"/>
      <c r="XEB187" s="537"/>
      <c r="XEC187" s="537"/>
      <c r="XED187" s="537"/>
      <c r="XEE187" s="537"/>
      <c r="XEF187" s="537"/>
      <c r="XEG187" s="537"/>
      <c r="XEH187" s="537"/>
      <c r="XEI187" s="537"/>
      <c r="XEJ187" s="537"/>
      <c r="XEK187" s="537"/>
      <c r="XEL187" s="537"/>
      <c r="XEM187" s="537"/>
      <c r="XEN187" s="537"/>
      <c r="XEO187" s="537"/>
      <c r="XEP187" s="537"/>
      <c r="XEQ187" s="537"/>
      <c r="XER187" s="537"/>
      <c r="XES187" s="537"/>
      <c r="XET187" s="537"/>
      <c r="XEU187" s="537"/>
      <c r="XEV187" s="537"/>
      <c r="XEW187" s="537"/>
      <c r="XEX187" s="537"/>
      <c r="XEY187" s="537"/>
      <c r="XEZ187" s="537"/>
      <c r="XFA187" s="537"/>
      <c r="XFB187" s="537"/>
      <c r="XFC187" s="537"/>
      <c r="XFD187" s="537"/>
    </row>
    <row r="188" spans="1:16384">
      <c r="A188" s="279">
        <v>43466</v>
      </c>
      <c r="B188" s="26">
        <v>74.153999999999996</v>
      </c>
      <c r="C188" s="26">
        <v>68.003</v>
      </c>
      <c r="D188" s="26">
        <v>49.43</v>
      </c>
      <c r="E188" s="26">
        <v>68.557000000000002</v>
      </c>
      <c r="F188" s="26">
        <v>52.923000000000002</v>
      </c>
      <c r="G188" s="26">
        <v>67.537999999999997</v>
      </c>
      <c r="H188" s="26">
        <v>45.915999999999997</v>
      </c>
      <c r="I188" s="26">
        <v>46.539000000000001</v>
      </c>
      <c r="J188" s="26">
        <v>42.668999999999997</v>
      </c>
      <c r="K188" s="26">
        <v>45.081000000000003</v>
      </c>
      <c r="L188" s="26">
        <v>77.019000000000005</v>
      </c>
      <c r="M188" s="26">
        <v>3.6798999999999999</v>
      </c>
      <c r="N188" s="26">
        <v>45.939</v>
      </c>
      <c r="O188" s="26">
        <v>42.668999999999997</v>
      </c>
      <c r="P188" s="26">
        <v>67.69</v>
      </c>
      <c r="Q188" s="26">
        <v>9.4699000000000009</v>
      </c>
      <c r="R188" s="26">
        <v>78.817999999999998</v>
      </c>
      <c r="S188" s="26">
        <v>69.100999999999999</v>
      </c>
      <c r="T188" s="26">
        <v>52.923000000000002</v>
      </c>
      <c r="U188" s="26">
        <v>42.683</v>
      </c>
      <c r="V188" s="26">
        <v>1.9377</v>
      </c>
      <c r="W188" s="26">
        <v>63.674999999999997</v>
      </c>
      <c r="X188" s="26">
        <v>71.197999999999993</v>
      </c>
      <c r="Y188" s="26">
        <v>9.2944999999999993</v>
      </c>
      <c r="Z188" s="26">
        <v>21.885000000000002</v>
      </c>
      <c r="AA188" s="26">
        <v>66.635999999999996</v>
      </c>
      <c r="AB188" s="26">
        <v>18.913</v>
      </c>
      <c r="AC188" s="26">
        <v>68.846000000000004</v>
      </c>
      <c r="AD188" s="26">
        <v>45.939</v>
      </c>
      <c r="AE188" s="26">
        <v>9.3163</v>
      </c>
      <c r="AF188" s="26">
        <v>67.501000000000005</v>
      </c>
      <c r="AG188" s="26">
        <v>52.701000000000001</v>
      </c>
      <c r="AH188" s="26">
        <v>76.251999999999995</v>
      </c>
      <c r="AI188" s="26">
        <v>9.3625000000000007</v>
      </c>
      <c r="AJ188" s="26">
        <v>42.082999999999998</v>
      </c>
      <c r="AK188" s="26">
        <v>63.283999999999999</v>
      </c>
      <c r="AL188" s="26">
        <v>11.215</v>
      </c>
      <c r="AM188" s="26">
        <v>45.134999999999998</v>
      </c>
      <c r="AN188" s="26">
        <v>37.113999999999997</v>
      </c>
      <c r="AO188" s="26">
        <v>66.281000000000006</v>
      </c>
      <c r="AP188" s="26">
        <v>45.915999999999997</v>
      </c>
      <c r="AQ188" s="26">
        <v>1.5243</v>
      </c>
      <c r="AR188" s="26">
        <v>45.451999999999998</v>
      </c>
      <c r="AS188" s="26">
        <v>1.536</v>
      </c>
      <c r="AT188" s="26">
        <v>9.2752999999999997</v>
      </c>
      <c r="AU188" s="26">
        <v>71.103999999999999</v>
      </c>
      <c r="AV188" s="26">
        <v>68.620999999999995</v>
      </c>
      <c r="AW188" s="26">
        <v>42.32</v>
      </c>
      <c r="AX188" s="26">
        <v>74.153999999999996</v>
      </c>
      <c r="AY188" s="26">
        <v>61.353999999999999</v>
      </c>
      <c r="AZ188" s="26">
        <v>52.923000000000002</v>
      </c>
      <c r="BA188" s="26">
        <v>51.103000000000002</v>
      </c>
      <c r="BB188" s="26">
        <v>76.988</v>
      </c>
      <c r="BC188" s="26">
        <v>74.153999999999996</v>
      </c>
      <c r="BD188" s="26">
        <v>10.423999999999999</v>
      </c>
      <c r="BE188" s="26">
        <v>42.777999999999999</v>
      </c>
      <c r="BF188" s="26">
        <v>42.685000000000002</v>
      </c>
      <c r="BG188" s="26">
        <v>37.619</v>
      </c>
      <c r="BH188" s="26">
        <v>1.9565999999999999</v>
      </c>
      <c r="BI188" s="26">
        <v>42.668999999999997</v>
      </c>
      <c r="BJ188" s="26">
        <v>55.478000000000002</v>
      </c>
      <c r="BK188" s="26">
        <v>6.5799000000000003</v>
      </c>
      <c r="BL188" s="26">
        <v>74.153999999999996</v>
      </c>
      <c r="BM188" s="26">
        <v>45.334000000000003</v>
      </c>
      <c r="BN188" s="26">
        <v>3.3593999999999999</v>
      </c>
      <c r="BO188" s="26">
        <v>67.754999999999995</v>
      </c>
      <c r="BP188" s="26">
        <v>68.176000000000002</v>
      </c>
      <c r="BQ188" s="26">
        <v>65.8</v>
      </c>
      <c r="BR188" s="26">
        <v>69.106999999999999</v>
      </c>
      <c r="BS188" s="26">
        <v>1.9519</v>
      </c>
      <c r="BT188" s="26">
        <v>9.3170000000000002</v>
      </c>
      <c r="BU188" s="26">
        <v>9.4276999999999997</v>
      </c>
      <c r="BV188" s="26">
        <v>65.817999999999998</v>
      </c>
      <c r="BW188" s="26">
        <v>36.567</v>
      </c>
      <c r="BX188" s="26">
        <v>74.153999999999996</v>
      </c>
      <c r="BY188" s="26">
        <v>6.8178999999999998</v>
      </c>
      <c r="BZ188" s="26">
        <v>3.7170999999999998</v>
      </c>
      <c r="CA188" s="26">
        <v>42.765000000000001</v>
      </c>
      <c r="CB188" s="26">
        <v>44.77</v>
      </c>
      <c r="CC188" s="26">
        <v>18.983000000000001</v>
      </c>
      <c r="CD188" s="26">
        <v>49.51</v>
      </c>
      <c r="CE188" s="26">
        <v>42.77</v>
      </c>
      <c r="CF188" s="26">
        <v>74.153999999999996</v>
      </c>
      <c r="CG188" s="26">
        <v>37.244999999999997</v>
      </c>
      <c r="CH188" s="26">
        <v>16.056999999999999</v>
      </c>
      <c r="CI188" s="26">
        <v>67.679000000000002</v>
      </c>
      <c r="CJ188" s="26">
        <v>16.715</v>
      </c>
      <c r="CK188" s="26">
        <v>21.885000000000002</v>
      </c>
      <c r="CL188" s="26">
        <v>61.353999999999999</v>
      </c>
      <c r="CM188" s="26">
        <v>57.500999999999998</v>
      </c>
      <c r="CN188" s="26">
        <v>3.9447000000000001</v>
      </c>
      <c r="CO188" s="26">
        <v>22.795999999999999</v>
      </c>
      <c r="CP188" s="26">
        <v>55.478000000000002</v>
      </c>
      <c r="CQ188" s="26">
        <v>37.790999999999997</v>
      </c>
      <c r="CR188" s="26">
        <v>9.5408000000000008</v>
      </c>
      <c r="CS188" s="26">
        <v>6.6136999999999997</v>
      </c>
      <c r="CT188" s="26">
        <v>74.153999999999996</v>
      </c>
      <c r="CU188" s="26">
        <v>67.798000000000002</v>
      </c>
      <c r="CV188" s="26">
        <v>6.5396000000000001</v>
      </c>
      <c r="CW188" s="26">
        <v>1.5324</v>
      </c>
      <c r="CX188" s="26">
        <v>47.41</v>
      </c>
      <c r="CY188" s="61"/>
      <c r="CZ188" s="537"/>
      <c r="DA188" s="61"/>
    </row>
    <row r="189" spans="1:16384">
      <c r="A189" s="279">
        <v>43497</v>
      </c>
      <c r="B189" s="26">
        <v>72.790999999999997</v>
      </c>
      <c r="C189" s="26">
        <v>74.721999999999994</v>
      </c>
      <c r="D189" s="26">
        <v>47.552999999999997</v>
      </c>
      <c r="E189" s="26">
        <v>79.91</v>
      </c>
      <c r="F189" s="26">
        <v>67.224999999999994</v>
      </c>
      <c r="G189" s="26">
        <v>67.364000000000004</v>
      </c>
      <c r="H189" s="26">
        <v>72.790999999999997</v>
      </c>
      <c r="I189" s="26">
        <v>61.353999999999999</v>
      </c>
      <c r="J189" s="26">
        <v>55.478000000000002</v>
      </c>
      <c r="K189" s="26">
        <v>61.353999999999999</v>
      </c>
      <c r="L189" s="26">
        <v>83.688000000000002</v>
      </c>
      <c r="M189" s="26">
        <v>5.2577999999999996</v>
      </c>
      <c r="N189" s="26">
        <v>36.81</v>
      </c>
      <c r="O189" s="26">
        <v>51.307000000000002</v>
      </c>
      <c r="P189" s="26">
        <v>67.174000000000007</v>
      </c>
      <c r="Q189" s="26">
        <v>6.2195</v>
      </c>
      <c r="R189" s="26">
        <v>93.867999999999995</v>
      </c>
      <c r="S189" s="26">
        <v>75.16</v>
      </c>
      <c r="T189" s="26">
        <v>42.765000000000001</v>
      </c>
      <c r="U189" s="26">
        <v>60.997</v>
      </c>
      <c r="V189" s="26">
        <v>1.7597</v>
      </c>
      <c r="W189" s="26">
        <v>75.16</v>
      </c>
      <c r="X189" s="26">
        <v>83.084999999999994</v>
      </c>
      <c r="Y189" s="26">
        <v>14.013999999999999</v>
      </c>
      <c r="Z189" s="26">
        <v>23.064</v>
      </c>
      <c r="AA189" s="26">
        <v>45.915999999999997</v>
      </c>
      <c r="AB189" s="26">
        <v>43.396000000000001</v>
      </c>
      <c r="AC189" s="26">
        <v>75.16</v>
      </c>
      <c r="AD189" s="26">
        <v>67.224999999999994</v>
      </c>
      <c r="AE189" s="26">
        <v>11.616</v>
      </c>
      <c r="AF189" s="26">
        <v>73.599000000000004</v>
      </c>
      <c r="AG189" s="26">
        <v>67.224999999999994</v>
      </c>
      <c r="AH189" s="26">
        <v>96.11</v>
      </c>
      <c r="AI189" s="26">
        <v>7.6</v>
      </c>
      <c r="AJ189" s="26">
        <v>61.805</v>
      </c>
      <c r="AK189" s="26">
        <v>67.224999999999994</v>
      </c>
      <c r="AL189" s="26">
        <v>42.667000000000002</v>
      </c>
      <c r="AM189" s="26">
        <v>45.976999999999997</v>
      </c>
      <c r="AN189" s="26">
        <v>55.62</v>
      </c>
      <c r="AO189" s="26">
        <v>78.575000000000003</v>
      </c>
      <c r="AP189" s="26">
        <v>61.353999999999999</v>
      </c>
      <c r="AQ189" s="26">
        <v>0.39083000000000001</v>
      </c>
      <c r="AR189" s="26">
        <v>55.62</v>
      </c>
      <c r="AS189" s="26">
        <v>1.7367999999999999</v>
      </c>
      <c r="AT189" s="26">
        <v>22.300999999999998</v>
      </c>
      <c r="AU189" s="26">
        <v>75.16</v>
      </c>
      <c r="AV189" s="26">
        <v>79.91</v>
      </c>
      <c r="AW189" s="26">
        <v>44.607999999999997</v>
      </c>
      <c r="AX189" s="26">
        <v>84.923000000000002</v>
      </c>
      <c r="AY189" s="26">
        <v>67.224999999999994</v>
      </c>
      <c r="AZ189" s="26">
        <v>67.224999999999994</v>
      </c>
      <c r="BA189" s="26">
        <v>72.790999999999997</v>
      </c>
      <c r="BB189" s="26">
        <v>145.97</v>
      </c>
      <c r="BC189" s="26">
        <v>76.465999999999994</v>
      </c>
      <c r="BD189" s="26">
        <v>35.801000000000002</v>
      </c>
      <c r="BE189" s="26">
        <v>43.396000000000001</v>
      </c>
      <c r="BF189" s="26">
        <v>45.578000000000003</v>
      </c>
      <c r="BG189" s="26">
        <v>67.224999999999994</v>
      </c>
      <c r="BH189" s="26">
        <v>1.7347999999999999</v>
      </c>
      <c r="BI189" s="26">
        <v>42.765000000000001</v>
      </c>
      <c r="BJ189" s="26">
        <v>75.16</v>
      </c>
      <c r="BK189" s="26">
        <v>7.8776999999999999</v>
      </c>
      <c r="BL189" s="26">
        <v>79.91</v>
      </c>
      <c r="BM189" s="26">
        <v>49.51</v>
      </c>
      <c r="BN189" s="26">
        <v>5.2263000000000002</v>
      </c>
      <c r="BO189" s="26">
        <v>40.081000000000003</v>
      </c>
      <c r="BP189" s="26">
        <v>75.337999999999994</v>
      </c>
      <c r="BQ189" s="26">
        <v>71.75</v>
      </c>
      <c r="BR189" s="26">
        <v>79.91</v>
      </c>
      <c r="BS189" s="26">
        <v>3.1175000000000002</v>
      </c>
      <c r="BT189" s="26">
        <v>7.6077000000000004</v>
      </c>
      <c r="BU189" s="26">
        <v>44.32</v>
      </c>
      <c r="BV189" s="26">
        <v>66.875</v>
      </c>
      <c r="BW189" s="26">
        <v>49.351999999999997</v>
      </c>
      <c r="BX189" s="26">
        <v>79.91</v>
      </c>
      <c r="BY189" s="26">
        <v>3.8557999999999999</v>
      </c>
      <c r="BZ189" s="26">
        <v>1.9952000000000001</v>
      </c>
      <c r="CA189" s="26">
        <v>45.915999999999997</v>
      </c>
      <c r="CB189" s="26">
        <v>67.224999999999994</v>
      </c>
      <c r="CC189" s="26">
        <v>57.765000000000001</v>
      </c>
      <c r="CD189" s="26">
        <v>67.224999999999994</v>
      </c>
      <c r="CE189" s="26">
        <v>61.353999999999999</v>
      </c>
      <c r="CF189" s="26">
        <v>79.91</v>
      </c>
      <c r="CG189" s="26">
        <v>18.443999999999999</v>
      </c>
      <c r="CH189" s="26">
        <v>14.452999999999999</v>
      </c>
      <c r="CI189" s="26">
        <v>69.852000000000004</v>
      </c>
      <c r="CJ189" s="26">
        <v>49.51</v>
      </c>
      <c r="CK189" s="26">
        <v>36.951000000000001</v>
      </c>
      <c r="CL189" s="26">
        <v>67.224999999999994</v>
      </c>
      <c r="CM189" s="26">
        <v>75.16</v>
      </c>
      <c r="CN189" s="26">
        <v>4.4766000000000004</v>
      </c>
      <c r="CO189" s="26">
        <v>49.51</v>
      </c>
      <c r="CP189" s="26">
        <v>61.353999999999999</v>
      </c>
      <c r="CQ189" s="26">
        <v>41.497999999999998</v>
      </c>
      <c r="CR189" s="26">
        <v>22.300999999999998</v>
      </c>
      <c r="CS189" s="26">
        <v>22.300999999999998</v>
      </c>
      <c r="CT189" s="26">
        <v>84.923000000000002</v>
      </c>
      <c r="CU189" s="26">
        <v>52.750999999999998</v>
      </c>
      <c r="CV189" s="26">
        <v>25.756</v>
      </c>
      <c r="CW189" s="26">
        <v>0.42487999999999998</v>
      </c>
      <c r="CX189" s="26">
        <v>56.674999999999997</v>
      </c>
      <c r="CY189" s="61"/>
      <c r="CZ189" s="537"/>
      <c r="DA189" s="61"/>
    </row>
    <row r="190" spans="1:16384">
      <c r="A190" s="279">
        <v>43525</v>
      </c>
      <c r="B190" s="26">
        <v>56.774999999999999</v>
      </c>
      <c r="C190" s="26">
        <v>62.253</v>
      </c>
      <c r="D190" s="26">
        <v>57.911999999999999</v>
      </c>
      <c r="E190" s="26">
        <v>85.632999999999996</v>
      </c>
      <c r="F190" s="26">
        <v>67.900000000000006</v>
      </c>
      <c r="G190" s="26">
        <v>57.643999999999998</v>
      </c>
      <c r="H190" s="26">
        <v>55.478000000000002</v>
      </c>
      <c r="I190" s="26">
        <v>54.667999999999999</v>
      </c>
      <c r="J190" s="26">
        <v>63.283999999999999</v>
      </c>
      <c r="K190" s="26">
        <v>55.62</v>
      </c>
      <c r="L190" s="26">
        <v>79.331000000000003</v>
      </c>
      <c r="M190" s="26">
        <v>1.1214</v>
      </c>
      <c r="N190" s="26">
        <v>41.607999999999997</v>
      </c>
      <c r="O190" s="26">
        <v>67.900000000000006</v>
      </c>
      <c r="P190" s="26">
        <v>49.558999999999997</v>
      </c>
      <c r="Q190" s="26">
        <v>4.8407</v>
      </c>
      <c r="R190" s="26">
        <v>80.415000000000006</v>
      </c>
      <c r="S190" s="26">
        <v>80.415000000000006</v>
      </c>
      <c r="T190" s="26">
        <v>43.457000000000001</v>
      </c>
      <c r="U190" s="26">
        <v>55.265000000000001</v>
      </c>
      <c r="V190" s="26">
        <v>1.8654999999999999</v>
      </c>
      <c r="W190" s="26">
        <v>73.545000000000002</v>
      </c>
      <c r="X190" s="26">
        <v>75.623999999999995</v>
      </c>
      <c r="Y190" s="26">
        <v>35.984999999999999</v>
      </c>
      <c r="Z190" s="26">
        <v>61.353999999999999</v>
      </c>
      <c r="AA190" s="26">
        <v>49.51</v>
      </c>
      <c r="AB190" s="26">
        <v>61.353999999999999</v>
      </c>
      <c r="AC190" s="26">
        <v>67.900000000000006</v>
      </c>
      <c r="AD190" s="26">
        <v>43.396000000000001</v>
      </c>
      <c r="AE190" s="26">
        <v>11.632</v>
      </c>
      <c r="AF190" s="26">
        <v>55.597999999999999</v>
      </c>
      <c r="AG190" s="26">
        <v>67.900000000000006</v>
      </c>
      <c r="AH190" s="26">
        <v>80.415000000000006</v>
      </c>
      <c r="AI190" s="26">
        <v>9.3798999999999992</v>
      </c>
      <c r="AJ190" s="26">
        <v>57.655000000000001</v>
      </c>
      <c r="AK190" s="26">
        <v>52.923000000000002</v>
      </c>
      <c r="AL190" s="26">
        <v>55.478000000000002</v>
      </c>
      <c r="AM190" s="26">
        <v>50.624000000000002</v>
      </c>
      <c r="AN190" s="26">
        <v>53.585000000000001</v>
      </c>
      <c r="AO190" s="26">
        <v>68.058999999999997</v>
      </c>
      <c r="AP190" s="26">
        <v>61.353999999999999</v>
      </c>
      <c r="AQ190" s="26">
        <v>1.1483000000000001</v>
      </c>
      <c r="AR190" s="26">
        <v>22.794</v>
      </c>
      <c r="AS190" s="26">
        <v>1.8845000000000001</v>
      </c>
      <c r="AT190" s="26">
        <v>52.923000000000002</v>
      </c>
      <c r="AU190" s="26">
        <v>63.283999999999999</v>
      </c>
      <c r="AV190" s="26">
        <v>75.623999999999995</v>
      </c>
      <c r="AW190" s="26">
        <v>40.337000000000003</v>
      </c>
      <c r="AX190" s="26">
        <v>68.265000000000001</v>
      </c>
      <c r="AY190" s="26">
        <v>67.900000000000006</v>
      </c>
      <c r="AZ190" s="26">
        <v>63.283999999999999</v>
      </c>
      <c r="BA190" s="26">
        <v>75.623999999999995</v>
      </c>
      <c r="BB190" s="26">
        <v>76.573999999999998</v>
      </c>
      <c r="BC190" s="26">
        <v>75.623999999999995</v>
      </c>
      <c r="BD190" s="26">
        <v>48.423000000000002</v>
      </c>
      <c r="BE190" s="26">
        <v>42.765000000000001</v>
      </c>
      <c r="BF190" s="26">
        <v>67.900000000000006</v>
      </c>
      <c r="BG190" s="26">
        <v>56.395000000000003</v>
      </c>
      <c r="BH190" s="26">
        <v>1.1082000000000001</v>
      </c>
      <c r="BI190" s="26">
        <v>43.457000000000001</v>
      </c>
      <c r="BJ190" s="26">
        <v>67.900000000000006</v>
      </c>
      <c r="BK190" s="26">
        <v>19.561</v>
      </c>
      <c r="BL190" s="26">
        <v>49.51</v>
      </c>
      <c r="BM190" s="26">
        <v>67.900000000000006</v>
      </c>
      <c r="BN190" s="26">
        <v>4.1619000000000002</v>
      </c>
      <c r="BO190" s="26">
        <v>21.106999999999999</v>
      </c>
      <c r="BP190" s="26">
        <v>70.89</v>
      </c>
      <c r="BQ190" s="26">
        <v>73.545000000000002</v>
      </c>
      <c r="BR190" s="26">
        <v>75.623999999999995</v>
      </c>
      <c r="BS190" s="26">
        <v>43.320999999999998</v>
      </c>
      <c r="BT190" s="26">
        <v>42.765000000000001</v>
      </c>
      <c r="BU190" s="26">
        <v>43.423000000000002</v>
      </c>
      <c r="BV190" s="26">
        <v>67.507999999999996</v>
      </c>
      <c r="BW190" s="26">
        <v>20.437000000000001</v>
      </c>
      <c r="BX190" s="26">
        <v>45.915999999999997</v>
      </c>
      <c r="BY190" s="26">
        <v>5.1349999999999998</v>
      </c>
      <c r="BZ190" s="26">
        <v>4.3746</v>
      </c>
      <c r="CA190" s="26">
        <v>48.423000000000002</v>
      </c>
      <c r="CB190" s="26">
        <v>73.545000000000002</v>
      </c>
      <c r="CC190" s="26">
        <v>73.545000000000002</v>
      </c>
      <c r="CD190" s="26">
        <v>67.900000000000006</v>
      </c>
      <c r="CE190" s="26">
        <v>52.923000000000002</v>
      </c>
      <c r="CF190" s="26">
        <v>73.545000000000002</v>
      </c>
      <c r="CG190" s="26">
        <v>61.353999999999999</v>
      </c>
      <c r="CH190" s="26">
        <v>22.411000000000001</v>
      </c>
      <c r="CI190" s="26">
        <v>66.902000000000001</v>
      </c>
      <c r="CJ190" s="26">
        <v>51.307000000000002</v>
      </c>
      <c r="CK190" s="26">
        <v>67.900000000000006</v>
      </c>
      <c r="CL190" s="26">
        <v>73.545000000000002</v>
      </c>
      <c r="CM190" s="26">
        <v>73.545000000000002</v>
      </c>
      <c r="CN190" s="26">
        <v>35.546999999999997</v>
      </c>
      <c r="CO190" s="26">
        <v>61.353999999999999</v>
      </c>
      <c r="CP190" s="26">
        <v>55.62</v>
      </c>
      <c r="CQ190" s="26">
        <v>60.164999999999999</v>
      </c>
      <c r="CR190" s="26">
        <v>42.841000000000001</v>
      </c>
      <c r="CS190" s="26">
        <v>61.353999999999999</v>
      </c>
      <c r="CT190" s="26">
        <v>67.900000000000006</v>
      </c>
      <c r="CU190" s="26">
        <v>49.593000000000004</v>
      </c>
      <c r="CV190" s="26">
        <v>42.685000000000002</v>
      </c>
      <c r="CW190" s="26">
        <v>1.1033999999999999</v>
      </c>
      <c r="CX190" s="26">
        <v>48.308999999999997</v>
      </c>
      <c r="CY190" s="61"/>
      <c r="CZ190" s="537"/>
      <c r="DA190" s="61"/>
    </row>
    <row r="191" spans="1:16384">
      <c r="A191" s="279">
        <v>43556</v>
      </c>
      <c r="B191" s="26">
        <v>28.952000000000002</v>
      </c>
      <c r="C191" s="26">
        <v>36.045999999999999</v>
      </c>
      <c r="D191" s="26">
        <v>43.93</v>
      </c>
      <c r="E191" s="26">
        <v>75.314999999999998</v>
      </c>
      <c r="F191" s="26">
        <v>42.893000000000001</v>
      </c>
      <c r="G191" s="26">
        <v>31.437000000000001</v>
      </c>
      <c r="H191" s="26">
        <v>42.668999999999997</v>
      </c>
      <c r="I191" s="26">
        <v>42.914999999999999</v>
      </c>
      <c r="J191" s="26">
        <v>11.75</v>
      </c>
      <c r="K191" s="26">
        <v>42.798000000000002</v>
      </c>
      <c r="L191" s="26">
        <v>67.599999999999994</v>
      </c>
      <c r="M191" s="26">
        <v>3.0053000000000001</v>
      </c>
      <c r="N191" s="26">
        <v>22.794</v>
      </c>
      <c r="O191" s="26">
        <v>61.353999999999999</v>
      </c>
      <c r="P191" s="26">
        <v>15.538</v>
      </c>
      <c r="Q191" s="26">
        <v>3.0758999999999999</v>
      </c>
      <c r="R191" s="26">
        <v>48.393000000000001</v>
      </c>
      <c r="S191" s="26">
        <v>42.927999999999997</v>
      </c>
      <c r="T191" s="26">
        <v>22.925000000000001</v>
      </c>
      <c r="U191" s="26">
        <v>37.609000000000002</v>
      </c>
      <c r="V191" s="26">
        <v>1.0325</v>
      </c>
      <c r="W191" s="26">
        <v>73.209999999999994</v>
      </c>
      <c r="X191" s="26">
        <v>42.841000000000001</v>
      </c>
      <c r="Y191" s="26">
        <v>45.948999999999998</v>
      </c>
      <c r="Z191" s="26">
        <v>52.923000000000002</v>
      </c>
      <c r="AA191" s="26">
        <v>42.798000000000002</v>
      </c>
      <c r="AB191" s="26">
        <v>67.599999999999994</v>
      </c>
      <c r="AC191" s="26">
        <v>61.353999999999999</v>
      </c>
      <c r="AD191" s="26">
        <v>22.103000000000002</v>
      </c>
      <c r="AE191" s="26">
        <v>49.51</v>
      </c>
      <c r="AF191" s="26">
        <v>33.04</v>
      </c>
      <c r="AG191" s="26">
        <v>11.712999999999999</v>
      </c>
      <c r="AH191" s="26">
        <v>36.273000000000003</v>
      </c>
      <c r="AI191" s="26">
        <v>35.984999999999999</v>
      </c>
      <c r="AJ191" s="26">
        <v>9.2172000000000001</v>
      </c>
      <c r="AK191" s="26">
        <v>61.353999999999999</v>
      </c>
      <c r="AL191" s="26">
        <v>67.599999999999994</v>
      </c>
      <c r="AM191" s="26">
        <v>11.18</v>
      </c>
      <c r="AN191" s="26">
        <v>22.795999999999999</v>
      </c>
      <c r="AO191" s="26">
        <v>33.911000000000001</v>
      </c>
      <c r="AP191" s="26">
        <v>67.599999999999994</v>
      </c>
      <c r="AQ191" s="26">
        <v>1.1772</v>
      </c>
      <c r="AR191" s="26">
        <v>12.247</v>
      </c>
      <c r="AS191" s="26">
        <v>3.0038</v>
      </c>
      <c r="AT191" s="26">
        <v>52.923000000000002</v>
      </c>
      <c r="AU191" s="26">
        <v>52.923000000000002</v>
      </c>
      <c r="AV191" s="26">
        <v>67.599999999999994</v>
      </c>
      <c r="AW191" s="26">
        <v>8.4839000000000002</v>
      </c>
      <c r="AX191" s="26">
        <v>19.561</v>
      </c>
      <c r="AY191" s="26">
        <v>22.933</v>
      </c>
      <c r="AZ191" s="26">
        <v>42.881999999999998</v>
      </c>
      <c r="BA191" s="26">
        <v>73.209999999999994</v>
      </c>
      <c r="BB191" s="26">
        <v>41.223999999999997</v>
      </c>
      <c r="BC191" s="26">
        <v>61.353999999999999</v>
      </c>
      <c r="BD191" s="26">
        <v>15.054</v>
      </c>
      <c r="BE191" s="26">
        <v>13.712999999999999</v>
      </c>
      <c r="BF191" s="26">
        <v>52.923000000000002</v>
      </c>
      <c r="BG191" s="26">
        <v>63.283999999999999</v>
      </c>
      <c r="BH191" s="26">
        <v>1.0325</v>
      </c>
      <c r="BI191" s="26">
        <v>7.7191000000000001</v>
      </c>
      <c r="BJ191" s="26">
        <v>43.49</v>
      </c>
      <c r="BK191" s="26">
        <v>42.746000000000002</v>
      </c>
      <c r="BL191" s="26">
        <v>35.587000000000003</v>
      </c>
      <c r="BM191" s="26">
        <v>24.140999999999998</v>
      </c>
      <c r="BN191" s="26">
        <v>7.4215</v>
      </c>
      <c r="BO191" s="26">
        <v>12.265000000000001</v>
      </c>
      <c r="BP191" s="26">
        <v>56.616</v>
      </c>
      <c r="BQ191" s="26">
        <v>42.685000000000002</v>
      </c>
      <c r="BR191" s="26">
        <v>63.283999999999999</v>
      </c>
      <c r="BS191" s="26">
        <v>43.518000000000001</v>
      </c>
      <c r="BT191" s="26">
        <v>18.646999999999998</v>
      </c>
      <c r="BU191" s="26">
        <v>9.5123999999999995</v>
      </c>
      <c r="BV191" s="26">
        <v>31.27</v>
      </c>
      <c r="BW191" s="26">
        <v>18.632000000000001</v>
      </c>
      <c r="BX191" s="26">
        <v>22.959</v>
      </c>
      <c r="BY191" s="26">
        <v>7.8853999999999997</v>
      </c>
      <c r="BZ191" s="26">
        <v>10.198</v>
      </c>
      <c r="CA191" s="26">
        <v>22.925000000000001</v>
      </c>
      <c r="CB191" s="26">
        <v>24.555</v>
      </c>
      <c r="CC191" s="26">
        <v>73.209999999999994</v>
      </c>
      <c r="CD191" s="26">
        <v>73.209999999999994</v>
      </c>
      <c r="CE191" s="26">
        <v>3.2039</v>
      </c>
      <c r="CF191" s="26">
        <v>61.353999999999999</v>
      </c>
      <c r="CG191" s="26">
        <v>3.1276999999999999</v>
      </c>
      <c r="CH191" s="26">
        <v>22.81</v>
      </c>
      <c r="CI191" s="26">
        <v>34.433999999999997</v>
      </c>
      <c r="CJ191" s="26">
        <v>8.4405999999999999</v>
      </c>
      <c r="CK191" s="26">
        <v>61.353999999999999</v>
      </c>
      <c r="CL191" s="26">
        <v>42.927999999999997</v>
      </c>
      <c r="CM191" s="26">
        <v>67.599999999999994</v>
      </c>
      <c r="CN191" s="26">
        <v>30.128</v>
      </c>
      <c r="CO191" s="26">
        <v>52.923000000000002</v>
      </c>
      <c r="CP191" s="26">
        <v>42.777999999999999</v>
      </c>
      <c r="CQ191" s="26">
        <v>14.824999999999999</v>
      </c>
      <c r="CR191" s="26">
        <v>22.959</v>
      </c>
      <c r="CS191" s="26">
        <v>63.283999999999999</v>
      </c>
      <c r="CT191" s="26">
        <v>34.954000000000001</v>
      </c>
      <c r="CU191" s="26">
        <v>73.209999999999994</v>
      </c>
      <c r="CV191" s="26">
        <v>3.6617999999999999</v>
      </c>
      <c r="CW191" s="26">
        <v>0.86638999999999999</v>
      </c>
      <c r="CX191" s="26">
        <v>34.823999999999998</v>
      </c>
      <c r="CY191" s="61"/>
      <c r="CZ191" s="537"/>
      <c r="DA191" s="61"/>
    </row>
    <row r="192" spans="1:16384">
      <c r="A192" s="279">
        <v>43586</v>
      </c>
      <c r="B192" s="26">
        <v>22.491</v>
      </c>
      <c r="C192" s="26">
        <v>27.802</v>
      </c>
      <c r="D192" s="26">
        <v>17.817</v>
      </c>
      <c r="E192" s="26">
        <v>71.45</v>
      </c>
      <c r="F192" s="26">
        <v>12.494</v>
      </c>
      <c r="G192" s="26">
        <v>39.786999999999999</v>
      </c>
      <c r="H192" s="26">
        <v>12.54</v>
      </c>
      <c r="I192" s="26">
        <v>36.305</v>
      </c>
      <c r="J192" s="26">
        <v>4.5909000000000004</v>
      </c>
      <c r="K192" s="26">
        <v>18.443000000000001</v>
      </c>
      <c r="L192" s="26">
        <v>51.356999999999999</v>
      </c>
      <c r="M192" s="26">
        <v>3.0865999999999998</v>
      </c>
      <c r="N192" s="26">
        <v>13.933</v>
      </c>
      <c r="O192" s="26">
        <v>12.768000000000001</v>
      </c>
      <c r="P192" s="26">
        <v>26.14</v>
      </c>
      <c r="Q192" s="26">
        <v>5.9734999999999996</v>
      </c>
      <c r="R192" s="26">
        <v>50.345999999999997</v>
      </c>
      <c r="S192" s="26">
        <v>55.478000000000002</v>
      </c>
      <c r="T192" s="26">
        <v>8.1765000000000008</v>
      </c>
      <c r="U192" s="26">
        <v>11.648999999999999</v>
      </c>
      <c r="V192" s="26">
        <v>0.28549999999999998</v>
      </c>
      <c r="W192" s="26">
        <v>21.154</v>
      </c>
      <c r="X192" s="26">
        <v>48.222000000000001</v>
      </c>
      <c r="Y192" s="26">
        <v>27.901</v>
      </c>
      <c r="Z192" s="26">
        <v>19.669</v>
      </c>
      <c r="AA192" s="26">
        <v>8.9751999999999992</v>
      </c>
      <c r="AB192" s="26">
        <v>14.201000000000001</v>
      </c>
      <c r="AC192" s="26">
        <v>42.777999999999999</v>
      </c>
      <c r="AD192" s="26">
        <v>17.161999999999999</v>
      </c>
      <c r="AE192" s="26">
        <v>17.975999999999999</v>
      </c>
      <c r="AF192" s="26">
        <v>24.506</v>
      </c>
      <c r="AG192" s="26">
        <v>19.055</v>
      </c>
      <c r="AH192" s="26">
        <v>35.817</v>
      </c>
      <c r="AI192" s="26">
        <v>11.212999999999999</v>
      </c>
      <c r="AJ192" s="26">
        <v>12.409000000000001</v>
      </c>
      <c r="AK192" s="26">
        <v>43.005000000000003</v>
      </c>
      <c r="AL192" s="26">
        <v>5.1443000000000003</v>
      </c>
      <c r="AM192" s="26">
        <v>15.891999999999999</v>
      </c>
      <c r="AN192" s="26">
        <v>23.765000000000001</v>
      </c>
      <c r="AO192" s="26">
        <v>42.786999999999999</v>
      </c>
      <c r="AP192" s="26">
        <v>25.786000000000001</v>
      </c>
      <c r="AQ192" s="26">
        <v>1.0808</v>
      </c>
      <c r="AR192" s="26">
        <v>12.842000000000001</v>
      </c>
      <c r="AS192" s="26">
        <v>3.1417999999999999</v>
      </c>
      <c r="AT192" s="26">
        <v>53.173999999999999</v>
      </c>
      <c r="AU192" s="26">
        <v>21.312000000000001</v>
      </c>
      <c r="AV192" s="26">
        <v>43.262</v>
      </c>
      <c r="AW192" s="26">
        <v>7.8545999999999996</v>
      </c>
      <c r="AX192" s="26">
        <v>16.792000000000002</v>
      </c>
      <c r="AY192" s="26">
        <v>12.702999999999999</v>
      </c>
      <c r="AZ192" s="26">
        <v>36.079000000000001</v>
      </c>
      <c r="BA192" s="26">
        <v>42.893000000000001</v>
      </c>
      <c r="BB192" s="26">
        <v>42.881999999999998</v>
      </c>
      <c r="BC192" s="26">
        <v>52.052</v>
      </c>
      <c r="BD192" s="26">
        <v>8.9336000000000002</v>
      </c>
      <c r="BE192" s="26">
        <v>12.092000000000001</v>
      </c>
      <c r="BF192" s="26">
        <v>16.324999999999999</v>
      </c>
      <c r="BG192" s="26">
        <v>37.274999999999999</v>
      </c>
      <c r="BH192" s="26">
        <v>0.22733</v>
      </c>
      <c r="BI192" s="26">
        <v>4.0726000000000004</v>
      </c>
      <c r="BJ192" s="26">
        <v>40.896000000000001</v>
      </c>
      <c r="BK192" s="26">
        <v>34.218000000000004</v>
      </c>
      <c r="BL192" s="26">
        <v>35.762999999999998</v>
      </c>
      <c r="BM192" s="26">
        <v>20.768999999999998</v>
      </c>
      <c r="BN192" s="26">
        <v>6.7457000000000003</v>
      </c>
      <c r="BO192" s="26">
        <v>8.1333000000000002</v>
      </c>
      <c r="BP192" s="26">
        <v>61.353999999999999</v>
      </c>
      <c r="BQ192" s="26">
        <v>43.688000000000002</v>
      </c>
      <c r="BR192" s="26">
        <v>8.4067000000000007</v>
      </c>
      <c r="BS192" s="26">
        <v>12.858000000000001</v>
      </c>
      <c r="BT192" s="26">
        <v>11.211</v>
      </c>
      <c r="BU192" s="26">
        <v>13.586</v>
      </c>
      <c r="BV192" s="26">
        <v>17.45</v>
      </c>
      <c r="BW192" s="26">
        <v>25.881</v>
      </c>
      <c r="BX192" s="26">
        <v>4.5430999999999999</v>
      </c>
      <c r="BY192" s="26">
        <v>18.494</v>
      </c>
      <c r="BZ192" s="26">
        <v>4.6829999999999998</v>
      </c>
      <c r="CA192" s="26">
        <v>12.412000000000001</v>
      </c>
      <c r="CB192" s="26">
        <v>42.712000000000003</v>
      </c>
      <c r="CC192" s="26">
        <v>43.497999999999998</v>
      </c>
      <c r="CD192" s="26">
        <v>43.262</v>
      </c>
      <c r="CE192" s="26">
        <v>3.1034000000000002</v>
      </c>
      <c r="CF192" s="26">
        <v>4.8334000000000001</v>
      </c>
      <c r="CG192" s="26">
        <v>4.0563000000000002</v>
      </c>
      <c r="CH192" s="26">
        <v>21.094000000000001</v>
      </c>
      <c r="CI192" s="26">
        <v>42.685000000000002</v>
      </c>
      <c r="CJ192" s="26">
        <v>4.0549999999999997</v>
      </c>
      <c r="CK192" s="26">
        <v>42.777999999999999</v>
      </c>
      <c r="CL192" s="26">
        <v>8.9543999999999997</v>
      </c>
      <c r="CM192" s="26">
        <v>6.7908999999999997</v>
      </c>
      <c r="CN192" s="26">
        <v>8.3983000000000008</v>
      </c>
      <c r="CO192" s="26">
        <v>38.406999999999996</v>
      </c>
      <c r="CP192" s="26">
        <v>17.350000000000001</v>
      </c>
      <c r="CQ192" s="26">
        <v>11.265000000000001</v>
      </c>
      <c r="CR192" s="26">
        <v>1.5448</v>
      </c>
      <c r="CS192" s="26">
        <v>18.381</v>
      </c>
      <c r="CT192" s="26">
        <v>12.62</v>
      </c>
      <c r="CU192" s="26">
        <v>23.292999999999999</v>
      </c>
      <c r="CV192" s="26">
        <v>6.9621000000000004</v>
      </c>
      <c r="CW192" s="26">
        <v>0</v>
      </c>
      <c r="CX192" s="26">
        <v>24.088999999999999</v>
      </c>
      <c r="CY192" s="61"/>
      <c r="CZ192" s="537"/>
      <c r="DA192" s="61"/>
    </row>
    <row r="193" spans="1:16384">
      <c r="A193" s="279">
        <v>43617</v>
      </c>
      <c r="B193" s="26">
        <v>24.878</v>
      </c>
      <c r="C193" s="26">
        <v>14.87</v>
      </c>
      <c r="D193" s="26">
        <v>35.863</v>
      </c>
      <c r="E193" s="26">
        <v>66.474999999999994</v>
      </c>
      <c r="F193" s="26">
        <v>9.6321999999999992</v>
      </c>
      <c r="G193" s="26">
        <v>27.870999999999999</v>
      </c>
      <c r="H193" s="26">
        <v>9.1950000000000003</v>
      </c>
      <c r="I193" s="26">
        <v>27.95</v>
      </c>
      <c r="J193" s="26">
        <v>9.1244999999999994</v>
      </c>
      <c r="K193" s="26">
        <v>7.8403</v>
      </c>
      <c r="L193" s="26">
        <v>55.5</v>
      </c>
      <c r="M193" s="26">
        <v>6.6206000000000001E-2</v>
      </c>
      <c r="N193" s="26">
        <v>23.414999999999999</v>
      </c>
      <c r="O193" s="26">
        <v>14.349</v>
      </c>
      <c r="P193" s="26">
        <v>23.914999999999999</v>
      </c>
      <c r="Q193" s="26">
        <v>8.3455999999999992</v>
      </c>
      <c r="R193" s="26">
        <v>9.9402000000000008</v>
      </c>
      <c r="S193" s="26">
        <v>71.953000000000003</v>
      </c>
      <c r="T193" s="26">
        <v>0.10536</v>
      </c>
      <c r="U193" s="26">
        <v>16.638999999999999</v>
      </c>
      <c r="V193" s="26">
        <v>4.7763E-2</v>
      </c>
      <c r="W193" s="26">
        <v>20.658000000000001</v>
      </c>
      <c r="X193" s="26">
        <v>49.658000000000001</v>
      </c>
      <c r="Y193" s="26">
        <v>25.164000000000001</v>
      </c>
      <c r="Z193" s="26">
        <v>9.9895999999999994</v>
      </c>
      <c r="AA193" s="26">
        <v>16.905000000000001</v>
      </c>
      <c r="AB193" s="26">
        <v>7.2840999999999996</v>
      </c>
      <c r="AC193" s="26">
        <v>27.821000000000002</v>
      </c>
      <c r="AD193" s="26">
        <v>8.0180000000000007</v>
      </c>
      <c r="AE193" s="26">
        <v>15.488</v>
      </c>
      <c r="AF193" s="26">
        <v>35.790999999999997</v>
      </c>
      <c r="AG193" s="26">
        <v>14.797000000000001</v>
      </c>
      <c r="AH193" s="26">
        <v>42.777999999999999</v>
      </c>
      <c r="AI193" s="26">
        <v>9.4680999999999997</v>
      </c>
      <c r="AJ193" s="26">
        <v>14.141999999999999</v>
      </c>
      <c r="AK193" s="26">
        <v>55.097999999999999</v>
      </c>
      <c r="AL193" s="26">
        <v>2.2366999999999999</v>
      </c>
      <c r="AM193" s="26">
        <v>22.474</v>
      </c>
      <c r="AN193" s="26">
        <v>38.783000000000001</v>
      </c>
      <c r="AO193" s="26">
        <v>61.933</v>
      </c>
      <c r="AP193" s="26">
        <v>42.868000000000002</v>
      </c>
      <c r="AQ193" s="26">
        <v>6.3795000000000004E-2</v>
      </c>
      <c r="AR193" s="26">
        <v>6.3363000000000003E-2</v>
      </c>
      <c r="AS193" s="26">
        <v>1.84</v>
      </c>
      <c r="AT193" s="26">
        <v>56.526000000000003</v>
      </c>
      <c r="AU193" s="26">
        <v>10.316000000000001</v>
      </c>
      <c r="AV193" s="26">
        <v>28.457000000000001</v>
      </c>
      <c r="AW193" s="26">
        <v>9.0584000000000007</v>
      </c>
      <c r="AX193" s="26">
        <v>9.3928999999999991</v>
      </c>
      <c r="AY193" s="26">
        <v>35.664999999999999</v>
      </c>
      <c r="AZ193" s="26">
        <v>24.878</v>
      </c>
      <c r="BA193" s="26">
        <v>43.396000000000001</v>
      </c>
      <c r="BB193" s="26">
        <v>42.896999999999998</v>
      </c>
      <c r="BC193" s="26">
        <v>37.427999999999997</v>
      </c>
      <c r="BD193" s="26">
        <v>9.6412999999999993</v>
      </c>
      <c r="BE193" s="26">
        <v>24.872</v>
      </c>
      <c r="BF193" s="26">
        <v>25.85</v>
      </c>
      <c r="BG193" s="26">
        <v>35.536000000000001</v>
      </c>
      <c r="BH193" s="26">
        <v>5.0687999999999997E-2</v>
      </c>
      <c r="BI193" s="26">
        <v>1.6497999999999999</v>
      </c>
      <c r="BJ193" s="26">
        <v>16.36</v>
      </c>
      <c r="BK193" s="26">
        <v>53.322000000000003</v>
      </c>
      <c r="BL193" s="26">
        <v>58.981000000000002</v>
      </c>
      <c r="BM193" s="26">
        <v>8.8628</v>
      </c>
      <c r="BN193" s="26">
        <v>3.3475000000000001</v>
      </c>
      <c r="BO193" s="26">
        <v>2.6398000000000001</v>
      </c>
      <c r="BP193" s="26">
        <v>42.914999999999999</v>
      </c>
      <c r="BQ193" s="26">
        <v>41.695</v>
      </c>
      <c r="BR193" s="26">
        <v>5.2141000000000002</v>
      </c>
      <c r="BS193" s="26">
        <v>20.986999999999998</v>
      </c>
      <c r="BT193" s="26">
        <v>7.0937000000000001</v>
      </c>
      <c r="BU193" s="26">
        <v>23.751999999999999</v>
      </c>
      <c r="BV193" s="26">
        <v>41.112000000000002</v>
      </c>
      <c r="BW193" s="26">
        <v>24.295000000000002</v>
      </c>
      <c r="BX193" s="26">
        <v>3.0150000000000001</v>
      </c>
      <c r="BY193" s="26">
        <v>24.835999999999999</v>
      </c>
      <c r="BZ193" s="26">
        <v>0.91590000000000005</v>
      </c>
      <c r="CA193" s="26">
        <v>26.582000000000001</v>
      </c>
      <c r="CB193" s="26">
        <v>40.512999999999998</v>
      </c>
      <c r="CC193" s="26">
        <v>51.423000000000002</v>
      </c>
      <c r="CD193" s="26">
        <v>44.658000000000001</v>
      </c>
      <c r="CE193" s="26">
        <v>1.5649999999999999</v>
      </c>
      <c r="CF193" s="26">
        <v>0.97252000000000005</v>
      </c>
      <c r="CG193" s="26">
        <v>5.3659999999999999E-2</v>
      </c>
      <c r="CH193" s="26">
        <v>35.43</v>
      </c>
      <c r="CI193" s="26">
        <v>66.474999999999994</v>
      </c>
      <c r="CJ193" s="26">
        <v>5.0696000000000003</v>
      </c>
      <c r="CK193" s="26">
        <v>2.5924</v>
      </c>
      <c r="CL193" s="26">
        <v>7.3468</v>
      </c>
      <c r="CM193" s="26">
        <v>7.6037999999999997</v>
      </c>
      <c r="CN193" s="26">
        <v>5.1821000000000002</v>
      </c>
      <c r="CO193" s="26">
        <v>8.0051000000000005</v>
      </c>
      <c r="CP193" s="26">
        <v>26.338000000000001</v>
      </c>
      <c r="CQ193" s="26">
        <v>9.9654000000000007</v>
      </c>
      <c r="CR193" s="26">
        <v>1.8306</v>
      </c>
      <c r="CS193" s="26">
        <v>21.236000000000001</v>
      </c>
      <c r="CT193" s="26">
        <v>23.196000000000002</v>
      </c>
      <c r="CU193" s="26">
        <v>59.442</v>
      </c>
      <c r="CV193" s="26">
        <v>5.3316000000000002E-2</v>
      </c>
      <c r="CW193" s="26">
        <v>1.5949E-3</v>
      </c>
      <c r="CX193" s="26">
        <v>24.619</v>
      </c>
      <c r="CY193" s="61"/>
      <c r="CZ193" s="537"/>
      <c r="DA193" s="61"/>
    </row>
    <row r="194" spans="1:16384">
      <c r="A194" s="279">
        <v>43647</v>
      </c>
      <c r="B194" s="26">
        <v>20.864000000000001</v>
      </c>
      <c r="C194" s="26">
        <v>9.3528000000000002</v>
      </c>
      <c r="D194" s="26">
        <v>35.329000000000001</v>
      </c>
      <c r="E194" s="26">
        <v>66.325000000000003</v>
      </c>
      <c r="F194" s="26">
        <v>3.7097000000000002</v>
      </c>
      <c r="G194" s="26">
        <v>30.585999999999999</v>
      </c>
      <c r="H194" s="26">
        <v>10.401999999999999</v>
      </c>
      <c r="I194" s="26">
        <v>30.670999999999999</v>
      </c>
      <c r="J194" s="26">
        <v>10.492000000000001</v>
      </c>
      <c r="K194" s="26">
        <v>6.4608999999999996</v>
      </c>
      <c r="L194" s="26">
        <v>31.359000000000002</v>
      </c>
      <c r="M194" s="26">
        <v>1.8103000000000001E-2</v>
      </c>
      <c r="N194" s="26">
        <v>29.835999999999999</v>
      </c>
      <c r="O194" s="26">
        <v>17.274000000000001</v>
      </c>
      <c r="P194" s="26">
        <v>35.594000000000001</v>
      </c>
      <c r="Q194" s="26">
        <v>6.5671999999999997</v>
      </c>
      <c r="R194" s="26">
        <v>3.327</v>
      </c>
      <c r="S194" s="26">
        <v>63.283999999999999</v>
      </c>
      <c r="T194" s="26">
        <v>0.99895999999999996</v>
      </c>
      <c r="U194" s="26">
        <v>15.76</v>
      </c>
      <c r="V194" s="26">
        <v>5.1674999999999999E-2</v>
      </c>
      <c r="W194" s="26">
        <v>23.721</v>
      </c>
      <c r="X194" s="26">
        <v>71.552999999999997</v>
      </c>
      <c r="Y194" s="26">
        <v>35.533999999999999</v>
      </c>
      <c r="Z194" s="26">
        <v>0.83104999999999996</v>
      </c>
      <c r="AA194" s="26">
        <v>16.297000000000001</v>
      </c>
      <c r="AB194" s="26">
        <v>3.8700999999999999E-2</v>
      </c>
      <c r="AC194" s="26">
        <v>42.244</v>
      </c>
      <c r="AD194" s="26">
        <v>3.5175999999999998</v>
      </c>
      <c r="AE194" s="26">
        <v>30.960999999999999</v>
      </c>
      <c r="AF194" s="26">
        <v>39.884999999999998</v>
      </c>
      <c r="AG194" s="26">
        <v>10.577999999999999</v>
      </c>
      <c r="AH194" s="26">
        <v>32.234999999999999</v>
      </c>
      <c r="AI194" s="26">
        <v>16.556999999999999</v>
      </c>
      <c r="AJ194" s="26">
        <v>10.481999999999999</v>
      </c>
      <c r="AK194" s="26">
        <v>48.552</v>
      </c>
      <c r="AL194" s="26">
        <v>5.4478999999999997</v>
      </c>
      <c r="AM194" s="26">
        <v>4.5</v>
      </c>
      <c r="AN194" s="26">
        <v>22.794</v>
      </c>
      <c r="AO194" s="26">
        <v>66.325000000000003</v>
      </c>
      <c r="AP194" s="26">
        <v>52.335999999999999</v>
      </c>
      <c r="AQ194" s="26">
        <v>0</v>
      </c>
      <c r="AR194" s="26">
        <v>5.1621E-2</v>
      </c>
      <c r="AS194" s="26">
        <v>3.9302999999999999</v>
      </c>
      <c r="AT194" s="26">
        <v>54.222999999999999</v>
      </c>
      <c r="AU194" s="26">
        <v>0.73041999999999996</v>
      </c>
      <c r="AV194" s="26">
        <v>37.981999999999999</v>
      </c>
      <c r="AW194" s="26">
        <v>8.8461999999999996</v>
      </c>
      <c r="AX194" s="26">
        <v>10.672000000000001</v>
      </c>
      <c r="AY194" s="26">
        <v>16.794</v>
      </c>
      <c r="AZ194" s="26">
        <v>20.459</v>
      </c>
      <c r="BA194" s="26">
        <v>18.773</v>
      </c>
      <c r="BB194" s="26">
        <v>44.238999999999997</v>
      </c>
      <c r="BC194" s="26">
        <v>52.27</v>
      </c>
      <c r="BD194" s="26">
        <v>6.5307000000000004</v>
      </c>
      <c r="BE194" s="26">
        <v>21.216999999999999</v>
      </c>
      <c r="BF194" s="26">
        <v>33.887999999999998</v>
      </c>
      <c r="BG194" s="26">
        <v>21.266999999999999</v>
      </c>
      <c r="BH194" s="26">
        <v>0.79576000000000002</v>
      </c>
      <c r="BI194" s="26">
        <v>5.0071999999999998E-2</v>
      </c>
      <c r="BJ194" s="26">
        <v>14.336</v>
      </c>
      <c r="BK194" s="26">
        <v>42.976999999999997</v>
      </c>
      <c r="BL194" s="26">
        <v>21.882999999999999</v>
      </c>
      <c r="BM194" s="26">
        <v>10.888</v>
      </c>
      <c r="BN194" s="26">
        <v>6.3383000000000003</v>
      </c>
      <c r="BO194" s="26">
        <v>1.8494E-2</v>
      </c>
      <c r="BP194" s="26">
        <v>37.637999999999998</v>
      </c>
      <c r="BQ194" s="26">
        <v>35.904000000000003</v>
      </c>
      <c r="BR194" s="26">
        <v>1.0442</v>
      </c>
      <c r="BS194" s="26">
        <v>16.716999999999999</v>
      </c>
      <c r="BT194" s="26">
        <v>15.425000000000001</v>
      </c>
      <c r="BU194" s="26">
        <v>37.884</v>
      </c>
      <c r="BV194" s="26">
        <v>49.302</v>
      </c>
      <c r="BW194" s="26">
        <v>36.418999999999997</v>
      </c>
      <c r="BX194" s="26">
        <v>0.86639999999999995</v>
      </c>
      <c r="BY194" s="26">
        <v>29.673999999999999</v>
      </c>
      <c r="BZ194" s="26">
        <v>0.70655999999999997</v>
      </c>
      <c r="CA194" s="26">
        <v>16.891999999999999</v>
      </c>
      <c r="CB194" s="26">
        <v>30.96</v>
      </c>
      <c r="CC194" s="26">
        <v>35.277000000000001</v>
      </c>
      <c r="CD194" s="26">
        <v>11.179</v>
      </c>
      <c r="CE194" s="26">
        <v>0.98538000000000003</v>
      </c>
      <c r="CF194" s="26">
        <v>1.9124999999999999E-3</v>
      </c>
      <c r="CG194" s="26">
        <v>0.83942000000000005</v>
      </c>
      <c r="CH194" s="26">
        <v>30.213999999999999</v>
      </c>
      <c r="CI194" s="26">
        <v>57.545000000000002</v>
      </c>
      <c r="CJ194" s="26">
        <v>1.6338999999999999</v>
      </c>
      <c r="CK194" s="26">
        <v>3.5045999999999999</v>
      </c>
      <c r="CL194" s="26">
        <v>6.6191000000000004</v>
      </c>
      <c r="CM194" s="26">
        <v>3.9952000000000001</v>
      </c>
      <c r="CN194" s="26">
        <v>3.2307000000000001</v>
      </c>
      <c r="CO194" s="26">
        <v>6.7163000000000004</v>
      </c>
      <c r="CP194" s="26">
        <v>20.55</v>
      </c>
      <c r="CQ194" s="26">
        <v>3.1293000000000002</v>
      </c>
      <c r="CR194" s="26">
        <v>0.17294000000000001</v>
      </c>
      <c r="CS194" s="26">
        <v>10.125999999999999</v>
      </c>
      <c r="CT194" s="26">
        <v>35.280999999999999</v>
      </c>
      <c r="CU194" s="26">
        <v>64.653999999999996</v>
      </c>
      <c r="CV194" s="26">
        <v>0.83382000000000001</v>
      </c>
      <c r="CW194" s="26">
        <v>0</v>
      </c>
      <c r="CX194" s="26">
        <v>25.27</v>
      </c>
      <c r="CY194" s="61"/>
      <c r="CZ194" s="537"/>
      <c r="DA194" s="61"/>
    </row>
    <row r="195" spans="1:16384">
      <c r="A195" s="279">
        <v>43678</v>
      </c>
      <c r="B195" s="26">
        <v>42.685000000000002</v>
      </c>
      <c r="C195" s="26">
        <v>5.2145999999999999</v>
      </c>
      <c r="D195" s="26">
        <v>12.538</v>
      </c>
      <c r="E195" s="26">
        <v>58.003999999999998</v>
      </c>
      <c r="F195" s="26">
        <v>8.0518999999999998</v>
      </c>
      <c r="G195" s="26">
        <v>24.687999999999999</v>
      </c>
      <c r="H195" s="26">
        <v>0.96862000000000004</v>
      </c>
      <c r="I195" s="26">
        <v>34.886000000000003</v>
      </c>
      <c r="J195" s="26">
        <v>9.9038000000000004</v>
      </c>
      <c r="K195" s="26">
        <v>12.173999999999999</v>
      </c>
      <c r="L195" s="26">
        <v>25.725999999999999</v>
      </c>
      <c r="M195" s="26">
        <v>3.0258E-2</v>
      </c>
      <c r="N195" s="26">
        <v>27.116</v>
      </c>
      <c r="O195" s="26">
        <v>31.53</v>
      </c>
      <c r="P195" s="26">
        <v>45.735999999999997</v>
      </c>
      <c r="Q195" s="26">
        <v>5.1794000000000002</v>
      </c>
      <c r="R195" s="26">
        <v>10.036</v>
      </c>
      <c r="S195" s="26">
        <v>67.674999999999997</v>
      </c>
      <c r="T195" s="26">
        <v>3.7856000000000001</v>
      </c>
      <c r="U195" s="26">
        <v>24.058</v>
      </c>
      <c r="V195" s="26">
        <v>0.51590000000000003</v>
      </c>
      <c r="W195" s="26">
        <v>12.718</v>
      </c>
      <c r="X195" s="26">
        <v>56.616</v>
      </c>
      <c r="Y195" s="26">
        <v>25.102</v>
      </c>
      <c r="Z195" s="26">
        <v>5.3491</v>
      </c>
      <c r="AA195" s="26">
        <v>24.038</v>
      </c>
      <c r="AB195" s="26">
        <v>0.80191999999999997</v>
      </c>
      <c r="AC195" s="26">
        <v>45.465000000000003</v>
      </c>
      <c r="AD195" s="26">
        <v>4.8159000000000001</v>
      </c>
      <c r="AE195" s="26">
        <v>18.207999999999998</v>
      </c>
      <c r="AF195" s="26">
        <v>46.087000000000003</v>
      </c>
      <c r="AG195" s="26">
        <v>12.56</v>
      </c>
      <c r="AH195" s="26">
        <v>12.782</v>
      </c>
      <c r="AI195" s="26">
        <v>9.8704000000000001</v>
      </c>
      <c r="AJ195" s="26">
        <v>23.951000000000001</v>
      </c>
      <c r="AK195" s="26">
        <v>41.381</v>
      </c>
      <c r="AL195" s="26">
        <v>0.44669999999999999</v>
      </c>
      <c r="AM195" s="26">
        <v>4.6731999999999996</v>
      </c>
      <c r="AN195" s="26">
        <v>25.385000000000002</v>
      </c>
      <c r="AO195" s="26">
        <v>75.16</v>
      </c>
      <c r="AP195" s="26">
        <v>46.426000000000002</v>
      </c>
      <c r="AQ195" s="26">
        <v>0</v>
      </c>
      <c r="AR195" s="26">
        <v>0</v>
      </c>
      <c r="AS195" s="26">
        <v>4.7103000000000002</v>
      </c>
      <c r="AT195" s="26">
        <v>36.630000000000003</v>
      </c>
      <c r="AU195" s="26">
        <v>4.7742000000000004</v>
      </c>
      <c r="AV195" s="26">
        <v>45.006999999999998</v>
      </c>
      <c r="AW195" s="26">
        <v>12.286</v>
      </c>
      <c r="AX195" s="26">
        <v>12.518000000000001</v>
      </c>
      <c r="AY195" s="26">
        <v>12.571999999999999</v>
      </c>
      <c r="AZ195" s="26">
        <v>27.550999999999998</v>
      </c>
      <c r="BA195" s="26">
        <v>24.876000000000001</v>
      </c>
      <c r="BB195" s="26">
        <v>45.438000000000002</v>
      </c>
      <c r="BC195" s="26">
        <v>63.674999999999997</v>
      </c>
      <c r="BD195" s="26">
        <v>4.7361000000000004</v>
      </c>
      <c r="BE195" s="26">
        <v>5.1661999999999999</v>
      </c>
      <c r="BF195" s="26">
        <v>42.703000000000003</v>
      </c>
      <c r="BG195" s="26">
        <v>25.378</v>
      </c>
      <c r="BH195" s="26">
        <v>7.3819000000000001E-4</v>
      </c>
      <c r="BI195" s="26">
        <v>7.0275000000000004E-2</v>
      </c>
      <c r="BJ195" s="26">
        <v>18.202999999999999</v>
      </c>
      <c r="BK195" s="26">
        <v>51.198999999999998</v>
      </c>
      <c r="BL195" s="26">
        <v>10.48</v>
      </c>
      <c r="BM195" s="26">
        <v>24.375</v>
      </c>
      <c r="BN195" s="26">
        <v>0.60690999999999995</v>
      </c>
      <c r="BO195" s="26">
        <v>0.42825999999999997</v>
      </c>
      <c r="BP195" s="26">
        <v>37.408999999999999</v>
      </c>
      <c r="BQ195" s="26">
        <v>27.992999999999999</v>
      </c>
      <c r="BR195" s="26">
        <v>6.9575999999999999E-2</v>
      </c>
      <c r="BS195" s="26">
        <v>13.429</v>
      </c>
      <c r="BT195" s="26">
        <v>23.861999999999998</v>
      </c>
      <c r="BU195" s="26">
        <v>42.841000000000001</v>
      </c>
      <c r="BV195" s="26">
        <v>43.198</v>
      </c>
      <c r="BW195" s="26">
        <v>34.411000000000001</v>
      </c>
      <c r="BX195" s="26">
        <v>0</v>
      </c>
      <c r="BY195" s="26">
        <v>43.1</v>
      </c>
      <c r="BZ195" s="26">
        <v>3.7599</v>
      </c>
      <c r="CA195" s="26">
        <v>25.905999999999999</v>
      </c>
      <c r="CB195" s="26">
        <v>32.622</v>
      </c>
      <c r="CC195" s="26">
        <v>35.31</v>
      </c>
      <c r="CD195" s="26">
        <v>5.0891999999999999</v>
      </c>
      <c r="CE195" s="26">
        <v>0.56183000000000005</v>
      </c>
      <c r="CF195" s="26">
        <v>0.45521</v>
      </c>
      <c r="CG195" s="26">
        <v>0</v>
      </c>
      <c r="CH195" s="26">
        <v>40.741999999999997</v>
      </c>
      <c r="CI195" s="26">
        <v>48.572000000000003</v>
      </c>
      <c r="CJ195" s="26">
        <v>0.56374000000000002</v>
      </c>
      <c r="CK195" s="26">
        <v>2.0053999999999998</v>
      </c>
      <c r="CL195" s="26">
        <v>8.2776999999999994</v>
      </c>
      <c r="CM195" s="26">
        <v>0.79805999999999999</v>
      </c>
      <c r="CN195" s="26">
        <v>0.80708000000000002</v>
      </c>
      <c r="CO195" s="26">
        <v>5.5458999999999996</v>
      </c>
      <c r="CP195" s="26">
        <v>34.116999999999997</v>
      </c>
      <c r="CQ195" s="26">
        <v>3.5078</v>
      </c>
      <c r="CR195" s="26">
        <v>0.40611000000000003</v>
      </c>
      <c r="CS195" s="26">
        <v>9.1010000000000009</v>
      </c>
      <c r="CT195" s="26">
        <v>43.942999999999998</v>
      </c>
      <c r="CU195" s="26">
        <v>67.674999999999997</v>
      </c>
      <c r="CV195" s="26">
        <v>6.8850999999999996E-2</v>
      </c>
      <c r="CW195" s="26">
        <v>0</v>
      </c>
      <c r="CX195" s="26">
        <v>25.132000000000001</v>
      </c>
      <c r="CY195" s="61"/>
      <c r="CZ195" s="537"/>
      <c r="DA195" s="61"/>
    </row>
    <row r="196" spans="1:16384">
      <c r="A196" s="279">
        <v>43709</v>
      </c>
      <c r="B196" s="26">
        <v>46.139000000000003</v>
      </c>
      <c r="C196" s="26">
        <v>7.9253</v>
      </c>
      <c r="D196" s="26">
        <v>17.401</v>
      </c>
      <c r="E196" s="26">
        <v>68.95</v>
      </c>
      <c r="F196" s="26">
        <v>12.904</v>
      </c>
      <c r="G196" s="26">
        <v>35.536000000000001</v>
      </c>
      <c r="H196" s="26">
        <v>3.0402</v>
      </c>
      <c r="I196" s="26">
        <v>37.435000000000002</v>
      </c>
      <c r="J196" s="26">
        <v>10.036</v>
      </c>
      <c r="K196" s="26">
        <v>16.561</v>
      </c>
      <c r="L196" s="26">
        <v>25.475000000000001</v>
      </c>
      <c r="M196" s="26">
        <v>0</v>
      </c>
      <c r="N196" s="26">
        <v>42.767000000000003</v>
      </c>
      <c r="O196" s="26">
        <v>37.587000000000003</v>
      </c>
      <c r="P196" s="26">
        <v>46.167000000000002</v>
      </c>
      <c r="Q196" s="26">
        <v>0.32697999999999999</v>
      </c>
      <c r="R196" s="26">
        <v>9.4618000000000002</v>
      </c>
      <c r="S196" s="26">
        <v>76.088999999999999</v>
      </c>
      <c r="T196" s="26">
        <v>1.0662</v>
      </c>
      <c r="U196" s="26">
        <v>27.414999999999999</v>
      </c>
      <c r="V196" s="26">
        <v>2.8684000000000001E-3</v>
      </c>
      <c r="W196" s="26">
        <v>7.8832000000000004</v>
      </c>
      <c r="X196" s="26">
        <v>73.296000000000006</v>
      </c>
      <c r="Y196" s="26">
        <v>42.838000000000001</v>
      </c>
      <c r="Z196" s="26">
        <v>0.49253000000000002</v>
      </c>
      <c r="AA196" s="26">
        <v>16.925999999999998</v>
      </c>
      <c r="AB196" s="26">
        <v>0.54149000000000003</v>
      </c>
      <c r="AC196" s="26">
        <v>16.236999999999998</v>
      </c>
      <c r="AD196" s="26">
        <v>3.0878999999999999</v>
      </c>
      <c r="AE196" s="26">
        <v>17.329000000000001</v>
      </c>
      <c r="AF196" s="26">
        <v>45.134</v>
      </c>
      <c r="AG196" s="26">
        <v>8.5879999999999992</v>
      </c>
      <c r="AH196" s="26">
        <v>14.26</v>
      </c>
      <c r="AI196" s="26">
        <v>15.625999999999999</v>
      </c>
      <c r="AJ196" s="26">
        <v>35.472000000000001</v>
      </c>
      <c r="AK196" s="26">
        <v>49.51</v>
      </c>
      <c r="AL196" s="26">
        <v>0</v>
      </c>
      <c r="AM196" s="26">
        <v>5.3101000000000003</v>
      </c>
      <c r="AN196" s="26">
        <v>43.936999999999998</v>
      </c>
      <c r="AO196" s="26">
        <v>76.088999999999999</v>
      </c>
      <c r="AP196" s="26">
        <v>26.172999999999998</v>
      </c>
      <c r="AQ196" s="26">
        <v>0</v>
      </c>
      <c r="AR196" s="26">
        <v>0</v>
      </c>
      <c r="AS196" s="26">
        <v>3.3472</v>
      </c>
      <c r="AT196" s="26">
        <v>42.822000000000003</v>
      </c>
      <c r="AU196" s="26">
        <v>10.032999999999999</v>
      </c>
      <c r="AV196" s="26">
        <v>55.62</v>
      </c>
      <c r="AW196" s="26">
        <v>9.5693999999999999</v>
      </c>
      <c r="AX196" s="26">
        <v>9.5114000000000001</v>
      </c>
      <c r="AY196" s="26">
        <v>16.34</v>
      </c>
      <c r="AZ196" s="26">
        <v>15.882</v>
      </c>
      <c r="BA196" s="26">
        <v>14.295999999999999</v>
      </c>
      <c r="BB196" s="26">
        <v>25.544</v>
      </c>
      <c r="BC196" s="26">
        <v>68.95</v>
      </c>
      <c r="BD196" s="26">
        <v>5.6013000000000002</v>
      </c>
      <c r="BE196" s="26">
        <v>9.4029000000000007</v>
      </c>
      <c r="BF196" s="26">
        <v>43.822000000000003</v>
      </c>
      <c r="BG196" s="26">
        <v>14.009</v>
      </c>
      <c r="BH196" s="26">
        <v>0</v>
      </c>
      <c r="BI196" s="26">
        <v>0.32457999999999998</v>
      </c>
      <c r="BJ196" s="26">
        <v>9.7208000000000006</v>
      </c>
      <c r="BK196" s="26">
        <v>52.558999999999997</v>
      </c>
      <c r="BL196" s="26">
        <v>27.379000000000001</v>
      </c>
      <c r="BM196" s="26">
        <v>8.0649999999999995</v>
      </c>
      <c r="BN196" s="26">
        <v>0</v>
      </c>
      <c r="BO196" s="26">
        <v>0.33490999999999999</v>
      </c>
      <c r="BP196" s="26">
        <v>62.313000000000002</v>
      </c>
      <c r="BQ196" s="26">
        <v>17.306999999999999</v>
      </c>
      <c r="BR196" s="26">
        <v>0</v>
      </c>
      <c r="BS196" s="26">
        <v>13.077</v>
      </c>
      <c r="BT196" s="26">
        <v>24.765999999999998</v>
      </c>
      <c r="BU196" s="26">
        <v>45.689</v>
      </c>
      <c r="BV196" s="26">
        <v>53.834000000000003</v>
      </c>
      <c r="BW196" s="26">
        <v>42.875999999999998</v>
      </c>
      <c r="BX196" s="26">
        <v>0</v>
      </c>
      <c r="BY196" s="26">
        <v>26.766999999999999</v>
      </c>
      <c r="BZ196" s="26">
        <v>3.0937999999999999</v>
      </c>
      <c r="CA196" s="26">
        <v>16.867999999999999</v>
      </c>
      <c r="CB196" s="26">
        <v>35.871000000000002</v>
      </c>
      <c r="CC196" s="26">
        <v>57.667999999999999</v>
      </c>
      <c r="CD196" s="26">
        <v>0.56188000000000005</v>
      </c>
      <c r="CE196" s="26">
        <v>3.4487000000000001</v>
      </c>
      <c r="CF196" s="26">
        <v>2.7907000000000002</v>
      </c>
      <c r="CG196" s="26">
        <v>0</v>
      </c>
      <c r="CH196" s="26">
        <v>61.215000000000003</v>
      </c>
      <c r="CI196" s="26">
        <v>74.055999999999997</v>
      </c>
      <c r="CJ196" s="26">
        <v>0.92720000000000002</v>
      </c>
      <c r="CK196" s="26">
        <v>13.18</v>
      </c>
      <c r="CL196" s="26">
        <v>3.6385000000000001</v>
      </c>
      <c r="CM196" s="26">
        <v>3.2797000000000001</v>
      </c>
      <c r="CN196" s="26">
        <v>0.54671999999999998</v>
      </c>
      <c r="CO196" s="26">
        <v>0.54979999999999996</v>
      </c>
      <c r="CP196" s="26">
        <v>35.470999999999997</v>
      </c>
      <c r="CQ196" s="26">
        <v>2.9213</v>
      </c>
      <c r="CR196" s="26">
        <v>0.32715</v>
      </c>
      <c r="CS196" s="26">
        <v>14.222</v>
      </c>
      <c r="CT196" s="26">
        <v>16.436</v>
      </c>
      <c r="CU196" s="26">
        <v>55.767000000000003</v>
      </c>
      <c r="CV196" s="26">
        <v>0</v>
      </c>
      <c r="CW196" s="26">
        <v>0</v>
      </c>
      <c r="CX196" s="26">
        <v>26.992999999999999</v>
      </c>
      <c r="CY196" s="61"/>
      <c r="CZ196" s="537"/>
      <c r="DA196" s="61"/>
    </row>
    <row r="197" spans="1:16384">
      <c r="A197" s="279">
        <v>43739</v>
      </c>
      <c r="B197" s="26">
        <v>48.313000000000002</v>
      </c>
      <c r="C197" s="26">
        <v>12.032</v>
      </c>
      <c r="D197" s="26">
        <v>16.698</v>
      </c>
      <c r="E197" s="26">
        <v>67.674999999999997</v>
      </c>
      <c r="F197" s="26">
        <v>12.593</v>
      </c>
      <c r="G197" s="26">
        <v>12.117000000000001</v>
      </c>
      <c r="H197" s="26">
        <v>5.1573000000000002</v>
      </c>
      <c r="I197" s="26">
        <v>30.331</v>
      </c>
      <c r="J197" s="26">
        <v>3.0695999999999999</v>
      </c>
      <c r="K197" s="26">
        <v>29.172000000000001</v>
      </c>
      <c r="L197" s="26">
        <v>24.681000000000001</v>
      </c>
      <c r="M197" s="26">
        <v>0.20219000000000001</v>
      </c>
      <c r="N197" s="26">
        <v>48.337000000000003</v>
      </c>
      <c r="O197" s="26">
        <v>45.915999999999997</v>
      </c>
      <c r="P197" s="26">
        <v>47.292999999999999</v>
      </c>
      <c r="Q197" s="26">
        <v>2.8969</v>
      </c>
      <c r="R197" s="26">
        <v>12.821999999999999</v>
      </c>
      <c r="S197" s="26">
        <v>73.293999999999997</v>
      </c>
      <c r="T197" s="26">
        <v>2.7906</v>
      </c>
      <c r="U197" s="26">
        <v>32.076999999999998</v>
      </c>
      <c r="V197" s="26">
        <v>0</v>
      </c>
      <c r="W197" s="26">
        <v>9.4100999999999999</v>
      </c>
      <c r="X197" s="26">
        <v>51.189</v>
      </c>
      <c r="Y197" s="26">
        <v>47.802</v>
      </c>
      <c r="Z197" s="26">
        <v>3.2968000000000002</v>
      </c>
      <c r="AA197" s="26">
        <v>16.757000000000001</v>
      </c>
      <c r="AB197" s="26">
        <v>3.9630000000000001</v>
      </c>
      <c r="AC197" s="26">
        <v>7.3422999999999998</v>
      </c>
      <c r="AD197" s="26">
        <v>5.2027999999999999</v>
      </c>
      <c r="AE197" s="26">
        <v>29.774999999999999</v>
      </c>
      <c r="AF197" s="26">
        <v>30.335000000000001</v>
      </c>
      <c r="AG197" s="26">
        <v>16.734999999999999</v>
      </c>
      <c r="AH197" s="26">
        <v>16.623000000000001</v>
      </c>
      <c r="AI197" s="26">
        <v>26.635999999999999</v>
      </c>
      <c r="AJ197" s="26">
        <v>29.838000000000001</v>
      </c>
      <c r="AK197" s="26">
        <v>49.188000000000002</v>
      </c>
      <c r="AL197" s="26">
        <v>0</v>
      </c>
      <c r="AM197" s="26">
        <v>6.2142999999999997</v>
      </c>
      <c r="AN197" s="26">
        <v>10.896000000000001</v>
      </c>
      <c r="AO197" s="26">
        <v>56.930999999999997</v>
      </c>
      <c r="AP197" s="26">
        <v>30.632999999999999</v>
      </c>
      <c r="AQ197" s="26">
        <v>0</v>
      </c>
      <c r="AR197" s="26">
        <v>0</v>
      </c>
      <c r="AS197" s="26">
        <v>5.3109999999999999</v>
      </c>
      <c r="AT197" s="26">
        <v>27.832000000000001</v>
      </c>
      <c r="AU197" s="26">
        <v>3.1389999999999998</v>
      </c>
      <c r="AV197" s="26">
        <v>50.606000000000002</v>
      </c>
      <c r="AW197" s="26">
        <v>12.239000000000001</v>
      </c>
      <c r="AX197" s="26">
        <v>5.0736999999999997</v>
      </c>
      <c r="AY197" s="26">
        <v>27.213999999999999</v>
      </c>
      <c r="AZ197" s="26">
        <v>27.202999999999999</v>
      </c>
      <c r="BA197" s="26">
        <v>7.3818000000000001</v>
      </c>
      <c r="BB197" s="26">
        <v>47.793999999999997</v>
      </c>
      <c r="BC197" s="26">
        <v>52.301000000000002</v>
      </c>
      <c r="BD197" s="26">
        <v>5.1672000000000002</v>
      </c>
      <c r="BE197" s="26">
        <v>9.2860999999999994</v>
      </c>
      <c r="BF197" s="26">
        <v>48.323</v>
      </c>
      <c r="BG197" s="26">
        <v>16.759</v>
      </c>
      <c r="BH197" s="26">
        <v>0</v>
      </c>
      <c r="BI197" s="26">
        <v>5.8312999999999997</v>
      </c>
      <c r="BJ197" s="26">
        <v>12.154</v>
      </c>
      <c r="BK197" s="26">
        <v>48.375999999999998</v>
      </c>
      <c r="BL197" s="26">
        <v>43.404000000000003</v>
      </c>
      <c r="BM197" s="26">
        <v>17.850999999999999</v>
      </c>
      <c r="BN197" s="26">
        <v>0</v>
      </c>
      <c r="BO197" s="26">
        <v>2.4779</v>
      </c>
      <c r="BP197" s="26">
        <v>63.283999999999999</v>
      </c>
      <c r="BQ197" s="26">
        <v>27.736999999999998</v>
      </c>
      <c r="BR197" s="26">
        <v>1.9481999999999999</v>
      </c>
      <c r="BS197" s="26">
        <v>9.6876999999999995</v>
      </c>
      <c r="BT197" s="26">
        <v>11.951000000000001</v>
      </c>
      <c r="BU197" s="26">
        <v>48.595999999999997</v>
      </c>
      <c r="BV197" s="26">
        <v>49.384</v>
      </c>
      <c r="BW197" s="26">
        <v>48.832000000000001</v>
      </c>
      <c r="BX197" s="26">
        <v>3.3467000000000002E-3</v>
      </c>
      <c r="BY197" s="26">
        <v>29.303000000000001</v>
      </c>
      <c r="BZ197" s="26">
        <v>1.2915000000000001</v>
      </c>
      <c r="CA197" s="26">
        <v>10.26</v>
      </c>
      <c r="CB197" s="26">
        <v>25.481000000000002</v>
      </c>
      <c r="CC197" s="26">
        <v>63.223999999999997</v>
      </c>
      <c r="CD197" s="26">
        <v>2.6762000000000001</v>
      </c>
      <c r="CE197" s="26">
        <v>4.9783999999999997</v>
      </c>
      <c r="CF197" s="26">
        <v>3.7183999999999999</v>
      </c>
      <c r="CG197" s="26">
        <v>0</v>
      </c>
      <c r="CH197" s="26">
        <v>67.674999999999997</v>
      </c>
      <c r="CI197" s="26">
        <v>74.63</v>
      </c>
      <c r="CJ197" s="26">
        <v>9.1318000000000001</v>
      </c>
      <c r="CK197" s="26">
        <v>27.553000000000001</v>
      </c>
      <c r="CL197" s="26">
        <v>9.3689</v>
      </c>
      <c r="CM197" s="26">
        <v>2.9929000000000001</v>
      </c>
      <c r="CN197" s="26">
        <v>3.1480000000000001</v>
      </c>
      <c r="CO197" s="26">
        <v>3.3384E-3</v>
      </c>
      <c r="CP197" s="26">
        <v>48.158000000000001</v>
      </c>
      <c r="CQ197" s="26">
        <v>2.5884999999999998</v>
      </c>
      <c r="CR197" s="26">
        <v>0</v>
      </c>
      <c r="CS197" s="26">
        <v>31.693999999999999</v>
      </c>
      <c r="CT197" s="26">
        <v>6.0993000000000004</v>
      </c>
      <c r="CU197" s="26">
        <v>7.5856000000000003</v>
      </c>
      <c r="CV197" s="26">
        <v>9.0426999999999993E-2</v>
      </c>
      <c r="CW197" s="26">
        <v>0</v>
      </c>
      <c r="CX197" s="26">
        <v>28.593</v>
      </c>
      <c r="CY197" s="61"/>
      <c r="CZ197" s="537"/>
      <c r="DA197" s="61"/>
    </row>
    <row r="198" spans="1:16384">
      <c r="A198" s="279">
        <v>43770</v>
      </c>
      <c r="B198" s="26">
        <v>39.823999999999998</v>
      </c>
      <c r="C198" s="26">
        <v>16.321999999999999</v>
      </c>
      <c r="D198" s="26">
        <v>32.607999999999997</v>
      </c>
      <c r="E198" s="26">
        <v>68.965999999999994</v>
      </c>
      <c r="F198" s="26">
        <v>35.201000000000001</v>
      </c>
      <c r="G198" s="26">
        <v>22.315999999999999</v>
      </c>
      <c r="H198" s="26">
        <v>1.5557000000000001</v>
      </c>
      <c r="I198" s="26">
        <v>59.784999999999997</v>
      </c>
      <c r="J198" s="26">
        <v>4.5564999999999998</v>
      </c>
      <c r="K198" s="26">
        <v>9.7360000000000007</v>
      </c>
      <c r="L198" s="26">
        <v>26.814</v>
      </c>
      <c r="M198" s="26">
        <v>5.7957000000000001</v>
      </c>
      <c r="N198" s="26">
        <v>26.065999999999999</v>
      </c>
      <c r="O198" s="26">
        <v>61.371000000000002</v>
      </c>
      <c r="P198" s="26">
        <v>39.158999999999999</v>
      </c>
      <c r="Q198" s="26">
        <v>5.8605999999999998</v>
      </c>
      <c r="R198" s="26">
        <v>11.003</v>
      </c>
      <c r="S198" s="26">
        <v>78.650000000000006</v>
      </c>
      <c r="T198" s="26">
        <v>2.1560000000000001</v>
      </c>
      <c r="U198" s="26">
        <v>43.570999999999998</v>
      </c>
      <c r="V198" s="26">
        <v>0</v>
      </c>
      <c r="W198" s="26">
        <v>14.117000000000001</v>
      </c>
      <c r="X198" s="26">
        <v>61.030999999999999</v>
      </c>
      <c r="Y198" s="26">
        <v>41.401000000000003</v>
      </c>
      <c r="Z198" s="26">
        <v>4.4995000000000003</v>
      </c>
      <c r="AA198" s="26">
        <v>26.061</v>
      </c>
      <c r="AB198" s="26">
        <v>3.6377999999999999</v>
      </c>
      <c r="AC198" s="26">
        <v>4.3122999999999996</v>
      </c>
      <c r="AD198" s="26">
        <v>6.1201999999999996</v>
      </c>
      <c r="AE198" s="26">
        <v>11.340999999999999</v>
      </c>
      <c r="AF198" s="26">
        <v>26.056999999999999</v>
      </c>
      <c r="AG198" s="26">
        <v>25.42</v>
      </c>
      <c r="AH198" s="26">
        <v>3.1684999999999999</v>
      </c>
      <c r="AI198" s="26">
        <v>41.667000000000002</v>
      </c>
      <c r="AJ198" s="26">
        <v>41.347000000000001</v>
      </c>
      <c r="AK198" s="26">
        <v>60.94</v>
      </c>
      <c r="AL198" s="26">
        <v>0</v>
      </c>
      <c r="AM198" s="26">
        <v>0.20408000000000001</v>
      </c>
      <c r="AN198" s="26">
        <v>4.5594999999999999</v>
      </c>
      <c r="AO198" s="26">
        <v>62.319000000000003</v>
      </c>
      <c r="AP198" s="26">
        <v>26.366</v>
      </c>
      <c r="AQ198" s="26">
        <v>0</v>
      </c>
      <c r="AR198" s="26">
        <v>0</v>
      </c>
      <c r="AS198" s="26">
        <v>8.1854999999999993</v>
      </c>
      <c r="AT198" s="26">
        <v>59.73</v>
      </c>
      <c r="AU198" s="26">
        <v>4.1233000000000004</v>
      </c>
      <c r="AV198" s="26">
        <v>61.381</v>
      </c>
      <c r="AW198" s="26">
        <v>16.198</v>
      </c>
      <c r="AX198" s="26">
        <v>6.8741000000000003</v>
      </c>
      <c r="AY198" s="26">
        <v>25.786000000000001</v>
      </c>
      <c r="AZ198" s="26">
        <v>25.48</v>
      </c>
      <c r="BA198" s="26">
        <v>42.667000000000002</v>
      </c>
      <c r="BB198" s="26">
        <v>25.515000000000001</v>
      </c>
      <c r="BC198" s="26">
        <v>60.773000000000003</v>
      </c>
      <c r="BD198" s="26">
        <v>8.2261000000000006</v>
      </c>
      <c r="BE198" s="26">
        <v>16.521000000000001</v>
      </c>
      <c r="BF198" s="26">
        <v>59.167000000000002</v>
      </c>
      <c r="BG198" s="26">
        <v>22.146000000000001</v>
      </c>
      <c r="BH198" s="26">
        <v>0</v>
      </c>
      <c r="BI198" s="26">
        <v>2.8549000000000002</v>
      </c>
      <c r="BJ198" s="26">
        <v>9.7359000000000009</v>
      </c>
      <c r="BK198" s="26">
        <v>41.47</v>
      </c>
      <c r="BL198" s="26">
        <v>43.12</v>
      </c>
      <c r="BM198" s="26">
        <v>41.895000000000003</v>
      </c>
      <c r="BN198" s="26">
        <v>2.9613</v>
      </c>
      <c r="BO198" s="26">
        <v>4.76</v>
      </c>
      <c r="BP198" s="26">
        <v>71.784999999999997</v>
      </c>
      <c r="BQ198" s="26">
        <v>42.723999999999997</v>
      </c>
      <c r="BR198" s="26">
        <v>3.6236999999999999</v>
      </c>
      <c r="BS198" s="26">
        <v>8.3024000000000004</v>
      </c>
      <c r="BT198" s="26">
        <v>25.228000000000002</v>
      </c>
      <c r="BU198" s="26">
        <v>41.554000000000002</v>
      </c>
      <c r="BV198" s="26">
        <v>34.375</v>
      </c>
      <c r="BW198" s="26">
        <v>47.460999999999999</v>
      </c>
      <c r="BX198" s="26">
        <v>1.2195</v>
      </c>
      <c r="BY198" s="26">
        <v>14.343999999999999</v>
      </c>
      <c r="BZ198" s="26">
        <v>3.0518999999999998</v>
      </c>
      <c r="CA198" s="26">
        <v>5.7809999999999997</v>
      </c>
      <c r="CB198" s="26">
        <v>6.5339</v>
      </c>
      <c r="CC198" s="26">
        <v>73.998999999999995</v>
      </c>
      <c r="CD198" s="26">
        <v>1.7708999999999999</v>
      </c>
      <c r="CE198" s="26">
        <v>16.145</v>
      </c>
      <c r="CF198" s="26">
        <v>8.3373000000000008</v>
      </c>
      <c r="CG198" s="26">
        <v>0</v>
      </c>
      <c r="CH198" s="26">
        <v>76.564999999999998</v>
      </c>
      <c r="CI198" s="26">
        <v>60.71</v>
      </c>
      <c r="CJ198" s="26">
        <v>25.303000000000001</v>
      </c>
      <c r="CK198" s="26">
        <v>39.985999999999997</v>
      </c>
      <c r="CL198" s="26">
        <v>14.826000000000001</v>
      </c>
      <c r="CM198" s="26">
        <v>2.8734999999999999</v>
      </c>
      <c r="CN198" s="26">
        <v>4.5217999999999998</v>
      </c>
      <c r="CO198" s="26">
        <v>1.1808000000000001</v>
      </c>
      <c r="CP198" s="26">
        <v>58.802</v>
      </c>
      <c r="CQ198" s="26">
        <v>1.5170999999999999</v>
      </c>
      <c r="CR198" s="26">
        <v>0</v>
      </c>
      <c r="CS198" s="26">
        <v>15.896000000000001</v>
      </c>
      <c r="CT198" s="26">
        <v>5.9291999999999998</v>
      </c>
      <c r="CU198" s="26">
        <v>6.1688000000000001</v>
      </c>
      <c r="CV198" s="26">
        <v>4.4558</v>
      </c>
      <c r="CW198" s="26">
        <v>0</v>
      </c>
      <c r="CX198" s="26">
        <v>30.242999999999999</v>
      </c>
      <c r="CY198" s="61"/>
      <c r="CZ198" s="537"/>
      <c r="DA198" s="61"/>
    </row>
    <row r="199" spans="1:16384">
      <c r="A199" s="279">
        <v>43800</v>
      </c>
      <c r="B199" s="26">
        <v>55.414999999999999</v>
      </c>
      <c r="C199" s="26">
        <v>9.1006999999999998</v>
      </c>
      <c r="D199" s="26">
        <v>28.753</v>
      </c>
      <c r="E199" s="26">
        <v>89.584000000000003</v>
      </c>
      <c r="F199" s="26">
        <v>42.667000000000002</v>
      </c>
      <c r="G199" s="26">
        <v>14.63</v>
      </c>
      <c r="H199" s="26">
        <v>1.2372000000000001</v>
      </c>
      <c r="I199" s="26">
        <v>56.134999999999998</v>
      </c>
      <c r="J199" s="26">
        <v>4.3369</v>
      </c>
      <c r="K199" s="26">
        <v>14.436</v>
      </c>
      <c r="L199" s="26">
        <v>22.629000000000001</v>
      </c>
      <c r="M199" s="26">
        <v>4.2618999999999998</v>
      </c>
      <c r="N199" s="26">
        <v>22.21</v>
      </c>
      <c r="O199" s="26">
        <v>58.094999999999999</v>
      </c>
      <c r="P199" s="26">
        <v>22.404</v>
      </c>
      <c r="Q199" s="26">
        <v>5.5232999999999999</v>
      </c>
      <c r="R199" s="26">
        <v>11.853</v>
      </c>
      <c r="S199" s="26">
        <v>78.275999999999996</v>
      </c>
      <c r="T199" s="26">
        <v>6.6532999999999998</v>
      </c>
      <c r="U199" s="26">
        <v>56.887999999999998</v>
      </c>
      <c r="V199" s="26">
        <v>5.1454000000000004</v>
      </c>
      <c r="W199" s="26">
        <v>22.209</v>
      </c>
      <c r="X199" s="26">
        <v>72.790999999999997</v>
      </c>
      <c r="Y199" s="26">
        <v>42.685000000000002</v>
      </c>
      <c r="Z199" s="26">
        <v>6.6436000000000002</v>
      </c>
      <c r="AA199" s="26">
        <v>22.574000000000002</v>
      </c>
      <c r="AB199" s="26">
        <v>4.2530999999999999</v>
      </c>
      <c r="AC199" s="26">
        <v>16.062000000000001</v>
      </c>
      <c r="AD199" s="26">
        <v>5.2497999999999996</v>
      </c>
      <c r="AE199" s="26">
        <v>22.608000000000001</v>
      </c>
      <c r="AF199" s="26">
        <v>55.901000000000003</v>
      </c>
      <c r="AG199" s="26">
        <v>25.63</v>
      </c>
      <c r="AH199" s="26">
        <v>2.7970000000000002</v>
      </c>
      <c r="AI199" s="26">
        <v>55.292999999999999</v>
      </c>
      <c r="AJ199" s="26">
        <v>55.436999999999998</v>
      </c>
      <c r="AK199" s="26">
        <v>4.0021000000000004</v>
      </c>
      <c r="AL199" s="26">
        <v>2.2511000000000001</v>
      </c>
      <c r="AM199" s="26">
        <v>3.9325000000000001</v>
      </c>
      <c r="AN199" s="26">
        <v>3.0853000000000002</v>
      </c>
      <c r="AO199" s="26">
        <v>67.224999999999994</v>
      </c>
      <c r="AP199" s="26">
        <v>5.7484000000000002</v>
      </c>
      <c r="AQ199" s="26">
        <v>0</v>
      </c>
      <c r="AR199" s="26">
        <v>1.7382</v>
      </c>
      <c r="AS199" s="26">
        <v>11.91</v>
      </c>
      <c r="AT199" s="26">
        <v>55.405000000000001</v>
      </c>
      <c r="AU199" s="26">
        <v>3.5146000000000002</v>
      </c>
      <c r="AV199" s="26">
        <v>22.495999999999999</v>
      </c>
      <c r="AW199" s="26">
        <v>21.856999999999999</v>
      </c>
      <c r="AX199" s="26">
        <v>4.3239000000000001</v>
      </c>
      <c r="AY199" s="26">
        <v>55.28</v>
      </c>
      <c r="AZ199" s="26">
        <v>22.004000000000001</v>
      </c>
      <c r="BA199" s="26">
        <v>42.765000000000001</v>
      </c>
      <c r="BB199" s="26">
        <v>22.210999999999999</v>
      </c>
      <c r="BC199" s="26">
        <v>56.417000000000002</v>
      </c>
      <c r="BD199" s="26">
        <v>22.221</v>
      </c>
      <c r="BE199" s="26">
        <v>12.787000000000001</v>
      </c>
      <c r="BF199" s="26">
        <v>58.255000000000003</v>
      </c>
      <c r="BG199" s="26">
        <v>22.341000000000001</v>
      </c>
      <c r="BH199" s="26">
        <v>2.9434</v>
      </c>
      <c r="BI199" s="26">
        <v>2.9801000000000002</v>
      </c>
      <c r="BJ199" s="26">
        <v>12.752000000000001</v>
      </c>
      <c r="BK199" s="26">
        <v>55.73</v>
      </c>
      <c r="BL199" s="26">
        <v>58.003999999999998</v>
      </c>
      <c r="BM199" s="26">
        <v>57.768999999999998</v>
      </c>
      <c r="BN199" s="26">
        <v>2.9552999999999998</v>
      </c>
      <c r="BO199" s="26">
        <v>0.70813999999999999</v>
      </c>
      <c r="BP199" s="26">
        <v>79.322000000000003</v>
      </c>
      <c r="BQ199" s="26">
        <v>55.677</v>
      </c>
      <c r="BR199" s="26">
        <v>1.7687999999999999</v>
      </c>
      <c r="BS199" s="26">
        <v>5.8818000000000001</v>
      </c>
      <c r="BT199" s="26">
        <v>24.931999999999999</v>
      </c>
      <c r="BU199" s="26">
        <v>56.192</v>
      </c>
      <c r="BV199" s="26">
        <v>55.238</v>
      </c>
      <c r="BW199" s="26">
        <v>22.302</v>
      </c>
      <c r="BX199" s="26">
        <v>1.7846</v>
      </c>
      <c r="BY199" s="26">
        <v>14.14</v>
      </c>
      <c r="BZ199" s="26">
        <v>2.6637</v>
      </c>
      <c r="CA199" s="26">
        <v>4.2885999999999997</v>
      </c>
      <c r="CB199" s="26">
        <v>6.8358999999999996</v>
      </c>
      <c r="CC199" s="26">
        <v>79.903000000000006</v>
      </c>
      <c r="CD199" s="26">
        <v>0.65139999999999998</v>
      </c>
      <c r="CE199" s="26">
        <v>15.384</v>
      </c>
      <c r="CF199" s="26">
        <v>4.3728999999999996</v>
      </c>
      <c r="CG199" s="26">
        <v>2.9493</v>
      </c>
      <c r="CH199" s="26">
        <v>79.322000000000003</v>
      </c>
      <c r="CI199" s="26">
        <v>60.712000000000003</v>
      </c>
      <c r="CJ199" s="26">
        <v>45.968000000000004</v>
      </c>
      <c r="CK199" s="26">
        <v>41.826999999999998</v>
      </c>
      <c r="CL199" s="26">
        <v>10.061999999999999</v>
      </c>
      <c r="CM199" s="26">
        <v>2.2884000000000002</v>
      </c>
      <c r="CN199" s="26">
        <v>2.2581000000000002</v>
      </c>
      <c r="CO199" s="26">
        <v>0.59238999999999997</v>
      </c>
      <c r="CP199" s="26">
        <v>22.108000000000001</v>
      </c>
      <c r="CQ199" s="26">
        <v>1.6617999999999999</v>
      </c>
      <c r="CR199" s="26">
        <v>0</v>
      </c>
      <c r="CS199" s="26">
        <v>26.608000000000001</v>
      </c>
      <c r="CT199" s="26">
        <v>1.7917000000000001</v>
      </c>
      <c r="CU199" s="26">
        <v>4.5205000000000002</v>
      </c>
      <c r="CV199" s="26">
        <v>2.9510000000000001</v>
      </c>
      <c r="CW199" s="26">
        <v>0.62392000000000003</v>
      </c>
      <c r="CX199" s="26">
        <v>30.585999999999999</v>
      </c>
      <c r="CY199" s="61"/>
      <c r="CZ199" s="537"/>
      <c r="DA199" s="61"/>
    </row>
    <row r="200" spans="1:16384" s="540" customFormat="1">
      <c r="A200" s="538" t="s">
        <v>126</v>
      </c>
      <c r="B200" s="539">
        <f t="shared" ref="B200:AG200" si="22">AVERAGE(B188:B199)</f>
        <v>44.440083333333327</v>
      </c>
      <c r="C200" s="539">
        <f t="shared" si="22"/>
        <v>28.636950000000002</v>
      </c>
      <c r="D200" s="539">
        <f t="shared" si="22"/>
        <v>32.985999999999997</v>
      </c>
      <c r="E200" s="539">
        <f t="shared" si="22"/>
        <v>72.237000000000009</v>
      </c>
      <c r="F200" s="539">
        <f t="shared" si="22"/>
        <v>30.682816666666668</v>
      </c>
      <c r="G200" s="539">
        <f t="shared" si="22"/>
        <v>35.959499999999998</v>
      </c>
      <c r="H200" s="539">
        <f t="shared" si="22"/>
        <v>21.745834999999996</v>
      </c>
      <c r="I200" s="539">
        <f t="shared" si="22"/>
        <v>43.24783333333334</v>
      </c>
      <c r="J200" s="539">
        <f t="shared" si="22"/>
        <v>19.107600000000001</v>
      </c>
      <c r="K200" s="539">
        <f t="shared" si="22"/>
        <v>26.639683333333338</v>
      </c>
      <c r="L200" s="539">
        <f t="shared" si="22"/>
        <v>47.59825</v>
      </c>
      <c r="M200" s="539">
        <f t="shared" si="22"/>
        <v>2.2104464166666671</v>
      </c>
      <c r="N200" s="539">
        <f t="shared" si="22"/>
        <v>31.735916666666657</v>
      </c>
      <c r="O200" s="539">
        <f t="shared" si="22"/>
        <v>41.843333333333327</v>
      </c>
      <c r="P200" s="539">
        <f t="shared" si="22"/>
        <v>40.530750000000005</v>
      </c>
      <c r="Q200" s="539">
        <f t="shared" si="22"/>
        <v>5.3566233333333342</v>
      </c>
      <c r="R200" s="539">
        <f t="shared" si="22"/>
        <v>35.023583333333335</v>
      </c>
      <c r="S200" s="539">
        <f t="shared" si="22"/>
        <v>69.358583333333314</v>
      </c>
      <c r="T200" s="539">
        <f t="shared" si="22"/>
        <v>15.650210000000003</v>
      </c>
      <c r="U200" s="539">
        <f t="shared" si="22"/>
        <v>35.384250000000002</v>
      </c>
      <c r="V200" s="539">
        <f t="shared" si="22"/>
        <v>1.0537088666666667</v>
      </c>
      <c r="W200" s="539">
        <f t="shared" si="22"/>
        <v>34.788358333333335</v>
      </c>
      <c r="X200" s="539">
        <f t="shared" si="22"/>
        <v>63.091999999999985</v>
      </c>
      <c r="Y200" s="539">
        <f t="shared" si="22"/>
        <v>32.805791666666671</v>
      </c>
      <c r="Z200" s="539">
        <f t="shared" si="22"/>
        <v>17.499765</v>
      </c>
      <c r="AA200" s="539">
        <f t="shared" si="22"/>
        <v>29.449433333333332</v>
      </c>
      <c r="AB200" s="539">
        <f t="shared" si="22"/>
        <v>18.832009249999995</v>
      </c>
      <c r="AC200" s="539">
        <f t="shared" si="22"/>
        <v>39.62680000000001</v>
      </c>
      <c r="AD200" s="539">
        <f t="shared" si="22"/>
        <v>19.319766666666666</v>
      </c>
      <c r="AE200" s="539">
        <f t="shared" si="22"/>
        <v>20.480025000000001</v>
      </c>
      <c r="AF200" s="539">
        <f t="shared" si="22"/>
        <v>44.452833333333331</v>
      </c>
      <c r="AG200" s="539">
        <f t="shared" si="22"/>
        <v>27.741833333333336</v>
      </c>
      <c r="AH200" s="539">
        <f t="shared" ref="AH200:BM200" si="23">AVERAGE(AH188:AH199)</f>
        <v>37.459208333333336</v>
      </c>
      <c r="AI200" s="539">
        <f t="shared" si="23"/>
        <v>20.721491666666669</v>
      </c>
      <c r="AJ200" s="539">
        <f t="shared" si="23"/>
        <v>32.819849999999995</v>
      </c>
      <c r="AK200" s="539">
        <f t="shared" si="23"/>
        <v>49.705175000000004</v>
      </c>
      <c r="AL200" s="539">
        <f t="shared" si="23"/>
        <v>16.040558333333333</v>
      </c>
      <c r="AM200" s="539">
        <f t="shared" si="23"/>
        <v>18.009681666666669</v>
      </c>
      <c r="AN200" s="539">
        <f t="shared" si="23"/>
        <v>28.526650000000007</v>
      </c>
      <c r="AO200" s="539">
        <f t="shared" si="23"/>
        <v>62.966249999999995</v>
      </c>
      <c r="AP200" s="539">
        <f t="shared" si="23"/>
        <v>41.046699999999994</v>
      </c>
      <c r="AQ200" s="539">
        <f t="shared" si="23"/>
        <v>0.44876874999999999</v>
      </c>
      <c r="AR200" s="539">
        <f t="shared" si="23"/>
        <v>12.567348666666669</v>
      </c>
      <c r="AS200" s="539">
        <f t="shared" si="23"/>
        <v>4.2114333333333329</v>
      </c>
      <c r="AT200" s="539">
        <f t="shared" si="23"/>
        <v>43.647025000000006</v>
      </c>
      <c r="AU200" s="539">
        <f t="shared" si="23"/>
        <v>26.701126666666664</v>
      </c>
      <c r="AV200" s="539">
        <f t="shared" si="23"/>
        <v>53.047166666666669</v>
      </c>
      <c r="AW200" s="539">
        <f t="shared" si="23"/>
        <v>19.471458333333334</v>
      </c>
      <c r="AX200" s="539">
        <f t="shared" si="23"/>
        <v>26.838416666666664</v>
      </c>
      <c r="AY200" s="539">
        <f t="shared" si="23"/>
        <v>35.147166666666664</v>
      </c>
      <c r="AZ200" s="539">
        <f t="shared" si="23"/>
        <v>35.487499999999997</v>
      </c>
      <c r="BA200" s="539">
        <f t="shared" si="23"/>
        <v>42.481316666666665</v>
      </c>
      <c r="BB200" s="539">
        <f t="shared" si="23"/>
        <v>53.106333333333332</v>
      </c>
      <c r="BC200" s="539">
        <f t="shared" si="23"/>
        <v>60.95533333333335</v>
      </c>
      <c r="BD200" s="539">
        <f t="shared" si="23"/>
        <v>15.063274999999999</v>
      </c>
      <c r="BE200" s="539">
        <f t="shared" si="23"/>
        <v>21.166350000000001</v>
      </c>
      <c r="BF200" s="539">
        <f t="shared" si="23"/>
        <v>44.784916666666668</v>
      </c>
      <c r="BG200" s="539">
        <f t="shared" si="23"/>
        <v>34.936166666666672</v>
      </c>
      <c r="BH200" s="539">
        <f t="shared" si="23"/>
        <v>0.82083468250000002</v>
      </c>
      <c r="BI200" s="539">
        <f t="shared" si="23"/>
        <v>12.87031058333333</v>
      </c>
      <c r="BJ200" s="539">
        <f t="shared" si="23"/>
        <v>31.348808333333338</v>
      </c>
      <c r="BK200" s="539">
        <f t="shared" si="23"/>
        <v>38.051299999999998</v>
      </c>
      <c r="BL200" s="539">
        <f t="shared" si="23"/>
        <v>44.847916666666663</v>
      </c>
      <c r="BM200" s="539">
        <f t="shared" si="23"/>
        <v>31.446650000000002</v>
      </c>
      <c r="BN200" s="539">
        <f t="shared" ref="BN200:CS200" si="24">AVERAGE(BN188:BN199)</f>
        <v>3.5936758333333336</v>
      </c>
      <c r="BO200" s="539">
        <f t="shared" si="24"/>
        <v>13.392400333333329</v>
      </c>
      <c r="BP200" s="539">
        <f t="shared" si="24"/>
        <v>60.586666666666666</v>
      </c>
      <c r="BQ200" s="539">
        <f t="shared" si="24"/>
        <v>45.542083333333331</v>
      </c>
      <c r="BR200" s="539">
        <f t="shared" si="24"/>
        <v>25.833356333333327</v>
      </c>
      <c r="BS200" s="539">
        <f t="shared" si="24"/>
        <v>16.070691666666665</v>
      </c>
      <c r="BT200" s="539">
        <f t="shared" si="24"/>
        <v>18.567116666666667</v>
      </c>
      <c r="BU200" s="539">
        <f t="shared" si="24"/>
        <v>34.731425000000002</v>
      </c>
      <c r="BV200" s="539">
        <f t="shared" si="24"/>
        <v>47.947000000000003</v>
      </c>
      <c r="BW200" s="539">
        <f t="shared" si="24"/>
        <v>33.955416666666665</v>
      </c>
      <c r="BX200" s="539">
        <f t="shared" si="24"/>
        <v>19.530912225000002</v>
      </c>
      <c r="BY200" s="539">
        <f t="shared" si="24"/>
        <v>18.696008333333335</v>
      </c>
      <c r="BZ200" s="539">
        <f t="shared" si="24"/>
        <v>3.3709299999999995</v>
      </c>
      <c r="CA200" s="539">
        <f t="shared" si="24"/>
        <v>23.251549999999998</v>
      </c>
      <c r="CB200" s="539">
        <f t="shared" si="24"/>
        <v>35.968649999999997</v>
      </c>
      <c r="CC200" s="539">
        <f t="shared" si="24"/>
        <v>55.317083333333329</v>
      </c>
      <c r="CD200" s="539">
        <f t="shared" si="24"/>
        <v>30.641131666666663</v>
      </c>
      <c r="CE200" s="539">
        <f t="shared" si="24"/>
        <v>17.201884166666662</v>
      </c>
      <c r="CF200" s="539">
        <f t="shared" si="24"/>
        <v>26.203778541666665</v>
      </c>
      <c r="CG200" s="539">
        <f t="shared" si="24"/>
        <v>10.672448333333334</v>
      </c>
      <c r="CH200" s="539">
        <f t="shared" si="24"/>
        <v>40.665666666666667</v>
      </c>
      <c r="CI200" s="539">
        <f t="shared" si="24"/>
        <v>60.354333333333336</v>
      </c>
      <c r="CJ200" s="539">
        <f t="shared" si="24"/>
        <v>18.218736666666668</v>
      </c>
      <c r="CK200" s="539">
        <f t="shared" si="24"/>
        <v>30.126366666666669</v>
      </c>
      <c r="CL200" s="539">
        <f t="shared" si="24"/>
        <v>26.178783333333339</v>
      </c>
      <c r="CM200" s="539">
        <f t="shared" si="24"/>
        <v>25.369038333333339</v>
      </c>
      <c r="CN200" s="539">
        <f t="shared" si="24"/>
        <v>8.5157583333333324</v>
      </c>
      <c r="CO200" s="539">
        <f t="shared" si="24"/>
        <v>20.631969033333331</v>
      </c>
      <c r="CP200" s="539">
        <f t="shared" si="24"/>
        <v>39.843666666666671</v>
      </c>
      <c r="CQ200" s="539">
        <f t="shared" si="24"/>
        <v>15.902933333333332</v>
      </c>
      <c r="CR200" s="539">
        <f t="shared" si="24"/>
        <v>8.4936166666666661</v>
      </c>
      <c r="CS200" s="539">
        <f t="shared" si="24"/>
        <v>25.068058333333337</v>
      </c>
      <c r="CT200" s="539">
        <f>AVERAGE(CT188:CT199)</f>
        <v>33.935600000000001</v>
      </c>
      <c r="CU200" s="539">
        <f>AVERAGE(CU188:CU199)</f>
        <v>44.371491666666664</v>
      </c>
      <c r="CV200" s="539">
        <f>AVERAGE(CV188:CV199)</f>
        <v>7.8381428333333334</v>
      </c>
      <c r="CW200" s="539">
        <f>AVERAGE(CW188:CW199)</f>
        <v>0.37938207499999993</v>
      </c>
      <c r="CX200" s="539">
        <f>AVERAGE(CX188:CX199)</f>
        <v>33.561916666666669</v>
      </c>
      <c r="CY200" s="61"/>
      <c r="CZ200" s="537"/>
      <c r="DA200" s="537"/>
      <c r="DB200" s="537"/>
      <c r="DC200" s="537"/>
      <c r="DD200" s="537"/>
      <c r="DE200" s="537"/>
      <c r="DF200" s="537"/>
      <c r="DG200" s="537"/>
      <c r="DH200" s="537"/>
      <c r="DI200" s="537"/>
      <c r="DJ200" s="537"/>
      <c r="DK200" s="537"/>
      <c r="DL200" s="537"/>
      <c r="DM200" s="537"/>
      <c r="DN200" s="537"/>
      <c r="DO200" s="537"/>
      <c r="DP200" s="537"/>
      <c r="DQ200" s="537"/>
      <c r="DR200" s="537"/>
      <c r="DS200" s="537"/>
      <c r="DT200" s="537"/>
      <c r="DU200" s="537"/>
      <c r="DV200" s="537"/>
      <c r="DW200" s="537"/>
      <c r="DX200" s="537"/>
      <c r="DY200" s="537"/>
      <c r="DZ200" s="537"/>
      <c r="EA200" s="537"/>
      <c r="EB200" s="537"/>
      <c r="EC200" s="537"/>
      <c r="ED200" s="537"/>
      <c r="EE200" s="537"/>
      <c r="EF200" s="537"/>
      <c r="EG200" s="537"/>
      <c r="EH200" s="537"/>
      <c r="EI200" s="537"/>
      <c r="EJ200" s="537"/>
      <c r="EK200" s="537"/>
      <c r="EL200" s="537"/>
      <c r="EM200" s="537"/>
      <c r="EN200" s="537"/>
      <c r="EO200" s="537"/>
      <c r="EP200" s="537"/>
      <c r="EQ200" s="537"/>
      <c r="ER200" s="537"/>
      <c r="ES200" s="537"/>
      <c r="ET200" s="537"/>
      <c r="EU200" s="537"/>
      <c r="EV200" s="537"/>
      <c r="EW200" s="537"/>
      <c r="EX200" s="537"/>
      <c r="EY200" s="537"/>
      <c r="EZ200" s="537"/>
      <c r="FA200" s="537"/>
      <c r="FB200" s="537"/>
      <c r="FC200" s="537"/>
      <c r="FD200" s="537"/>
      <c r="FE200" s="537"/>
      <c r="FF200" s="537"/>
      <c r="FG200" s="537"/>
      <c r="FH200" s="537"/>
      <c r="FI200" s="537"/>
      <c r="FJ200" s="537"/>
      <c r="FK200" s="537"/>
      <c r="FL200" s="537"/>
      <c r="FM200" s="537"/>
      <c r="FN200" s="537"/>
      <c r="FO200" s="537"/>
      <c r="FP200" s="537"/>
      <c r="FQ200" s="537"/>
      <c r="FR200" s="537"/>
      <c r="FS200" s="537"/>
      <c r="FT200" s="537"/>
      <c r="FU200" s="537"/>
      <c r="FV200" s="537"/>
      <c r="FW200" s="537"/>
      <c r="FX200" s="537"/>
      <c r="FY200" s="537"/>
      <c r="FZ200" s="537"/>
      <c r="GA200" s="537"/>
      <c r="GB200" s="537"/>
      <c r="GC200" s="537"/>
      <c r="GD200" s="537"/>
      <c r="GE200" s="537"/>
      <c r="GF200" s="537"/>
      <c r="GG200" s="537"/>
      <c r="GH200" s="537"/>
      <c r="GI200" s="537"/>
      <c r="GJ200" s="537"/>
      <c r="GK200" s="537"/>
      <c r="GL200" s="537"/>
      <c r="GM200" s="537"/>
      <c r="GN200" s="537"/>
      <c r="GO200" s="537"/>
      <c r="GP200" s="537"/>
      <c r="GQ200" s="537"/>
      <c r="GR200" s="537"/>
      <c r="GS200" s="537"/>
      <c r="GT200" s="537"/>
      <c r="GU200" s="537"/>
      <c r="GV200" s="537"/>
      <c r="GW200" s="537"/>
      <c r="GX200" s="537"/>
      <c r="GY200" s="537"/>
      <c r="GZ200" s="537"/>
      <c r="HA200" s="537"/>
      <c r="HB200" s="537"/>
      <c r="HC200" s="537"/>
      <c r="HD200" s="537"/>
      <c r="HE200" s="537"/>
      <c r="HF200" s="537"/>
      <c r="HG200" s="537"/>
      <c r="HH200" s="537"/>
      <c r="HI200" s="537"/>
      <c r="HJ200" s="537"/>
      <c r="HK200" s="537"/>
      <c r="HL200" s="537"/>
      <c r="HM200" s="537"/>
      <c r="HN200" s="537"/>
      <c r="HO200" s="537"/>
      <c r="HP200" s="537"/>
      <c r="HQ200" s="537"/>
      <c r="HR200" s="537"/>
      <c r="HS200" s="537"/>
      <c r="HT200" s="537"/>
      <c r="HU200" s="537"/>
      <c r="HV200" s="537"/>
      <c r="HW200" s="537"/>
      <c r="HX200" s="537"/>
      <c r="HY200" s="537"/>
      <c r="HZ200" s="537"/>
      <c r="IA200" s="537"/>
      <c r="IB200" s="537"/>
      <c r="IC200" s="537"/>
      <c r="ID200" s="537"/>
      <c r="IE200" s="537"/>
      <c r="IF200" s="537"/>
      <c r="IG200" s="537"/>
      <c r="IH200" s="537"/>
      <c r="II200" s="537"/>
      <c r="IJ200" s="537"/>
      <c r="IK200" s="537"/>
      <c r="IL200" s="537"/>
      <c r="IM200" s="537"/>
      <c r="IN200" s="537"/>
      <c r="IO200" s="537"/>
      <c r="IP200" s="537"/>
      <c r="IQ200" s="537"/>
      <c r="IR200" s="537"/>
      <c r="IS200" s="537"/>
      <c r="IT200" s="537"/>
      <c r="IU200" s="537"/>
      <c r="IV200" s="537"/>
      <c r="IW200" s="537"/>
      <c r="IX200" s="537"/>
      <c r="IY200" s="537"/>
      <c r="IZ200" s="537"/>
      <c r="JA200" s="537"/>
      <c r="JB200" s="537"/>
      <c r="JC200" s="537"/>
      <c r="JD200" s="537"/>
      <c r="JE200" s="537"/>
      <c r="JF200" s="537"/>
      <c r="JG200" s="537"/>
      <c r="JH200" s="537"/>
      <c r="JI200" s="537"/>
      <c r="JJ200" s="537"/>
      <c r="JK200" s="537"/>
      <c r="JL200" s="537"/>
      <c r="JM200" s="537"/>
      <c r="JN200" s="537"/>
      <c r="JO200" s="537"/>
      <c r="JP200" s="537"/>
      <c r="JQ200" s="537"/>
      <c r="JR200" s="537"/>
      <c r="JS200" s="537"/>
      <c r="JT200" s="537"/>
      <c r="JU200" s="537"/>
      <c r="JV200" s="537"/>
      <c r="JW200" s="537"/>
      <c r="JX200" s="537"/>
      <c r="JY200" s="537"/>
      <c r="JZ200" s="537"/>
      <c r="KA200" s="537"/>
      <c r="KB200" s="537"/>
      <c r="KC200" s="537"/>
      <c r="KD200" s="537"/>
      <c r="KE200" s="537"/>
      <c r="KF200" s="537"/>
      <c r="KG200" s="537"/>
      <c r="KH200" s="537"/>
      <c r="KI200" s="537"/>
      <c r="KJ200" s="537"/>
      <c r="KK200" s="537"/>
      <c r="KL200" s="537"/>
      <c r="KM200" s="537"/>
      <c r="KN200" s="537"/>
      <c r="KO200" s="537"/>
      <c r="KP200" s="537"/>
      <c r="KQ200" s="537"/>
      <c r="KR200" s="537"/>
      <c r="KS200" s="537"/>
      <c r="KT200" s="537"/>
      <c r="KU200" s="537"/>
      <c r="KV200" s="537"/>
      <c r="KW200" s="537"/>
      <c r="KX200" s="537"/>
      <c r="KY200" s="537"/>
      <c r="KZ200" s="537"/>
      <c r="LA200" s="537"/>
      <c r="LB200" s="537"/>
      <c r="LC200" s="537"/>
      <c r="LD200" s="537"/>
      <c r="LE200" s="537"/>
      <c r="LF200" s="537"/>
      <c r="LG200" s="537"/>
      <c r="LH200" s="537"/>
      <c r="LI200" s="537"/>
      <c r="LJ200" s="537"/>
      <c r="LK200" s="537"/>
      <c r="LL200" s="537"/>
      <c r="LM200" s="537"/>
      <c r="LN200" s="537"/>
      <c r="LO200" s="537"/>
      <c r="LP200" s="537"/>
      <c r="LQ200" s="537"/>
      <c r="LR200" s="537"/>
      <c r="LS200" s="537"/>
      <c r="LT200" s="537"/>
      <c r="LU200" s="537"/>
      <c r="LV200" s="537"/>
      <c r="LW200" s="537"/>
      <c r="LX200" s="537"/>
      <c r="LY200" s="537"/>
      <c r="LZ200" s="537"/>
      <c r="MA200" s="537"/>
      <c r="MB200" s="537"/>
      <c r="MC200" s="537"/>
      <c r="MD200" s="537"/>
      <c r="ME200" s="537"/>
      <c r="MF200" s="537"/>
      <c r="MG200" s="537"/>
      <c r="MH200" s="537"/>
      <c r="MI200" s="537"/>
      <c r="MJ200" s="537"/>
      <c r="MK200" s="537"/>
      <c r="ML200" s="537"/>
      <c r="MM200" s="537"/>
      <c r="MN200" s="537"/>
      <c r="MO200" s="537"/>
      <c r="MP200" s="537"/>
      <c r="MQ200" s="537"/>
      <c r="MR200" s="537"/>
      <c r="MS200" s="537"/>
      <c r="MT200" s="537"/>
      <c r="MU200" s="537"/>
      <c r="MV200" s="537"/>
      <c r="MW200" s="537"/>
      <c r="MX200" s="537"/>
      <c r="MY200" s="537"/>
      <c r="MZ200" s="537"/>
      <c r="NA200" s="537"/>
      <c r="NB200" s="537"/>
      <c r="NC200" s="537"/>
      <c r="ND200" s="537"/>
      <c r="NE200" s="537"/>
      <c r="NF200" s="537"/>
      <c r="NG200" s="537"/>
      <c r="NH200" s="537"/>
      <c r="NI200" s="537"/>
      <c r="NJ200" s="537"/>
      <c r="NK200" s="537"/>
      <c r="NL200" s="537"/>
      <c r="NM200" s="537"/>
      <c r="NN200" s="537"/>
      <c r="NO200" s="537"/>
      <c r="NP200" s="537"/>
      <c r="NQ200" s="537"/>
      <c r="NR200" s="537"/>
      <c r="NS200" s="537"/>
      <c r="NT200" s="537"/>
      <c r="NU200" s="537"/>
      <c r="NV200" s="537"/>
      <c r="NW200" s="537"/>
      <c r="NX200" s="537"/>
      <c r="NY200" s="537"/>
      <c r="NZ200" s="537"/>
      <c r="OA200" s="537"/>
      <c r="OB200" s="537"/>
      <c r="OC200" s="537"/>
      <c r="OD200" s="537"/>
      <c r="OE200" s="537"/>
      <c r="OF200" s="537"/>
      <c r="OG200" s="537"/>
      <c r="OH200" s="537"/>
      <c r="OI200" s="537"/>
      <c r="OJ200" s="537"/>
      <c r="OK200" s="537"/>
      <c r="OL200" s="537"/>
      <c r="OM200" s="537"/>
      <c r="ON200" s="537"/>
      <c r="OO200" s="537"/>
      <c r="OP200" s="537"/>
      <c r="OQ200" s="537"/>
      <c r="OR200" s="537"/>
      <c r="OS200" s="537"/>
      <c r="OT200" s="537"/>
      <c r="OU200" s="537"/>
      <c r="OV200" s="537"/>
      <c r="OW200" s="537"/>
      <c r="OX200" s="537"/>
      <c r="OY200" s="537"/>
      <c r="OZ200" s="537"/>
      <c r="PA200" s="537"/>
      <c r="PB200" s="537"/>
      <c r="PC200" s="537"/>
      <c r="PD200" s="537"/>
      <c r="PE200" s="537"/>
      <c r="PF200" s="537"/>
      <c r="PG200" s="537"/>
      <c r="PH200" s="537"/>
      <c r="PI200" s="537"/>
      <c r="PJ200" s="537"/>
      <c r="PK200" s="537"/>
      <c r="PL200" s="537"/>
      <c r="PM200" s="537"/>
      <c r="PN200" s="537"/>
      <c r="PO200" s="537"/>
      <c r="PP200" s="537"/>
      <c r="PQ200" s="537"/>
      <c r="PR200" s="537"/>
      <c r="PS200" s="537"/>
      <c r="PT200" s="537"/>
      <c r="PU200" s="537"/>
      <c r="PV200" s="537"/>
      <c r="PW200" s="537"/>
      <c r="PX200" s="537"/>
      <c r="PY200" s="537"/>
      <c r="PZ200" s="537"/>
      <c r="QA200" s="537"/>
      <c r="QB200" s="537"/>
      <c r="QC200" s="537"/>
      <c r="QD200" s="537"/>
      <c r="QE200" s="537"/>
      <c r="QF200" s="537"/>
      <c r="QG200" s="537"/>
      <c r="QH200" s="537"/>
      <c r="QI200" s="537"/>
      <c r="QJ200" s="537"/>
      <c r="QK200" s="537"/>
      <c r="QL200" s="537"/>
      <c r="QM200" s="537"/>
      <c r="QN200" s="537"/>
      <c r="QO200" s="537"/>
      <c r="QP200" s="537"/>
      <c r="QQ200" s="537"/>
      <c r="QR200" s="537"/>
      <c r="QS200" s="537"/>
      <c r="QT200" s="537"/>
      <c r="QU200" s="537"/>
      <c r="QV200" s="537"/>
      <c r="QW200" s="537"/>
      <c r="QX200" s="537"/>
      <c r="QY200" s="537"/>
      <c r="QZ200" s="537"/>
      <c r="RA200" s="537"/>
      <c r="RB200" s="537"/>
      <c r="RC200" s="537"/>
      <c r="RD200" s="537"/>
      <c r="RE200" s="537"/>
      <c r="RF200" s="537"/>
      <c r="RG200" s="537"/>
      <c r="RH200" s="537"/>
      <c r="RI200" s="537"/>
      <c r="RJ200" s="537"/>
      <c r="RK200" s="537"/>
      <c r="RL200" s="537"/>
      <c r="RM200" s="537"/>
      <c r="RN200" s="537"/>
      <c r="RO200" s="537"/>
      <c r="RP200" s="537"/>
      <c r="RQ200" s="537"/>
      <c r="RR200" s="537"/>
      <c r="RS200" s="537"/>
      <c r="RT200" s="537"/>
      <c r="RU200" s="537"/>
      <c r="RV200" s="537"/>
      <c r="RW200" s="537"/>
      <c r="RX200" s="537"/>
      <c r="RY200" s="537"/>
      <c r="RZ200" s="537"/>
      <c r="SA200" s="537"/>
      <c r="SB200" s="537"/>
      <c r="SC200" s="537"/>
      <c r="SD200" s="537"/>
      <c r="SE200" s="537"/>
      <c r="SF200" s="537"/>
      <c r="SG200" s="537"/>
      <c r="SH200" s="537"/>
      <c r="SI200" s="537"/>
      <c r="SJ200" s="537"/>
      <c r="SK200" s="537"/>
      <c r="SL200" s="537"/>
      <c r="SM200" s="537"/>
      <c r="SN200" s="537"/>
      <c r="SO200" s="537"/>
      <c r="SP200" s="537"/>
      <c r="SQ200" s="537"/>
      <c r="SR200" s="537"/>
      <c r="SS200" s="537"/>
      <c r="ST200" s="537"/>
      <c r="SU200" s="537"/>
      <c r="SV200" s="537"/>
      <c r="SW200" s="537"/>
      <c r="SX200" s="537"/>
      <c r="SY200" s="537"/>
      <c r="SZ200" s="537"/>
      <c r="TA200" s="537"/>
      <c r="TB200" s="537"/>
      <c r="TC200" s="537"/>
      <c r="TD200" s="537"/>
      <c r="TE200" s="537"/>
      <c r="TF200" s="537"/>
      <c r="TG200" s="537"/>
      <c r="TH200" s="537"/>
      <c r="TI200" s="537"/>
      <c r="TJ200" s="537"/>
      <c r="TK200" s="537"/>
      <c r="TL200" s="537"/>
      <c r="TM200" s="537"/>
      <c r="TN200" s="537"/>
      <c r="TO200" s="537"/>
      <c r="TP200" s="537"/>
      <c r="TQ200" s="537"/>
      <c r="TR200" s="537"/>
      <c r="TS200" s="537"/>
      <c r="TT200" s="537"/>
      <c r="TU200" s="537"/>
      <c r="TV200" s="537"/>
      <c r="TW200" s="537"/>
      <c r="TX200" s="537"/>
      <c r="TY200" s="537"/>
      <c r="TZ200" s="537"/>
      <c r="UA200" s="537"/>
      <c r="UB200" s="537"/>
      <c r="UC200" s="537"/>
      <c r="UD200" s="537"/>
      <c r="UE200" s="537"/>
      <c r="UF200" s="537"/>
      <c r="UG200" s="537"/>
      <c r="UH200" s="537"/>
      <c r="UI200" s="537"/>
      <c r="UJ200" s="537"/>
      <c r="UK200" s="537"/>
      <c r="UL200" s="537"/>
      <c r="UM200" s="537"/>
      <c r="UN200" s="537"/>
      <c r="UO200" s="537"/>
      <c r="UP200" s="537"/>
      <c r="UQ200" s="537"/>
      <c r="UR200" s="537"/>
      <c r="US200" s="537"/>
      <c r="UT200" s="537"/>
      <c r="UU200" s="537"/>
      <c r="UV200" s="537"/>
      <c r="UW200" s="537"/>
      <c r="UX200" s="537"/>
      <c r="UY200" s="537"/>
      <c r="UZ200" s="537"/>
      <c r="VA200" s="537"/>
      <c r="VB200" s="537"/>
      <c r="VC200" s="537"/>
      <c r="VD200" s="537"/>
      <c r="VE200" s="537"/>
      <c r="VF200" s="537"/>
      <c r="VG200" s="537"/>
      <c r="VH200" s="537"/>
      <c r="VI200" s="537"/>
      <c r="VJ200" s="537"/>
      <c r="VK200" s="537"/>
      <c r="VL200" s="537"/>
      <c r="VM200" s="537"/>
      <c r="VN200" s="537"/>
      <c r="VO200" s="537"/>
      <c r="VP200" s="537"/>
      <c r="VQ200" s="537"/>
      <c r="VR200" s="537"/>
      <c r="VS200" s="537"/>
      <c r="VT200" s="537"/>
      <c r="VU200" s="537"/>
      <c r="VV200" s="537"/>
      <c r="VW200" s="537"/>
      <c r="VX200" s="537"/>
      <c r="VY200" s="537"/>
      <c r="VZ200" s="537"/>
      <c r="WA200" s="537"/>
      <c r="WB200" s="537"/>
      <c r="WC200" s="537"/>
      <c r="WD200" s="537"/>
      <c r="WE200" s="537"/>
      <c r="WF200" s="537"/>
      <c r="WG200" s="537"/>
      <c r="WH200" s="537"/>
      <c r="WI200" s="537"/>
      <c r="WJ200" s="537"/>
      <c r="WK200" s="537"/>
      <c r="WL200" s="537"/>
      <c r="WM200" s="537"/>
      <c r="WN200" s="537"/>
      <c r="WO200" s="537"/>
      <c r="WP200" s="537"/>
      <c r="WQ200" s="537"/>
      <c r="WR200" s="537"/>
      <c r="WS200" s="537"/>
      <c r="WT200" s="537"/>
      <c r="WU200" s="537"/>
      <c r="WV200" s="537"/>
      <c r="WW200" s="537"/>
      <c r="WX200" s="537"/>
      <c r="WY200" s="537"/>
      <c r="WZ200" s="537"/>
      <c r="XA200" s="537"/>
      <c r="XB200" s="537"/>
      <c r="XC200" s="537"/>
      <c r="XD200" s="537"/>
      <c r="XE200" s="537"/>
      <c r="XF200" s="537"/>
      <c r="XG200" s="537"/>
      <c r="XH200" s="537"/>
      <c r="XI200" s="537"/>
      <c r="XJ200" s="537"/>
      <c r="XK200" s="537"/>
      <c r="XL200" s="537"/>
      <c r="XM200" s="537"/>
      <c r="XN200" s="537"/>
      <c r="XO200" s="537"/>
      <c r="XP200" s="537"/>
      <c r="XQ200" s="537"/>
      <c r="XR200" s="537"/>
      <c r="XS200" s="537"/>
      <c r="XT200" s="537"/>
      <c r="XU200" s="537"/>
      <c r="XV200" s="537"/>
      <c r="XW200" s="537"/>
      <c r="XX200" s="537"/>
      <c r="XY200" s="537"/>
      <c r="XZ200" s="537"/>
      <c r="YA200" s="537"/>
      <c r="YB200" s="537"/>
      <c r="YC200" s="537"/>
      <c r="YD200" s="537"/>
      <c r="YE200" s="537"/>
      <c r="YF200" s="537"/>
      <c r="YG200" s="537"/>
      <c r="YH200" s="537"/>
      <c r="YI200" s="537"/>
      <c r="YJ200" s="537"/>
      <c r="YK200" s="537"/>
      <c r="YL200" s="537"/>
      <c r="YM200" s="537"/>
      <c r="YN200" s="537"/>
      <c r="YO200" s="537"/>
      <c r="YP200" s="537"/>
      <c r="YQ200" s="537"/>
      <c r="YR200" s="537"/>
      <c r="YS200" s="537"/>
      <c r="YT200" s="537"/>
      <c r="YU200" s="537"/>
      <c r="YV200" s="537"/>
      <c r="YW200" s="537"/>
      <c r="YX200" s="537"/>
      <c r="YY200" s="537"/>
      <c r="YZ200" s="537"/>
      <c r="ZA200" s="537"/>
      <c r="ZB200" s="537"/>
      <c r="ZC200" s="537"/>
      <c r="ZD200" s="537"/>
      <c r="ZE200" s="537"/>
      <c r="ZF200" s="537"/>
      <c r="ZG200" s="537"/>
      <c r="ZH200" s="537"/>
      <c r="ZI200" s="537"/>
      <c r="ZJ200" s="537"/>
      <c r="ZK200" s="537"/>
      <c r="ZL200" s="537"/>
      <c r="ZM200" s="537"/>
      <c r="ZN200" s="537"/>
      <c r="ZO200" s="537"/>
      <c r="ZP200" s="537"/>
      <c r="ZQ200" s="537"/>
      <c r="ZR200" s="537"/>
      <c r="ZS200" s="537"/>
      <c r="ZT200" s="537"/>
      <c r="ZU200" s="537"/>
      <c r="ZV200" s="537"/>
      <c r="ZW200" s="537"/>
      <c r="ZX200" s="537"/>
      <c r="ZY200" s="537"/>
      <c r="ZZ200" s="537"/>
      <c r="AAA200" s="537"/>
      <c r="AAB200" s="537"/>
      <c r="AAC200" s="537"/>
      <c r="AAD200" s="537"/>
      <c r="AAE200" s="537"/>
      <c r="AAF200" s="537"/>
      <c r="AAG200" s="537"/>
      <c r="AAH200" s="537"/>
      <c r="AAI200" s="537"/>
      <c r="AAJ200" s="537"/>
      <c r="AAK200" s="537"/>
      <c r="AAL200" s="537"/>
      <c r="AAM200" s="537"/>
      <c r="AAN200" s="537"/>
      <c r="AAO200" s="537"/>
      <c r="AAP200" s="537"/>
      <c r="AAQ200" s="537"/>
      <c r="AAR200" s="537"/>
      <c r="AAS200" s="537"/>
      <c r="AAT200" s="537"/>
      <c r="AAU200" s="537"/>
      <c r="AAV200" s="537"/>
      <c r="AAW200" s="537"/>
      <c r="AAX200" s="537"/>
      <c r="AAY200" s="537"/>
      <c r="AAZ200" s="537"/>
      <c r="ABA200" s="537"/>
      <c r="ABB200" s="537"/>
      <c r="ABC200" s="537"/>
      <c r="ABD200" s="537"/>
      <c r="ABE200" s="537"/>
      <c r="ABF200" s="537"/>
      <c r="ABG200" s="537"/>
      <c r="ABH200" s="537"/>
      <c r="ABI200" s="537"/>
      <c r="ABJ200" s="537"/>
      <c r="ABK200" s="537"/>
      <c r="ABL200" s="537"/>
      <c r="ABM200" s="537"/>
      <c r="ABN200" s="537"/>
      <c r="ABO200" s="537"/>
      <c r="ABP200" s="537"/>
      <c r="ABQ200" s="537"/>
      <c r="ABR200" s="537"/>
      <c r="ABS200" s="537"/>
      <c r="ABT200" s="537"/>
      <c r="ABU200" s="537"/>
      <c r="ABV200" s="537"/>
      <c r="ABW200" s="537"/>
      <c r="ABX200" s="537"/>
      <c r="ABY200" s="537"/>
      <c r="ABZ200" s="537"/>
      <c r="ACA200" s="537"/>
      <c r="ACB200" s="537"/>
      <c r="ACC200" s="537"/>
      <c r="ACD200" s="537"/>
      <c r="ACE200" s="537"/>
      <c r="ACF200" s="537"/>
      <c r="ACG200" s="537"/>
      <c r="ACH200" s="537"/>
      <c r="ACI200" s="537"/>
      <c r="ACJ200" s="537"/>
      <c r="ACK200" s="537"/>
      <c r="ACL200" s="537"/>
      <c r="ACM200" s="537"/>
      <c r="ACN200" s="537"/>
      <c r="ACO200" s="537"/>
      <c r="ACP200" s="537"/>
      <c r="ACQ200" s="537"/>
      <c r="ACR200" s="537"/>
      <c r="ACS200" s="537"/>
      <c r="ACT200" s="537"/>
      <c r="ACU200" s="537"/>
      <c r="ACV200" s="537"/>
      <c r="ACW200" s="537"/>
      <c r="ACX200" s="537"/>
      <c r="ACY200" s="537"/>
      <c r="ACZ200" s="537"/>
      <c r="ADA200" s="537"/>
      <c r="ADB200" s="537"/>
      <c r="ADC200" s="537"/>
      <c r="ADD200" s="537"/>
      <c r="ADE200" s="537"/>
      <c r="ADF200" s="537"/>
      <c r="ADG200" s="537"/>
      <c r="ADH200" s="537"/>
      <c r="ADI200" s="537"/>
      <c r="ADJ200" s="537"/>
      <c r="ADK200" s="537"/>
      <c r="ADL200" s="537"/>
      <c r="ADM200" s="537"/>
      <c r="ADN200" s="537"/>
      <c r="ADO200" s="537"/>
      <c r="ADP200" s="537"/>
      <c r="ADQ200" s="537"/>
      <c r="ADR200" s="537"/>
      <c r="ADS200" s="537"/>
      <c r="ADT200" s="537"/>
      <c r="ADU200" s="537"/>
      <c r="ADV200" s="537"/>
      <c r="ADW200" s="537"/>
      <c r="ADX200" s="537"/>
      <c r="ADY200" s="537"/>
      <c r="ADZ200" s="537"/>
      <c r="AEA200" s="537"/>
      <c r="AEB200" s="537"/>
      <c r="AEC200" s="537"/>
      <c r="AED200" s="537"/>
      <c r="AEE200" s="537"/>
      <c r="AEF200" s="537"/>
      <c r="AEG200" s="537"/>
      <c r="AEH200" s="537"/>
      <c r="AEI200" s="537"/>
      <c r="AEJ200" s="537"/>
      <c r="AEK200" s="537"/>
      <c r="AEL200" s="537"/>
      <c r="AEM200" s="537"/>
      <c r="AEN200" s="537"/>
      <c r="AEO200" s="537"/>
      <c r="AEP200" s="537"/>
      <c r="AEQ200" s="537"/>
      <c r="AER200" s="537"/>
      <c r="AES200" s="537"/>
      <c r="AET200" s="537"/>
      <c r="AEU200" s="537"/>
      <c r="AEV200" s="537"/>
      <c r="AEW200" s="537"/>
      <c r="AEX200" s="537"/>
      <c r="AEY200" s="537"/>
      <c r="AEZ200" s="537"/>
      <c r="AFA200" s="537"/>
      <c r="AFB200" s="537"/>
      <c r="AFC200" s="537"/>
      <c r="AFD200" s="537"/>
      <c r="AFE200" s="537"/>
      <c r="AFF200" s="537"/>
      <c r="AFG200" s="537"/>
      <c r="AFH200" s="537"/>
      <c r="AFI200" s="537"/>
      <c r="AFJ200" s="537"/>
      <c r="AFK200" s="537"/>
      <c r="AFL200" s="537"/>
      <c r="AFM200" s="537"/>
      <c r="AFN200" s="537"/>
      <c r="AFO200" s="537"/>
      <c r="AFP200" s="537"/>
      <c r="AFQ200" s="537"/>
      <c r="AFR200" s="537"/>
      <c r="AFS200" s="537"/>
      <c r="AFT200" s="537"/>
      <c r="AFU200" s="537"/>
      <c r="AFV200" s="537"/>
      <c r="AFW200" s="537"/>
      <c r="AFX200" s="537"/>
      <c r="AFY200" s="537"/>
      <c r="AFZ200" s="537"/>
      <c r="AGA200" s="537"/>
      <c r="AGB200" s="537"/>
      <c r="AGC200" s="537"/>
      <c r="AGD200" s="537"/>
      <c r="AGE200" s="537"/>
      <c r="AGF200" s="537"/>
      <c r="AGG200" s="537"/>
      <c r="AGH200" s="537"/>
      <c r="AGI200" s="537"/>
      <c r="AGJ200" s="537"/>
      <c r="AGK200" s="537"/>
      <c r="AGL200" s="537"/>
      <c r="AGM200" s="537"/>
      <c r="AGN200" s="537"/>
      <c r="AGO200" s="537"/>
      <c r="AGP200" s="537"/>
      <c r="AGQ200" s="537"/>
      <c r="AGR200" s="537"/>
      <c r="AGS200" s="537"/>
      <c r="AGT200" s="537"/>
      <c r="AGU200" s="537"/>
      <c r="AGV200" s="537"/>
      <c r="AGW200" s="537"/>
      <c r="AGX200" s="537"/>
      <c r="AGY200" s="537"/>
      <c r="AGZ200" s="537"/>
      <c r="AHA200" s="537"/>
      <c r="AHB200" s="537"/>
      <c r="AHC200" s="537"/>
      <c r="AHD200" s="537"/>
      <c r="AHE200" s="537"/>
      <c r="AHF200" s="537"/>
      <c r="AHG200" s="537"/>
      <c r="AHH200" s="537"/>
      <c r="AHI200" s="537"/>
      <c r="AHJ200" s="537"/>
      <c r="AHK200" s="537"/>
      <c r="AHL200" s="537"/>
      <c r="AHM200" s="537"/>
      <c r="AHN200" s="537"/>
      <c r="AHO200" s="537"/>
      <c r="AHP200" s="537"/>
      <c r="AHQ200" s="537"/>
      <c r="AHR200" s="537"/>
      <c r="AHS200" s="537"/>
      <c r="AHT200" s="537"/>
      <c r="AHU200" s="537"/>
      <c r="AHV200" s="537"/>
      <c r="AHW200" s="537"/>
      <c r="AHX200" s="537"/>
      <c r="AHY200" s="537"/>
      <c r="AHZ200" s="537"/>
      <c r="AIA200" s="537"/>
      <c r="AIB200" s="537"/>
      <c r="AIC200" s="537"/>
      <c r="AID200" s="537"/>
      <c r="AIE200" s="537"/>
      <c r="AIF200" s="537"/>
      <c r="AIG200" s="537"/>
      <c r="AIH200" s="537"/>
      <c r="AII200" s="537"/>
      <c r="AIJ200" s="537"/>
      <c r="AIK200" s="537"/>
      <c r="AIL200" s="537"/>
      <c r="AIM200" s="537"/>
      <c r="AIN200" s="537"/>
      <c r="AIO200" s="537"/>
      <c r="AIP200" s="537"/>
      <c r="AIQ200" s="537"/>
      <c r="AIR200" s="537"/>
      <c r="AIS200" s="537"/>
      <c r="AIT200" s="537"/>
      <c r="AIU200" s="537"/>
      <c r="AIV200" s="537"/>
      <c r="AIW200" s="537"/>
      <c r="AIX200" s="537"/>
      <c r="AIY200" s="537"/>
      <c r="AIZ200" s="537"/>
      <c r="AJA200" s="537"/>
      <c r="AJB200" s="537"/>
      <c r="AJC200" s="537"/>
      <c r="AJD200" s="537"/>
      <c r="AJE200" s="537"/>
      <c r="AJF200" s="537"/>
      <c r="AJG200" s="537"/>
      <c r="AJH200" s="537"/>
      <c r="AJI200" s="537"/>
      <c r="AJJ200" s="537"/>
      <c r="AJK200" s="537"/>
      <c r="AJL200" s="537"/>
      <c r="AJM200" s="537"/>
      <c r="AJN200" s="537"/>
      <c r="AJO200" s="537"/>
      <c r="AJP200" s="537"/>
      <c r="AJQ200" s="537"/>
      <c r="AJR200" s="537"/>
      <c r="AJS200" s="537"/>
      <c r="AJT200" s="537"/>
      <c r="AJU200" s="537"/>
      <c r="AJV200" s="537"/>
      <c r="AJW200" s="537"/>
      <c r="AJX200" s="537"/>
      <c r="AJY200" s="537"/>
      <c r="AJZ200" s="537"/>
      <c r="AKA200" s="537"/>
      <c r="AKB200" s="537"/>
      <c r="AKC200" s="537"/>
      <c r="AKD200" s="537"/>
      <c r="AKE200" s="537"/>
      <c r="AKF200" s="537"/>
      <c r="AKG200" s="537"/>
      <c r="AKH200" s="537"/>
      <c r="AKI200" s="537"/>
      <c r="AKJ200" s="537"/>
      <c r="AKK200" s="537"/>
      <c r="AKL200" s="537"/>
      <c r="AKM200" s="537"/>
      <c r="AKN200" s="537"/>
      <c r="AKO200" s="537"/>
      <c r="AKP200" s="537"/>
      <c r="AKQ200" s="537"/>
      <c r="AKR200" s="537"/>
      <c r="AKS200" s="537"/>
      <c r="AKT200" s="537"/>
      <c r="AKU200" s="537"/>
      <c r="AKV200" s="537"/>
      <c r="AKW200" s="537"/>
      <c r="AKX200" s="537"/>
      <c r="AKY200" s="537"/>
      <c r="AKZ200" s="537"/>
      <c r="ALA200" s="537"/>
      <c r="ALB200" s="537"/>
      <c r="ALC200" s="537"/>
      <c r="ALD200" s="537"/>
      <c r="ALE200" s="537"/>
      <c r="ALF200" s="537"/>
      <c r="ALG200" s="537"/>
      <c r="ALH200" s="537"/>
      <c r="ALI200" s="537"/>
      <c r="ALJ200" s="537"/>
      <c r="ALK200" s="537"/>
      <c r="ALL200" s="537"/>
      <c r="ALM200" s="537"/>
      <c r="ALN200" s="537"/>
      <c r="ALO200" s="537"/>
      <c r="ALP200" s="537"/>
      <c r="ALQ200" s="537"/>
      <c r="ALR200" s="537"/>
      <c r="ALS200" s="537"/>
      <c r="ALT200" s="537"/>
      <c r="ALU200" s="537"/>
      <c r="ALV200" s="537"/>
      <c r="ALW200" s="537"/>
      <c r="ALX200" s="537"/>
      <c r="ALY200" s="537"/>
      <c r="ALZ200" s="537"/>
      <c r="AMA200" s="537"/>
      <c r="AMB200" s="537"/>
      <c r="AMC200" s="537"/>
      <c r="AMD200" s="537"/>
      <c r="AME200" s="537"/>
      <c r="AMF200" s="537"/>
      <c r="AMG200" s="537"/>
      <c r="AMH200" s="537"/>
      <c r="AMI200" s="537"/>
      <c r="AMJ200" s="537"/>
      <c r="AMK200" s="537"/>
      <c r="AML200" s="537"/>
      <c r="AMM200" s="537"/>
      <c r="AMN200" s="537"/>
      <c r="AMO200" s="537"/>
      <c r="AMP200" s="537"/>
      <c r="AMQ200" s="537"/>
      <c r="AMR200" s="537"/>
      <c r="AMS200" s="537"/>
      <c r="AMT200" s="537"/>
      <c r="AMU200" s="537"/>
      <c r="AMV200" s="537"/>
      <c r="AMW200" s="537"/>
      <c r="AMX200" s="537"/>
      <c r="AMY200" s="537"/>
      <c r="AMZ200" s="537"/>
      <c r="ANA200" s="537"/>
      <c r="ANB200" s="537"/>
      <c r="ANC200" s="537"/>
      <c r="AND200" s="537"/>
      <c r="ANE200" s="537"/>
      <c r="ANF200" s="537"/>
      <c r="ANG200" s="537"/>
      <c r="ANH200" s="537"/>
      <c r="ANI200" s="537"/>
      <c r="ANJ200" s="537"/>
      <c r="ANK200" s="537"/>
      <c r="ANL200" s="537"/>
      <c r="ANM200" s="537"/>
      <c r="ANN200" s="537"/>
      <c r="ANO200" s="537"/>
      <c r="ANP200" s="537"/>
      <c r="ANQ200" s="537"/>
      <c r="ANR200" s="537"/>
      <c r="ANS200" s="537"/>
      <c r="ANT200" s="537"/>
      <c r="ANU200" s="537"/>
      <c r="ANV200" s="537"/>
      <c r="ANW200" s="537"/>
      <c r="ANX200" s="537"/>
      <c r="ANY200" s="537"/>
      <c r="ANZ200" s="537"/>
      <c r="AOA200" s="537"/>
      <c r="AOB200" s="537"/>
      <c r="AOC200" s="537"/>
      <c r="AOD200" s="537"/>
      <c r="AOE200" s="537"/>
      <c r="AOF200" s="537"/>
      <c r="AOG200" s="537"/>
      <c r="AOH200" s="537"/>
      <c r="AOI200" s="537"/>
      <c r="AOJ200" s="537"/>
      <c r="AOK200" s="537"/>
      <c r="AOL200" s="537"/>
      <c r="AOM200" s="537"/>
      <c r="AON200" s="537"/>
      <c r="AOO200" s="537"/>
      <c r="AOP200" s="537"/>
      <c r="AOQ200" s="537"/>
      <c r="AOR200" s="537"/>
      <c r="AOS200" s="537"/>
      <c r="AOT200" s="537"/>
      <c r="AOU200" s="537"/>
      <c r="AOV200" s="537"/>
      <c r="AOW200" s="537"/>
      <c r="AOX200" s="537"/>
      <c r="AOY200" s="537"/>
      <c r="AOZ200" s="537"/>
      <c r="APA200" s="537"/>
      <c r="APB200" s="537"/>
      <c r="APC200" s="537"/>
      <c r="APD200" s="537"/>
      <c r="APE200" s="537"/>
      <c r="APF200" s="537"/>
      <c r="APG200" s="537"/>
      <c r="APH200" s="537"/>
      <c r="API200" s="537"/>
      <c r="APJ200" s="537"/>
      <c r="APK200" s="537"/>
      <c r="APL200" s="537"/>
      <c r="APM200" s="537"/>
      <c r="APN200" s="537"/>
      <c r="APO200" s="537"/>
      <c r="APP200" s="537"/>
      <c r="APQ200" s="537"/>
      <c r="APR200" s="537"/>
      <c r="APS200" s="537"/>
      <c r="APT200" s="537"/>
      <c r="APU200" s="537"/>
      <c r="APV200" s="537"/>
      <c r="APW200" s="537"/>
      <c r="APX200" s="537"/>
      <c r="APY200" s="537"/>
      <c r="APZ200" s="537"/>
      <c r="AQA200" s="537"/>
      <c r="AQB200" s="537"/>
      <c r="AQC200" s="537"/>
      <c r="AQD200" s="537"/>
      <c r="AQE200" s="537"/>
      <c r="AQF200" s="537"/>
      <c r="AQG200" s="537"/>
      <c r="AQH200" s="537"/>
      <c r="AQI200" s="537"/>
      <c r="AQJ200" s="537"/>
      <c r="AQK200" s="537"/>
      <c r="AQL200" s="537"/>
      <c r="AQM200" s="537"/>
      <c r="AQN200" s="537"/>
      <c r="AQO200" s="537"/>
      <c r="AQP200" s="537"/>
      <c r="AQQ200" s="537"/>
      <c r="AQR200" s="537"/>
      <c r="AQS200" s="537"/>
      <c r="AQT200" s="537"/>
      <c r="AQU200" s="537"/>
      <c r="AQV200" s="537"/>
      <c r="AQW200" s="537"/>
      <c r="AQX200" s="537"/>
      <c r="AQY200" s="537"/>
      <c r="AQZ200" s="537"/>
      <c r="ARA200" s="537"/>
      <c r="ARB200" s="537"/>
      <c r="ARC200" s="537"/>
      <c r="ARD200" s="537"/>
      <c r="ARE200" s="537"/>
      <c r="ARF200" s="537"/>
      <c r="ARG200" s="537"/>
      <c r="ARH200" s="537"/>
      <c r="ARI200" s="537"/>
      <c r="ARJ200" s="537"/>
      <c r="ARK200" s="537"/>
      <c r="ARL200" s="537"/>
      <c r="ARM200" s="537"/>
      <c r="ARN200" s="537"/>
      <c r="ARO200" s="537"/>
      <c r="ARP200" s="537"/>
      <c r="ARQ200" s="537"/>
      <c r="ARR200" s="537"/>
      <c r="ARS200" s="537"/>
      <c r="ART200" s="537"/>
      <c r="ARU200" s="537"/>
      <c r="ARV200" s="537"/>
      <c r="ARW200" s="537"/>
      <c r="ARX200" s="537"/>
      <c r="ARY200" s="537"/>
      <c r="ARZ200" s="537"/>
      <c r="ASA200" s="537"/>
      <c r="ASB200" s="537"/>
      <c r="ASC200" s="537"/>
      <c r="ASD200" s="537"/>
      <c r="ASE200" s="537"/>
      <c r="ASF200" s="537"/>
      <c r="ASG200" s="537"/>
      <c r="ASH200" s="537"/>
      <c r="ASI200" s="537"/>
      <c r="ASJ200" s="537"/>
      <c r="ASK200" s="537"/>
      <c r="ASL200" s="537"/>
      <c r="ASM200" s="537"/>
      <c r="ASN200" s="537"/>
      <c r="ASO200" s="537"/>
      <c r="ASP200" s="537"/>
      <c r="ASQ200" s="537"/>
      <c r="ASR200" s="537"/>
      <c r="ASS200" s="537"/>
      <c r="AST200" s="537"/>
      <c r="ASU200" s="537"/>
      <c r="ASV200" s="537"/>
      <c r="ASW200" s="537"/>
      <c r="ASX200" s="537"/>
      <c r="ASY200" s="537"/>
      <c r="ASZ200" s="537"/>
      <c r="ATA200" s="537"/>
      <c r="ATB200" s="537"/>
      <c r="ATC200" s="537"/>
      <c r="ATD200" s="537"/>
      <c r="ATE200" s="537"/>
      <c r="ATF200" s="537"/>
      <c r="ATG200" s="537"/>
      <c r="ATH200" s="537"/>
      <c r="ATI200" s="537"/>
      <c r="ATJ200" s="537"/>
      <c r="ATK200" s="537"/>
      <c r="ATL200" s="537"/>
      <c r="ATM200" s="537"/>
      <c r="ATN200" s="537"/>
      <c r="ATO200" s="537"/>
      <c r="ATP200" s="537"/>
      <c r="ATQ200" s="537"/>
      <c r="ATR200" s="537"/>
      <c r="ATS200" s="537"/>
      <c r="ATT200" s="537"/>
      <c r="ATU200" s="537"/>
      <c r="ATV200" s="537"/>
      <c r="ATW200" s="537"/>
      <c r="ATX200" s="537"/>
      <c r="ATY200" s="537"/>
      <c r="ATZ200" s="537"/>
      <c r="AUA200" s="537"/>
      <c r="AUB200" s="537"/>
      <c r="AUC200" s="537"/>
      <c r="AUD200" s="537"/>
      <c r="AUE200" s="537"/>
      <c r="AUF200" s="537"/>
      <c r="AUG200" s="537"/>
      <c r="AUH200" s="537"/>
      <c r="AUI200" s="537"/>
      <c r="AUJ200" s="537"/>
      <c r="AUK200" s="537"/>
      <c r="AUL200" s="537"/>
      <c r="AUM200" s="537"/>
      <c r="AUN200" s="537"/>
      <c r="AUO200" s="537"/>
      <c r="AUP200" s="537"/>
      <c r="AUQ200" s="537"/>
      <c r="AUR200" s="537"/>
      <c r="AUS200" s="537"/>
      <c r="AUT200" s="537"/>
      <c r="AUU200" s="537"/>
      <c r="AUV200" s="537"/>
      <c r="AUW200" s="537"/>
      <c r="AUX200" s="537"/>
      <c r="AUY200" s="537"/>
      <c r="AUZ200" s="537"/>
      <c r="AVA200" s="537"/>
      <c r="AVB200" s="537"/>
      <c r="AVC200" s="537"/>
      <c r="AVD200" s="537"/>
      <c r="AVE200" s="537"/>
      <c r="AVF200" s="537"/>
      <c r="AVG200" s="537"/>
      <c r="AVH200" s="537"/>
      <c r="AVI200" s="537"/>
      <c r="AVJ200" s="537"/>
      <c r="AVK200" s="537"/>
      <c r="AVL200" s="537"/>
      <c r="AVM200" s="537"/>
      <c r="AVN200" s="537"/>
      <c r="AVO200" s="537"/>
      <c r="AVP200" s="537"/>
      <c r="AVQ200" s="537"/>
      <c r="AVR200" s="537"/>
      <c r="AVS200" s="537"/>
      <c r="AVT200" s="537"/>
      <c r="AVU200" s="537"/>
      <c r="AVV200" s="537"/>
      <c r="AVW200" s="537"/>
      <c r="AVX200" s="537"/>
      <c r="AVY200" s="537"/>
      <c r="AVZ200" s="537"/>
      <c r="AWA200" s="537"/>
      <c r="AWB200" s="537"/>
      <c r="AWC200" s="537"/>
      <c r="AWD200" s="537"/>
      <c r="AWE200" s="537"/>
      <c r="AWF200" s="537"/>
      <c r="AWG200" s="537"/>
      <c r="AWH200" s="537"/>
      <c r="AWI200" s="537"/>
      <c r="AWJ200" s="537"/>
      <c r="AWK200" s="537"/>
      <c r="AWL200" s="537"/>
      <c r="AWM200" s="537"/>
      <c r="AWN200" s="537"/>
      <c r="AWO200" s="537"/>
      <c r="AWP200" s="537"/>
      <c r="AWQ200" s="537"/>
      <c r="AWR200" s="537"/>
      <c r="AWS200" s="537"/>
      <c r="AWT200" s="537"/>
      <c r="AWU200" s="537"/>
      <c r="AWV200" s="537"/>
      <c r="AWW200" s="537"/>
      <c r="AWX200" s="537"/>
      <c r="AWY200" s="537"/>
      <c r="AWZ200" s="537"/>
      <c r="AXA200" s="537"/>
      <c r="AXB200" s="537"/>
      <c r="AXC200" s="537"/>
      <c r="AXD200" s="537"/>
      <c r="AXE200" s="537"/>
      <c r="AXF200" s="537"/>
      <c r="AXG200" s="537"/>
      <c r="AXH200" s="537"/>
      <c r="AXI200" s="537"/>
      <c r="AXJ200" s="537"/>
      <c r="AXK200" s="537"/>
      <c r="AXL200" s="537"/>
      <c r="AXM200" s="537"/>
      <c r="AXN200" s="537"/>
      <c r="AXO200" s="537"/>
      <c r="AXP200" s="537"/>
      <c r="AXQ200" s="537"/>
      <c r="AXR200" s="537"/>
      <c r="AXS200" s="537"/>
      <c r="AXT200" s="537"/>
      <c r="AXU200" s="537"/>
      <c r="AXV200" s="537"/>
      <c r="AXW200" s="537"/>
      <c r="AXX200" s="537"/>
      <c r="AXY200" s="537"/>
      <c r="AXZ200" s="537"/>
      <c r="AYA200" s="537"/>
      <c r="AYB200" s="537"/>
      <c r="AYC200" s="537"/>
      <c r="AYD200" s="537"/>
      <c r="AYE200" s="537"/>
      <c r="AYF200" s="537"/>
      <c r="AYG200" s="537"/>
      <c r="AYH200" s="537"/>
      <c r="AYI200" s="537"/>
      <c r="AYJ200" s="537"/>
      <c r="AYK200" s="537"/>
      <c r="AYL200" s="537"/>
      <c r="AYM200" s="537"/>
      <c r="AYN200" s="537"/>
      <c r="AYO200" s="537"/>
      <c r="AYP200" s="537"/>
      <c r="AYQ200" s="537"/>
      <c r="AYR200" s="537"/>
      <c r="AYS200" s="537"/>
      <c r="AYT200" s="537"/>
      <c r="AYU200" s="537"/>
      <c r="AYV200" s="537"/>
      <c r="AYW200" s="537"/>
      <c r="AYX200" s="537"/>
      <c r="AYY200" s="537"/>
      <c r="AYZ200" s="537"/>
      <c r="AZA200" s="537"/>
      <c r="AZB200" s="537"/>
      <c r="AZC200" s="537"/>
      <c r="AZD200" s="537"/>
      <c r="AZE200" s="537"/>
      <c r="AZF200" s="537"/>
      <c r="AZG200" s="537"/>
      <c r="AZH200" s="537"/>
      <c r="AZI200" s="537"/>
      <c r="AZJ200" s="537"/>
      <c r="AZK200" s="537"/>
      <c r="AZL200" s="537"/>
      <c r="AZM200" s="537"/>
      <c r="AZN200" s="537"/>
      <c r="AZO200" s="537"/>
      <c r="AZP200" s="537"/>
      <c r="AZQ200" s="537"/>
      <c r="AZR200" s="537"/>
      <c r="AZS200" s="537"/>
      <c r="AZT200" s="537"/>
      <c r="AZU200" s="537"/>
      <c r="AZV200" s="537"/>
      <c r="AZW200" s="537"/>
      <c r="AZX200" s="537"/>
      <c r="AZY200" s="537"/>
      <c r="AZZ200" s="537"/>
      <c r="BAA200" s="537"/>
      <c r="BAB200" s="537"/>
      <c r="BAC200" s="537"/>
      <c r="BAD200" s="537"/>
      <c r="BAE200" s="537"/>
      <c r="BAF200" s="537"/>
      <c r="BAG200" s="537"/>
      <c r="BAH200" s="537"/>
      <c r="BAI200" s="537"/>
      <c r="BAJ200" s="537"/>
      <c r="BAK200" s="537"/>
      <c r="BAL200" s="537"/>
      <c r="BAM200" s="537"/>
      <c r="BAN200" s="537"/>
      <c r="BAO200" s="537"/>
      <c r="BAP200" s="537"/>
      <c r="BAQ200" s="537"/>
      <c r="BAR200" s="537"/>
      <c r="BAS200" s="537"/>
      <c r="BAT200" s="537"/>
      <c r="BAU200" s="537"/>
      <c r="BAV200" s="537"/>
      <c r="BAW200" s="537"/>
      <c r="BAX200" s="537"/>
      <c r="BAY200" s="537"/>
      <c r="BAZ200" s="537"/>
      <c r="BBA200" s="537"/>
      <c r="BBB200" s="537"/>
      <c r="BBC200" s="537"/>
      <c r="BBD200" s="537"/>
      <c r="BBE200" s="537"/>
      <c r="BBF200" s="537"/>
      <c r="BBG200" s="537"/>
      <c r="BBH200" s="537"/>
      <c r="BBI200" s="537"/>
      <c r="BBJ200" s="537"/>
      <c r="BBK200" s="537"/>
      <c r="BBL200" s="537"/>
      <c r="BBM200" s="537"/>
      <c r="BBN200" s="537"/>
      <c r="BBO200" s="537"/>
      <c r="BBP200" s="537"/>
      <c r="BBQ200" s="537"/>
      <c r="BBR200" s="537"/>
      <c r="BBS200" s="537"/>
      <c r="BBT200" s="537"/>
      <c r="BBU200" s="537"/>
      <c r="BBV200" s="537"/>
      <c r="BBW200" s="537"/>
      <c r="BBX200" s="537"/>
      <c r="BBY200" s="537"/>
      <c r="BBZ200" s="537"/>
      <c r="BCA200" s="537"/>
      <c r="BCB200" s="537"/>
      <c r="BCC200" s="537"/>
      <c r="BCD200" s="537"/>
      <c r="BCE200" s="537"/>
      <c r="BCF200" s="537"/>
      <c r="BCG200" s="537"/>
      <c r="BCH200" s="537"/>
      <c r="BCI200" s="537"/>
      <c r="BCJ200" s="537"/>
      <c r="BCK200" s="537"/>
      <c r="BCL200" s="537"/>
      <c r="BCM200" s="537"/>
      <c r="BCN200" s="537"/>
      <c r="BCO200" s="537"/>
      <c r="BCP200" s="537"/>
      <c r="BCQ200" s="537"/>
      <c r="BCR200" s="537"/>
      <c r="BCS200" s="537"/>
      <c r="BCT200" s="537"/>
      <c r="BCU200" s="537"/>
      <c r="BCV200" s="537"/>
      <c r="BCW200" s="537"/>
      <c r="BCX200" s="537"/>
      <c r="BCY200" s="537"/>
      <c r="BCZ200" s="537"/>
      <c r="BDA200" s="537"/>
      <c r="BDB200" s="537"/>
      <c r="BDC200" s="537"/>
      <c r="BDD200" s="537"/>
      <c r="BDE200" s="537"/>
      <c r="BDF200" s="537"/>
      <c r="BDG200" s="537"/>
      <c r="BDH200" s="537"/>
      <c r="BDI200" s="537"/>
      <c r="BDJ200" s="537"/>
      <c r="BDK200" s="537"/>
      <c r="BDL200" s="537"/>
      <c r="BDM200" s="537"/>
      <c r="BDN200" s="537"/>
      <c r="BDO200" s="537"/>
      <c r="BDP200" s="537"/>
      <c r="BDQ200" s="537"/>
      <c r="BDR200" s="537"/>
      <c r="BDS200" s="537"/>
      <c r="BDT200" s="537"/>
      <c r="BDU200" s="537"/>
      <c r="BDV200" s="537"/>
      <c r="BDW200" s="537"/>
      <c r="BDX200" s="537"/>
      <c r="BDY200" s="537"/>
      <c r="BDZ200" s="537"/>
      <c r="BEA200" s="537"/>
      <c r="BEB200" s="537"/>
      <c r="BEC200" s="537"/>
      <c r="BED200" s="537"/>
      <c r="BEE200" s="537"/>
      <c r="BEF200" s="537"/>
      <c r="BEG200" s="537"/>
      <c r="BEH200" s="537"/>
      <c r="BEI200" s="537"/>
      <c r="BEJ200" s="537"/>
      <c r="BEK200" s="537"/>
      <c r="BEL200" s="537"/>
      <c r="BEM200" s="537"/>
      <c r="BEN200" s="537"/>
      <c r="BEO200" s="537"/>
      <c r="BEP200" s="537"/>
      <c r="BEQ200" s="537"/>
      <c r="BER200" s="537"/>
      <c r="BES200" s="537"/>
      <c r="BET200" s="537"/>
      <c r="BEU200" s="537"/>
      <c r="BEV200" s="537"/>
      <c r="BEW200" s="537"/>
      <c r="BEX200" s="537"/>
      <c r="BEY200" s="537"/>
      <c r="BEZ200" s="537"/>
      <c r="BFA200" s="537"/>
      <c r="BFB200" s="537"/>
      <c r="BFC200" s="537"/>
      <c r="BFD200" s="537"/>
      <c r="BFE200" s="537"/>
      <c r="BFF200" s="537"/>
      <c r="BFG200" s="537"/>
      <c r="BFH200" s="537"/>
      <c r="BFI200" s="537"/>
      <c r="BFJ200" s="537"/>
      <c r="BFK200" s="537"/>
      <c r="BFL200" s="537"/>
      <c r="BFM200" s="537"/>
      <c r="BFN200" s="537"/>
      <c r="BFO200" s="537"/>
      <c r="BFP200" s="537"/>
      <c r="BFQ200" s="537"/>
      <c r="BFR200" s="537"/>
      <c r="BFS200" s="537"/>
      <c r="BFT200" s="537"/>
      <c r="BFU200" s="537"/>
      <c r="BFV200" s="537"/>
      <c r="BFW200" s="537"/>
      <c r="BFX200" s="537"/>
      <c r="BFY200" s="537"/>
      <c r="BFZ200" s="537"/>
      <c r="BGA200" s="537"/>
      <c r="BGB200" s="537"/>
      <c r="BGC200" s="537"/>
      <c r="BGD200" s="537"/>
      <c r="BGE200" s="537"/>
      <c r="BGF200" s="537"/>
      <c r="BGG200" s="537"/>
      <c r="BGH200" s="537"/>
      <c r="BGI200" s="537"/>
      <c r="BGJ200" s="537"/>
      <c r="BGK200" s="537"/>
      <c r="BGL200" s="537"/>
      <c r="BGM200" s="537"/>
      <c r="BGN200" s="537"/>
      <c r="BGO200" s="537"/>
      <c r="BGP200" s="537"/>
      <c r="BGQ200" s="537"/>
      <c r="BGR200" s="537"/>
      <c r="BGS200" s="537"/>
      <c r="BGT200" s="537"/>
      <c r="BGU200" s="537"/>
      <c r="BGV200" s="537"/>
      <c r="BGW200" s="537"/>
      <c r="BGX200" s="537"/>
      <c r="BGY200" s="537"/>
      <c r="BGZ200" s="537"/>
      <c r="BHA200" s="537"/>
      <c r="BHB200" s="537"/>
      <c r="BHC200" s="537"/>
      <c r="BHD200" s="537"/>
      <c r="BHE200" s="537"/>
      <c r="BHF200" s="537"/>
      <c r="BHG200" s="537"/>
      <c r="BHH200" s="537"/>
      <c r="BHI200" s="537"/>
      <c r="BHJ200" s="537"/>
      <c r="BHK200" s="537"/>
      <c r="BHL200" s="537"/>
      <c r="BHM200" s="537"/>
      <c r="BHN200" s="537"/>
      <c r="BHO200" s="537"/>
      <c r="BHP200" s="537"/>
      <c r="BHQ200" s="537"/>
      <c r="BHR200" s="537"/>
      <c r="BHS200" s="537"/>
      <c r="BHT200" s="537"/>
      <c r="BHU200" s="537"/>
      <c r="BHV200" s="537"/>
      <c r="BHW200" s="537"/>
      <c r="BHX200" s="537"/>
      <c r="BHY200" s="537"/>
      <c r="BHZ200" s="537"/>
      <c r="BIA200" s="537"/>
      <c r="BIB200" s="537"/>
      <c r="BIC200" s="537"/>
      <c r="BID200" s="537"/>
      <c r="BIE200" s="537"/>
      <c r="BIF200" s="537"/>
      <c r="BIG200" s="537"/>
      <c r="BIH200" s="537"/>
      <c r="BII200" s="537"/>
      <c r="BIJ200" s="537"/>
      <c r="BIK200" s="537"/>
      <c r="BIL200" s="537"/>
      <c r="BIM200" s="537"/>
      <c r="BIN200" s="537"/>
      <c r="BIO200" s="537"/>
      <c r="BIP200" s="537"/>
      <c r="BIQ200" s="537"/>
      <c r="BIR200" s="537"/>
      <c r="BIS200" s="537"/>
      <c r="BIT200" s="537"/>
      <c r="BIU200" s="537"/>
      <c r="BIV200" s="537"/>
      <c r="BIW200" s="537"/>
      <c r="BIX200" s="537"/>
      <c r="BIY200" s="537"/>
      <c r="BIZ200" s="537"/>
      <c r="BJA200" s="537"/>
      <c r="BJB200" s="537"/>
      <c r="BJC200" s="537"/>
      <c r="BJD200" s="537"/>
      <c r="BJE200" s="537"/>
      <c r="BJF200" s="537"/>
      <c r="BJG200" s="537"/>
      <c r="BJH200" s="537"/>
      <c r="BJI200" s="537"/>
      <c r="BJJ200" s="537"/>
      <c r="BJK200" s="537"/>
      <c r="BJL200" s="537"/>
      <c r="BJM200" s="537"/>
      <c r="BJN200" s="537"/>
      <c r="BJO200" s="537"/>
      <c r="BJP200" s="537"/>
      <c r="BJQ200" s="537"/>
      <c r="BJR200" s="537"/>
      <c r="BJS200" s="537"/>
      <c r="BJT200" s="537"/>
      <c r="BJU200" s="537"/>
      <c r="BJV200" s="537"/>
      <c r="BJW200" s="537"/>
      <c r="BJX200" s="537"/>
      <c r="BJY200" s="537"/>
      <c r="BJZ200" s="537"/>
      <c r="BKA200" s="537"/>
      <c r="BKB200" s="537"/>
      <c r="BKC200" s="537"/>
      <c r="BKD200" s="537"/>
      <c r="BKE200" s="537"/>
      <c r="BKF200" s="537"/>
      <c r="BKG200" s="537"/>
      <c r="BKH200" s="537"/>
      <c r="BKI200" s="537"/>
      <c r="BKJ200" s="537"/>
      <c r="BKK200" s="537"/>
      <c r="BKL200" s="537"/>
      <c r="BKM200" s="537"/>
      <c r="BKN200" s="537"/>
      <c r="BKO200" s="537"/>
      <c r="BKP200" s="537"/>
      <c r="BKQ200" s="537"/>
      <c r="BKR200" s="537"/>
      <c r="BKS200" s="537"/>
      <c r="BKT200" s="537"/>
      <c r="BKU200" s="537"/>
      <c r="BKV200" s="537"/>
      <c r="BKW200" s="537"/>
      <c r="BKX200" s="537"/>
      <c r="BKY200" s="537"/>
      <c r="BKZ200" s="537"/>
      <c r="BLA200" s="537"/>
      <c r="BLB200" s="537"/>
      <c r="BLC200" s="537"/>
      <c r="BLD200" s="537"/>
      <c r="BLE200" s="537"/>
      <c r="BLF200" s="537"/>
      <c r="BLG200" s="537"/>
      <c r="BLH200" s="537"/>
      <c r="BLI200" s="537"/>
      <c r="BLJ200" s="537"/>
      <c r="BLK200" s="537"/>
      <c r="BLL200" s="537"/>
      <c r="BLM200" s="537"/>
      <c r="BLN200" s="537"/>
      <c r="BLO200" s="537"/>
      <c r="BLP200" s="537"/>
      <c r="BLQ200" s="537"/>
      <c r="BLR200" s="537"/>
      <c r="BLS200" s="537"/>
      <c r="BLT200" s="537"/>
      <c r="BLU200" s="537"/>
      <c r="BLV200" s="537"/>
      <c r="BLW200" s="537"/>
      <c r="BLX200" s="537"/>
      <c r="BLY200" s="537"/>
      <c r="BLZ200" s="537"/>
      <c r="BMA200" s="537"/>
      <c r="BMB200" s="537"/>
      <c r="BMC200" s="537"/>
      <c r="BMD200" s="537"/>
      <c r="BME200" s="537"/>
      <c r="BMF200" s="537"/>
      <c r="BMG200" s="537"/>
      <c r="BMH200" s="537"/>
      <c r="BMI200" s="537"/>
      <c r="BMJ200" s="537"/>
      <c r="BMK200" s="537"/>
      <c r="BML200" s="537"/>
      <c r="BMM200" s="537"/>
      <c r="BMN200" s="537"/>
      <c r="BMO200" s="537"/>
      <c r="BMP200" s="537"/>
      <c r="BMQ200" s="537"/>
      <c r="BMR200" s="537"/>
      <c r="BMS200" s="537"/>
      <c r="BMT200" s="537"/>
      <c r="BMU200" s="537"/>
      <c r="BMV200" s="537"/>
      <c r="BMW200" s="537"/>
      <c r="BMX200" s="537"/>
      <c r="BMY200" s="537"/>
      <c r="BMZ200" s="537"/>
      <c r="BNA200" s="537"/>
      <c r="BNB200" s="537"/>
      <c r="BNC200" s="537"/>
      <c r="BND200" s="537"/>
      <c r="BNE200" s="537"/>
      <c r="BNF200" s="537"/>
      <c r="BNG200" s="537"/>
      <c r="BNH200" s="537"/>
      <c r="BNI200" s="537"/>
      <c r="BNJ200" s="537"/>
      <c r="BNK200" s="537"/>
      <c r="BNL200" s="537"/>
      <c r="BNM200" s="537"/>
      <c r="BNN200" s="537"/>
      <c r="BNO200" s="537"/>
      <c r="BNP200" s="537"/>
      <c r="BNQ200" s="537"/>
      <c r="BNR200" s="537"/>
      <c r="BNS200" s="537"/>
      <c r="BNT200" s="537"/>
      <c r="BNU200" s="537"/>
      <c r="BNV200" s="537"/>
      <c r="BNW200" s="537"/>
      <c r="BNX200" s="537"/>
      <c r="BNY200" s="537"/>
      <c r="BNZ200" s="537"/>
      <c r="BOA200" s="537"/>
      <c r="BOB200" s="537"/>
      <c r="BOC200" s="537"/>
      <c r="BOD200" s="537"/>
      <c r="BOE200" s="537"/>
      <c r="BOF200" s="537"/>
      <c r="BOG200" s="537"/>
      <c r="BOH200" s="537"/>
      <c r="BOI200" s="537"/>
      <c r="BOJ200" s="537"/>
      <c r="BOK200" s="537"/>
      <c r="BOL200" s="537"/>
      <c r="BOM200" s="537"/>
      <c r="BON200" s="537"/>
      <c r="BOO200" s="537"/>
      <c r="BOP200" s="537"/>
      <c r="BOQ200" s="537"/>
      <c r="BOR200" s="537"/>
      <c r="BOS200" s="537"/>
      <c r="BOT200" s="537"/>
      <c r="BOU200" s="537"/>
      <c r="BOV200" s="537"/>
      <c r="BOW200" s="537"/>
      <c r="BOX200" s="537"/>
      <c r="BOY200" s="537"/>
      <c r="BOZ200" s="537"/>
      <c r="BPA200" s="537"/>
      <c r="BPB200" s="537"/>
      <c r="BPC200" s="537"/>
      <c r="BPD200" s="537"/>
      <c r="BPE200" s="537"/>
      <c r="BPF200" s="537"/>
      <c r="BPG200" s="537"/>
      <c r="BPH200" s="537"/>
      <c r="BPI200" s="537"/>
      <c r="BPJ200" s="537"/>
      <c r="BPK200" s="537"/>
      <c r="BPL200" s="537"/>
      <c r="BPM200" s="537"/>
      <c r="BPN200" s="537"/>
      <c r="BPO200" s="537"/>
      <c r="BPP200" s="537"/>
      <c r="BPQ200" s="537"/>
      <c r="BPR200" s="537"/>
      <c r="BPS200" s="537"/>
      <c r="BPT200" s="537"/>
      <c r="BPU200" s="537"/>
      <c r="BPV200" s="537"/>
      <c r="BPW200" s="537"/>
      <c r="BPX200" s="537"/>
      <c r="BPY200" s="537"/>
      <c r="BPZ200" s="537"/>
      <c r="BQA200" s="537"/>
      <c r="BQB200" s="537"/>
      <c r="BQC200" s="537"/>
      <c r="BQD200" s="537"/>
      <c r="BQE200" s="537"/>
      <c r="BQF200" s="537"/>
      <c r="BQG200" s="537"/>
      <c r="BQH200" s="537"/>
      <c r="BQI200" s="537"/>
      <c r="BQJ200" s="537"/>
      <c r="BQK200" s="537"/>
      <c r="BQL200" s="537"/>
      <c r="BQM200" s="537"/>
      <c r="BQN200" s="537"/>
      <c r="BQO200" s="537"/>
      <c r="BQP200" s="537"/>
      <c r="BQQ200" s="537"/>
      <c r="BQR200" s="537"/>
      <c r="BQS200" s="537"/>
      <c r="BQT200" s="537"/>
      <c r="BQU200" s="537"/>
      <c r="BQV200" s="537"/>
      <c r="BQW200" s="537"/>
      <c r="BQX200" s="537"/>
      <c r="BQY200" s="537"/>
      <c r="BQZ200" s="537"/>
      <c r="BRA200" s="537"/>
      <c r="BRB200" s="537"/>
      <c r="BRC200" s="537"/>
      <c r="BRD200" s="537"/>
      <c r="BRE200" s="537"/>
      <c r="BRF200" s="537"/>
      <c r="BRG200" s="537"/>
      <c r="BRH200" s="537"/>
      <c r="BRI200" s="537"/>
      <c r="BRJ200" s="537"/>
      <c r="BRK200" s="537"/>
      <c r="BRL200" s="537"/>
      <c r="BRM200" s="537"/>
      <c r="BRN200" s="537"/>
      <c r="BRO200" s="537"/>
      <c r="BRP200" s="537"/>
      <c r="BRQ200" s="537"/>
      <c r="BRR200" s="537"/>
      <c r="BRS200" s="537"/>
      <c r="BRT200" s="537"/>
      <c r="BRU200" s="537"/>
      <c r="BRV200" s="537"/>
      <c r="BRW200" s="537"/>
      <c r="BRX200" s="537"/>
      <c r="BRY200" s="537"/>
      <c r="BRZ200" s="537"/>
      <c r="BSA200" s="537"/>
      <c r="BSB200" s="537"/>
      <c r="BSC200" s="537"/>
      <c r="BSD200" s="537"/>
      <c r="BSE200" s="537"/>
      <c r="BSF200" s="537"/>
      <c r="BSG200" s="537"/>
      <c r="BSH200" s="537"/>
      <c r="BSI200" s="537"/>
      <c r="BSJ200" s="537"/>
      <c r="BSK200" s="537"/>
      <c r="BSL200" s="537"/>
      <c r="BSM200" s="537"/>
      <c r="BSN200" s="537"/>
      <c r="BSO200" s="537"/>
      <c r="BSP200" s="537"/>
      <c r="BSQ200" s="537"/>
      <c r="BSR200" s="537"/>
      <c r="BSS200" s="537"/>
      <c r="BST200" s="537"/>
      <c r="BSU200" s="537"/>
      <c r="BSV200" s="537"/>
      <c r="BSW200" s="537"/>
      <c r="BSX200" s="537"/>
      <c r="BSY200" s="537"/>
      <c r="BSZ200" s="537"/>
      <c r="BTA200" s="537"/>
      <c r="BTB200" s="537"/>
      <c r="BTC200" s="537"/>
      <c r="BTD200" s="537"/>
      <c r="BTE200" s="537"/>
      <c r="BTF200" s="537"/>
      <c r="BTG200" s="537"/>
      <c r="BTH200" s="537"/>
      <c r="BTI200" s="537"/>
      <c r="BTJ200" s="537"/>
      <c r="BTK200" s="537"/>
      <c r="BTL200" s="537"/>
      <c r="BTM200" s="537"/>
      <c r="BTN200" s="537"/>
      <c r="BTO200" s="537"/>
      <c r="BTP200" s="537"/>
      <c r="BTQ200" s="537"/>
      <c r="BTR200" s="537"/>
      <c r="BTS200" s="537"/>
      <c r="BTT200" s="537"/>
      <c r="BTU200" s="537"/>
      <c r="BTV200" s="537"/>
      <c r="BTW200" s="537"/>
      <c r="BTX200" s="537"/>
      <c r="BTY200" s="537"/>
      <c r="BTZ200" s="537"/>
      <c r="BUA200" s="537"/>
      <c r="BUB200" s="537"/>
      <c r="BUC200" s="537"/>
      <c r="BUD200" s="537"/>
      <c r="BUE200" s="537"/>
      <c r="BUF200" s="537"/>
      <c r="BUG200" s="537"/>
      <c r="BUH200" s="537"/>
      <c r="BUI200" s="537"/>
      <c r="BUJ200" s="537"/>
      <c r="BUK200" s="537"/>
      <c r="BUL200" s="537"/>
      <c r="BUM200" s="537"/>
      <c r="BUN200" s="537"/>
      <c r="BUO200" s="537"/>
      <c r="BUP200" s="537"/>
      <c r="BUQ200" s="537"/>
      <c r="BUR200" s="537"/>
      <c r="BUS200" s="537"/>
      <c r="BUT200" s="537"/>
      <c r="BUU200" s="537"/>
      <c r="BUV200" s="537"/>
      <c r="BUW200" s="537"/>
      <c r="BUX200" s="537"/>
      <c r="BUY200" s="537"/>
      <c r="BUZ200" s="537"/>
      <c r="BVA200" s="537"/>
      <c r="BVB200" s="537"/>
      <c r="BVC200" s="537"/>
      <c r="BVD200" s="537"/>
      <c r="BVE200" s="537"/>
      <c r="BVF200" s="537"/>
      <c r="BVG200" s="537"/>
      <c r="BVH200" s="537"/>
      <c r="BVI200" s="537"/>
      <c r="BVJ200" s="537"/>
      <c r="BVK200" s="537"/>
      <c r="BVL200" s="537"/>
      <c r="BVM200" s="537"/>
      <c r="BVN200" s="537"/>
      <c r="BVO200" s="537"/>
      <c r="BVP200" s="537"/>
      <c r="BVQ200" s="537"/>
      <c r="BVR200" s="537"/>
      <c r="BVS200" s="537"/>
      <c r="BVT200" s="537"/>
      <c r="BVU200" s="537"/>
      <c r="BVV200" s="537"/>
      <c r="BVW200" s="537"/>
      <c r="BVX200" s="537"/>
      <c r="BVY200" s="537"/>
      <c r="BVZ200" s="537"/>
      <c r="BWA200" s="537"/>
      <c r="BWB200" s="537"/>
      <c r="BWC200" s="537"/>
      <c r="BWD200" s="537"/>
      <c r="BWE200" s="537"/>
      <c r="BWF200" s="537"/>
      <c r="BWG200" s="537"/>
      <c r="BWH200" s="537"/>
      <c r="BWI200" s="537"/>
      <c r="BWJ200" s="537"/>
      <c r="BWK200" s="537"/>
      <c r="BWL200" s="537"/>
      <c r="BWM200" s="537"/>
      <c r="BWN200" s="537"/>
      <c r="BWO200" s="537"/>
      <c r="BWP200" s="537"/>
      <c r="BWQ200" s="537"/>
      <c r="BWR200" s="537"/>
      <c r="BWS200" s="537"/>
      <c r="BWT200" s="537"/>
      <c r="BWU200" s="537"/>
      <c r="BWV200" s="537"/>
      <c r="BWW200" s="537"/>
      <c r="BWX200" s="537"/>
      <c r="BWY200" s="537"/>
      <c r="BWZ200" s="537"/>
      <c r="BXA200" s="537"/>
      <c r="BXB200" s="537"/>
      <c r="BXC200" s="537"/>
      <c r="BXD200" s="537"/>
      <c r="BXE200" s="537"/>
      <c r="BXF200" s="537"/>
      <c r="BXG200" s="537"/>
      <c r="BXH200" s="537"/>
      <c r="BXI200" s="537"/>
      <c r="BXJ200" s="537"/>
      <c r="BXK200" s="537"/>
      <c r="BXL200" s="537"/>
      <c r="BXM200" s="537"/>
      <c r="BXN200" s="537"/>
      <c r="BXO200" s="537"/>
      <c r="BXP200" s="537"/>
      <c r="BXQ200" s="537"/>
      <c r="BXR200" s="537"/>
      <c r="BXS200" s="537"/>
      <c r="BXT200" s="537"/>
      <c r="BXU200" s="537"/>
      <c r="BXV200" s="537"/>
      <c r="BXW200" s="537"/>
      <c r="BXX200" s="537"/>
      <c r="BXY200" s="537"/>
      <c r="BXZ200" s="537"/>
      <c r="BYA200" s="537"/>
      <c r="BYB200" s="537"/>
      <c r="BYC200" s="537"/>
      <c r="BYD200" s="537"/>
      <c r="BYE200" s="537"/>
      <c r="BYF200" s="537"/>
      <c r="BYG200" s="537"/>
      <c r="BYH200" s="537"/>
      <c r="BYI200" s="537"/>
      <c r="BYJ200" s="537"/>
      <c r="BYK200" s="537"/>
      <c r="BYL200" s="537"/>
      <c r="BYM200" s="537"/>
      <c r="BYN200" s="537"/>
      <c r="BYO200" s="537"/>
      <c r="BYP200" s="537"/>
      <c r="BYQ200" s="537"/>
      <c r="BYR200" s="537"/>
      <c r="BYS200" s="537"/>
      <c r="BYT200" s="537"/>
      <c r="BYU200" s="537"/>
      <c r="BYV200" s="537"/>
      <c r="BYW200" s="537"/>
      <c r="BYX200" s="537"/>
      <c r="BYY200" s="537"/>
      <c r="BYZ200" s="537"/>
      <c r="BZA200" s="537"/>
      <c r="BZB200" s="537"/>
      <c r="BZC200" s="537"/>
      <c r="BZD200" s="537"/>
      <c r="BZE200" s="537"/>
      <c r="BZF200" s="537"/>
      <c r="BZG200" s="537"/>
      <c r="BZH200" s="537"/>
      <c r="BZI200" s="537"/>
      <c r="BZJ200" s="537"/>
      <c r="BZK200" s="537"/>
      <c r="BZL200" s="537"/>
      <c r="BZM200" s="537"/>
      <c r="BZN200" s="537"/>
      <c r="BZO200" s="537"/>
      <c r="BZP200" s="537"/>
      <c r="BZQ200" s="537"/>
      <c r="BZR200" s="537"/>
      <c r="BZS200" s="537"/>
      <c r="BZT200" s="537"/>
      <c r="BZU200" s="537"/>
      <c r="BZV200" s="537"/>
      <c r="BZW200" s="537"/>
      <c r="BZX200" s="537"/>
      <c r="BZY200" s="537"/>
      <c r="BZZ200" s="537"/>
      <c r="CAA200" s="537"/>
      <c r="CAB200" s="537"/>
      <c r="CAC200" s="537"/>
      <c r="CAD200" s="537"/>
      <c r="CAE200" s="537"/>
      <c r="CAF200" s="537"/>
      <c r="CAG200" s="537"/>
      <c r="CAH200" s="537"/>
      <c r="CAI200" s="537"/>
      <c r="CAJ200" s="537"/>
      <c r="CAK200" s="537"/>
      <c r="CAL200" s="537"/>
      <c r="CAM200" s="537"/>
      <c r="CAN200" s="537"/>
      <c r="CAO200" s="537"/>
      <c r="CAP200" s="537"/>
      <c r="CAQ200" s="537"/>
      <c r="CAR200" s="537"/>
      <c r="CAS200" s="537"/>
      <c r="CAT200" s="537"/>
      <c r="CAU200" s="537"/>
      <c r="CAV200" s="537"/>
      <c r="CAW200" s="537"/>
      <c r="CAX200" s="537"/>
      <c r="CAY200" s="537"/>
      <c r="CAZ200" s="537"/>
      <c r="CBA200" s="537"/>
      <c r="CBB200" s="537"/>
      <c r="CBC200" s="537"/>
      <c r="CBD200" s="537"/>
      <c r="CBE200" s="537"/>
      <c r="CBF200" s="537"/>
      <c r="CBG200" s="537"/>
      <c r="CBH200" s="537"/>
      <c r="CBI200" s="537"/>
      <c r="CBJ200" s="537"/>
      <c r="CBK200" s="537"/>
      <c r="CBL200" s="537"/>
      <c r="CBM200" s="537"/>
      <c r="CBN200" s="537"/>
      <c r="CBO200" s="537"/>
      <c r="CBP200" s="537"/>
      <c r="CBQ200" s="537"/>
      <c r="CBR200" s="537"/>
      <c r="CBS200" s="537"/>
      <c r="CBT200" s="537"/>
      <c r="CBU200" s="537"/>
      <c r="CBV200" s="537"/>
      <c r="CBW200" s="537"/>
      <c r="CBX200" s="537"/>
      <c r="CBY200" s="537"/>
      <c r="CBZ200" s="537"/>
      <c r="CCA200" s="537"/>
      <c r="CCB200" s="537"/>
      <c r="CCC200" s="537"/>
      <c r="CCD200" s="537"/>
      <c r="CCE200" s="537"/>
      <c r="CCF200" s="537"/>
      <c r="CCG200" s="537"/>
      <c r="CCH200" s="537"/>
      <c r="CCI200" s="537"/>
      <c r="CCJ200" s="537"/>
      <c r="CCK200" s="537"/>
      <c r="CCL200" s="537"/>
      <c r="CCM200" s="537"/>
      <c r="CCN200" s="537"/>
      <c r="CCO200" s="537"/>
      <c r="CCP200" s="537"/>
      <c r="CCQ200" s="537"/>
      <c r="CCR200" s="537"/>
      <c r="CCS200" s="537"/>
      <c r="CCT200" s="537"/>
      <c r="CCU200" s="537"/>
      <c r="CCV200" s="537"/>
      <c r="CCW200" s="537"/>
      <c r="CCX200" s="537"/>
      <c r="CCY200" s="537"/>
      <c r="CCZ200" s="537"/>
      <c r="CDA200" s="537"/>
      <c r="CDB200" s="537"/>
      <c r="CDC200" s="537"/>
      <c r="CDD200" s="537"/>
      <c r="CDE200" s="537"/>
      <c r="CDF200" s="537"/>
      <c r="CDG200" s="537"/>
      <c r="CDH200" s="537"/>
      <c r="CDI200" s="537"/>
      <c r="CDJ200" s="537"/>
      <c r="CDK200" s="537"/>
      <c r="CDL200" s="537"/>
      <c r="CDM200" s="537"/>
      <c r="CDN200" s="537"/>
      <c r="CDO200" s="537"/>
      <c r="CDP200" s="537"/>
      <c r="CDQ200" s="537"/>
      <c r="CDR200" s="537"/>
      <c r="CDS200" s="537"/>
      <c r="CDT200" s="537"/>
      <c r="CDU200" s="537"/>
      <c r="CDV200" s="537"/>
      <c r="CDW200" s="537"/>
      <c r="CDX200" s="537"/>
      <c r="CDY200" s="537"/>
      <c r="CDZ200" s="537"/>
      <c r="CEA200" s="537"/>
      <c r="CEB200" s="537"/>
      <c r="CEC200" s="537"/>
      <c r="CED200" s="537"/>
      <c r="CEE200" s="537"/>
      <c r="CEF200" s="537"/>
      <c r="CEG200" s="537"/>
      <c r="CEH200" s="537"/>
      <c r="CEI200" s="537"/>
      <c r="CEJ200" s="537"/>
      <c r="CEK200" s="537"/>
      <c r="CEL200" s="537"/>
      <c r="CEM200" s="537"/>
      <c r="CEN200" s="537"/>
      <c r="CEO200" s="537"/>
      <c r="CEP200" s="537"/>
      <c r="CEQ200" s="537"/>
      <c r="CER200" s="537"/>
      <c r="CES200" s="537"/>
      <c r="CET200" s="537"/>
      <c r="CEU200" s="537"/>
      <c r="CEV200" s="537"/>
      <c r="CEW200" s="537"/>
      <c r="CEX200" s="537"/>
      <c r="CEY200" s="537"/>
      <c r="CEZ200" s="537"/>
      <c r="CFA200" s="537"/>
      <c r="CFB200" s="537"/>
      <c r="CFC200" s="537"/>
      <c r="CFD200" s="537"/>
      <c r="CFE200" s="537"/>
      <c r="CFF200" s="537"/>
      <c r="CFG200" s="537"/>
      <c r="CFH200" s="537"/>
      <c r="CFI200" s="537"/>
      <c r="CFJ200" s="537"/>
      <c r="CFK200" s="537"/>
      <c r="CFL200" s="537"/>
      <c r="CFM200" s="537"/>
      <c r="CFN200" s="537"/>
      <c r="CFO200" s="537"/>
      <c r="CFP200" s="537"/>
      <c r="CFQ200" s="537"/>
      <c r="CFR200" s="537"/>
      <c r="CFS200" s="537"/>
      <c r="CFT200" s="537"/>
      <c r="CFU200" s="537"/>
      <c r="CFV200" s="537"/>
      <c r="CFW200" s="537"/>
      <c r="CFX200" s="537"/>
      <c r="CFY200" s="537"/>
      <c r="CFZ200" s="537"/>
      <c r="CGA200" s="537"/>
      <c r="CGB200" s="537"/>
      <c r="CGC200" s="537"/>
      <c r="CGD200" s="537"/>
      <c r="CGE200" s="537"/>
      <c r="CGF200" s="537"/>
      <c r="CGG200" s="537"/>
      <c r="CGH200" s="537"/>
      <c r="CGI200" s="537"/>
      <c r="CGJ200" s="537"/>
      <c r="CGK200" s="537"/>
      <c r="CGL200" s="537"/>
      <c r="CGM200" s="537"/>
      <c r="CGN200" s="537"/>
      <c r="CGO200" s="537"/>
      <c r="CGP200" s="537"/>
      <c r="CGQ200" s="537"/>
      <c r="CGR200" s="537"/>
      <c r="CGS200" s="537"/>
      <c r="CGT200" s="537"/>
      <c r="CGU200" s="537"/>
      <c r="CGV200" s="537"/>
      <c r="CGW200" s="537"/>
      <c r="CGX200" s="537"/>
      <c r="CGY200" s="537"/>
      <c r="CGZ200" s="537"/>
      <c r="CHA200" s="537"/>
      <c r="CHB200" s="537"/>
      <c r="CHC200" s="537"/>
      <c r="CHD200" s="537"/>
      <c r="CHE200" s="537"/>
      <c r="CHF200" s="537"/>
      <c r="CHG200" s="537"/>
      <c r="CHH200" s="537"/>
      <c r="CHI200" s="537"/>
      <c r="CHJ200" s="537"/>
      <c r="CHK200" s="537"/>
      <c r="CHL200" s="537"/>
      <c r="CHM200" s="537"/>
      <c r="CHN200" s="537"/>
      <c r="CHO200" s="537"/>
      <c r="CHP200" s="537"/>
      <c r="CHQ200" s="537"/>
      <c r="CHR200" s="537"/>
      <c r="CHS200" s="537"/>
      <c r="CHT200" s="537"/>
      <c r="CHU200" s="537"/>
      <c r="CHV200" s="537"/>
      <c r="CHW200" s="537"/>
      <c r="CHX200" s="537"/>
      <c r="CHY200" s="537"/>
      <c r="CHZ200" s="537"/>
      <c r="CIA200" s="537"/>
      <c r="CIB200" s="537"/>
      <c r="CIC200" s="537"/>
      <c r="CID200" s="537"/>
      <c r="CIE200" s="537"/>
      <c r="CIF200" s="537"/>
      <c r="CIG200" s="537"/>
      <c r="CIH200" s="537"/>
      <c r="CII200" s="537"/>
      <c r="CIJ200" s="537"/>
      <c r="CIK200" s="537"/>
      <c r="CIL200" s="537"/>
      <c r="CIM200" s="537"/>
      <c r="CIN200" s="537"/>
      <c r="CIO200" s="537"/>
      <c r="CIP200" s="537"/>
      <c r="CIQ200" s="537"/>
      <c r="CIR200" s="537"/>
      <c r="CIS200" s="537"/>
      <c r="CIT200" s="537"/>
      <c r="CIU200" s="537"/>
      <c r="CIV200" s="537"/>
      <c r="CIW200" s="537"/>
      <c r="CIX200" s="537"/>
      <c r="CIY200" s="537"/>
      <c r="CIZ200" s="537"/>
      <c r="CJA200" s="537"/>
      <c r="CJB200" s="537"/>
      <c r="CJC200" s="537"/>
      <c r="CJD200" s="537"/>
      <c r="CJE200" s="537"/>
      <c r="CJF200" s="537"/>
      <c r="CJG200" s="537"/>
      <c r="CJH200" s="537"/>
      <c r="CJI200" s="537"/>
      <c r="CJJ200" s="537"/>
      <c r="CJK200" s="537"/>
      <c r="CJL200" s="537"/>
      <c r="CJM200" s="537"/>
      <c r="CJN200" s="537"/>
      <c r="CJO200" s="537"/>
      <c r="CJP200" s="537"/>
      <c r="CJQ200" s="537"/>
      <c r="CJR200" s="537"/>
      <c r="CJS200" s="537"/>
      <c r="CJT200" s="537"/>
      <c r="CJU200" s="537"/>
      <c r="CJV200" s="537"/>
      <c r="CJW200" s="537"/>
      <c r="CJX200" s="537"/>
      <c r="CJY200" s="537"/>
      <c r="CJZ200" s="537"/>
      <c r="CKA200" s="537"/>
      <c r="CKB200" s="537"/>
      <c r="CKC200" s="537"/>
      <c r="CKD200" s="537"/>
      <c r="CKE200" s="537"/>
      <c r="CKF200" s="537"/>
      <c r="CKG200" s="537"/>
      <c r="CKH200" s="537"/>
      <c r="CKI200" s="537"/>
      <c r="CKJ200" s="537"/>
      <c r="CKK200" s="537"/>
      <c r="CKL200" s="537"/>
      <c r="CKM200" s="537"/>
      <c r="CKN200" s="537"/>
      <c r="CKO200" s="537"/>
      <c r="CKP200" s="537"/>
      <c r="CKQ200" s="537"/>
      <c r="CKR200" s="537"/>
      <c r="CKS200" s="537"/>
      <c r="CKT200" s="537"/>
      <c r="CKU200" s="537"/>
      <c r="CKV200" s="537"/>
      <c r="CKW200" s="537"/>
      <c r="CKX200" s="537"/>
      <c r="CKY200" s="537"/>
      <c r="CKZ200" s="537"/>
      <c r="CLA200" s="537"/>
      <c r="CLB200" s="537"/>
      <c r="CLC200" s="537"/>
      <c r="CLD200" s="537"/>
      <c r="CLE200" s="537"/>
      <c r="CLF200" s="537"/>
      <c r="CLG200" s="537"/>
      <c r="CLH200" s="537"/>
      <c r="CLI200" s="537"/>
      <c r="CLJ200" s="537"/>
      <c r="CLK200" s="537"/>
      <c r="CLL200" s="537"/>
      <c r="CLM200" s="537"/>
      <c r="CLN200" s="537"/>
      <c r="CLO200" s="537"/>
      <c r="CLP200" s="537"/>
      <c r="CLQ200" s="537"/>
      <c r="CLR200" s="537"/>
      <c r="CLS200" s="537"/>
      <c r="CLT200" s="537"/>
      <c r="CLU200" s="537"/>
      <c r="CLV200" s="537"/>
      <c r="CLW200" s="537"/>
      <c r="CLX200" s="537"/>
      <c r="CLY200" s="537"/>
      <c r="CLZ200" s="537"/>
      <c r="CMA200" s="537"/>
      <c r="CMB200" s="537"/>
      <c r="CMC200" s="537"/>
      <c r="CMD200" s="537"/>
      <c r="CME200" s="537"/>
      <c r="CMF200" s="537"/>
      <c r="CMG200" s="537"/>
      <c r="CMH200" s="537"/>
      <c r="CMI200" s="537"/>
      <c r="CMJ200" s="537"/>
      <c r="CMK200" s="537"/>
      <c r="CML200" s="537"/>
      <c r="CMM200" s="537"/>
      <c r="CMN200" s="537"/>
      <c r="CMO200" s="537"/>
      <c r="CMP200" s="537"/>
      <c r="CMQ200" s="537"/>
      <c r="CMR200" s="537"/>
      <c r="CMS200" s="537"/>
      <c r="CMT200" s="537"/>
      <c r="CMU200" s="537"/>
      <c r="CMV200" s="537"/>
      <c r="CMW200" s="537"/>
      <c r="CMX200" s="537"/>
      <c r="CMY200" s="537"/>
      <c r="CMZ200" s="537"/>
      <c r="CNA200" s="537"/>
      <c r="CNB200" s="537"/>
      <c r="CNC200" s="537"/>
      <c r="CND200" s="537"/>
      <c r="CNE200" s="537"/>
      <c r="CNF200" s="537"/>
      <c r="CNG200" s="537"/>
      <c r="CNH200" s="537"/>
      <c r="CNI200" s="537"/>
      <c r="CNJ200" s="537"/>
      <c r="CNK200" s="537"/>
      <c r="CNL200" s="537"/>
      <c r="CNM200" s="537"/>
      <c r="CNN200" s="537"/>
      <c r="CNO200" s="537"/>
      <c r="CNP200" s="537"/>
      <c r="CNQ200" s="537"/>
      <c r="CNR200" s="537"/>
      <c r="CNS200" s="537"/>
      <c r="CNT200" s="537"/>
      <c r="CNU200" s="537"/>
      <c r="CNV200" s="537"/>
      <c r="CNW200" s="537"/>
      <c r="CNX200" s="537"/>
      <c r="CNY200" s="537"/>
      <c r="CNZ200" s="537"/>
      <c r="COA200" s="537"/>
      <c r="COB200" s="537"/>
      <c r="COC200" s="537"/>
      <c r="COD200" s="537"/>
      <c r="COE200" s="537"/>
      <c r="COF200" s="537"/>
      <c r="COG200" s="537"/>
      <c r="COH200" s="537"/>
      <c r="COI200" s="537"/>
      <c r="COJ200" s="537"/>
      <c r="COK200" s="537"/>
      <c r="COL200" s="537"/>
      <c r="COM200" s="537"/>
      <c r="CON200" s="537"/>
      <c r="COO200" s="537"/>
      <c r="COP200" s="537"/>
      <c r="COQ200" s="537"/>
      <c r="COR200" s="537"/>
      <c r="COS200" s="537"/>
      <c r="COT200" s="537"/>
      <c r="COU200" s="537"/>
      <c r="COV200" s="537"/>
      <c r="COW200" s="537"/>
      <c r="COX200" s="537"/>
      <c r="COY200" s="537"/>
      <c r="COZ200" s="537"/>
      <c r="CPA200" s="537"/>
      <c r="CPB200" s="537"/>
      <c r="CPC200" s="537"/>
      <c r="CPD200" s="537"/>
      <c r="CPE200" s="537"/>
      <c r="CPF200" s="537"/>
      <c r="CPG200" s="537"/>
      <c r="CPH200" s="537"/>
      <c r="CPI200" s="537"/>
      <c r="CPJ200" s="537"/>
      <c r="CPK200" s="537"/>
      <c r="CPL200" s="537"/>
      <c r="CPM200" s="537"/>
      <c r="CPN200" s="537"/>
      <c r="CPO200" s="537"/>
      <c r="CPP200" s="537"/>
      <c r="CPQ200" s="537"/>
      <c r="CPR200" s="537"/>
      <c r="CPS200" s="537"/>
      <c r="CPT200" s="537"/>
      <c r="CPU200" s="537"/>
      <c r="CPV200" s="537"/>
      <c r="CPW200" s="537"/>
      <c r="CPX200" s="537"/>
      <c r="CPY200" s="537"/>
      <c r="CPZ200" s="537"/>
      <c r="CQA200" s="537"/>
      <c r="CQB200" s="537"/>
      <c r="CQC200" s="537"/>
      <c r="CQD200" s="537"/>
      <c r="CQE200" s="537"/>
      <c r="CQF200" s="537"/>
      <c r="CQG200" s="537"/>
      <c r="CQH200" s="537"/>
      <c r="CQI200" s="537"/>
      <c r="CQJ200" s="537"/>
      <c r="CQK200" s="537"/>
      <c r="CQL200" s="537"/>
      <c r="CQM200" s="537"/>
      <c r="CQN200" s="537"/>
      <c r="CQO200" s="537"/>
      <c r="CQP200" s="537"/>
      <c r="CQQ200" s="537"/>
      <c r="CQR200" s="537"/>
      <c r="CQS200" s="537"/>
      <c r="CQT200" s="537"/>
      <c r="CQU200" s="537"/>
      <c r="CQV200" s="537"/>
      <c r="CQW200" s="537"/>
      <c r="CQX200" s="537"/>
      <c r="CQY200" s="537"/>
      <c r="CQZ200" s="537"/>
      <c r="CRA200" s="537"/>
      <c r="CRB200" s="537"/>
      <c r="CRC200" s="537"/>
      <c r="CRD200" s="537"/>
      <c r="CRE200" s="537"/>
      <c r="CRF200" s="537"/>
      <c r="CRG200" s="537"/>
      <c r="CRH200" s="537"/>
      <c r="CRI200" s="537"/>
      <c r="CRJ200" s="537"/>
      <c r="CRK200" s="537"/>
      <c r="CRL200" s="537"/>
      <c r="CRM200" s="537"/>
      <c r="CRN200" s="537"/>
      <c r="CRO200" s="537"/>
      <c r="CRP200" s="537"/>
      <c r="CRQ200" s="537"/>
      <c r="CRR200" s="537"/>
      <c r="CRS200" s="537"/>
      <c r="CRT200" s="537"/>
      <c r="CRU200" s="537"/>
      <c r="CRV200" s="537"/>
      <c r="CRW200" s="537"/>
      <c r="CRX200" s="537"/>
      <c r="CRY200" s="537"/>
      <c r="CRZ200" s="537"/>
      <c r="CSA200" s="537"/>
      <c r="CSB200" s="537"/>
      <c r="CSC200" s="537"/>
      <c r="CSD200" s="537"/>
      <c r="CSE200" s="537"/>
      <c r="CSF200" s="537"/>
      <c r="CSG200" s="537"/>
      <c r="CSH200" s="537"/>
      <c r="CSI200" s="537"/>
      <c r="CSJ200" s="537"/>
      <c r="CSK200" s="537"/>
      <c r="CSL200" s="537"/>
      <c r="CSM200" s="537"/>
      <c r="CSN200" s="537"/>
      <c r="CSO200" s="537"/>
      <c r="CSP200" s="537"/>
      <c r="CSQ200" s="537"/>
      <c r="CSR200" s="537"/>
      <c r="CSS200" s="537"/>
      <c r="CST200" s="537"/>
      <c r="CSU200" s="537"/>
      <c r="CSV200" s="537"/>
      <c r="CSW200" s="537"/>
      <c r="CSX200" s="537"/>
      <c r="CSY200" s="537"/>
      <c r="CSZ200" s="537"/>
      <c r="CTA200" s="537"/>
      <c r="CTB200" s="537"/>
      <c r="CTC200" s="537"/>
      <c r="CTD200" s="537"/>
      <c r="CTE200" s="537"/>
      <c r="CTF200" s="537"/>
      <c r="CTG200" s="537"/>
      <c r="CTH200" s="537"/>
      <c r="CTI200" s="537"/>
      <c r="CTJ200" s="537"/>
      <c r="CTK200" s="537"/>
      <c r="CTL200" s="537"/>
      <c r="CTM200" s="537"/>
      <c r="CTN200" s="537"/>
      <c r="CTO200" s="537"/>
      <c r="CTP200" s="537"/>
      <c r="CTQ200" s="537"/>
      <c r="CTR200" s="537"/>
      <c r="CTS200" s="537"/>
      <c r="CTT200" s="537"/>
      <c r="CTU200" s="537"/>
      <c r="CTV200" s="537"/>
      <c r="CTW200" s="537"/>
      <c r="CTX200" s="537"/>
      <c r="CTY200" s="537"/>
      <c r="CTZ200" s="537"/>
      <c r="CUA200" s="537"/>
      <c r="CUB200" s="537"/>
      <c r="CUC200" s="537"/>
      <c r="CUD200" s="537"/>
      <c r="CUE200" s="537"/>
      <c r="CUF200" s="537"/>
      <c r="CUG200" s="537"/>
      <c r="CUH200" s="537"/>
      <c r="CUI200" s="537"/>
      <c r="CUJ200" s="537"/>
      <c r="CUK200" s="537"/>
      <c r="CUL200" s="537"/>
      <c r="CUM200" s="537"/>
      <c r="CUN200" s="537"/>
      <c r="CUO200" s="537"/>
      <c r="CUP200" s="537"/>
      <c r="CUQ200" s="537"/>
      <c r="CUR200" s="537"/>
      <c r="CUS200" s="537"/>
      <c r="CUT200" s="537"/>
      <c r="CUU200" s="537"/>
      <c r="CUV200" s="537"/>
      <c r="CUW200" s="537"/>
      <c r="CUX200" s="537"/>
      <c r="CUY200" s="537"/>
      <c r="CUZ200" s="537"/>
      <c r="CVA200" s="537"/>
      <c r="CVB200" s="537"/>
      <c r="CVC200" s="537"/>
      <c r="CVD200" s="537"/>
      <c r="CVE200" s="537"/>
      <c r="CVF200" s="537"/>
      <c r="CVG200" s="537"/>
      <c r="CVH200" s="537"/>
      <c r="CVI200" s="537"/>
      <c r="CVJ200" s="537"/>
      <c r="CVK200" s="537"/>
      <c r="CVL200" s="537"/>
      <c r="CVM200" s="537"/>
      <c r="CVN200" s="537"/>
      <c r="CVO200" s="537"/>
      <c r="CVP200" s="537"/>
      <c r="CVQ200" s="537"/>
      <c r="CVR200" s="537"/>
      <c r="CVS200" s="537"/>
      <c r="CVT200" s="537"/>
      <c r="CVU200" s="537"/>
      <c r="CVV200" s="537"/>
      <c r="CVW200" s="537"/>
      <c r="CVX200" s="537"/>
      <c r="CVY200" s="537"/>
      <c r="CVZ200" s="537"/>
      <c r="CWA200" s="537"/>
      <c r="CWB200" s="537"/>
      <c r="CWC200" s="537"/>
      <c r="CWD200" s="537"/>
      <c r="CWE200" s="537"/>
      <c r="CWF200" s="537"/>
      <c r="CWG200" s="537"/>
      <c r="CWH200" s="537"/>
      <c r="CWI200" s="537"/>
      <c r="CWJ200" s="537"/>
      <c r="CWK200" s="537"/>
      <c r="CWL200" s="537"/>
      <c r="CWM200" s="537"/>
      <c r="CWN200" s="537"/>
      <c r="CWO200" s="537"/>
      <c r="CWP200" s="537"/>
      <c r="CWQ200" s="537"/>
      <c r="CWR200" s="537"/>
      <c r="CWS200" s="537"/>
      <c r="CWT200" s="537"/>
      <c r="CWU200" s="537"/>
      <c r="CWV200" s="537"/>
      <c r="CWW200" s="537"/>
      <c r="CWX200" s="537"/>
      <c r="CWY200" s="537"/>
      <c r="CWZ200" s="537"/>
      <c r="CXA200" s="537"/>
      <c r="CXB200" s="537"/>
      <c r="CXC200" s="537"/>
      <c r="CXD200" s="537"/>
      <c r="CXE200" s="537"/>
      <c r="CXF200" s="537"/>
      <c r="CXG200" s="537"/>
      <c r="CXH200" s="537"/>
      <c r="CXI200" s="537"/>
      <c r="CXJ200" s="537"/>
      <c r="CXK200" s="537"/>
      <c r="CXL200" s="537"/>
      <c r="CXM200" s="537"/>
      <c r="CXN200" s="537"/>
      <c r="CXO200" s="537"/>
      <c r="CXP200" s="537"/>
      <c r="CXQ200" s="537"/>
      <c r="CXR200" s="537"/>
      <c r="CXS200" s="537"/>
      <c r="CXT200" s="537"/>
      <c r="CXU200" s="537"/>
      <c r="CXV200" s="537"/>
      <c r="CXW200" s="537"/>
      <c r="CXX200" s="537"/>
      <c r="CXY200" s="537"/>
      <c r="CXZ200" s="537"/>
      <c r="CYA200" s="537"/>
      <c r="CYB200" s="537"/>
      <c r="CYC200" s="537"/>
      <c r="CYD200" s="537"/>
      <c r="CYE200" s="537"/>
      <c r="CYF200" s="537"/>
      <c r="CYG200" s="537"/>
      <c r="CYH200" s="537"/>
      <c r="CYI200" s="537"/>
      <c r="CYJ200" s="537"/>
      <c r="CYK200" s="537"/>
      <c r="CYL200" s="537"/>
      <c r="CYM200" s="537"/>
      <c r="CYN200" s="537"/>
      <c r="CYO200" s="537"/>
      <c r="CYP200" s="537"/>
      <c r="CYQ200" s="537"/>
      <c r="CYR200" s="537"/>
      <c r="CYS200" s="537"/>
      <c r="CYT200" s="537"/>
      <c r="CYU200" s="537"/>
      <c r="CYV200" s="537"/>
      <c r="CYW200" s="537"/>
      <c r="CYX200" s="537"/>
      <c r="CYY200" s="537"/>
      <c r="CYZ200" s="537"/>
      <c r="CZA200" s="537"/>
      <c r="CZB200" s="537"/>
      <c r="CZC200" s="537"/>
      <c r="CZD200" s="537"/>
      <c r="CZE200" s="537"/>
      <c r="CZF200" s="537"/>
      <c r="CZG200" s="537"/>
      <c r="CZH200" s="537"/>
      <c r="CZI200" s="537"/>
      <c r="CZJ200" s="537"/>
      <c r="CZK200" s="537"/>
      <c r="CZL200" s="537"/>
      <c r="CZM200" s="537"/>
      <c r="CZN200" s="537"/>
      <c r="CZO200" s="537"/>
      <c r="CZP200" s="537"/>
      <c r="CZQ200" s="537"/>
      <c r="CZR200" s="537"/>
      <c r="CZS200" s="537"/>
      <c r="CZT200" s="537"/>
      <c r="CZU200" s="537"/>
      <c r="CZV200" s="537"/>
      <c r="CZW200" s="537"/>
      <c r="CZX200" s="537"/>
      <c r="CZY200" s="537"/>
      <c r="CZZ200" s="537"/>
      <c r="DAA200" s="537"/>
      <c r="DAB200" s="537"/>
      <c r="DAC200" s="537"/>
      <c r="DAD200" s="537"/>
      <c r="DAE200" s="537"/>
      <c r="DAF200" s="537"/>
      <c r="DAG200" s="537"/>
      <c r="DAH200" s="537"/>
      <c r="DAI200" s="537"/>
      <c r="DAJ200" s="537"/>
      <c r="DAK200" s="537"/>
      <c r="DAL200" s="537"/>
      <c r="DAM200" s="537"/>
      <c r="DAN200" s="537"/>
      <c r="DAO200" s="537"/>
      <c r="DAP200" s="537"/>
      <c r="DAQ200" s="537"/>
      <c r="DAR200" s="537"/>
      <c r="DAS200" s="537"/>
      <c r="DAT200" s="537"/>
      <c r="DAU200" s="537"/>
      <c r="DAV200" s="537"/>
      <c r="DAW200" s="537"/>
      <c r="DAX200" s="537"/>
      <c r="DAY200" s="537"/>
      <c r="DAZ200" s="537"/>
      <c r="DBA200" s="537"/>
      <c r="DBB200" s="537"/>
      <c r="DBC200" s="537"/>
      <c r="DBD200" s="537"/>
      <c r="DBE200" s="537"/>
      <c r="DBF200" s="537"/>
      <c r="DBG200" s="537"/>
      <c r="DBH200" s="537"/>
      <c r="DBI200" s="537"/>
      <c r="DBJ200" s="537"/>
      <c r="DBK200" s="537"/>
      <c r="DBL200" s="537"/>
      <c r="DBM200" s="537"/>
      <c r="DBN200" s="537"/>
      <c r="DBO200" s="537"/>
      <c r="DBP200" s="537"/>
      <c r="DBQ200" s="537"/>
      <c r="DBR200" s="537"/>
      <c r="DBS200" s="537"/>
      <c r="DBT200" s="537"/>
      <c r="DBU200" s="537"/>
      <c r="DBV200" s="537"/>
      <c r="DBW200" s="537"/>
      <c r="DBX200" s="537"/>
      <c r="DBY200" s="537"/>
      <c r="DBZ200" s="537"/>
      <c r="DCA200" s="537"/>
      <c r="DCB200" s="537"/>
      <c r="DCC200" s="537"/>
      <c r="DCD200" s="537"/>
      <c r="DCE200" s="537"/>
      <c r="DCF200" s="537"/>
      <c r="DCG200" s="537"/>
      <c r="DCH200" s="537"/>
      <c r="DCI200" s="537"/>
      <c r="DCJ200" s="537"/>
      <c r="DCK200" s="537"/>
      <c r="DCL200" s="537"/>
      <c r="DCM200" s="537"/>
      <c r="DCN200" s="537"/>
      <c r="DCO200" s="537"/>
      <c r="DCP200" s="537"/>
      <c r="DCQ200" s="537"/>
      <c r="DCR200" s="537"/>
      <c r="DCS200" s="537"/>
      <c r="DCT200" s="537"/>
      <c r="DCU200" s="537"/>
      <c r="DCV200" s="537"/>
      <c r="DCW200" s="537"/>
      <c r="DCX200" s="537"/>
      <c r="DCY200" s="537"/>
      <c r="DCZ200" s="537"/>
      <c r="DDA200" s="537"/>
      <c r="DDB200" s="537"/>
      <c r="DDC200" s="537"/>
      <c r="DDD200" s="537"/>
      <c r="DDE200" s="537"/>
      <c r="DDF200" s="537"/>
      <c r="DDG200" s="537"/>
      <c r="DDH200" s="537"/>
      <c r="DDI200" s="537"/>
      <c r="DDJ200" s="537"/>
      <c r="DDK200" s="537"/>
      <c r="DDL200" s="537"/>
      <c r="DDM200" s="537"/>
      <c r="DDN200" s="537"/>
      <c r="DDO200" s="537"/>
      <c r="DDP200" s="537"/>
      <c r="DDQ200" s="537"/>
      <c r="DDR200" s="537"/>
      <c r="DDS200" s="537"/>
      <c r="DDT200" s="537"/>
      <c r="DDU200" s="537"/>
      <c r="DDV200" s="537"/>
      <c r="DDW200" s="537"/>
      <c r="DDX200" s="537"/>
      <c r="DDY200" s="537"/>
      <c r="DDZ200" s="537"/>
      <c r="DEA200" s="537"/>
      <c r="DEB200" s="537"/>
      <c r="DEC200" s="537"/>
      <c r="DED200" s="537"/>
      <c r="DEE200" s="537"/>
      <c r="DEF200" s="537"/>
      <c r="DEG200" s="537"/>
      <c r="DEH200" s="537"/>
      <c r="DEI200" s="537"/>
      <c r="DEJ200" s="537"/>
      <c r="DEK200" s="537"/>
      <c r="DEL200" s="537"/>
      <c r="DEM200" s="537"/>
      <c r="DEN200" s="537"/>
      <c r="DEO200" s="537"/>
      <c r="DEP200" s="537"/>
      <c r="DEQ200" s="537"/>
      <c r="DER200" s="537"/>
      <c r="DES200" s="537"/>
      <c r="DET200" s="537"/>
      <c r="DEU200" s="537"/>
      <c r="DEV200" s="537"/>
      <c r="DEW200" s="537"/>
      <c r="DEX200" s="537"/>
      <c r="DEY200" s="537"/>
      <c r="DEZ200" s="537"/>
      <c r="DFA200" s="537"/>
      <c r="DFB200" s="537"/>
      <c r="DFC200" s="537"/>
      <c r="DFD200" s="537"/>
      <c r="DFE200" s="537"/>
      <c r="DFF200" s="537"/>
      <c r="DFG200" s="537"/>
      <c r="DFH200" s="537"/>
      <c r="DFI200" s="537"/>
      <c r="DFJ200" s="537"/>
      <c r="DFK200" s="537"/>
      <c r="DFL200" s="537"/>
      <c r="DFM200" s="537"/>
      <c r="DFN200" s="537"/>
      <c r="DFO200" s="537"/>
      <c r="DFP200" s="537"/>
      <c r="DFQ200" s="537"/>
      <c r="DFR200" s="537"/>
      <c r="DFS200" s="537"/>
      <c r="DFT200" s="537"/>
      <c r="DFU200" s="537"/>
      <c r="DFV200" s="537"/>
      <c r="DFW200" s="537"/>
      <c r="DFX200" s="537"/>
      <c r="DFY200" s="537"/>
      <c r="DFZ200" s="537"/>
      <c r="DGA200" s="537"/>
      <c r="DGB200" s="537"/>
      <c r="DGC200" s="537"/>
      <c r="DGD200" s="537"/>
      <c r="DGE200" s="537"/>
      <c r="DGF200" s="537"/>
      <c r="DGG200" s="537"/>
      <c r="DGH200" s="537"/>
      <c r="DGI200" s="537"/>
      <c r="DGJ200" s="537"/>
      <c r="DGK200" s="537"/>
      <c r="DGL200" s="537"/>
      <c r="DGM200" s="537"/>
      <c r="DGN200" s="537"/>
      <c r="DGO200" s="537"/>
      <c r="DGP200" s="537"/>
      <c r="DGQ200" s="537"/>
      <c r="DGR200" s="537"/>
      <c r="DGS200" s="537"/>
      <c r="DGT200" s="537"/>
      <c r="DGU200" s="537"/>
      <c r="DGV200" s="537"/>
      <c r="DGW200" s="537"/>
      <c r="DGX200" s="537"/>
      <c r="DGY200" s="537"/>
      <c r="DGZ200" s="537"/>
      <c r="DHA200" s="537"/>
      <c r="DHB200" s="537"/>
      <c r="DHC200" s="537"/>
      <c r="DHD200" s="537"/>
      <c r="DHE200" s="537"/>
      <c r="DHF200" s="537"/>
      <c r="DHG200" s="537"/>
      <c r="DHH200" s="537"/>
      <c r="DHI200" s="537"/>
      <c r="DHJ200" s="537"/>
      <c r="DHK200" s="537"/>
      <c r="DHL200" s="537"/>
      <c r="DHM200" s="537"/>
      <c r="DHN200" s="537"/>
      <c r="DHO200" s="537"/>
      <c r="DHP200" s="537"/>
      <c r="DHQ200" s="537"/>
      <c r="DHR200" s="537"/>
      <c r="DHS200" s="537"/>
      <c r="DHT200" s="537"/>
      <c r="DHU200" s="537"/>
      <c r="DHV200" s="537"/>
      <c r="DHW200" s="537"/>
      <c r="DHX200" s="537"/>
      <c r="DHY200" s="537"/>
      <c r="DHZ200" s="537"/>
      <c r="DIA200" s="537"/>
      <c r="DIB200" s="537"/>
      <c r="DIC200" s="537"/>
      <c r="DID200" s="537"/>
      <c r="DIE200" s="537"/>
      <c r="DIF200" s="537"/>
      <c r="DIG200" s="537"/>
      <c r="DIH200" s="537"/>
      <c r="DII200" s="537"/>
      <c r="DIJ200" s="537"/>
      <c r="DIK200" s="537"/>
      <c r="DIL200" s="537"/>
      <c r="DIM200" s="537"/>
      <c r="DIN200" s="537"/>
      <c r="DIO200" s="537"/>
      <c r="DIP200" s="537"/>
      <c r="DIQ200" s="537"/>
      <c r="DIR200" s="537"/>
      <c r="DIS200" s="537"/>
      <c r="DIT200" s="537"/>
      <c r="DIU200" s="537"/>
      <c r="DIV200" s="537"/>
      <c r="DIW200" s="537"/>
      <c r="DIX200" s="537"/>
      <c r="DIY200" s="537"/>
      <c r="DIZ200" s="537"/>
      <c r="DJA200" s="537"/>
      <c r="DJB200" s="537"/>
      <c r="DJC200" s="537"/>
      <c r="DJD200" s="537"/>
      <c r="DJE200" s="537"/>
      <c r="DJF200" s="537"/>
      <c r="DJG200" s="537"/>
      <c r="DJH200" s="537"/>
      <c r="DJI200" s="537"/>
      <c r="DJJ200" s="537"/>
      <c r="DJK200" s="537"/>
      <c r="DJL200" s="537"/>
      <c r="DJM200" s="537"/>
      <c r="DJN200" s="537"/>
      <c r="DJO200" s="537"/>
      <c r="DJP200" s="537"/>
      <c r="DJQ200" s="537"/>
      <c r="DJR200" s="537"/>
      <c r="DJS200" s="537"/>
      <c r="DJT200" s="537"/>
      <c r="DJU200" s="537"/>
      <c r="DJV200" s="537"/>
      <c r="DJW200" s="537"/>
      <c r="DJX200" s="537"/>
      <c r="DJY200" s="537"/>
      <c r="DJZ200" s="537"/>
      <c r="DKA200" s="537"/>
      <c r="DKB200" s="537"/>
      <c r="DKC200" s="537"/>
      <c r="DKD200" s="537"/>
      <c r="DKE200" s="537"/>
      <c r="DKF200" s="537"/>
      <c r="DKG200" s="537"/>
      <c r="DKH200" s="537"/>
      <c r="DKI200" s="537"/>
      <c r="DKJ200" s="537"/>
      <c r="DKK200" s="537"/>
      <c r="DKL200" s="537"/>
      <c r="DKM200" s="537"/>
      <c r="DKN200" s="537"/>
      <c r="DKO200" s="537"/>
      <c r="DKP200" s="537"/>
      <c r="DKQ200" s="537"/>
      <c r="DKR200" s="537"/>
      <c r="DKS200" s="537"/>
      <c r="DKT200" s="537"/>
      <c r="DKU200" s="537"/>
      <c r="DKV200" s="537"/>
      <c r="DKW200" s="537"/>
      <c r="DKX200" s="537"/>
      <c r="DKY200" s="537"/>
      <c r="DKZ200" s="537"/>
      <c r="DLA200" s="537"/>
      <c r="DLB200" s="537"/>
      <c r="DLC200" s="537"/>
      <c r="DLD200" s="537"/>
      <c r="DLE200" s="537"/>
      <c r="DLF200" s="537"/>
      <c r="DLG200" s="537"/>
      <c r="DLH200" s="537"/>
      <c r="DLI200" s="537"/>
      <c r="DLJ200" s="537"/>
      <c r="DLK200" s="537"/>
      <c r="DLL200" s="537"/>
      <c r="DLM200" s="537"/>
      <c r="DLN200" s="537"/>
      <c r="DLO200" s="537"/>
      <c r="DLP200" s="537"/>
      <c r="DLQ200" s="537"/>
      <c r="DLR200" s="537"/>
      <c r="DLS200" s="537"/>
      <c r="DLT200" s="537"/>
      <c r="DLU200" s="537"/>
      <c r="DLV200" s="537"/>
      <c r="DLW200" s="537"/>
      <c r="DLX200" s="537"/>
      <c r="DLY200" s="537"/>
      <c r="DLZ200" s="537"/>
      <c r="DMA200" s="537"/>
      <c r="DMB200" s="537"/>
      <c r="DMC200" s="537"/>
      <c r="DMD200" s="537"/>
      <c r="DME200" s="537"/>
      <c r="DMF200" s="537"/>
      <c r="DMG200" s="537"/>
      <c r="DMH200" s="537"/>
      <c r="DMI200" s="537"/>
      <c r="DMJ200" s="537"/>
      <c r="DMK200" s="537"/>
      <c r="DML200" s="537"/>
      <c r="DMM200" s="537"/>
      <c r="DMN200" s="537"/>
      <c r="DMO200" s="537"/>
      <c r="DMP200" s="537"/>
      <c r="DMQ200" s="537"/>
      <c r="DMR200" s="537"/>
      <c r="DMS200" s="537"/>
      <c r="DMT200" s="537"/>
      <c r="DMU200" s="537"/>
      <c r="DMV200" s="537"/>
      <c r="DMW200" s="537"/>
      <c r="DMX200" s="537"/>
      <c r="DMY200" s="537"/>
      <c r="DMZ200" s="537"/>
      <c r="DNA200" s="537"/>
      <c r="DNB200" s="537"/>
      <c r="DNC200" s="537"/>
      <c r="DND200" s="537"/>
      <c r="DNE200" s="537"/>
      <c r="DNF200" s="537"/>
      <c r="DNG200" s="537"/>
      <c r="DNH200" s="537"/>
      <c r="DNI200" s="537"/>
      <c r="DNJ200" s="537"/>
      <c r="DNK200" s="537"/>
      <c r="DNL200" s="537"/>
      <c r="DNM200" s="537"/>
      <c r="DNN200" s="537"/>
      <c r="DNO200" s="537"/>
      <c r="DNP200" s="537"/>
      <c r="DNQ200" s="537"/>
      <c r="DNR200" s="537"/>
      <c r="DNS200" s="537"/>
      <c r="DNT200" s="537"/>
      <c r="DNU200" s="537"/>
      <c r="DNV200" s="537"/>
      <c r="DNW200" s="537"/>
      <c r="DNX200" s="537"/>
      <c r="DNY200" s="537"/>
      <c r="DNZ200" s="537"/>
      <c r="DOA200" s="537"/>
      <c r="DOB200" s="537"/>
      <c r="DOC200" s="537"/>
      <c r="DOD200" s="537"/>
      <c r="DOE200" s="537"/>
      <c r="DOF200" s="537"/>
      <c r="DOG200" s="537"/>
      <c r="DOH200" s="537"/>
      <c r="DOI200" s="537"/>
      <c r="DOJ200" s="537"/>
      <c r="DOK200" s="537"/>
      <c r="DOL200" s="537"/>
      <c r="DOM200" s="537"/>
      <c r="DON200" s="537"/>
      <c r="DOO200" s="537"/>
      <c r="DOP200" s="537"/>
      <c r="DOQ200" s="537"/>
      <c r="DOR200" s="537"/>
      <c r="DOS200" s="537"/>
      <c r="DOT200" s="537"/>
      <c r="DOU200" s="537"/>
      <c r="DOV200" s="537"/>
      <c r="DOW200" s="537"/>
      <c r="DOX200" s="537"/>
      <c r="DOY200" s="537"/>
      <c r="DOZ200" s="537"/>
      <c r="DPA200" s="537"/>
      <c r="DPB200" s="537"/>
      <c r="DPC200" s="537"/>
      <c r="DPD200" s="537"/>
      <c r="DPE200" s="537"/>
      <c r="DPF200" s="537"/>
      <c r="DPG200" s="537"/>
      <c r="DPH200" s="537"/>
      <c r="DPI200" s="537"/>
      <c r="DPJ200" s="537"/>
      <c r="DPK200" s="537"/>
      <c r="DPL200" s="537"/>
      <c r="DPM200" s="537"/>
      <c r="DPN200" s="537"/>
      <c r="DPO200" s="537"/>
      <c r="DPP200" s="537"/>
      <c r="DPQ200" s="537"/>
      <c r="DPR200" s="537"/>
      <c r="DPS200" s="537"/>
      <c r="DPT200" s="537"/>
      <c r="DPU200" s="537"/>
      <c r="DPV200" s="537"/>
      <c r="DPW200" s="537"/>
      <c r="DPX200" s="537"/>
      <c r="DPY200" s="537"/>
      <c r="DPZ200" s="537"/>
      <c r="DQA200" s="537"/>
      <c r="DQB200" s="537"/>
      <c r="DQC200" s="537"/>
      <c r="DQD200" s="537"/>
      <c r="DQE200" s="537"/>
      <c r="DQF200" s="537"/>
      <c r="DQG200" s="537"/>
      <c r="DQH200" s="537"/>
      <c r="DQI200" s="537"/>
      <c r="DQJ200" s="537"/>
      <c r="DQK200" s="537"/>
      <c r="DQL200" s="537"/>
      <c r="DQM200" s="537"/>
      <c r="DQN200" s="537"/>
      <c r="DQO200" s="537"/>
      <c r="DQP200" s="537"/>
      <c r="DQQ200" s="537"/>
      <c r="DQR200" s="537"/>
      <c r="DQS200" s="537"/>
      <c r="DQT200" s="537"/>
      <c r="DQU200" s="537"/>
      <c r="DQV200" s="537"/>
      <c r="DQW200" s="537"/>
      <c r="DQX200" s="537"/>
      <c r="DQY200" s="537"/>
      <c r="DQZ200" s="537"/>
      <c r="DRA200" s="537"/>
      <c r="DRB200" s="537"/>
      <c r="DRC200" s="537"/>
      <c r="DRD200" s="537"/>
      <c r="DRE200" s="537"/>
      <c r="DRF200" s="537"/>
      <c r="DRG200" s="537"/>
      <c r="DRH200" s="537"/>
      <c r="DRI200" s="537"/>
      <c r="DRJ200" s="537"/>
      <c r="DRK200" s="537"/>
      <c r="DRL200" s="537"/>
      <c r="DRM200" s="537"/>
      <c r="DRN200" s="537"/>
      <c r="DRO200" s="537"/>
      <c r="DRP200" s="537"/>
      <c r="DRQ200" s="537"/>
      <c r="DRR200" s="537"/>
      <c r="DRS200" s="537"/>
      <c r="DRT200" s="537"/>
      <c r="DRU200" s="537"/>
      <c r="DRV200" s="537"/>
      <c r="DRW200" s="537"/>
      <c r="DRX200" s="537"/>
      <c r="DRY200" s="537"/>
      <c r="DRZ200" s="537"/>
      <c r="DSA200" s="537"/>
      <c r="DSB200" s="537"/>
      <c r="DSC200" s="537"/>
      <c r="DSD200" s="537"/>
      <c r="DSE200" s="537"/>
      <c r="DSF200" s="537"/>
      <c r="DSG200" s="537"/>
      <c r="DSH200" s="537"/>
      <c r="DSI200" s="537"/>
      <c r="DSJ200" s="537"/>
      <c r="DSK200" s="537"/>
      <c r="DSL200" s="537"/>
      <c r="DSM200" s="537"/>
      <c r="DSN200" s="537"/>
      <c r="DSO200" s="537"/>
      <c r="DSP200" s="537"/>
      <c r="DSQ200" s="537"/>
      <c r="DSR200" s="537"/>
      <c r="DSS200" s="537"/>
      <c r="DST200" s="537"/>
      <c r="DSU200" s="537"/>
      <c r="DSV200" s="537"/>
      <c r="DSW200" s="537"/>
      <c r="DSX200" s="537"/>
      <c r="DSY200" s="537"/>
      <c r="DSZ200" s="537"/>
      <c r="DTA200" s="537"/>
      <c r="DTB200" s="537"/>
      <c r="DTC200" s="537"/>
      <c r="DTD200" s="537"/>
      <c r="DTE200" s="537"/>
      <c r="DTF200" s="537"/>
      <c r="DTG200" s="537"/>
      <c r="DTH200" s="537"/>
      <c r="DTI200" s="537"/>
      <c r="DTJ200" s="537"/>
      <c r="DTK200" s="537"/>
      <c r="DTL200" s="537"/>
      <c r="DTM200" s="537"/>
      <c r="DTN200" s="537"/>
      <c r="DTO200" s="537"/>
      <c r="DTP200" s="537"/>
      <c r="DTQ200" s="537"/>
      <c r="DTR200" s="537"/>
      <c r="DTS200" s="537"/>
      <c r="DTT200" s="537"/>
      <c r="DTU200" s="537"/>
      <c r="DTV200" s="537"/>
      <c r="DTW200" s="537"/>
      <c r="DTX200" s="537"/>
      <c r="DTY200" s="537"/>
      <c r="DTZ200" s="537"/>
      <c r="DUA200" s="537"/>
      <c r="DUB200" s="537"/>
      <c r="DUC200" s="537"/>
      <c r="DUD200" s="537"/>
      <c r="DUE200" s="537"/>
      <c r="DUF200" s="537"/>
      <c r="DUG200" s="537"/>
      <c r="DUH200" s="537"/>
      <c r="DUI200" s="537"/>
      <c r="DUJ200" s="537"/>
      <c r="DUK200" s="537"/>
      <c r="DUL200" s="537"/>
      <c r="DUM200" s="537"/>
      <c r="DUN200" s="537"/>
      <c r="DUO200" s="537"/>
      <c r="DUP200" s="537"/>
      <c r="DUQ200" s="537"/>
      <c r="DUR200" s="537"/>
      <c r="DUS200" s="537"/>
      <c r="DUT200" s="537"/>
      <c r="DUU200" s="537"/>
      <c r="DUV200" s="537"/>
      <c r="DUW200" s="537"/>
      <c r="DUX200" s="537"/>
      <c r="DUY200" s="537"/>
      <c r="DUZ200" s="537"/>
      <c r="DVA200" s="537"/>
      <c r="DVB200" s="537"/>
      <c r="DVC200" s="537"/>
      <c r="DVD200" s="537"/>
      <c r="DVE200" s="537"/>
      <c r="DVF200" s="537"/>
      <c r="DVG200" s="537"/>
      <c r="DVH200" s="537"/>
      <c r="DVI200" s="537"/>
      <c r="DVJ200" s="537"/>
      <c r="DVK200" s="537"/>
      <c r="DVL200" s="537"/>
      <c r="DVM200" s="537"/>
      <c r="DVN200" s="537"/>
      <c r="DVO200" s="537"/>
      <c r="DVP200" s="537"/>
      <c r="DVQ200" s="537"/>
      <c r="DVR200" s="537"/>
      <c r="DVS200" s="537"/>
      <c r="DVT200" s="537"/>
      <c r="DVU200" s="537"/>
      <c r="DVV200" s="537"/>
      <c r="DVW200" s="537"/>
      <c r="DVX200" s="537"/>
      <c r="DVY200" s="537"/>
      <c r="DVZ200" s="537"/>
      <c r="DWA200" s="537"/>
      <c r="DWB200" s="537"/>
      <c r="DWC200" s="537"/>
      <c r="DWD200" s="537"/>
      <c r="DWE200" s="537"/>
      <c r="DWF200" s="537"/>
      <c r="DWG200" s="537"/>
      <c r="DWH200" s="537"/>
      <c r="DWI200" s="537"/>
      <c r="DWJ200" s="537"/>
      <c r="DWK200" s="537"/>
      <c r="DWL200" s="537"/>
      <c r="DWM200" s="537"/>
      <c r="DWN200" s="537"/>
      <c r="DWO200" s="537"/>
      <c r="DWP200" s="537"/>
      <c r="DWQ200" s="537"/>
      <c r="DWR200" s="537"/>
      <c r="DWS200" s="537"/>
      <c r="DWT200" s="537"/>
      <c r="DWU200" s="537"/>
      <c r="DWV200" s="537"/>
      <c r="DWW200" s="537"/>
      <c r="DWX200" s="537"/>
      <c r="DWY200" s="537"/>
      <c r="DWZ200" s="537"/>
      <c r="DXA200" s="537"/>
      <c r="DXB200" s="537"/>
      <c r="DXC200" s="537"/>
      <c r="DXD200" s="537"/>
      <c r="DXE200" s="537"/>
      <c r="DXF200" s="537"/>
      <c r="DXG200" s="537"/>
      <c r="DXH200" s="537"/>
      <c r="DXI200" s="537"/>
      <c r="DXJ200" s="537"/>
      <c r="DXK200" s="537"/>
      <c r="DXL200" s="537"/>
      <c r="DXM200" s="537"/>
      <c r="DXN200" s="537"/>
      <c r="DXO200" s="537"/>
      <c r="DXP200" s="537"/>
      <c r="DXQ200" s="537"/>
      <c r="DXR200" s="537"/>
      <c r="DXS200" s="537"/>
      <c r="DXT200" s="537"/>
      <c r="DXU200" s="537"/>
      <c r="DXV200" s="537"/>
      <c r="DXW200" s="537"/>
      <c r="DXX200" s="537"/>
      <c r="DXY200" s="537"/>
      <c r="DXZ200" s="537"/>
      <c r="DYA200" s="537"/>
      <c r="DYB200" s="537"/>
      <c r="DYC200" s="537"/>
      <c r="DYD200" s="537"/>
      <c r="DYE200" s="537"/>
      <c r="DYF200" s="537"/>
      <c r="DYG200" s="537"/>
      <c r="DYH200" s="537"/>
      <c r="DYI200" s="537"/>
      <c r="DYJ200" s="537"/>
      <c r="DYK200" s="537"/>
      <c r="DYL200" s="537"/>
      <c r="DYM200" s="537"/>
      <c r="DYN200" s="537"/>
      <c r="DYO200" s="537"/>
      <c r="DYP200" s="537"/>
      <c r="DYQ200" s="537"/>
      <c r="DYR200" s="537"/>
      <c r="DYS200" s="537"/>
      <c r="DYT200" s="537"/>
      <c r="DYU200" s="537"/>
      <c r="DYV200" s="537"/>
      <c r="DYW200" s="537"/>
      <c r="DYX200" s="537"/>
      <c r="DYY200" s="537"/>
      <c r="DYZ200" s="537"/>
      <c r="DZA200" s="537"/>
      <c r="DZB200" s="537"/>
      <c r="DZC200" s="537"/>
      <c r="DZD200" s="537"/>
      <c r="DZE200" s="537"/>
      <c r="DZF200" s="537"/>
      <c r="DZG200" s="537"/>
      <c r="DZH200" s="537"/>
      <c r="DZI200" s="537"/>
      <c r="DZJ200" s="537"/>
      <c r="DZK200" s="537"/>
      <c r="DZL200" s="537"/>
      <c r="DZM200" s="537"/>
      <c r="DZN200" s="537"/>
      <c r="DZO200" s="537"/>
      <c r="DZP200" s="537"/>
      <c r="DZQ200" s="537"/>
      <c r="DZR200" s="537"/>
      <c r="DZS200" s="537"/>
      <c r="DZT200" s="537"/>
      <c r="DZU200" s="537"/>
      <c r="DZV200" s="537"/>
      <c r="DZW200" s="537"/>
      <c r="DZX200" s="537"/>
      <c r="DZY200" s="537"/>
      <c r="DZZ200" s="537"/>
      <c r="EAA200" s="537"/>
      <c r="EAB200" s="537"/>
      <c r="EAC200" s="537"/>
      <c r="EAD200" s="537"/>
      <c r="EAE200" s="537"/>
      <c r="EAF200" s="537"/>
      <c r="EAG200" s="537"/>
      <c r="EAH200" s="537"/>
      <c r="EAI200" s="537"/>
      <c r="EAJ200" s="537"/>
      <c r="EAK200" s="537"/>
      <c r="EAL200" s="537"/>
      <c r="EAM200" s="537"/>
      <c r="EAN200" s="537"/>
      <c r="EAO200" s="537"/>
      <c r="EAP200" s="537"/>
      <c r="EAQ200" s="537"/>
      <c r="EAR200" s="537"/>
      <c r="EAS200" s="537"/>
      <c r="EAT200" s="537"/>
      <c r="EAU200" s="537"/>
      <c r="EAV200" s="537"/>
      <c r="EAW200" s="537"/>
      <c r="EAX200" s="537"/>
      <c r="EAY200" s="537"/>
      <c r="EAZ200" s="537"/>
      <c r="EBA200" s="537"/>
      <c r="EBB200" s="537"/>
      <c r="EBC200" s="537"/>
      <c r="EBD200" s="537"/>
      <c r="EBE200" s="537"/>
      <c r="EBF200" s="537"/>
      <c r="EBG200" s="537"/>
      <c r="EBH200" s="537"/>
      <c r="EBI200" s="537"/>
      <c r="EBJ200" s="537"/>
      <c r="EBK200" s="537"/>
      <c r="EBL200" s="537"/>
      <c r="EBM200" s="537"/>
      <c r="EBN200" s="537"/>
      <c r="EBO200" s="537"/>
      <c r="EBP200" s="537"/>
      <c r="EBQ200" s="537"/>
      <c r="EBR200" s="537"/>
      <c r="EBS200" s="537"/>
      <c r="EBT200" s="537"/>
      <c r="EBU200" s="537"/>
      <c r="EBV200" s="537"/>
      <c r="EBW200" s="537"/>
      <c r="EBX200" s="537"/>
      <c r="EBY200" s="537"/>
      <c r="EBZ200" s="537"/>
      <c r="ECA200" s="537"/>
      <c r="ECB200" s="537"/>
      <c r="ECC200" s="537"/>
      <c r="ECD200" s="537"/>
      <c r="ECE200" s="537"/>
      <c r="ECF200" s="537"/>
      <c r="ECG200" s="537"/>
      <c r="ECH200" s="537"/>
      <c r="ECI200" s="537"/>
      <c r="ECJ200" s="537"/>
      <c r="ECK200" s="537"/>
      <c r="ECL200" s="537"/>
      <c r="ECM200" s="537"/>
      <c r="ECN200" s="537"/>
      <c r="ECO200" s="537"/>
      <c r="ECP200" s="537"/>
      <c r="ECQ200" s="537"/>
      <c r="ECR200" s="537"/>
      <c r="ECS200" s="537"/>
      <c r="ECT200" s="537"/>
      <c r="ECU200" s="537"/>
      <c r="ECV200" s="537"/>
      <c r="ECW200" s="537"/>
      <c r="ECX200" s="537"/>
      <c r="ECY200" s="537"/>
      <c r="ECZ200" s="537"/>
      <c r="EDA200" s="537"/>
      <c r="EDB200" s="537"/>
      <c r="EDC200" s="537"/>
      <c r="EDD200" s="537"/>
      <c r="EDE200" s="537"/>
      <c r="EDF200" s="537"/>
      <c r="EDG200" s="537"/>
      <c r="EDH200" s="537"/>
      <c r="EDI200" s="537"/>
      <c r="EDJ200" s="537"/>
      <c r="EDK200" s="537"/>
      <c r="EDL200" s="537"/>
      <c r="EDM200" s="537"/>
      <c r="EDN200" s="537"/>
      <c r="EDO200" s="537"/>
      <c r="EDP200" s="537"/>
      <c r="EDQ200" s="537"/>
      <c r="EDR200" s="537"/>
      <c r="EDS200" s="537"/>
      <c r="EDT200" s="537"/>
      <c r="EDU200" s="537"/>
      <c r="EDV200" s="537"/>
      <c r="EDW200" s="537"/>
      <c r="EDX200" s="537"/>
      <c r="EDY200" s="537"/>
      <c r="EDZ200" s="537"/>
      <c r="EEA200" s="537"/>
      <c r="EEB200" s="537"/>
      <c r="EEC200" s="537"/>
      <c r="EED200" s="537"/>
      <c r="EEE200" s="537"/>
      <c r="EEF200" s="537"/>
      <c r="EEG200" s="537"/>
      <c r="EEH200" s="537"/>
      <c r="EEI200" s="537"/>
      <c r="EEJ200" s="537"/>
      <c r="EEK200" s="537"/>
      <c r="EEL200" s="537"/>
      <c r="EEM200" s="537"/>
      <c r="EEN200" s="537"/>
      <c r="EEO200" s="537"/>
      <c r="EEP200" s="537"/>
      <c r="EEQ200" s="537"/>
      <c r="EER200" s="537"/>
      <c r="EES200" s="537"/>
      <c r="EET200" s="537"/>
      <c r="EEU200" s="537"/>
      <c r="EEV200" s="537"/>
      <c r="EEW200" s="537"/>
      <c r="EEX200" s="537"/>
      <c r="EEY200" s="537"/>
      <c r="EEZ200" s="537"/>
      <c r="EFA200" s="537"/>
      <c r="EFB200" s="537"/>
      <c r="EFC200" s="537"/>
      <c r="EFD200" s="537"/>
      <c r="EFE200" s="537"/>
      <c r="EFF200" s="537"/>
      <c r="EFG200" s="537"/>
      <c r="EFH200" s="537"/>
      <c r="EFI200" s="537"/>
      <c r="EFJ200" s="537"/>
      <c r="EFK200" s="537"/>
      <c r="EFL200" s="537"/>
      <c r="EFM200" s="537"/>
      <c r="EFN200" s="537"/>
      <c r="EFO200" s="537"/>
      <c r="EFP200" s="537"/>
      <c r="EFQ200" s="537"/>
      <c r="EFR200" s="537"/>
      <c r="EFS200" s="537"/>
      <c r="EFT200" s="537"/>
      <c r="EFU200" s="537"/>
      <c r="EFV200" s="537"/>
      <c r="EFW200" s="537"/>
      <c r="EFX200" s="537"/>
      <c r="EFY200" s="537"/>
      <c r="EFZ200" s="537"/>
      <c r="EGA200" s="537"/>
      <c r="EGB200" s="537"/>
      <c r="EGC200" s="537"/>
      <c r="EGD200" s="537"/>
      <c r="EGE200" s="537"/>
      <c r="EGF200" s="537"/>
      <c r="EGG200" s="537"/>
      <c r="EGH200" s="537"/>
      <c r="EGI200" s="537"/>
      <c r="EGJ200" s="537"/>
      <c r="EGK200" s="537"/>
      <c r="EGL200" s="537"/>
      <c r="EGM200" s="537"/>
      <c r="EGN200" s="537"/>
      <c r="EGO200" s="537"/>
      <c r="EGP200" s="537"/>
      <c r="EGQ200" s="537"/>
      <c r="EGR200" s="537"/>
      <c r="EGS200" s="537"/>
      <c r="EGT200" s="537"/>
      <c r="EGU200" s="537"/>
      <c r="EGV200" s="537"/>
      <c r="EGW200" s="537"/>
      <c r="EGX200" s="537"/>
      <c r="EGY200" s="537"/>
      <c r="EGZ200" s="537"/>
      <c r="EHA200" s="537"/>
      <c r="EHB200" s="537"/>
      <c r="EHC200" s="537"/>
      <c r="EHD200" s="537"/>
      <c r="EHE200" s="537"/>
      <c r="EHF200" s="537"/>
      <c r="EHG200" s="537"/>
      <c r="EHH200" s="537"/>
      <c r="EHI200" s="537"/>
      <c r="EHJ200" s="537"/>
      <c r="EHK200" s="537"/>
      <c r="EHL200" s="537"/>
      <c r="EHM200" s="537"/>
      <c r="EHN200" s="537"/>
      <c r="EHO200" s="537"/>
      <c r="EHP200" s="537"/>
      <c r="EHQ200" s="537"/>
      <c r="EHR200" s="537"/>
      <c r="EHS200" s="537"/>
      <c r="EHT200" s="537"/>
      <c r="EHU200" s="537"/>
      <c r="EHV200" s="537"/>
      <c r="EHW200" s="537"/>
      <c r="EHX200" s="537"/>
      <c r="EHY200" s="537"/>
      <c r="EHZ200" s="537"/>
      <c r="EIA200" s="537"/>
      <c r="EIB200" s="537"/>
      <c r="EIC200" s="537"/>
      <c r="EID200" s="537"/>
      <c r="EIE200" s="537"/>
      <c r="EIF200" s="537"/>
      <c r="EIG200" s="537"/>
      <c r="EIH200" s="537"/>
      <c r="EII200" s="537"/>
      <c r="EIJ200" s="537"/>
      <c r="EIK200" s="537"/>
      <c r="EIL200" s="537"/>
      <c r="EIM200" s="537"/>
      <c r="EIN200" s="537"/>
      <c r="EIO200" s="537"/>
      <c r="EIP200" s="537"/>
      <c r="EIQ200" s="537"/>
      <c r="EIR200" s="537"/>
      <c r="EIS200" s="537"/>
      <c r="EIT200" s="537"/>
      <c r="EIU200" s="537"/>
      <c r="EIV200" s="537"/>
      <c r="EIW200" s="537"/>
      <c r="EIX200" s="537"/>
      <c r="EIY200" s="537"/>
      <c r="EIZ200" s="537"/>
      <c r="EJA200" s="537"/>
      <c r="EJB200" s="537"/>
      <c r="EJC200" s="537"/>
      <c r="EJD200" s="537"/>
      <c r="EJE200" s="537"/>
      <c r="EJF200" s="537"/>
      <c r="EJG200" s="537"/>
      <c r="EJH200" s="537"/>
      <c r="EJI200" s="537"/>
      <c r="EJJ200" s="537"/>
      <c r="EJK200" s="537"/>
      <c r="EJL200" s="537"/>
      <c r="EJM200" s="537"/>
      <c r="EJN200" s="537"/>
      <c r="EJO200" s="537"/>
      <c r="EJP200" s="537"/>
      <c r="EJQ200" s="537"/>
      <c r="EJR200" s="537"/>
      <c r="EJS200" s="537"/>
      <c r="EJT200" s="537"/>
      <c r="EJU200" s="537"/>
      <c r="EJV200" s="537"/>
      <c r="EJW200" s="537"/>
      <c r="EJX200" s="537"/>
      <c r="EJY200" s="537"/>
      <c r="EJZ200" s="537"/>
      <c r="EKA200" s="537"/>
      <c r="EKB200" s="537"/>
      <c r="EKC200" s="537"/>
      <c r="EKD200" s="537"/>
      <c r="EKE200" s="537"/>
      <c r="EKF200" s="537"/>
      <c r="EKG200" s="537"/>
      <c r="EKH200" s="537"/>
      <c r="EKI200" s="537"/>
      <c r="EKJ200" s="537"/>
      <c r="EKK200" s="537"/>
      <c r="EKL200" s="537"/>
      <c r="EKM200" s="537"/>
      <c r="EKN200" s="537"/>
      <c r="EKO200" s="537"/>
      <c r="EKP200" s="537"/>
      <c r="EKQ200" s="537"/>
      <c r="EKR200" s="537"/>
      <c r="EKS200" s="537"/>
      <c r="EKT200" s="537"/>
      <c r="EKU200" s="537"/>
      <c r="EKV200" s="537"/>
      <c r="EKW200" s="537"/>
      <c r="EKX200" s="537"/>
      <c r="EKY200" s="537"/>
      <c r="EKZ200" s="537"/>
      <c r="ELA200" s="537"/>
      <c r="ELB200" s="537"/>
      <c r="ELC200" s="537"/>
      <c r="ELD200" s="537"/>
      <c r="ELE200" s="537"/>
      <c r="ELF200" s="537"/>
      <c r="ELG200" s="537"/>
      <c r="ELH200" s="537"/>
      <c r="ELI200" s="537"/>
      <c r="ELJ200" s="537"/>
      <c r="ELK200" s="537"/>
      <c r="ELL200" s="537"/>
      <c r="ELM200" s="537"/>
      <c r="ELN200" s="537"/>
      <c r="ELO200" s="537"/>
      <c r="ELP200" s="537"/>
      <c r="ELQ200" s="537"/>
      <c r="ELR200" s="537"/>
      <c r="ELS200" s="537"/>
      <c r="ELT200" s="537"/>
      <c r="ELU200" s="537"/>
      <c r="ELV200" s="537"/>
      <c r="ELW200" s="537"/>
      <c r="ELX200" s="537"/>
      <c r="ELY200" s="537"/>
      <c r="ELZ200" s="537"/>
      <c r="EMA200" s="537"/>
      <c r="EMB200" s="537"/>
      <c r="EMC200" s="537"/>
      <c r="EMD200" s="537"/>
      <c r="EME200" s="537"/>
      <c r="EMF200" s="537"/>
      <c r="EMG200" s="537"/>
      <c r="EMH200" s="537"/>
      <c r="EMI200" s="537"/>
      <c r="EMJ200" s="537"/>
      <c r="EMK200" s="537"/>
      <c r="EML200" s="537"/>
      <c r="EMM200" s="537"/>
      <c r="EMN200" s="537"/>
      <c r="EMO200" s="537"/>
      <c r="EMP200" s="537"/>
      <c r="EMQ200" s="537"/>
      <c r="EMR200" s="537"/>
      <c r="EMS200" s="537"/>
      <c r="EMT200" s="537"/>
      <c r="EMU200" s="537"/>
      <c r="EMV200" s="537"/>
      <c r="EMW200" s="537"/>
      <c r="EMX200" s="537"/>
      <c r="EMY200" s="537"/>
      <c r="EMZ200" s="537"/>
      <c r="ENA200" s="537"/>
      <c r="ENB200" s="537"/>
      <c r="ENC200" s="537"/>
      <c r="END200" s="537"/>
      <c r="ENE200" s="537"/>
      <c r="ENF200" s="537"/>
      <c r="ENG200" s="537"/>
      <c r="ENH200" s="537"/>
      <c r="ENI200" s="537"/>
      <c r="ENJ200" s="537"/>
      <c r="ENK200" s="537"/>
      <c r="ENL200" s="537"/>
      <c r="ENM200" s="537"/>
      <c r="ENN200" s="537"/>
      <c r="ENO200" s="537"/>
      <c r="ENP200" s="537"/>
      <c r="ENQ200" s="537"/>
      <c r="ENR200" s="537"/>
      <c r="ENS200" s="537"/>
      <c r="ENT200" s="537"/>
      <c r="ENU200" s="537"/>
      <c r="ENV200" s="537"/>
      <c r="ENW200" s="537"/>
      <c r="ENX200" s="537"/>
      <c r="ENY200" s="537"/>
      <c r="ENZ200" s="537"/>
      <c r="EOA200" s="537"/>
      <c r="EOB200" s="537"/>
      <c r="EOC200" s="537"/>
      <c r="EOD200" s="537"/>
      <c r="EOE200" s="537"/>
      <c r="EOF200" s="537"/>
      <c r="EOG200" s="537"/>
      <c r="EOH200" s="537"/>
      <c r="EOI200" s="537"/>
      <c r="EOJ200" s="537"/>
      <c r="EOK200" s="537"/>
      <c r="EOL200" s="537"/>
      <c r="EOM200" s="537"/>
      <c r="EON200" s="537"/>
      <c r="EOO200" s="537"/>
      <c r="EOP200" s="537"/>
      <c r="EOQ200" s="537"/>
      <c r="EOR200" s="537"/>
      <c r="EOS200" s="537"/>
      <c r="EOT200" s="537"/>
      <c r="EOU200" s="537"/>
      <c r="EOV200" s="537"/>
      <c r="EOW200" s="537"/>
      <c r="EOX200" s="537"/>
      <c r="EOY200" s="537"/>
      <c r="EOZ200" s="537"/>
      <c r="EPA200" s="537"/>
      <c r="EPB200" s="537"/>
      <c r="EPC200" s="537"/>
      <c r="EPD200" s="537"/>
      <c r="EPE200" s="537"/>
      <c r="EPF200" s="537"/>
      <c r="EPG200" s="537"/>
      <c r="EPH200" s="537"/>
      <c r="EPI200" s="537"/>
      <c r="EPJ200" s="537"/>
      <c r="EPK200" s="537"/>
      <c r="EPL200" s="537"/>
      <c r="EPM200" s="537"/>
      <c r="EPN200" s="537"/>
      <c r="EPO200" s="537"/>
      <c r="EPP200" s="537"/>
      <c r="EPQ200" s="537"/>
      <c r="EPR200" s="537"/>
      <c r="EPS200" s="537"/>
      <c r="EPT200" s="537"/>
      <c r="EPU200" s="537"/>
      <c r="EPV200" s="537"/>
      <c r="EPW200" s="537"/>
      <c r="EPX200" s="537"/>
      <c r="EPY200" s="537"/>
      <c r="EPZ200" s="537"/>
      <c r="EQA200" s="537"/>
      <c r="EQB200" s="537"/>
      <c r="EQC200" s="537"/>
      <c r="EQD200" s="537"/>
      <c r="EQE200" s="537"/>
      <c r="EQF200" s="537"/>
      <c r="EQG200" s="537"/>
      <c r="EQH200" s="537"/>
      <c r="EQI200" s="537"/>
      <c r="EQJ200" s="537"/>
      <c r="EQK200" s="537"/>
      <c r="EQL200" s="537"/>
      <c r="EQM200" s="537"/>
      <c r="EQN200" s="537"/>
      <c r="EQO200" s="537"/>
      <c r="EQP200" s="537"/>
      <c r="EQQ200" s="537"/>
      <c r="EQR200" s="537"/>
      <c r="EQS200" s="537"/>
      <c r="EQT200" s="537"/>
      <c r="EQU200" s="537"/>
      <c r="EQV200" s="537"/>
      <c r="EQW200" s="537"/>
      <c r="EQX200" s="537"/>
      <c r="EQY200" s="537"/>
      <c r="EQZ200" s="537"/>
      <c r="ERA200" s="537"/>
      <c r="ERB200" s="537"/>
      <c r="ERC200" s="537"/>
      <c r="ERD200" s="537"/>
      <c r="ERE200" s="537"/>
      <c r="ERF200" s="537"/>
      <c r="ERG200" s="537"/>
      <c r="ERH200" s="537"/>
      <c r="ERI200" s="537"/>
      <c r="ERJ200" s="537"/>
      <c r="ERK200" s="537"/>
      <c r="ERL200" s="537"/>
      <c r="ERM200" s="537"/>
      <c r="ERN200" s="537"/>
      <c r="ERO200" s="537"/>
      <c r="ERP200" s="537"/>
      <c r="ERQ200" s="537"/>
      <c r="ERR200" s="537"/>
      <c r="ERS200" s="537"/>
      <c r="ERT200" s="537"/>
      <c r="ERU200" s="537"/>
      <c r="ERV200" s="537"/>
      <c r="ERW200" s="537"/>
      <c r="ERX200" s="537"/>
      <c r="ERY200" s="537"/>
      <c r="ERZ200" s="537"/>
      <c r="ESA200" s="537"/>
      <c r="ESB200" s="537"/>
      <c r="ESC200" s="537"/>
      <c r="ESD200" s="537"/>
      <c r="ESE200" s="537"/>
      <c r="ESF200" s="537"/>
      <c r="ESG200" s="537"/>
      <c r="ESH200" s="537"/>
      <c r="ESI200" s="537"/>
      <c r="ESJ200" s="537"/>
      <c r="ESK200" s="537"/>
      <c r="ESL200" s="537"/>
      <c r="ESM200" s="537"/>
      <c r="ESN200" s="537"/>
      <c r="ESO200" s="537"/>
      <c r="ESP200" s="537"/>
      <c r="ESQ200" s="537"/>
      <c r="ESR200" s="537"/>
      <c r="ESS200" s="537"/>
      <c r="EST200" s="537"/>
      <c r="ESU200" s="537"/>
      <c r="ESV200" s="537"/>
      <c r="ESW200" s="537"/>
      <c r="ESX200" s="537"/>
      <c r="ESY200" s="537"/>
      <c r="ESZ200" s="537"/>
      <c r="ETA200" s="537"/>
      <c r="ETB200" s="537"/>
      <c r="ETC200" s="537"/>
      <c r="ETD200" s="537"/>
      <c r="ETE200" s="537"/>
      <c r="ETF200" s="537"/>
      <c r="ETG200" s="537"/>
      <c r="ETH200" s="537"/>
      <c r="ETI200" s="537"/>
      <c r="ETJ200" s="537"/>
      <c r="ETK200" s="537"/>
      <c r="ETL200" s="537"/>
      <c r="ETM200" s="537"/>
      <c r="ETN200" s="537"/>
      <c r="ETO200" s="537"/>
      <c r="ETP200" s="537"/>
      <c r="ETQ200" s="537"/>
      <c r="ETR200" s="537"/>
      <c r="ETS200" s="537"/>
      <c r="ETT200" s="537"/>
      <c r="ETU200" s="537"/>
      <c r="ETV200" s="537"/>
      <c r="ETW200" s="537"/>
      <c r="ETX200" s="537"/>
      <c r="ETY200" s="537"/>
      <c r="ETZ200" s="537"/>
      <c r="EUA200" s="537"/>
      <c r="EUB200" s="537"/>
      <c r="EUC200" s="537"/>
      <c r="EUD200" s="537"/>
      <c r="EUE200" s="537"/>
      <c r="EUF200" s="537"/>
      <c r="EUG200" s="537"/>
      <c r="EUH200" s="537"/>
      <c r="EUI200" s="537"/>
      <c r="EUJ200" s="537"/>
      <c r="EUK200" s="537"/>
      <c r="EUL200" s="537"/>
      <c r="EUM200" s="537"/>
      <c r="EUN200" s="537"/>
      <c r="EUO200" s="537"/>
      <c r="EUP200" s="537"/>
      <c r="EUQ200" s="537"/>
      <c r="EUR200" s="537"/>
      <c r="EUS200" s="537"/>
      <c r="EUT200" s="537"/>
      <c r="EUU200" s="537"/>
      <c r="EUV200" s="537"/>
      <c r="EUW200" s="537"/>
      <c r="EUX200" s="537"/>
      <c r="EUY200" s="537"/>
      <c r="EUZ200" s="537"/>
      <c r="EVA200" s="537"/>
      <c r="EVB200" s="537"/>
      <c r="EVC200" s="537"/>
      <c r="EVD200" s="537"/>
      <c r="EVE200" s="537"/>
      <c r="EVF200" s="537"/>
      <c r="EVG200" s="537"/>
      <c r="EVH200" s="537"/>
      <c r="EVI200" s="537"/>
      <c r="EVJ200" s="537"/>
      <c r="EVK200" s="537"/>
      <c r="EVL200" s="537"/>
      <c r="EVM200" s="537"/>
      <c r="EVN200" s="537"/>
      <c r="EVO200" s="537"/>
      <c r="EVP200" s="537"/>
      <c r="EVQ200" s="537"/>
      <c r="EVR200" s="537"/>
      <c r="EVS200" s="537"/>
      <c r="EVT200" s="537"/>
      <c r="EVU200" s="537"/>
      <c r="EVV200" s="537"/>
      <c r="EVW200" s="537"/>
      <c r="EVX200" s="537"/>
      <c r="EVY200" s="537"/>
      <c r="EVZ200" s="537"/>
      <c r="EWA200" s="537"/>
      <c r="EWB200" s="537"/>
      <c r="EWC200" s="537"/>
      <c r="EWD200" s="537"/>
      <c r="EWE200" s="537"/>
      <c r="EWF200" s="537"/>
      <c r="EWG200" s="537"/>
      <c r="EWH200" s="537"/>
      <c r="EWI200" s="537"/>
      <c r="EWJ200" s="537"/>
      <c r="EWK200" s="537"/>
      <c r="EWL200" s="537"/>
      <c r="EWM200" s="537"/>
      <c r="EWN200" s="537"/>
      <c r="EWO200" s="537"/>
      <c r="EWP200" s="537"/>
      <c r="EWQ200" s="537"/>
      <c r="EWR200" s="537"/>
      <c r="EWS200" s="537"/>
      <c r="EWT200" s="537"/>
      <c r="EWU200" s="537"/>
      <c r="EWV200" s="537"/>
      <c r="EWW200" s="537"/>
      <c r="EWX200" s="537"/>
      <c r="EWY200" s="537"/>
      <c r="EWZ200" s="537"/>
      <c r="EXA200" s="537"/>
      <c r="EXB200" s="537"/>
      <c r="EXC200" s="537"/>
      <c r="EXD200" s="537"/>
      <c r="EXE200" s="537"/>
      <c r="EXF200" s="537"/>
      <c r="EXG200" s="537"/>
      <c r="EXH200" s="537"/>
      <c r="EXI200" s="537"/>
      <c r="EXJ200" s="537"/>
      <c r="EXK200" s="537"/>
      <c r="EXL200" s="537"/>
      <c r="EXM200" s="537"/>
      <c r="EXN200" s="537"/>
      <c r="EXO200" s="537"/>
      <c r="EXP200" s="537"/>
      <c r="EXQ200" s="537"/>
      <c r="EXR200" s="537"/>
      <c r="EXS200" s="537"/>
      <c r="EXT200" s="537"/>
      <c r="EXU200" s="537"/>
      <c r="EXV200" s="537"/>
      <c r="EXW200" s="537"/>
      <c r="EXX200" s="537"/>
      <c r="EXY200" s="537"/>
      <c r="EXZ200" s="537"/>
      <c r="EYA200" s="537"/>
      <c r="EYB200" s="537"/>
      <c r="EYC200" s="537"/>
      <c r="EYD200" s="537"/>
      <c r="EYE200" s="537"/>
      <c r="EYF200" s="537"/>
      <c r="EYG200" s="537"/>
      <c r="EYH200" s="537"/>
      <c r="EYI200" s="537"/>
      <c r="EYJ200" s="537"/>
      <c r="EYK200" s="537"/>
      <c r="EYL200" s="537"/>
      <c r="EYM200" s="537"/>
      <c r="EYN200" s="537"/>
      <c r="EYO200" s="537"/>
      <c r="EYP200" s="537"/>
      <c r="EYQ200" s="537"/>
      <c r="EYR200" s="537"/>
      <c r="EYS200" s="537"/>
      <c r="EYT200" s="537"/>
      <c r="EYU200" s="537"/>
      <c r="EYV200" s="537"/>
      <c r="EYW200" s="537"/>
      <c r="EYX200" s="537"/>
      <c r="EYY200" s="537"/>
      <c r="EYZ200" s="537"/>
      <c r="EZA200" s="537"/>
      <c r="EZB200" s="537"/>
      <c r="EZC200" s="537"/>
      <c r="EZD200" s="537"/>
      <c r="EZE200" s="537"/>
      <c r="EZF200" s="537"/>
      <c r="EZG200" s="537"/>
      <c r="EZH200" s="537"/>
      <c r="EZI200" s="537"/>
      <c r="EZJ200" s="537"/>
      <c r="EZK200" s="537"/>
      <c r="EZL200" s="537"/>
      <c r="EZM200" s="537"/>
      <c r="EZN200" s="537"/>
      <c r="EZO200" s="537"/>
      <c r="EZP200" s="537"/>
      <c r="EZQ200" s="537"/>
      <c r="EZR200" s="537"/>
      <c r="EZS200" s="537"/>
      <c r="EZT200" s="537"/>
      <c r="EZU200" s="537"/>
      <c r="EZV200" s="537"/>
      <c r="EZW200" s="537"/>
      <c r="EZX200" s="537"/>
      <c r="EZY200" s="537"/>
      <c r="EZZ200" s="537"/>
      <c r="FAA200" s="537"/>
      <c r="FAB200" s="537"/>
      <c r="FAC200" s="537"/>
      <c r="FAD200" s="537"/>
      <c r="FAE200" s="537"/>
      <c r="FAF200" s="537"/>
      <c r="FAG200" s="537"/>
      <c r="FAH200" s="537"/>
      <c r="FAI200" s="537"/>
      <c r="FAJ200" s="537"/>
      <c r="FAK200" s="537"/>
      <c r="FAL200" s="537"/>
      <c r="FAM200" s="537"/>
      <c r="FAN200" s="537"/>
      <c r="FAO200" s="537"/>
      <c r="FAP200" s="537"/>
      <c r="FAQ200" s="537"/>
      <c r="FAR200" s="537"/>
      <c r="FAS200" s="537"/>
      <c r="FAT200" s="537"/>
      <c r="FAU200" s="537"/>
      <c r="FAV200" s="537"/>
      <c r="FAW200" s="537"/>
      <c r="FAX200" s="537"/>
      <c r="FAY200" s="537"/>
      <c r="FAZ200" s="537"/>
      <c r="FBA200" s="537"/>
      <c r="FBB200" s="537"/>
      <c r="FBC200" s="537"/>
      <c r="FBD200" s="537"/>
      <c r="FBE200" s="537"/>
      <c r="FBF200" s="537"/>
      <c r="FBG200" s="537"/>
      <c r="FBH200" s="537"/>
      <c r="FBI200" s="537"/>
      <c r="FBJ200" s="537"/>
      <c r="FBK200" s="537"/>
      <c r="FBL200" s="537"/>
      <c r="FBM200" s="537"/>
      <c r="FBN200" s="537"/>
      <c r="FBO200" s="537"/>
      <c r="FBP200" s="537"/>
      <c r="FBQ200" s="537"/>
      <c r="FBR200" s="537"/>
      <c r="FBS200" s="537"/>
      <c r="FBT200" s="537"/>
      <c r="FBU200" s="537"/>
      <c r="FBV200" s="537"/>
      <c r="FBW200" s="537"/>
      <c r="FBX200" s="537"/>
      <c r="FBY200" s="537"/>
      <c r="FBZ200" s="537"/>
      <c r="FCA200" s="537"/>
      <c r="FCB200" s="537"/>
      <c r="FCC200" s="537"/>
      <c r="FCD200" s="537"/>
      <c r="FCE200" s="537"/>
      <c r="FCF200" s="537"/>
      <c r="FCG200" s="537"/>
      <c r="FCH200" s="537"/>
      <c r="FCI200" s="537"/>
      <c r="FCJ200" s="537"/>
      <c r="FCK200" s="537"/>
      <c r="FCL200" s="537"/>
      <c r="FCM200" s="537"/>
      <c r="FCN200" s="537"/>
      <c r="FCO200" s="537"/>
      <c r="FCP200" s="537"/>
      <c r="FCQ200" s="537"/>
      <c r="FCR200" s="537"/>
      <c r="FCS200" s="537"/>
      <c r="FCT200" s="537"/>
      <c r="FCU200" s="537"/>
      <c r="FCV200" s="537"/>
      <c r="FCW200" s="537"/>
      <c r="FCX200" s="537"/>
      <c r="FCY200" s="537"/>
      <c r="FCZ200" s="537"/>
      <c r="FDA200" s="537"/>
      <c r="FDB200" s="537"/>
      <c r="FDC200" s="537"/>
      <c r="FDD200" s="537"/>
      <c r="FDE200" s="537"/>
      <c r="FDF200" s="537"/>
      <c r="FDG200" s="537"/>
      <c r="FDH200" s="537"/>
      <c r="FDI200" s="537"/>
      <c r="FDJ200" s="537"/>
      <c r="FDK200" s="537"/>
      <c r="FDL200" s="537"/>
      <c r="FDM200" s="537"/>
      <c r="FDN200" s="537"/>
      <c r="FDO200" s="537"/>
      <c r="FDP200" s="537"/>
      <c r="FDQ200" s="537"/>
      <c r="FDR200" s="537"/>
      <c r="FDS200" s="537"/>
      <c r="FDT200" s="537"/>
      <c r="FDU200" s="537"/>
      <c r="FDV200" s="537"/>
      <c r="FDW200" s="537"/>
      <c r="FDX200" s="537"/>
      <c r="FDY200" s="537"/>
      <c r="FDZ200" s="537"/>
      <c r="FEA200" s="537"/>
      <c r="FEB200" s="537"/>
      <c r="FEC200" s="537"/>
      <c r="FED200" s="537"/>
      <c r="FEE200" s="537"/>
      <c r="FEF200" s="537"/>
      <c r="FEG200" s="537"/>
      <c r="FEH200" s="537"/>
      <c r="FEI200" s="537"/>
      <c r="FEJ200" s="537"/>
      <c r="FEK200" s="537"/>
      <c r="FEL200" s="537"/>
      <c r="FEM200" s="537"/>
      <c r="FEN200" s="537"/>
      <c r="FEO200" s="537"/>
      <c r="FEP200" s="537"/>
      <c r="FEQ200" s="537"/>
      <c r="FER200" s="537"/>
      <c r="FES200" s="537"/>
      <c r="FET200" s="537"/>
      <c r="FEU200" s="537"/>
      <c r="FEV200" s="537"/>
      <c r="FEW200" s="537"/>
      <c r="FEX200" s="537"/>
      <c r="FEY200" s="537"/>
      <c r="FEZ200" s="537"/>
      <c r="FFA200" s="537"/>
      <c r="FFB200" s="537"/>
      <c r="FFC200" s="537"/>
      <c r="FFD200" s="537"/>
      <c r="FFE200" s="537"/>
      <c r="FFF200" s="537"/>
      <c r="FFG200" s="537"/>
      <c r="FFH200" s="537"/>
      <c r="FFI200" s="537"/>
      <c r="FFJ200" s="537"/>
      <c r="FFK200" s="537"/>
      <c r="FFL200" s="537"/>
      <c r="FFM200" s="537"/>
      <c r="FFN200" s="537"/>
      <c r="FFO200" s="537"/>
      <c r="FFP200" s="537"/>
      <c r="FFQ200" s="537"/>
      <c r="FFR200" s="537"/>
      <c r="FFS200" s="537"/>
      <c r="FFT200" s="537"/>
      <c r="FFU200" s="537"/>
      <c r="FFV200" s="537"/>
      <c r="FFW200" s="537"/>
      <c r="FFX200" s="537"/>
      <c r="FFY200" s="537"/>
      <c r="FFZ200" s="537"/>
      <c r="FGA200" s="537"/>
      <c r="FGB200" s="537"/>
      <c r="FGC200" s="537"/>
      <c r="FGD200" s="537"/>
      <c r="FGE200" s="537"/>
      <c r="FGF200" s="537"/>
      <c r="FGG200" s="537"/>
      <c r="FGH200" s="537"/>
      <c r="FGI200" s="537"/>
      <c r="FGJ200" s="537"/>
      <c r="FGK200" s="537"/>
      <c r="FGL200" s="537"/>
      <c r="FGM200" s="537"/>
      <c r="FGN200" s="537"/>
      <c r="FGO200" s="537"/>
      <c r="FGP200" s="537"/>
      <c r="FGQ200" s="537"/>
      <c r="FGR200" s="537"/>
      <c r="FGS200" s="537"/>
      <c r="FGT200" s="537"/>
      <c r="FGU200" s="537"/>
      <c r="FGV200" s="537"/>
      <c r="FGW200" s="537"/>
      <c r="FGX200" s="537"/>
      <c r="FGY200" s="537"/>
      <c r="FGZ200" s="537"/>
      <c r="FHA200" s="537"/>
      <c r="FHB200" s="537"/>
      <c r="FHC200" s="537"/>
      <c r="FHD200" s="537"/>
      <c r="FHE200" s="537"/>
      <c r="FHF200" s="537"/>
      <c r="FHG200" s="537"/>
      <c r="FHH200" s="537"/>
      <c r="FHI200" s="537"/>
      <c r="FHJ200" s="537"/>
      <c r="FHK200" s="537"/>
      <c r="FHL200" s="537"/>
      <c r="FHM200" s="537"/>
      <c r="FHN200" s="537"/>
      <c r="FHO200" s="537"/>
      <c r="FHP200" s="537"/>
      <c r="FHQ200" s="537"/>
      <c r="FHR200" s="537"/>
      <c r="FHS200" s="537"/>
      <c r="FHT200" s="537"/>
      <c r="FHU200" s="537"/>
      <c r="FHV200" s="537"/>
      <c r="FHW200" s="537"/>
      <c r="FHX200" s="537"/>
      <c r="FHY200" s="537"/>
      <c r="FHZ200" s="537"/>
      <c r="FIA200" s="537"/>
      <c r="FIB200" s="537"/>
      <c r="FIC200" s="537"/>
      <c r="FID200" s="537"/>
      <c r="FIE200" s="537"/>
      <c r="FIF200" s="537"/>
      <c r="FIG200" s="537"/>
      <c r="FIH200" s="537"/>
      <c r="FII200" s="537"/>
      <c r="FIJ200" s="537"/>
      <c r="FIK200" s="537"/>
      <c r="FIL200" s="537"/>
      <c r="FIM200" s="537"/>
      <c r="FIN200" s="537"/>
      <c r="FIO200" s="537"/>
      <c r="FIP200" s="537"/>
      <c r="FIQ200" s="537"/>
      <c r="FIR200" s="537"/>
      <c r="FIS200" s="537"/>
      <c r="FIT200" s="537"/>
      <c r="FIU200" s="537"/>
      <c r="FIV200" s="537"/>
      <c r="FIW200" s="537"/>
      <c r="FIX200" s="537"/>
      <c r="FIY200" s="537"/>
      <c r="FIZ200" s="537"/>
      <c r="FJA200" s="537"/>
      <c r="FJB200" s="537"/>
      <c r="FJC200" s="537"/>
      <c r="FJD200" s="537"/>
      <c r="FJE200" s="537"/>
      <c r="FJF200" s="537"/>
      <c r="FJG200" s="537"/>
      <c r="FJH200" s="537"/>
      <c r="FJI200" s="537"/>
      <c r="FJJ200" s="537"/>
      <c r="FJK200" s="537"/>
      <c r="FJL200" s="537"/>
      <c r="FJM200" s="537"/>
      <c r="FJN200" s="537"/>
      <c r="FJO200" s="537"/>
      <c r="FJP200" s="537"/>
      <c r="FJQ200" s="537"/>
      <c r="FJR200" s="537"/>
      <c r="FJS200" s="537"/>
      <c r="FJT200" s="537"/>
      <c r="FJU200" s="537"/>
      <c r="FJV200" s="537"/>
      <c r="FJW200" s="537"/>
      <c r="FJX200" s="537"/>
      <c r="FJY200" s="537"/>
      <c r="FJZ200" s="537"/>
      <c r="FKA200" s="537"/>
      <c r="FKB200" s="537"/>
      <c r="FKC200" s="537"/>
      <c r="FKD200" s="537"/>
      <c r="FKE200" s="537"/>
      <c r="FKF200" s="537"/>
      <c r="FKG200" s="537"/>
      <c r="FKH200" s="537"/>
      <c r="FKI200" s="537"/>
      <c r="FKJ200" s="537"/>
      <c r="FKK200" s="537"/>
      <c r="FKL200" s="537"/>
      <c r="FKM200" s="537"/>
      <c r="FKN200" s="537"/>
      <c r="FKO200" s="537"/>
      <c r="FKP200" s="537"/>
      <c r="FKQ200" s="537"/>
      <c r="FKR200" s="537"/>
      <c r="FKS200" s="537"/>
      <c r="FKT200" s="537"/>
      <c r="FKU200" s="537"/>
      <c r="FKV200" s="537"/>
      <c r="FKW200" s="537"/>
      <c r="FKX200" s="537"/>
      <c r="FKY200" s="537"/>
      <c r="FKZ200" s="537"/>
      <c r="FLA200" s="537"/>
      <c r="FLB200" s="537"/>
      <c r="FLC200" s="537"/>
      <c r="FLD200" s="537"/>
      <c r="FLE200" s="537"/>
      <c r="FLF200" s="537"/>
      <c r="FLG200" s="537"/>
      <c r="FLH200" s="537"/>
      <c r="FLI200" s="537"/>
      <c r="FLJ200" s="537"/>
      <c r="FLK200" s="537"/>
      <c r="FLL200" s="537"/>
      <c r="FLM200" s="537"/>
      <c r="FLN200" s="537"/>
      <c r="FLO200" s="537"/>
      <c r="FLP200" s="537"/>
      <c r="FLQ200" s="537"/>
      <c r="FLR200" s="537"/>
      <c r="FLS200" s="537"/>
      <c r="FLT200" s="537"/>
      <c r="FLU200" s="537"/>
      <c r="FLV200" s="537"/>
      <c r="FLW200" s="537"/>
      <c r="FLX200" s="537"/>
      <c r="FLY200" s="537"/>
      <c r="FLZ200" s="537"/>
      <c r="FMA200" s="537"/>
      <c r="FMB200" s="537"/>
      <c r="FMC200" s="537"/>
      <c r="FMD200" s="537"/>
      <c r="FME200" s="537"/>
      <c r="FMF200" s="537"/>
      <c r="FMG200" s="537"/>
      <c r="FMH200" s="537"/>
      <c r="FMI200" s="537"/>
      <c r="FMJ200" s="537"/>
      <c r="FMK200" s="537"/>
      <c r="FML200" s="537"/>
      <c r="FMM200" s="537"/>
      <c r="FMN200" s="537"/>
      <c r="FMO200" s="537"/>
      <c r="FMP200" s="537"/>
      <c r="FMQ200" s="537"/>
      <c r="FMR200" s="537"/>
      <c r="FMS200" s="537"/>
      <c r="FMT200" s="537"/>
      <c r="FMU200" s="537"/>
      <c r="FMV200" s="537"/>
      <c r="FMW200" s="537"/>
      <c r="FMX200" s="537"/>
      <c r="FMY200" s="537"/>
      <c r="FMZ200" s="537"/>
      <c r="FNA200" s="537"/>
      <c r="FNB200" s="537"/>
      <c r="FNC200" s="537"/>
      <c r="FND200" s="537"/>
      <c r="FNE200" s="537"/>
      <c r="FNF200" s="537"/>
      <c r="FNG200" s="537"/>
      <c r="FNH200" s="537"/>
      <c r="FNI200" s="537"/>
      <c r="FNJ200" s="537"/>
      <c r="FNK200" s="537"/>
      <c r="FNL200" s="537"/>
      <c r="FNM200" s="537"/>
      <c r="FNN200" s="537"/>
      <c r="FNO200" s="537"/>
      <c r="FNP200" s="537"/>
      <c r="FNQ200" s="537"/>
      <c r="FNR200" s="537"/>
      <c r="FNS200" s="537"/>
      <c r="FNT200" s="537"/>
      <c r="FNU200" s="537"/>
      <c r="FNV200" s="537"/>
      <c r="FNW200" s="537"/>
      <c r="FNX200" s="537"/>
      <c r="FNY200" s="537"/>
      <c r="FNZ200" s="537"/>
      <c r="FOA200" s="537"/>
      <c r="FOB200" s="537"/>
      <c r="FOC200" s="537"/>
      <c r="FOD200" s="537"/>
      <c r="FOE200" s="537"/>
      <c r="FOF200" s="537"/>
      <c r="FOG200" s="537"/>
      <c r="FOH200" s="537"/>
      <c r="FOI200" s="537"/>
      <c r="FOJ200" s="537"/>
      <c r="FOK200" s="537"/>
      <c r="FOL200" s="537"/>
      <c r="FOM200" s="537"/>
      <c r="FON200" s="537"/>
      <c r="FOO200" s="537"/>
      <c r="FOP200" s="537"/>
      <c r="FOQ200" s="537"/>
      <c r="FOR200" s="537"/>
      <c r="FOS200" s="537"/>
      <c r="FOT200" s="537"/>
      <c r="FOU200" s="537"/>
      <c r="FOV200" s="537"/>
      <c r="FOW200" s="537"/>
      <c r="FOX200" s="537"/>
      <c r="FOY200" s="537"/>
      <c r="FOZ200" s="537"/>
      <c r="FPA200" s="537"/>
      <c r="FPB200" s="537"/>
      <c r="FPC200" s="537"/>
      <c r="FPD200" s="537"/>
      <c r="FPE200" s="537"/>
      <c r="FPF200" s="537"/>
      <c r="FPG200" s="537"/>
      <c r="FPH200" s="537"/>
      <c r="FPI200" s="537"/>
      <c r="FPJ200" s="537"/>
      <c r="FPK200" s="537"/>
      <c r="FPL200" s="537"/>
      <c r="FPM200" s="537"/>
      <c r="FPN200" s="537"/>
      <c r="FPO200" s="537"/>
      <c r="FPP200" s="537"/>
      <c r="FPQ200" s="537"/>
      <c r="FPR200" s="537"/>
      <c r="FPS200" s="537"/>
      <c r="FPT200" s="537"/>
      <c r="FPU200" s="537"/>
      <c r="FPV200" s="537"/>
      <c r="FPW200" s="537"/>
      <c r="FPX200" s="537"/>
      <c r="FPY200" s="537"/>
      <c r="FPZ200" s="537"/>
      <c r="FQA200" s="537"/>
      <c r="FQB200" s="537"/>
      <c r="FQC200" s="537"/>
      <c r="FQD200" s="537"/>
      <c r="FQE200" s="537"/>
      <c r="FQF200" s="537"/>
      <c r="FQG200" s="537"/>
      <c r="FQH200" s="537"/>
      <c r="FQI200" s="537"/>
      <c r="FQJ200" s="537"/>
      <c r="FQK200" s="537"/>
      <c r="FQL200" s="537"/>
      <c r="FQM200" s="537"/>
      <c r="FQN200" s="537"/>
      <c r="FQO200" s="537"/>
      <c r="FQP200" s="537"/>
      <c r="FQQ200" s="537"/>
      <c r="FQR200" s="537"/>
      <c r="FQS200" s="537"/>
      <c r="FQT200" s="537"/>
      <c r="FQU200" s="537"/>
      <c r="FQV200" s="537"/>
      <c r="FQW200" s="537"/>
      <c r="FQX200" s="537"/>
      <c r="FQY200" s="537"/>
      <c r="FQZ200" s="537"/>
      <c r="FRA200" s="537"/>
      <c r="FRB200" s="537"/>
      <c r="FRC200" s="537"/>
      <c r="FRD200" s="537"/>
      <c r="FRE200" s="537"/>
      <c r="FRF200" s="537"/>
      <c r="FRG200" s="537"/>
      <c r="FRH200" s="537"/>
      <c r="FRI200" s="537"/>
      <c r="FRJ200" s="537"/>
      <c r="FRK200" s="537"/>
      <c r="FRL200" s="537"/>
      <c r="FRM200" s="537"/>
      <c r="FRN200" s="537"/>
      <c r="FRO200" s="537"/>
      <c r="FRP200" s="537"/>
      <c r="FRQ200" s="537"/>
      <c r="FRR200" s="537"/>
      <c r="FRS200" s="537"/>
      <c r="FRT200" s="537"/>
      <c r="FRU200" s="537"/>
      <c r="FRV200" s="537"/>
      <c r="FRW200" s="537"/>
      <c r="FRX200" s="537"/>
      <c r="FRY200" s="537"/>
      <c r="FRZ200" s="537"/>
      <c r="FSA200" s="537"/>
      <c r="FSB200" s="537"/>
      <c r="FSC200" s="537"/>
      <c r="FSD200" s="537"/>
      <c r="FSE200" s="537"/>
      <c r="FSF200" s="537"/>
      <c r="FSG200" s="537"/>
      <c r="FSH200" s="537"/>
      <c r="FSI200" s="537"/>
      <c r="FSJ200" s="537"/>
      <c r="FSK200" s="537"/>
      <c r="FSL200" s="537"/>
      <c r="FSM200" s="537"/>
      <c r="FSN200" s="537"/>
      <c r="FSO200" s="537"/>
      <c r="FSP200" s="537"/>
      <c r="FSQ200" s="537"/>
      <c r="FSR200" s="537"/>
      <c r="FSS200" s="537"/>
      <c r="FST200" s="537"/>
      <c r="FSU200" s="537"/>
      <c r="FSV200" s="537"/>
      <c r="FSW200" s="537"/>
      <c r="FSX200" s="537"/>
      <c r="FSY200" s="537"/>
      <c r="FSZ200" s="537"/>
      <c r="FTA200" s="537"/>
      <c r="FTB200" s="537"/>
      <c r="FTC200" s="537"/>
      <c r="FTD200" s="537"/>
      <c r="FTE200" s="537"/>
      <c r="FTF200" s="537"/>
      <c r="FTG200" s="537"/>
      <c r="FTH200" s="537"/>
      <c r="FTI200" s="537"/>
      <c r="FTJ200" s="537"/>
      <c r="FTK200" s="537"/>
      <c r="FTL200" s="537"/>
      <c r="FTM200" s="537"/>
      <c r="FTN200" s="537"/>
      <c r="FTO200" s="537"/>
      <c r="FTP200" s="537"/>
      <c r="FTQ200" s="537"/>
      <c r="FTR200" s="537"/>
      <c r="FTS200" s="537"/>
      <c r="FTT200" s="537"/>
      <c r="FTU200" s="537"/>
      <c r="FTV200" s="537"/>
      <c r="FTW200" s="537"/>
      <c r="FTX200" s="537"/>
      <c r="FTY200" s="537"/>
      <c r="FTZ200" s="537"/>
      <c r="FUA200" s="537"/>
      <c r="FUB200" s="537"/>
      <c r="FUC200" s="537"/>
      <c r="FUD200" s="537"/>
      <c r="FUE200" s="537"/>
      <c r="FUF200" s="537"/>
      <c r="FUG200" s="537"/>
      <c r="FUH200" s="537"/>
      <c r="FUI200" s="537"/>
      <c r="FUJ200" s="537"/>
      <c r="FUK200" s="537"/>
      <c r="FUL200" s="537"/>
      <c r="FUM200" s="537"/>
      <c r="FUN200" s="537"/>
      <c r="FUO200" s="537"/>
      <c r="FUP200" s="537"/>
      <c r="FUQ200" s="537"/>
      <c r="FUR200" s="537"/>
      <c r="FUS200" s="537"/>
      <c r="FUT200" s="537"/>
      <c r="FUU200" s="537"/>
      <c r="FUV200" s="537"/>
      <c r="FUW200" s="537"/>
      <c r="FUX200" s="537"/>
      <c r="FUY200" s="537"/>
      <c r="FUZ200" s="537"/>
      <c r="FVA200" s="537"/>
      <c r="FVB200" s="537"/>
      <c r="FVC200" s="537"/>
      <c r="FVD200" s="537"/>
      <c r="FVE200" s="537"/>
      <c r="FVF200" s="537"/>
      <c r="FVG200" s="537"/>
      <c r="FVH200" s="537"/>
      <c r="FVI200" s="537"/>
      <c r="FVJ200" s="537"/>
      <c r="FVK200" s="537"/>
      <c r="FVL200" s="537"/>
      <c r="FVM200" s="537"/>
      <c r="FVN200" s="537"/>
      <c r="FVO200" s="537"/>
      <c r="FVP200" s="537"/>
      <c r="FVQ200" s="537"/>
      <c r="FVR200" s="537"/>
      <c r="FVS200" s="537"/>
      <c r="FVT200" s="537"/>
      <c r="FVU200" s="537"/>
      <c r="FVV200" s="537"/>
      <c r="FVW200" s="537"/>
      <c r="FVX200" s="537"/>
      <c r="FVY200" s="537"/>
      <c r="FVZ200" s="537"/>
      <c r="FWA200" s="537"/>
      <c r="FWB200" s="537"/>
      <c r="FWC200" s="537"/>
      <c r="FWD200" s="537"/>
      <c r="FWE200" s="537"/>
      <c r="FWF200" s="537"/>
      <c r="FWG200" s="537"/>
      <c r="FWH200" s="537"/>
      <c r="FWI200" s="537"/>
      <c r="FWJ200" s="537"/>
      <c r="FWK200" s="537"/>
      <c r="FWL200" s="537"/>
      <c r="FWM200" s="537"/>
      <c r="FWN200" s="537"/>
      <c r="FWO200" s="537"/>
      <c r="FWP200" s="537"/>
      <c r="FWQ200" s="537"/>
      <c r="FWR200" s="537"/>
      <c r="FWS200" s="537"/>
      <c r="FWT200" s="537"/>
      <c r="FWU200" s="537"/>
      <c r="FWV200" s="537"/>
      <c r="FWW200" s="537"/>
      <c r="FWX200" s="537"/>
      <c r="FWY200" s="537"/>
      <c r="FWZ200" s="537"/>
      <c r="FXA200" s="537"/>
      <c r="FXB200" s="537"/>
      <c r="FXC200" s="537"/>
      <c r="FXD200" s="537"/>
      <c r="FXE200" s="537"/>
      <c r="FXF200" s="537"/>
      <c r="FXG200" s="537"/>
      <c r="FXH200" s="537"/>
      <c r="FXI200" s="537"/>
      <c r="FXJ200" s="537"/>
      <c r="FXK200" s="537"/>
      <c r="FXL200" s="537"/>
      <c r="FXM200" s="537"/>
      <c r="FXN200" s="537"/>
      <c r="FXO200" s="537"/>
      <c r="FXP200" s="537"/>
      <c r="FXQ200" s="537"/>
      <c r="FXR200" s="537"/>
      <c r="FXS200" s="537"/>
      <c r="FXT200" s="537"/>
      <c r="FXU200" s="537"/>
      <c r="FXV200" s="537"/>
      <c r="FXW200" s="537"/>
      <c r="FXX200" s="537"/>
      <c r="FXY200" s="537"/>
      <c r="FXZ200" s="537"/>
      <c r="FYA200" s="537"/>
      <c r="FYB200" s="537"/>
      <c r="FYC200" s="537"/>
      <c r="FYD200" s="537"/>
      <c r="FYE200" s="537"/>
      <c r="FYF200" s="537"/>
      <c r="FYG200" s="537"/>
      <c r="FYH200" s="537"/>
      <c r="FYI200" s="537"/>
      <c r="FYJ200" s="537"/>
      <c r="FYK200" s="537"/>
      <c r="FYL200" s="537"/>
      <c r="FYM200" s="537"/>
      <c r="FYN200" s="537"/>
      <c r="FYO200" s="537"/>
      <c r="FYP200" s="537"/>
      <c r="FYQ200" s="537"/>
      <c r="FYR200" s="537"/>
      <c r="FYS200" s="537"/>
      <c r="FYT200" s="537"/>
      <c r="FYU200" s="537"/>
      <c r="FYV200" s="537"/>
      <c r="FYW200" s="537"/>
      <c r="FYX200" s="537"/>
      <c r="FYY200" s="537"/>
      <c r="FYZ200" s="537"/>
      <c r="FZA200" s="537"/>
      <c r="FZB200" s="537"/>
      <c r="FZC200" s="537"/>
      <c r="FZD200" s="537"/>
      <c r="FZE200" s="537"/>
      <c r="FZF200" s="537"/>
      <c r="FZG200" s="537"/>
      <c r="FZH200" s="537"/>
      <c r="FZI200" s="537"/>
      <c r="FZJ200" s="537"/>
      <c r="FZK200" s="537"/>
      <c r="FZL200" s="537"/>
      <c r="FZM200" s="537"/>
      <c r="FZN200" s="537"/>
      <c r="FZO200" s="537"/>
      <c r="FZP200" s="537"/>
      <c r="FZQ200" s="537"/>
      <c r="FZR200" s="537"/>
      <c r="FZS200" s="537"/>
      <c r="FZT200" s="537"/>
      <c r="FZU200" s="537"/>
      <c r="FZV200" s="537"/>
      <c r="FZW200" s="537"/>
      <c r="FZX200" s="537"/>
      <c r="FZY200" s="537"/>
      <c r="FZZ200" s="537"/>
      <c r="GAA200" s="537"/>
      <c r="GAB200" s="537"/>
      <c r="GAC200" s="537"/>
      <c r="GAD200" s="537"/>
      <c r="GAE200" s="537"/>
      <c r="GAF200" s="537"/>
      <c r="GAG200" s="537"/>
      <c r="GAH200" s="537"/>
      <c r="GAI200" s="537"/>
      <c r="GAJ200" s="537"/>
      <c r="GAK200" s="537"/>
      <c r="GAL200" s="537"/>
      <c r="GAM200" s="537"/>
      <c r="GAN200" s="537"/>
      <c r="GAO200" s="537"/>
      <c r="GAP200" s="537"/>
      <c r="GAQ200" s="537"/>
      <c r="GAR200" s="537"/>
      <c r="GAS200" s="537"/>
      <c r="GAT200" s="537"/>
      <c r="GAU200" s="537"/>
      <c r="GAV200" s="537"/>
      <c r="GAW200" s="537"/>
      <c r="GAX200" s="537"/>
      <c r="GAY200" s="537"/>
      <c r="GAZ200" s="537"/>
      <c r="GBA200" s="537"/>
      <c r="GBB200" s="537"/>
      <c r="GBC200" s="537"/>
      <c r="GBD200" s="537"/>
      <c r="GBE200" s="537"/>
      <c r="GBF200" s="537"/>
      <c r="GBG200" s="537"/>
      <c r="GBH200" s="537"/>
      <c r="GBI200" s="537"/>
      <c r="GBJ200" s="537"/>
      <c r="GBK200" s="537"/>
      <c r="GBL200" s="537"/>
      <c r="GBM200" s="537"/>
      <c r="GBN200" s="537"/>
      <c r="GBO200" s="537"/>
      <c r="GBP200" s="537"/>
      <c r="GBQ200" s="537"/>
      <c r="GBR200" s="537"/>
      <c r="GBS200" s="537"/>
      <c r="GBT200" s="537"/>
      <c r="GBU200" s="537"/>
      <c r="GBV200" s="537"/>
      <c r="GBW200" s="537"/>
      <c r="GBX200" s="537"/>
      <c r="GBY200" s="537"/>
      <c r="GBZ200" s="537"/>
      <c r="GCA200" s="537"/>
      <c r="GCB200" s="537"/>
      <c r="GCC200" s="537"/>
      <c r="GCD200" s="537"/>
      <c r="GCE200" s="537"/>
      <c r="GCF200" s="537"/>
      <c r="GCG200" s="537"/>
      <c r="GCH200" s="537"/>
      <c r="GCI200" s="537"/>
      <c r="GCJ200" s="537"/>
      <c r="GCK200" s="537"/>
      <c r="GCL200" s="537"/>
      <c r="GCM200" s="537"/>
      <c r="GCN200" s="537"/>
      <c r="GCO200" s="537"/>
      <c r="GCP200" s="537"/>
      <c r="GCQ200" s="537"/>
      <c r="GCR200" s="537"/>
      <c r="GCS200" s="537"/>
      <c r="GCT200" s="537"/>
      <c r="GCU200" s="537"/>
      <c r="GCV200" s="537"/>
      <c r="GCW200" s="537"/>
      <c r="GCX200" s="537"/>
      <c r="GCY200" s="537"/>
      <c r="GCZ200" s="537"/>
      <c r="GDA200" s="537"/>
      <c r="GDB200" s="537"/>
      <c r="GDC200" s="537"/>
      <c r="GDD200" s="537"/>
      <c r="GDE200" s="537"/>
      <c r="GDF200" s="537"/>
      <c r="GDG200" s="537"/>
      <c r="GDH200" s="537"/>
      <c r="GDI200" s="537"/>
      <c r="GDJ200" s="537"/>
      <c r="GDK200" s="537"/>
      <c r="GDL200" s="537"/>
      <c r="GDM200" s="537"/>
      <c r="GDN200" s="537"/>
      <c r="GDO200" s="537"/>
      <c r="GDP200" s="537"/>
      <c r="GDQ200" s="537"/>
      <c r="GDR200" s="537"/>
      <c r="GDS200" s="537"/>
      <c r="GDT200" s="537"/>
      <c r="GDU200" s="537"/>
      <c r="GDV200" s="537"/>
      <c r="GDW200" s="537"/>
      <c r="GDX200" s="537"/>
      <c r="GDY200" s="537"/>
      <c r="GDZ200" s="537"/>
      <c r="GEA200" s="537"/>
      <c r="GEB200" s="537"/>
      <c r="GEC200" s="537"/>
      <c r="GED200" s="537"/>
      <c r="GEE200" s="537"/>
      <c r="GEF200" s="537"/>
      <c r="GEG200" s="537"/>
      <c r="GEH200" s="537"/>
      <c r="GEI200" s="537"/>
      <c r="GEJ200" s="537"/>
      <c r="GEK200" s="537"/>
      <c r="GEL200" s="537"/>
      <c r="GEM200" s="537"/>
      <c r="GEN200" s="537"/>
      <c r="GEO200" s="537"/>
      <c r="GEP200" s="537"/>
      <c r="GEQ200" s="537"/>
      <c r="GER200" s="537"/>
      <c r="GES200" s="537"/>
      <c r="GET200" s="537"/>
      <c r="GEU200" s="537"/>
      <c r="GEV200" s="537"/>
      <c r="GEW200" s="537"/>
      <c r="GEX200" s="537"/>
      <c r="GEY200" s="537"/>
      <c r="GEZ200" s="537"/>
      <c r="GFA200" s="537"/>
      <c r="GFB200" s="537"/>
      <c r="GFC200" s="537"/>
      <c r="GFD200" s="537"/>
      <c r="GFE200" s="537"/>
      <c r="GFF200" s="537"/>
      <c r="GFG200" s="537"/>
      <c r="GFH200" s="537"/>
      <c r="GFI200" s="537"/>
      <c r="GFJ200" s="537"/>
      <c r="GFK200" s="537"/>
      <c r="GFL200" s="537"/>
      <c r="GFM200" s="537"/>
      <c r="GFN200" s="537"/>
      <c r="GFO200" s="537"/>
      <c r="GFP200" s="537"/>
      <c r="GFQ200" s="537"/>
      <c r="GFR200" s="537"/>
      <c r="GFS200" s="537"/>
      <c r="GFT200" s="537"/>
      <c r="GFU200" s="537"/>
      <c r="GFV200" s="537"/>
      <c r="GFW200" s="537"/>
      <c r="GFX200" s="537"/>
      <c r="GFY200" s="537"/>
      <c r="GFZ200" s="537"/>
      <c r="GGA200" s="537"/>
      <c r="GGB200" s="537"/>
      <c r="GGC200" s="537"/>
      <c r="GGD200" s="537"/>
      <c r="GGE200" s="537"/>
      <c r="GGF200" s="537"/>
      <c r="GGG200" s="537"/>
      <c r="GGH200" s="537"/>
      <c r="GGI200" s="537"/>
      <c r="GGJ200" s="537"/>
      <c r="GGK200" s="537"/>
      <c r="GGL200" s="537"/>
      <c r="GGM200" s="537"/>
      <c r="GGN200" s="537"/>
      <c r="GGO200" s="537"/>
      <c r="GGP200" s="537"/>
      <c r="GGQ200" s="537"/>
      <c r="GGR200" s="537"/>
      <c r="GGS200" s="537"/>
      <c r="GGT200" s="537"/>
      <c r="GGU200" s="537"/>
      <c r="GGV200" s="537"/>
      <c r="GGW200" s="537"/>
      <c r="GGX200" s="537"/>
      <c r="GGY200" s="537"/>
      <c r="GGZ200" s="537"/>
      <c r="GHA200" s="537"/>
      <c r="GHB200" s="537"/>
      <c r="GHC200" s="537"/>
      <c r="GHD200" s="537"/>
      <c r="GHE200" s="537"/>
      <c r="GHF200" s="537"/>
      <c r="GHG200" s="537"/>
      <c r="GHH200" s="537"/>
      <c r="GHI200" s="537"/>
      <c r="GHJ200" s="537"/>
      <c r="GHK200" s="537"/>
      <c r="GHL200" s="537"/>
      <c r="GHM200" s="537"/>
      <c r="GHN200" s="537"/>
      <c r="GHO200" s="537"/>
      <c r="GHP200" s="537"/>
      <c r="GHQ200" s="537"/>
      <c r="GHR200" s="537"/>
      <c r="GHS200" s="537"/>
      <c r="GHT200" s="537"/>
      <c r="GHU200" s="537"/>
      <c r="GHV200" s="537"/>
      <c r="GHW200" s="537"/>
      <c r="GHX200" s="537"/>
      <c r="GHY200" s="537"/>
      <c r="GHZ200" s="537"/>
      <c r="GIA200" s="537"/>
      <c r="GIB200" s="537"/>
      <c r="GIC200" s="537"/>
      <c r="GID200" s="537"/>
      <c r="GIE200" s="537"/>
      <c r="GIF200" s="537"/>
      <c r="GIG200" s="537"/>
      <c r="GIH200" s="537"/>
      <c r="GII200" s="537"/>
      <c r="GIJ200" s="537"/>
      <c r="GIK200" s="537"/>
      <c r="GIL200" s="537"/>
      <c r="GIM200" s="537"/>
      <c r="GIN200" s="537"/>
      <c r="GIO200" s="537"/>
      <c r="GIP200" s="537"/>
      <c r="GIQ200" s="537"/>
      <c r="GIR200" s="537"/>
      <c r="GIS200" s="537"/>
      <c r="GIT200" s="537"/>
      <c r="GIU200" s="537"/>
      <c r="GIV200" s="537"/>
      <c r="GIW200" s="537"/>
      <c r="GIX200" s="537"/>
      <c r="GIY200" s="537"/>
      <c r="GIZ200" s="537"/>
      <c r="GJA200" s="537"/>
      <c r="GJB200" s="537"/>
      <c r="GJC200" s="537"/>
      <c r="GJD200" s="537"/>
      <c r="GJE200" s="537"/>
      <c r="GJF200" s="537"/>
      <c r="GJG200" s="537"/>
      <c r="GJH200" s="537"/>
      <c r="GJI200" s="537"/>
      <c r="GJJ200" s="537"/>
      <c r="GJK200" s="537"/>
      <c r="GJL200" s="537"/>
      <c r="GJM200" s="537"/>
      <c r="GJN200" s="537"/>
      <c r="GJO200" s="537"/>
      <c r="GJP200" s="537"/>
      <c r="GJQ200" s="537"/>
      <c r="GJR200" s="537"/>
      <c r="GJS200" s="537"/>
      <c r="GJT200" s="537"/>
      <c r="GJU200" s="537"/>
      <c r="GJV200" s="537"/>
      <c r="GJW200" s="537"/>
      <c r="GJX200" s="537"/>
      <c r="GJY200" s="537"/>
      <c r="GJZ200" s="537"/>
      <c r="GKA200" s="537"/>
      <c r="GKB200" s="537"/>
      <c r="GKC200" s="537"/>
      <c r="GKD200" s="537"/>
      <c r="GKE200" s="537"/>
      <c r="GKF200" s="537"/>
      <c r="GKG200" s="537"/>
      <c r="GKH200" s="537"/>
      <c r="GKI200" s="537"/>
      <c r="GKJ200" s="537"/>
      <c r="GKK200" s="537"/>
      <c r="GKL200" s="537"/>
      <c r="GKM200" s="537"/>
      <c r="GKN200" s="537"/>
      <c r="GKO200" s="537"/>
      <c r="GKP200" s="537"/>
      <c r="GKQ200" s="537"/>
      <c r="GKR200" s="537"/>
      <c r="GKS200" s="537"/>
      <c r="GKT200" s="537"/>
      <c r="GKU200" s="537"/>
      <c r="GKV200" s="537"/>
      <c r="GKW200" s="537"/>
      <c r="GKX200" s="537"/>
      <c r="GKY200" s="537"/>
      <c r="GKZ200" s="537"/>
      <c r="GLA200" s="537"/>
      <c r="GLB200" s="537"/>
      <c r="GLC200" s="537"/>
      <c r="GLD200" s="537"/>
      <c r="GLE200" s="537"/>
      <c r="GLF200" s="537"/>
      <c r="GLG200" s="537"/>
      <c r="GLH200" s="537"/>
      <c r="GLI200" s="537"/>
      <c r="GLJ200" s="537"/>
      <c r="GLK200" s="537"/>
      <c r="GLL200" s="537"/>
      <c r="GLM200" s="537"/>
      <c r="GLN200" s="537"/>
      <c r="GLO200" s="537"/>
      <c r="GLP200" s="537"/>
      <c r="GLQ200" s="537"/>
      <c r="GLR200" s="537"/>
      <c r="GLS200" s="537"/>
      <c r="GLT200" s="537"/>
      <c r="GLU200" s="537"/>
      <c r="GLV200" s="537"/>
      <c r="GLW200" s="537"/>
      <c r="GLX200" s="537"/>
      <c r="GLY200" s="537"/>
      <c r="GLZ200" s="537"/>
      <c r="GMA200" s="537"/>
      <c r="GMB200" s="537"/>
      <c r="GMC200" s="537"/>
      <c r="GMD200" s="537"/>
      <c r="GME200" s="537"/>
      <c r="GMF200" s="537"/>
      <c r="GMG200" s="537"/>
      <c r="GMH200" s="537"/>
      <c r="GMI200" s="537"/>
      <c r="GMJ200" s="537"/>
      <c r="GMK200" s="537"/>
      <c r="GML200" s="537"/>
      <c r="GMM200" s="537"/>
      <c r="GMN200" s="537"/>
      <c r="GMO200" s="537"/>
      <c r="GMP200" s="537"/>
      <c r="GMQ200" s="537"/>
      <c r="GMR200" s="537"/>
      <c r="GMS200" s="537"/>
      <c r="GMT200" s="537"/>
      <c r="GMU200" s="537"/>
      <c r="GMV200" s="537"/>
      <c r="GMW200" s="537"/>
      <c r="GMX200" s="537"/>
      <c r="GMY200" s="537"/>
      <c r="GMZ200" s="537"/>
      <c r="GNA200" s="537"/>
      <c r="GNB200" s="537"/>
      <c r="GNC200" s="537"/>
      <c r="GND200" s="537"/>
      <c r="GNE200" s="537"/>
      <c r="GNF200" s="537"/>
      <c r="GNG200" s="537"/>
      <c r="GNH200" s="537"/>
      <c r="GNI200" s="537"/>
      <c r="GNJ200" s="537"/>
      <c r="GNK200" s="537"/>
      <c r="GNL200" s="537"/>
      <c r="GNM200" s="537"/>
      <c r="GNN200" s="537"/>
      <c r="GNO200" s="537"/>
      <c r="GNP200" s="537"/>
      <c r="GNQ200" s="537"/>
      <c r="GNR200" s="537"/>
      <c r="GNS200" s="537"/>
      <c r="GNT200" s="537"/>
      <c r="GNU200" s="537"/>
      <c r="GNV200" s="537"/>
      <c r="GNW200" s="537"/>
      <c r="GNX200" s="537"/>
      <c r="GNY200" s="537"/>
      <c r="GNZ200" s="537"/>
      <c r="GOA200" s="537"/>
      <c r="GOB200" s="537"/>
      <c r="GOC200" s="537"/>
      <c r="GOD200" s="537"/>
      <c r="GOE200" s="537"/>
      <c r="GOF200" s="537"/>
      <c r="GOG200" s="537"/>
      <c r="GOH200" s="537"/>
      <c r="GOI200" s="537"/>
      <c r="GOJ200" s="537"/>
      <c r="GOK200" s="537"/>
      <c r="GOL200" s="537"/>
      <c r="GOM200" s="537"/>
      <c r="GON200" s="537"/>
      <c r="GOO200" s="537"/>
      <c r="GOP200" s="537"/>
      <c r="GOQ200" s="537"/>
      <c r="GOR200" s="537"/>
      <c r="GOS200" s="537"/>
      <c r="GOT200" s="537"/>
      <c r="GOU200" s="537"/>
      <c r="GOV200" s="537"/>
      <c r="GOW200" s="537"/>
      <c r="GOX200" s="537"/>
      <c r="GOY200" s="537"/>
      <c r="GOZ200" s="537"/>
      <c r="GPA200" s="537"/>
      <c r="GPB200" s="537"/>
      <c r="GPC200" s="537"/>
      <c r="GPD200" s="537"/>
      <c r="GPE200" s="537"/>
      <c r="GPF200" s="537"/>
      <c r="GPG200" s="537"/>
      <c r="GPH200" s="537"/>
      <c r="GPI200" s="537"/>
      <c r="GPJ200" s="537"/>
      <c r="GPK200" s="537"/>
      <c r="GPL200" s="537"/>
      <c r="GPM200" s="537"/>
      <c r="GPN200" s="537"/>
      <c r="GPO200" s="537"/>
      <c r="GPP200" s="537"/>
      <c r="GPQ200" s="537"/>
      <c r="GPR200" s="537"/>
      <c r="GPS200" s="537"/>
      <c r="GPT200" s="537"/>
      <c r="GPU200" s="537"/>
      <c r="GPV200" s="537"/>
      <c r="GPW200" s="537"/>
      <c r="GPX200" s="537"/>
      <c r="GPY200" s="537"/>
      <c r="GPZ200" s="537"/>
      <c r="GQA200" s="537"/>
      <c r="GQB200" s="537"/>
      <c r="GQC200" s="537"/>
      <c r="GQD200" s="537"/>
      <c r="GQE200" s="537"/>
      <c r="GQF200" s="537"/>
      <c r="GQG200" s="537"/>
      <c r="GQH200" s="537"/>
      <c r="GQI200" s="537"/>
      <c r="GQJ200" s="537"/>
      <c r="GQK200" s="537"/>
      <c r="GQL200" s="537"/>
      <c r="GQM200" s="537"/>
      <c r="GQN200" s="537"/>
      <c r="GQO200" s="537"/>
      <c r="GQP200" s="537"/>
      <c r="GQQ200" s="537"/>
      <c r="GQR200" s="537"/>
      <c r="GQS200" s="537"/>
      <c r="GQT200" s="537"/>
      <c r="GQU200" s="537"/>
      <c r="GQV200" s="537"/>
      <c r="GQW200" s="537"/>
      <c r="GQX200" s="537"/>
      <c r="GQY200" s="537"/>
      <c r="GQZ200" s="537"/>
      <c r="GRA200" s="537"/>
      <c r="GRB200" s="537"/>
      <c r="GRC200" s="537"/>
      <c r="GRD200" s="537"/>
      <c r="GRE200" s="537"/>
      <c r="GRF200" s="537"/>
      <c r="GRG200" s="537"/>
      <c r="GRH200" s="537"/>
      <c r="GRI200" s="537"/>
      <c r="GRJ200" s="537"/>
      <c r="GRK200" s="537"/>
      <c r="GRL200" s="537"/>
      <c r="GRM200" s="537"/>
      <c r="GRN200" s="537"/>
      <c r="GRO200" s="537"/>
      <c r="GRP200" s="537"/>
      <c r="GRQ200" s="537"/>
      <c r="GRR200" s="537"/>
      <c r="GRS200" s="537"/>
      <c r="GRT200" s="537"/>
      <c r="GRU200" s="537"/>
      <c r="GRV200" s="537"/>
      <c r="GRW200" s="537"/>
      <c r="GRX200" s="537"/>
      <c r="GRY200" s="537"/>
      <c r="GRZ200" s="537"/>
      <c r="GSA200" s="537"/>
      <c r="GSB200" s="537"/>
      <c r="GSC200" s="537"/>
      <c r="GSD200" s="537"/>
      <c r="GSE200" s="537"/>
      <c r="GSF200" s="537"/>
      <c r="GSG200" s="537"/>
      <c r="GSH200" s="537"/>
      <c r="GSI200" s="537"/>
      <c r="GSJ200" s="537"/>
      <c r="GSK200" s="537"/>
      <c r="GSL200" s="537"/>
      <c r="GSM200" s="537"/>
      <c r="GSN200" s="537"/>
      <c r="GSO200" s="537"/>
      <c r="GSP200" s="537"/>
      <c r="GSQ200" s="537"/>
      <c r="GSR200" s="537"/>
      <c r="GSS200" s="537"/>
      <c r="GST200" s="537"/>
      <c r="GSU200" s="537"/>
      <c r="GSV200" s="537"/>
      <c r="GSW200" s="537"/>
      <c r="GSX200" s="537"/>
      <c r="GSY200" s="537"/>
      <c r="GSZ200" s="537"/>
      <c r="GTA200" s="537"/>
      <c r="GTB200" s="537"/>
      <c r="GTC200" s="537"/>
      <c r="GTD200" s="537"/>
      <c r="GTE200" s="537"/>
      <c r="GTF200" s="537"/>
      <c r="GTG200" s="537"/>
      <c r="GTH200" s="537"/>
      <c r="GTI200" s="537"/>
      <c r="GTJ200" s="537"/>
      <c r="GTK200" s="537"/>
      <c r="GTL200" s="537"/>
      <c r="GTM200" s="537"/>
      <c r="GTN200" s="537"/>
      <c r="GTO200" s="537"/>
      <c r="GTP200" s="537"/>
      <c r="GTQ200" s="537"/>
      <c r="GTR200" s="537"/>
      <c r="GTS200" s="537"/>
      <c r="GTT200" s="537"/>
      <c r="GTU200" s="537"/>
      <c r="GTV200" s="537"/>
      <c r="GTW200" s="537"/>
      <c r="GTX200" s="537"/>
      <c r="GTY200" s="537"/>
      <c r="GTZ200" s="537"/>
      <c r="GUA200" s="537"/>
      <c r="GUB200" s="537"/>
      <c r="GUC200" s="537"/>
      <c r="GUD200" s="537"/>
      <c r="GUE200" s="537"/>
      <c r="GUF200" s="537"/>
      <c r="GUG200" s="537"/>
      <c r="GUH200" s="537"/>
      <c r="GUI200" s="537"/>
      <c r="GUJ200" s="537"/>
      <c r="GUK200" s="537"/>
      <c r="GUL200" s="537"/>
      <c r="GUM200" s="537"/>
      <c r="GUN200" s="537"/>
      <c r="GUO200" s="537"/>
      <c r="GUP200" s="537"/>
      <c r="GUQ200" s="537"/>
      <c r="GUR200" s="537"/>
      <c r="GUS200" s="537"/>
      <c r="GUT200" s="537"/>
      <c r="GUU200" s="537"/>
      <c r="GUV200" s="537"/>
      <c r="GUW200" s="537"/>
      <c r="GUX200" s="537"/>
      <c r="GUY200" s="537"/>
      <c r="GUZ200" s="537"/>
      <c r="GVA200" s="537"/>
      <c r="GVB200" s="537"/>
      <c r="GVC200" s="537"/>
      <c r="GVD200" s="537"/>
      <c r="GVE200" s="537"/>
      <c r="GVF200" s="537"/>
      <c r="GVG200" s="537"/>
      <c r="GVH200" s="537"/>
      <c r="GVI200" s="537"/>
      <c r="GVJ200" s="537"/>
      <c r="GVK200" s="537"/>
      <c r="GVL200" s="537"/>
      <c r="GVM200" s="537"/>
      <c r="GVN200" s="537"/>
      <c r="GVO200" s="537"/>
      <c r="GVP200" s="537"/>
      <c r="GVQ200" s="537"/>
      <c r="GVR200" s="537"/>
      <c r="GVS200" s="537"/>
      <c r="GVT200" s="537"/>
      <c r="GVU200" s="537"/>
      <c r="GVV200" s="537"/>
      <c r="GVW200" s="537"/>
      <c r="GVX200" s="537"/>
      <c r="GVY200" s="537"/>
      <c r="GVZ200" s="537"/>
      <c r="GWA200" s="537"/>
      <c r="GWB200" s="537"/>
      <c r="GWC200" s="537"/>
      <c r="GWD200" s="537"/>
      <c r="GWE200" s="537"/>
      <c r="GWF200" s="537"/>
      <c r="GWG200" s="537"/>
      <c r="GWH200" s="537"/>
      <c r="GWI200" s="537"/>
      <c r="GWJ200" s="537"/>
      <c r="GWK200" s="537"/>
      <c r="GWL200" s="537"/>
      <c r="GWM200" s="537"/>
      <c r="GWN200" s="537"/>
      <c r="GWO200" s="537"/>
      <c r="GWP200" s="537"/>
      <c r="GWQ200" s="537"/>
      <c r="GWR200" s="537"/>
      <c r="GWS200" s="537"/>
      <c r="GWT200" s="537"/>
      <c r="GWU200" s="537"/>
      <c r="GWV200" s="537"/>
      <c r="GWW200" s="537"/>
      <c r="GWX200" s="537"/>
      <c r="GWY200" s="537"/>
      <c r="GWZ200" s="537"/>
      <c r="GXA200" s="537"/>
      <c r="GXB200" s="537"/>
      <c r="GXC200" s="537"/>
      <c r="GXD200" s="537"/>
      <c r="GXE200" s="537"/>
      <c r="GXF200" s="537"/>
      <c r="GXG200" s="537"/>
      <c r="GXH200" s="537"/>
      <c r="GXI200" s="537"/>
      <c r="GXJ200" s="537"/>
      <c r="GXK200" s="537"/>
      <c r="GXL200" s="537"/>
      <c r="GXM200" s="537"/>
      <c r="GXN200" s="537"/>
      <c r="GXO200" s="537"/>
      <c r="GXP200" s="537"/>
      <c r="GXQ200" s="537"/>
      <c r="GXR200" s="537"/>
      <c r="GXS200" s="537"/>
      <c r="GXT200" s="537"/>
      <c r="GXU200" s="537"/>
      <c r="GXV200" s="537"/>
      <c r="GXW200" s="537"/>
      <c r="GXX200" s="537"/>
      <c r="GXY200" s="537"/>
      <c r="GXZ200" s="537"/>
      <c r="GYA200" s="537"/>
      <c r="GYB200" s="537"/>
      <c r="GYC200" s="537"/>
      <c r="GYD200" s="537"/>
      <c r="GYE200" s="537"/>
      <c r="GYF200" s="537"/>
      <c r="GYG200" s="537"/>
      <c r="GYH200" s="537"/>
      <c r="GYI200" s="537"/>
      <c r="GYJ200" s="537"/>
      <c r="GYK200" s="537"/>
      <c r="GYL200" s="537"/>
      <c r="GYM200" s="537"/>
      <c r="GYN200" s="537"/>
      <c r="GYO200" s="537"/>
      <c r="GYP200" s="537"/>
      <c r="GYQ200" s="537"/>
      <c r="GYR200" s="537"/>
      <c r="GYS200" s="537"/>
      <c r="GYT200" s="537"/>
      <c r="GYU200" s="537"/>
      <c r="GYV200" s="537"/>
      <c r="GYW200" s="537"/>
      <c r="GYX200" s="537"/>
      <c r="GYY200" s="537"/>
      <c r="GYZ200" s="537"/>
      <c r="GZA200" s="537"/>
      <c r="GZB200" s="537"/>
      <c r="GZC200" s="537"/>
      <c r="GZD200" s="537"/>
      <c r="GZE200" s="537"/>
      <c r="GZF200" s="537"/>
      <c r="GZG200" s="537"/>
      <c r="GZH200" s="537"/>
      <c r="GZI200" s="537"/>
      <c r="GZJ200" s="537"/>
      <c r="GZK200" s="537"/>
      <c r="GZL200" s="537"/>
      <c r="GZM200" s="537"/>
      <c r="GZN200" s="537"/>
      <c r="GZO200" s="537"/>
      <c r="GZP200" s="537"/>
      <c r="GZQ200" s="537"/>
      <c r="GZR200" s="537"/>
      <c r="GZS200" s="537"/>
      <c r="GZT200" s="537"/>
      <c r="GZU200" s="537"/>
      <c r="GZV200" s="537"/>
      <c r="GZW200" s="537"/>
      <c r="GZX200" s="537"/>
      <c r="GZY200" s="537"/>
      <c r="GZZ200" s="537"/>
      <c r="HAA200" s="537"/>
      <c r="HAB200" s="537"/>
      <c r="HAC200" s="537"/>
      <c r="HAD200" s="537"/>
      <c r="HAE200" s="537"/>
      <c r="HAF200" s="537"/>
      <c r="HAG200" s="537"/>
      <c r="HAH200" s="537"/>
      <c r="HAI200" s="537"/>
      <c r="HAJ200" s="537"/>
      <c r="HAK200" s="537"/>
      <c r="HAL200" s="537"/>
      <c r="HAM200" s="537"/>
      <c r="HAN200" s="537"/>
      <c r="HAO200" s="537"/>
      <c r="HAP200" s="537"/>
      <c r="HAQ200" s="537"/>
      <c r="HAR200" s="537"/>
      <c r="HAS200" s="537"/>
      <c r="HAT200" s="537"/>
      <c r="HAU200" s="537"/>
      <c r="HAV200" s="537"/>
      <c r="HAW200" s="537"/>
      <c r="HAX200" s="537"/>
      <c r="HAY200" s="537"/>
      <c r="HAZ200" s="537"/>
      <c r="HBA200" s="537"/>
      <c r="HBB200" s="537"/>
      <c r="HBC200" s="537"/>
      <c r="HBD200" s="537"/>
      <c r="HBE200" s="537"/>
      <c r="HBF200" s="537"/>
      <c r="HBG200" s="537"/>
      <c r="HBH200" s="537"/>
      <c r="HBI200" s="537"/>
      <c r="HBJ200" s="537"/>
      <c r="HBK200" s="537"/>
      <c r="HBL200" s="537"/>
      <c r="HBM200" s="537"/>
      <c r="HBN200" s="537"/>
      <c r="HBO200" s="537"/>
      <c r="HBP200" s="537"/>
      <c r="HBQ200" s="537"/>
      <c r="HBR200" s="537"/>
      <c r="HBS200" s="537"/>
      <c r="HBT200" s="537"/>
      <c r="HBU200" s="537"/>
      <c r="HBV200" s="537"/>
      <c r="HBW200" s="537"/>
      <c r="HBX200" s="537"/>
      <c r="HBY200" s="537"/>
      <c r="HBZ200" s="537"/>
      <c r="HCA200" s="537"/>
      <c r="HCB200" s="537"/>
      <c r="HCC200" s="537"/>
      <c r="HCD200" s="537"/>
      <c r="HCE200" s="537"/>
      <c r="HCF200" s="537"/>
      <c r="HCG200" s="537"/>
      <c r="HCH200" s="537"/>
      <c r="HCI200" s="537"/>
      <c r="HCJ200" s="537"/>
      <c r="HCK200" s="537"/>
      <c r="HCL200" s="537"/>
      <c r="HCM200" s="537"/>
      <c r="HCN200" s="537"/>
      <c r="HCO200" s="537"/>
      <c r="HCP200" s="537"/>
      <c r="HCQ200" s="537"/>
      <c r="HCR200" s="537"/>
      <c r="HCS200" s="537"/>
      <c r="HCT200" s="537"/>
      <c r="HCU200" s="537"/>
      <c r="HCV200" s="537"/>
      <c r="HCW200" s="537"/>
      <c r="HCX200" s="537"/>
      <c r="HCY200" s="537"/>
      <c r="HCZ200" s="537"/>
      <c r="HDA200" s="537"/>
      <c r="HDB200" s="537"/>
      <c r="HDC200" s="537"/>
      <c r="HDD200" s="537"/>
      <c r="HDE200" s="537"/>
      <c r="HDF200" s="537"/>
      <c r="HDG200" s="537"/>
      <c r="HDH200" s="537"/>
      <c r="HDI200" s="537"/>
      <c r="HDJ200" s="537"/>
      <c r="HDK200" s="537"/>
      <c r="HDL200" s="537"/>
      <c r="HDM200" s="537"/>
      <c r="HDN200" s="537"/>
      <c r="HDO200" s="537"/>
      <c r="HDP200" s="537"/>
      <c r="HDQ200" s="537"/>
      <c r="HDR200" s="537"/>
      <c r="HDS200" s="537"/>
      <c r="HDT200" s="537"/>
      <c r="HDU200" s="537"/>
      <c r="HDV200" s="537"/>
      <c r="HDW200" s="537"/>
      <c r="HDX200" s="537"/>
      <c r="HDY200" s="537"/>
      <c r="HDZ200" s="537"/>
      <c r="HEA200" s="537"/>
      <c r="HEB200" s="537"/>
      <c r="HEC200" s="537"/>
      <c r="HED200" s="537"/>
      <c r="HEE200" s="537"/>
      <c r="HEF200" s="537"/>
      <c r="HEG200" s="537"/>
      <c r="HEH200" s="537"/>
      <c r="HEI200" s="537"/>
      <c r="HEJ200" s="537"/>
      <c r="HEK200" s="537"/>
      <c r="HEL200" s="537"/>
      <c r="HEM200" s="537"/>
      <c r="HEN200" s="537"/>
      <c r="HEO200" s="537"/>
      <c r="HEP200" s="537"/>
      <c r="HEQ200" s="537"/>
      <c r="HER200" s="537"/>
      <c r="HES200" s="537"/>
      <c r="HET200" s="537"/>
      <c r="HEU200" s="537"/>
      <c r="HEV200" s="537"/>
      <c r="HEW200" s="537"/>
      <c r="HEX200" s="537"/>
      <c r="HEY200" s="537"/>
      <c r="HEZ200" s="537"/>
      <c r="HFA200" s="537"/>
      <c r="HFB200" s="537"/>
      <c r="HFC200" s="537"/>
      <c r="HFD200" s="537"/>
      <c r="HFE200" s="537"/>
      <c r="HFF200" s="537"/>
      <c r="HFG200" s="537"/>
      <c r="HFH200" s="537"/>
      <c r="HFI200" s="537"/>
      <c r="HFJ200" s="537"/>
      <c r="HFK200" s="537"/>
      <c r="HFL200" s="537"/>
      <c r="HFM200" s="537"/>
      <c r="HFN200" s="537"/>
      <c r="HFO200" s="537"/>
      <c r="HFP200" s="537"/>
      <c r="HFQ200" s="537"/>
      <c r="HFR200" s="537"/>
      <c r="HFS200" s="537"/>
      <c r="HFT200" s="537"/>
      <c r="HFU200" s="537"/>
      <c r="HFV200" s="537"/>
      <c r="HFW200" s="537"/>
      <c r="HFX200" s="537"/>
      <c r="HFY200" s="537"/>
      <c r="HFZ200" s="537"/>
      <c r="HGA200" s="537"/>
      <c r="HGB200" s="537"/>
      <c r="HGC200" s="537"/>
      <c r="HGD200" s="537"/>
      <c r="HGE200" s="537"/>
      <c r="HGF200" s="537"/>
      <c r="HGG200" s="537"/>
      <c r="HGH200" s="537"/>
      <c r="HGI200" s="537"/>
      <c r="HGJ200" s="537"/>
      <c r="HGK200" s="537"/>
      <c r="HGL200" s="537"/>
      <c r="HGM200" s="537"/>
      <c r="HGN200" s="537"/>
      <c r="HGO200" s="537"/>
      <c r="HGP200" s="537"/>
      <c r="HGQ200" s="537"/>
      <c r="HGR200" s="537"/>
      <c r="HGS200" s="537"/>
      <c r="HGT200" s="537"/>
      <c r="HGU200" s="537"/>
      <c r="HGV200" s="537"/>
      <c r="HGW200" s="537"/>
      <c r="HGX200" s="537"/>
      <c r="HGY200" s="537"/>
      <c r="HGZ200" s="537"/>
      <c r="HHA200" s="537"/>
      <c r="HHB200" s="537"/>
      <c r="HHC200" s="537"/>
      <c r="HHD200" s="537"/>
      <c r="HHE200" s="537"/>
      <c r="HHF200" s="537"/>
      <c r="HHG200" s="537"/>
      <c r="HHH200" s="537"/>
      <c r="HHI200" s="537"/>
      <c r="HHJ200" s="537"/>
      <c r="HHK200" s="537"/>
      <c r="HHL200" s="537"/>
      <c r="HHM200" s="537"/>
      <c r="HHN200" s="537"/>
      <c r="HHO200" s="537"/>
      <c r="HHP200" s="537"/>
      <c r="HHQ200" s="537"/>
      <c r="HHR200" s="537"/>
      <c r="HHS200" s="537"/>
      <c r="HHT200" s="537"/>
      <c r="HHU200" s="537"/>
      <c r="HHV200" s="537"/>
      <c r="HHW200" s="537"/>
      <c r="HHX200" s="537"/>
      <c r="HHY200" s="537"/>
      <c r="HHZ200" s="537"/>
      <c r="HIA200" s="537"/>
      <c r="HIB200" s="537"/>
      <c r="HIC200" s="537"/>
      <c r="HID200" s="537"/>
      <c r="HIE200" s="537"/>
      <c r="HIF200" s="537"/>
      <c r="HIG200" s="537"/>
      <c r="HIH200" s="537"/>
      <c r="HII200" s="537"/>
      <c r="HIJ200" s="537"/>
      <c r="HIK200" s="537"/>
      <c r="HIL200" s="537"/>
      <c r="HIM200" s="537"/>
      <c r="HIN200" s="537"/>
      <c r="HIO200" s="537"/>
      <c r="HIP200" s="537"/>
      <c r="HIQ200" s="537"/>
      <c r="HIR200" s="537"/>
      <c r="HIS200" s="537"/>
      <c r="HIT200" s="537"/>
      <c r="HIU200" s="537"/>
      <c r="HIV200" s="537"/>
      <c r="HIW200" s="537"/>
      <c r="HIX200" s="537"/>
      <c r="HIY200" s="537"/>
      <c r="HIZ200" s="537"/>
      <c r="HJA200" s="537"/>
      <c r="HJB200" s="537"/>
      <c r="HJC200" s="537"/>
      <c r="HJD200" s="537"/>
      <c r="HJE200" s="537"/>
      <c r="HJF200" s="537"/>
      <c r="HJG200" s="537"/>
      <c r="HJH200" s="537"/>
      <c r="HJI200" s="537"/>
      <c r="HJJ200" s="537"/>
      <c r="HJK200" s="537"/>
      <c r="HJL200" s="537"/>
      <c r="HJM200" s="537"/>
      <c r="HJN200" s="537"/>
      <c r="HJO200" s="537"/>
      <c r="HJP200" s="537"/>
      <c r="HJQ200" s="537"/>
      <c r="HJR200" s="537"/>
      <c r="HJS200" s="537"/>
      <c r="HJT200" s="537"/>
      <c r="HJU200" s="537"/>
      <c r="HJV200" s="537"/>
      <c r="HJW200" s="537"/>
      <c r="HJX200" s="537"/>
      <c r="HJY200" s="537"/>
      <c r="HJZ200" s="537"/>
      <c r="HKA200" s="537"/>
      <c r="HKB200" s="537"/>
      <c r="HKC200" s="537"/>
      <c r="HKD200" s="537"/>
      <c r="HKE200" s="537"/>
      <c r="HKF200" s="537"/>
      <c r="HKG200" s="537"/>
      <c r="HKH200" s="537"/>
      <c r="HKI200" s="537"/>
      <c r="HKJ200" s="537"/>
      <c r="HKK200" s="537"/>
      <c r="HKL200" s="537"/>
      <c r="HKM200" s="537"/>
      <c r="HKN200" s="537"/>
      <c r="HKO200" s="537"/>
      <c r="HKP200" s="537"/>
      <c r="HKQ200" s="537"/>
      <c r="HKR200" s="537"/>
      <c r="HKS200" s="537"/>
      <c r="HKT200" s="537"/>
      <c r="HKU200" s="537"/>
      <c r="HKV200" s="537"/>
      <c r="HKW200" s="537"/>
      <c r="HKX200" s="537"/>
      <c r="HKY200" s="537"/>
      <c r="HKZ200" s="537"/>
      <c r="HLA200" s="537"/>
      <c r="HLB200" s="537"/>
      <c r="HLC200" s="537"/>
      <c r="HLD200" s="537"/>
      <c r="HLE200" s="537"/>
      <c r="HLF200" s="537"/>
      <c r="HLG200" s="537"/>
      <c r="HLH200" s="537"/>
      <c r="HLI200" s="537"/>
      <c r="HLJ200" s="537"/>
      <c r="HLK200" s="537"/>
      <c r="HLL200" s="537"/>
      <c r="HLM200" s="537"/>
      <c r="HLN200" s="537"/>
      <c r="HLO200" s="537"/>
      <c r="HLP200" s="537"/>
      <c r="HLQ200" s="537"/>
      <c r="HLR200" s="537"/>
      <c r="HLS200" s="537"/>
      <c r="HLT200" s="537"/>
      <c r="HLU200" s="537"/>
      <c r="HLV200" s="537"/>
      <c r="HLW200" s="537"/>
      <c r="HLX200" s="537"/>
      <c r="HLY200" s="537"/>
      <c r="HLZ200" s="537"/>
      <c r="HMA200" s="537"/>
      <c r="HMB200" s="537"/>
      <c r="HMC200" s="537"/>
      <c r="HMD200" s="537"/>
      <c r="HME200" s="537"/>
      <c r="HMF200" s="537"/>
      <c r="HMG200" s="537"/>
      <c r="HMH200" s="537"/>
      <c r="HMI200" s="537"/>
      <c r="HMJ200" s="537"/>
      <c r="HMK200" s="537"/>
      <c r="HML200" s="537"/>
      <c r="HMM200" s="537"/>
      <c r="HMN200" s="537"/>
      <c r="HMO200" s="537"/>
      <c r="HMP200" s="537"/>
      <c r="HMQ200" s="537"/>
      <c r="HMR200" s="537"/>
      <c r="HMS200" s="537"/>
      <c r="HMT200" s="537"/>
      <c r="HMU200" s="537"/>
      <c r="HMV200" s="537"/>
      <c r="HMW200" s="537"/>
      <c r="HMX200" s="537"/>
      <c r="HMY200" s="537"/>
      <c r="HMZ200" s="537"/>
      <c r="HNA200" s="537"/>
      <c r="HNB200" s="537"/>
      <c r="HNC200" s="537"/>
      <c r="HND200" s="537"/>
      <c r="HNE200" s="537"/>
      <c r="HNF200" s="537"/>
      <c r="HNG200" s="537"/>
      <c r="HNH200" s="537"/>
      <c r="HNI200" s="537"/>
      <c r="HNJ200" s="537"/>
      <c r="HNK200" s="537"/>
      <c r="HNL200" s="537"/>
      <c r="HNM200" s="537"/>
      <c r="HNN200" s="537"/>
      <c r="HNO200" s="537"/>
      <c r="HNP200" s="537"/>
      <c r="HNQ200" s="537"/>
      <c r="HNR200" s="537"/>
      <c r="HNS200" s="537"/>
      <c r="HNT200" s="537"/>
      <c r="HNU200" s="537"/>
      <c r="HNV200" s="537"/>
      <c r="HNW200" s="537"/>
      <c r="HNX200" s="537"/>
      <c r="HNY200" s="537"/>
      <c r="HNZ200" s="537"/>
      <c r="HOA200" s="537"/>
      <c r="HOB200" s="537"/>
      <c r="HOC200" s="537"/>
      <c r="HOD200" s="537"/>
      <c r="HOE200" s="537"/>
      <c r="HOF200" s="537"/>
      <c r="HOG200" s="537"/>
      <c r="HOH200" s="537"/>
      <c r="HOI200" s="537"/>
      <c r="HOJ200" s="537"/>
      <c r="HOK200" s="537"/>
      <c r="HOL200" s="537"/>
      <c r="HOM200" s="537"/>
      <c r="HON200" s="537"/>
      <c r="HOO200" s="537"/>
      <c r="HOP200" s="537"/>
      <c r="HOQ200" s="537"/>
      <c r="HOR200" s="537"/>
      <c r="HOS200" s="537"/>
      <c r="HOT200" s="537"/>
      <c r="HOU200" s="537"/>
      <c r="HOV200" s="537"/>
      <c r="HOW200" s="537"/>
      <c r="HOX200" s="537"/>
      <c r="HOY200" s="537"/>
      <c r="HOZ200" s="537"/>
      <c r="HPA200" s="537"/>
      <c r="HPB200" s="537"/>
      <c r="HPC200" s="537"/>
      <c r="HPD200" s="537"/>
      <c r="HPE200" s="537"/>
      <c r="HPF200" s="537"/>
      <c r="HPG200" s="537"/>
      <c r="HPH200" s="537"/>
      <c r="HPI200" s="537"/>
      <c r="HPJ200" s="537"/>
      <c r="HPK200" s="537"/>
      <c r="HPL200" s="537"/>
      <c r="HPM200" s="537"/>
      <c r="HPN200" s="537"/>
      <c r="HPO200" s="537"/>
      <c r="HPP200" s="537"/>
      <c r="HPQ200" s="537"/>
      <c r="HPR200" s="537"/>
      <c r="HPS200" s="537"/>
      <c r="HPT200" s="537"/>
      <c r="HPU200" s="537"/>
      <c r="HPV200" s="537"/>
      <c r="HPW200" s="537"/>
      <c r="HPX200" s="537"/>
      <c r="HPY200" s="537"/>
      <c r="HPZ200" s="537"/>
      <c r="HQA200" s="537"/>
      <c r="HQB200" s="537"/>
      <c r="HQC200" s="537"/>
      <c r="HQD200" s="537"/>
      <c r="HQE200" s="537"/>
      <c r="HQF200" s="537"/>
      <c r="HQG200" s="537"/>
      <c r="HQH200" s="537"/>
      <c r="HQI200" s="537"/>
      <c r="HQJ200" s="537"/>
      <c r="HQK200" s="537"/>
      <c r="HQL200" s="537"/>
      <c r="HQM200" s="537"/>
      <c r="HQN200" s="537"/>
      <c r="HQO200" s="537"/>
      <c r="HQP200" s="537"/>
      <c r="HQQ200" s="537"/>
      <c r="HQR200" s="537"/>
      <c r="HQS200" s="537"/>
      <c r="HQT200" s="537"/>
      <c r="HQU200" s="537"/>
      <c r="HQV200" s="537"/>
      <c r="HQW200" s="537"/>
      <c r="HQX200" s="537"/>
      <c r="HQY200" s="537"/>
      <c r="HQZ200" s="537"/>
      <c r="HRA200" s="537"/>
      <c r="HRB200" s="537"/>
      <c r="HRC200" s="537"/>
      <c r="HRD200" s="537"/>
      <c r="HRE200" s="537"/>
      <c r="HRF200" s="537"/>
      <c r="HRG200" s="537"/>
      <c r="HRH200" s="537"/>
      <c r="HRI200" s="537"/>
      <c r="HRJ200" s="537"/>
      <c r="HRK200" s="537"/>
      <c r="HRL200" s="537"/>
      <c r="HRM200" s="537"/>
      <c r="HRN200" s="537"/>
      <c r="HRO200" s="537"/>
      <c r="HRP200" s="537"/>
      <c r="HRQ200" s="537"/>
      <c r="HRR200" s="537"/>
      <c r="HRS200" s="537"/>
      <c r="HRT200" s="537"/>
      <c r="HRU200" s="537"/>
      <c r="HRV200" s="537"/>
      <c r="HRW200" s="537"/>
      <c r="HRX200" s="537"/>
      <c r="HRY200" s="537"/>
      <c r="HRZ200" s="537"/>
      <c r="HSA200" s="537"/>
      <c r="HSB200" s="537"/>
      <c r="HSC200" s="537"/>
      <c r="HSD200" s="537"/>
      <c r="HSE200" s="537"/>
      <c r="HSF200" s="537"/>
      <c r="HSG200" s="537"/>
      <c r="HSH200" s="537"/>
      <c r="HSI200" s="537"/>
      <c r="HSJ200" s="537"/>
      <c r="HSK200" s="537"/>
      <c r="HSL200" s="537"/>
      <c r="HSM200" s="537"/>
      <c r="HSN200" s="537"/>
      <c r="HSO200" s="537"/>
      <c r="HSP200" s="537"/>
      <c r="HSQ200" s="537"/>
      <c r="HSR200" s="537"/>
      <c r="HSS200" s="537"/>
      <c r="HST200" s="537"/>
      <c r="HSU200" s="537"/>
      <c r="HSV200" s="537"/>
      <c r="HSW200" s="537"/>
      <c r="HSX200" s="537"/>
      <c r="HSY200" s="537"/>
      <c r="HSZ200" s="537"/>
      <c r="HTA200" s="537"/>
      <c r="HTB200" s="537"/>
      <c r="HTC200" s="537"/>
      <c r="HTD200" s="537"/>
      <c r="HTE200" s="537"/>
      <c r="HTF200" s="537"/>
      <c r="HTG200" s="537"/>
      <c r="HTH200" s="537"/>
      <c r="HTI200" s="537"/>
      <c r="HTJ200" s="537"/>
      <c r="HTK200" s="537"/>
      <c r="HTL200" s="537"/>
      <c r="HTM200" s="537"/>
      <c r="HTN200" s="537"/>
      <c r="HTO200" s="537"/>
      <c r="HTP200" s="537"/>
      <c r="HTQ200" s="537"/>
      <c r="HTR200" s="537"/>
      <c r="HTS200" s="537"/>
      <c r="HTT200" s="537"/>
      <c r="HTU200" s="537"/>
      <c r="HTV200" s="537"/>
      <c r="HTW200" s="537"/>
      <c r="HTX200" s="537"/>
      <c r="HTY200" s="537"/>
      <c r="HTZ200" s="537"/>
      <c r="HUA200" s="537"/>
      <c r="HUB200" s="537"/>
      <c r="HUC200" s="537"/>
      <c r="HUD200" s="537"/>
      <c r="HUE200" s="537"/>
      <c r="HUF200" s="537"/>
      <c r="HUG200" s="537"/>
      <c r="HUH200" s="537"/>
      <c r="HUI200" s="537"/>
      <c r="HUJ200" s="537"/>
      <c r="HUK200" s="537"/>
      <c r="HUL200" s="537"/>
      <c r="HUM200" s="537"/>
      <c r="HUN200" s="537"/>
      <c r="HUO200" s="537"/>
      <c r="HUP200" s="537"/>
      <c r="HUQ200" s="537"/>
      <c r="HUR200" s="537"/>
      <c r="HUS200" s="537"/>
      <c r="HUT200" s="537"/>
      <c r="HUU200" s="537"/>
      <c r="HUV200" s="537"/>
      <c r="HUW200" s="537"/>
      <c r="HUX200" s="537"/>
      <c r="HUY200" s="537"/>
      <c r="HUZ200" s="537"/>
      <c r="HVA200" s="537"/>
      <c r="HVB200" s="537"/>
      <c r="HVC200" s="537"/>
      <c r="HVD200" s="537"/>
      <c r="HVE200" s="537"/>
      <c r="HVF200" s="537"/>
      <c r="HVG200" s="537"/>
      <c r="HVH200" s="537"/>
      <c r="HVI200" s="537"/>
      <c r="HVJ200" s="537"/>
      <c r="HVK200" s="537"/>
      <c r="HVL200" s="537"/>
      <c r="HVM200" s="537"/>
      <c r="HVN200" s="537"/>
      <c r="HVO200" s="537"/>
      <c r="HVP200" s="537"/>
      <c r="HVQ200" s="537"/>
      <c r="HVR200" s="537"/>
      <c r="HVS200" s="537"/>
      <c r="HVT200" s="537"/>
      <c r="HVU200" s="537"/>
      <c r="HVV200" s="537"/>
      <c r="HVW200" s="537"/>
      <c r="HVX200" s="537"/>
      <c r="HVY200" s="537"/>
      <c r="HVZ200" s="537"/>
      <c r="HWA200" s="537"/>
      <c r="HWB200" s="537"/>
      <c r="HWC200" s="537"/>
      <c r="HWD200" s="537"/>
      <c r="HWE200" s="537"/>
      <c r="HWF200" s="537"/>
      <c r="HWG200" s="537"/>
      <c r="HWH200" s="537"/>
      <c r="HWI200" s="537"/>
      <c r="HWJ200" s="537"/>
      <c r="HWK200" s="537"/>
      <c r="HWL200" s="537"/>
      <c r="HWM200" s="537"/>
      <c r="HWN200" s="537"/>
      <c r="HWO200" s="537"/>
      <c r="HWP200" s="537"/>
      <c r="HWQ200" s="537"/>
      <c r="HWR200" s="537"/>
      <c r="HWS200" s="537"/>
      <c r="HWT200" s="537"/>
      <c r="HWU200" s="537"/>
      <c r="HWV200" s="537"/>
      <c r="HWW200" s="537"/>
      <c r="HWX200" s="537"/>
      <c r="HWY200" s="537"/>
      <c r="HWZ200" s="537"/>
      <c r="HXA200" s="537"/>
      <c r="HXB200" s="537"/>
      <c r="HXC200" s="537"/>
      <c r="HXD200" s="537"/>
      <c r="HXE200" s="537"/>
      <c r="HXF200" s="537"/>
      <c r="HXG200" s="537"/>
      <c r="HXH200" s="537"/>
      <c r="HXI200" s="537"/>
      <c r="HXJ200" s="537"/>
      <c r="HXK200" s="537"/>
      <c r="HXL200" s="537"/>
      <c r="HXM200" s="537"/>
      <c r="HXN200" s="537"/>
      <c r="HXO200" s="537"/>
      <c r="HXP200" s="537"/>
      <c r="HXQ200" s="537"/>
      <c r="HXR200" s="537"/>
      <c r="HXS200" s="537"/>
      <c r="HXT200" s="537"/>
      <c r="HXU200" s="537"/>
      <c r="HXV200" s="537"/>
      <c r="HXW200" s="537"/>
      <c r="HXX200" s="537"/>
      <c r="HXY200" s="537"/>
      <c r="HXZ200" s="537"/>
      <c r="HYA200" s="537"/>
      <c r="HYB200" s="537"/>
      <c r="HYC200" s="537"/>
      <c r="HYD200" s="537"/>
      <c r="HYE200" s="537"/>
      <c r="HYF200" s="537"/>
      <c r="HYG200" s="537"/>
      <c r="HYH200" s="537"/>
      <c r="HYI200" s="537"/>
      <c r="HYJ200" s="537"/>
      <c r="HYK200" s="537"/>
      <c r="HYL200" s="537"/>
      <c r="HYM200" s="537"/>
      <c r="HYN200" s="537"/>
      <c r="HYO200" s="537"/>
      <c r="HYP200" s="537"/>
      <c r="HYQ200" s="537"/>
      <c r="HYR200" s="537"/>
      <c r="HYS200" s="537"/>
      <c r="HYT200" s="537"/>
      <c r="HYU200" s="537"/>
      <c r="HYV200" s="537"/>
      <c r="HYW200" s="537"/>
      <c r="HYX200" s="537"/>
      <c r="HYY200" s="537"/>
      <c r="HYZ200" s="537"/>
      <c r="HZA200" s="537"/>
      <c r="HZB200" s="537"/>
      <c r="HZC200" s="537"/>
      <c r="HZD200" s="537"/>
      <c r="HZE200" s="537"/>
      <c r="HZF200" s="537"/>
      <c r="HZG200" s="537"/>
      <c r="HZH200" s="537"/>
      <c r="HZI200" s="537"/>
      <c r="HZJ200" s="537"/>
      <c r="HZK200" s="537"/>
      <c r="HZL200" s="537"/>
      <c r="HZM200" s="537"/>
      <c r="HZN200" s="537"/>
      <c r="HZO200" s="537"/>
      <c r="HZP200" s="537"/>
      <c r="HZQ200" s="537"/>
      <c r="HZR200" s="537"/>
      <c r="HZS200" s="537"/>
      <c r="HZT200" s="537"/>
      <c r="HZU200" s="537"/>
      <c r="HZV200" s="537"/>
      <c r="HZW200" s="537"/>
      <c r="HZX200" s="537"/>
      <c r="HZY200" s="537"/>
      <c r="HZZ200" s="537"/>
      <c r="IAA200" s="537"/>
      <c r="IAB200" s="537"/>
      <c r="IAC200" s="537"/>
      <c r="IAD200" s="537"/>
      <c r="IAE200" s="537"/>
      <c r="IAF200" s="537"/>
      <c r="IAG200" s="537"/>
      <c r="IAH200" s="537"/>
      <c r="IAI200" s="537"/>
      <c r="IAJ200" s="537"/>
      <c r="IAK200" s="537"/>
      <c r="IAL200" s="537"/>
      <c r="IAM200" s="537"/>
      <c r="IAN200" s="537"/>
      <c r="IAO200" s="537"/>
      <c r="IAP200" s="537"/>
      <c r="IAQ200" s="537"/>
      <c r="IAR200" s="537"/>
      <c r="IAS200" s="537"/>
      <c r="IAT200" s="537"/>
      <c r="IAU200" s="537"/>
      <c r="IAV200" s="537"/>
      <c r="IAW200" s="537"/>
      <c r="IAX200" s="537"/>
      <c r="IAY200" s="537"/>
      <c r="IAZ200" s="537"/>
      <c r="IBA200" s="537"/>
      <c r="IBB200" s="537"/>
      <c r="IBC200" s="537"/>
      <c r="IBD200" s="537"/>
      <c r="IBE200" s="537"/>
      <c r="IBF200" s="537"/>
      <c r="IBG200" s="537"/>
      <c r="IBH200" s="537"/>
      <c r="IBI200" s="537"/>
      <c r="IBJ200" s="537"/>
      <c r="IBK200" s="537"/>
      <c r="IBL200" s="537"/>
      <c r="IBM200" s="537"/>
      <c r="IBN200" s="537"/>
      <c r="IBO200" s="537"/>
      <c r="IBP200" s="537"/>
      <c r="IBQ200" s="537"/>
      <c r="IBR200" s="537"/>
      <c r="IBS200" s="537"/>
      <c r="IBT200" s="537"/>
      <c r="IBU200" s="537"/>
      <c r="IBV200" s="537"/>
      <c r="IBW200" s="537"/>
      <c r="IBX200" s="537"/>
      <c r="IBY200" s="537"/>
      <c r="IBZ200" s="537"/>
      <c r="ICA200" s="537"/>
      <c r="ICB200" s="537"/>
      <c r="ICC200" s="537"/>
      <c r="ICD200" s="537"/>
      <c r="ICE200" s="537"/>
      <c r="ICF200" s="537"/>
      <c r="ICG200" s="537"/>
      <c r="ICH200" s="537"/>
      <c r="ICI200" s="537"/>
      <c r="ICJ200" s="537"/>
      <c r="ICK200" s="537"/>
      <c r="ICL200" s="537"/>
      <c r="ICM200" s="537"/>
      <c r="ICN200" s="537"/>
      <c r="ICO200" s="537"/>
      <c r="ICP200" s="537"/>
      <c r="ICQ200" s="537"/>
      <c r="ICR200" s="537"/>
      <c r="ICS200" s="537"/>
      <c r="ICT200" s="537"/>
      <c r="ICU200" s="537"/>
      <c r="ICV200" s="537"/>
      <c r="ICW200" s="537"/>
      <c r="ICX200" s="537"/>
      <c r="ICY200" s="537"/>
      <c r="ICZ200" s="537"/>
      <c r="IDA200" s="537"/>
      <c r="IDB200" s="537"/>
      <c r="IDC200" s="537"/>
      <c r="IDD200" s="537"/>
      <c r="IDE200" s="537"/>
      <c r="IDF200" s="537"/>
      <c r="IDG200" s="537"/>
      <c r="IDH200" s="537"/>
      <c r="IDI200" s="537"/>
      <c r="IDJ200" s="537"/>
      <c r="IDK200" s="537"/>
      <c r="IDL200" s="537"/>
      <c r="IDM200" s="537"/>
      <c r="IDN200" s="537"/>
      <c r="IDO200" s="537"/>
      <c r="IDP200" s="537"/>
      <c r="IDQ200" s="537"/>
      <c r="IDR200" s="537"/>
      <c r="IDS200" s="537"/>
      <c r="IDT200" s="537"/>
      <c r="IDU200" s="537"/>
      <c r="IDV200" s="537"/>
      <c r="IDW200" s="537"/>
      <c r="IDX200" s="537"/>
      <c r="IDY200" s="537"/>
      <c r="IDZ200" s="537"/>
      <c r="IEA200" s="537"/>
      <c r="IEB200" s="537"/>
      <c r="IEC200" s="537"/>
      <c r="IED200" s="537"/>
      <c r="IEE200" s="537"/>
      <c r="IEF200" s="537"/>
      <c r="IEG200" s="537"/>
      <c r="IEH200" s="537"/>
      <c r="IEI200" s="537"/>
      <c r="IEJ200" s="537"/>
      <c r="IEK200" s="537"/>
      <c r="IEL200" s="537"/>
      <c r="IEM200" s="537"/>
      <c r="IEN200" s="537"/>
      <c r="IEO200" s="537"/>
      <c r="IEP200" s="537"/>
      <c r="IEQ200" s="537"/>
      <c r="IER200" s="537"/>
      <c r="IES200" s="537"/>
      <c r="IET200" s="537"/>
      <c r="IEU200" s="537"/>
      <c r="IEV200" s="537"/>
      <c r="IEW200" s="537"/>
      <c r="IEX200" s="537"/>
      <c r="IEY200" s="537"/>
      <c r="IEZ200" s="537"/>
      <c r="IFA200" s="537"/>
      <c r="IFB200" s="537"/>
      <c r="IFC200" s="537"/>
      <c r="IFD200" s="537"/>
      <c r="IFE200" s="537"/>
      <c r="IFF200" s="537"/>
      <c r="IFG200" s="537"/>
      <c r="IFH200" s="537"/>
      <c r="IFI200" s="537"/>
      <c r="IFJ200" s="537"/>
      <c r="IFK200" s="537"/>
      <c r="IFL200" s="537"/>
      <c r="IFM200" s="537"/>
      <c r="IFN200" s="537"/>
      <c r="IFO200" s="537"/>
      <c r="IFP200" s="537"/>
      <c r="IFQ200" s="537"/>
      <c r="IFR200" s="537"/>
      <c r="IFS200" s="537"/>
      <c r="IFT200" s="537"/>
      <c r="IFU200" s="537"/>
      <c r="IFV200" s="537"/>
      <c r="IFW200" s="537"/>
      <c r="IFX200" s="537"/>
      <c r="IFY200" s="537"/>
      <c r="IFZ200" s="537"/>
      <c r="IGA200" s="537"/>
      <c r="IGB200" s="537"/>
      <c r="IGC200" s="537"/>
      <c r="IGD200" s="537"/>
      <c r="IGE200" s="537"/>
      <c r="IGF200" s="537"/>
      <c r="IGG200" s="537"/>
      <c r="IGH200" s="537"/>
      <c r="IGI200" s="537"/>
      <c r="IGJ200" s="537"/>
      <c r="IGK200" s="537"/>
      <c r="IGL200" s="537"/>
      <c r="IGM200" s="537"/>
      <c r="IGN200" s="537"/>
      <c r="IGO200" s="537"/>
      <c r="IGP200" s="537"/>
      <c r="IGQ200" s="537"/>
      <c r="IGR200" s="537"/>
      <c r="IGS200" s="537"/>
      <c r="IGT200" s="537"/>
      <c r="IGU200" s="537"/>
      <c r="IGV200" s="537"/>
      <c r="IGW200" s="537"/>
      <c r="IGX200" s="537"/>
      <c r="IGY200" s="537"/>
      <c r="IGZ200" s="537"/>
      <c r="IHA200" s="537"/>
      <c r="IHB200" s="537"/>
      <c r="IHC200" s="537"/>
      <c r="IHD200" s="537"/>
      <c r="IHE200" s="537"/>
      <c r="IHF200" s="537"/>
      <c r="IHG200" s="537"/>
      <c r="IHH200" s="537"/>
      <c r="IHI200" s="537"/>
      <c r="IHJ200" s="537"/>
      <c r="IHK200" s="537"/>
      <c r="IHL200" s="537"/>
      <c r="IHM200" s="537"/>
      <c r="IHN200" s="537"/>
      <c r="IHO200" s="537"/>
      <c r="IHP200" s="537"/>
      <c r="IHQ200" s="537"/>
      <c r="IHR200" s="537"/>
      <c r="IHS200" s="537"/>
      <c r="IHT200" s="537"/>
      <c r="IHU200" s="537"/>
      <c r="IHV200" s="537"/>
      <c r="IHW200" s="537"/>
      <c r="IHX200" s="537"/>
      <c r="IHY200" s="537"/>
      <c r="IHZ200" s="537"/>
      <c r="IIA200" s="537"/>
      <c r="IIB200" s="537"/>
      <c r="IIC200" s="537"/>
      <c r="IID200" s="537"/>
      <c r="IIE200" s="537"/>
      <c r="IIF200" s="537"/>
      <c r="IIG200" s="537"/>
      <c r="IIH200" s="537"/>
      <c r="III200" s="537"/>
      <c r="IIJ200" s="537"/>
      <c r="IIK200" s="537"/>
      <c r="IIL200" s="537"/>
      <c r="IIM200" s="537"/>
      <c r="IIN200" s="537"/>
      <c r="IIO200" s="537"/>
      <c r="IIP200" s="537"/>
      <c r="IIQ200" s="537"/>
      <c r="IIR200" s="537"/>
      <c r="IIS200" s="537"/>
      <c r="IIT200" s="537"/>
      <c r="IIU200" s="537"/>
      <c r="IIV200" s="537"/>
      <c r="IIW200" s="537"/>
      <c r="IIX200" s="537"/>
      <c r="IIY200" s="537"/>
      <c r="IIZ200" s="537"/>
      <c r="IJA200" s="537"/>
      <c r="IJB200" s="537"/>
      <c r="IJC200" s="537"/>
      <c r="IJD200" s="537"/>
      <c r="IJE200" s="537"/>
      <c r="IJF200" s="537"/>
      <c r="IJG200" s="537"/>
      <c r="IJH200" s="537"/>
      <c r="IJI200" s="537"/>
      <c r="IJJ200" s="537"/>
      <c r="IJK200" s="537"/>
      <c r="IJL200" s="537"/>
      <c r="IJM200" s="537"/>
      <c r="IJN200" s="537"/>
      <c r="IJO200" s="537"/>
      <c r="IJP200" s="537"/>
      <c r="IJQ200" s="537"/>
      <c r="IJR200" s="537"/>
      <c r="IJS200" s="537"/>
      <c r="IJT200" s="537"/>
      <c r="IJU200" s="537"/>
      <c r="IJV200" s="537"/>
      <c r="IJW200" s="537"/>
      <c r="IJX200" s="537"/>
      <c r="IJY200" s="537"/>
      <c r="IJZ200" s="537"/>
      <c r="IKA200" s="537"/>
      <c r="IKB200" s="537"/>
      <c r="IKC200" s="537"/>
      <c r="IKD200" s="537"/>
      <c r="IKE200" s="537"/>
      <c r="IKF200" s="537"/>
      <c r="IKG200" s="537"/>
      <c r="IKH200" s="537"/>
      <c r="IKI200" s="537"/>
      <c r="IKJ200" s="537"/>
      <c r="IKK200" s="537"/>
      <c r="IKL200" s="537"/>
      <c r="IKM200" s="537"/>
      <c r="IKN200" s="537"/>
      <c r="IKO200" s="537"/>
      <c r="IKP200" s="537"/>
      <c r="IKQ200" s="537"/>
      <c r="IKR200" s="537"/>
      <c r="IKS200" s="537"/>
      <c r="IKT200" s="537"/>
      <c r="IKU200" s="537"/>
      <c r="IKV200" s="537"/>
      <c r="IKW200" s="537"/>
      <c r="IKX200" s="537"/>
      <c r="IKY200" s="537"/>
      <c r="IKZ200" s="537"/>
      <c r="ILA200" s="537"/>
      <c r="ILB200" s="537"/>
      <c r="ILC200" s="537"/>
      <c r="ILD200" s="537"/>
      <c r="ILE200" s="537"/>
      <c r="ILF200" s="537"/>
      <c r="ILG200" s="537"/>
      <c r="ILH200" s="537"/>
      <c r="ILI200" s="537"/>
      <c r="ILJ200" s="537"/>
      <c r="ILK200" s="537"/>
      <c r="ILL200" s="537"/>
      <c r="ILM200" s="537"/>
      <c r="ILN200" s="537"/>
      <c r="ILO200" s="537"/>
      <c r="ILP200" s="537"/>
      <c r="ILQ200" s="537"/>
      <c r="ILR200" s="537"/>
      <c r="ILS200" s="537"/>
      <c r="ILT200" s="537"/>
      <c r="ILU200" s="537"/>
      <c r="ILV200" s="537"/>
      <c r="ILW200" s="537"/>
      <c r="ILX200" s="537"/>
      <c r="ILY200" s="537"/>
      <c r="ILZ200" s="537"/>
      <c r="IMA200" s="537"/>
      <c r="IMB200" s="537"/>
      <c r="IMC200" s="537"/>
      <c r="IMD200" s="537"/>
      <c r="IME200" s="537"/>
      <c r="IMF200" s="537"/>
      <c r="IMG200" s="537"/>
      <c r="IMH200" s="537"/>
      <c r="IMI200" s="537"/>
      <c r="IMJ200" s="537"/>
      <c r="IMK200" s="537"/>
      <c r="IML200" s="537"/>
      <c r="IMM200" s="537"/>
      <c r="IMN200" s="537"/>
      <c r="IMO200" s="537"/>
      <c r="IMP200" s="537"/>
      <c r="IMQ200" s="537"/>
      <c r="IMR200" s="537"/>
      <c r="IMS200" s="537"/>
      <c r="IMT200" s="537"/>
      <c r="IMU200" s="537"/>
      <c r="IMV200" s="537"/>
      <c r="IMW200" s="537"/>
      <c r="IMX200" s="537"/>
      <c r="IMY200" s="537"/>
      <c r="IMZ200" s="537"/>
      <c r="INA200" s="537"/>
      <c r="INB200" s="537"/>
      <c r="INC200" s="537"/>
      <c r="IND200" s="537"/>
      <c r="INE200" s="537"/>
      <c r="INF200" s="537"/>
      <c r="ING200" s="537"/>
      <c r="INH200" s="537"/>
      <c r="INI200" s="537"/>
      <c r="INJ200" s="537"/>
      <c r="INK200" s="537"/>
      <c r="INL200" s="537"/>
      <c r="INM200" s="537"/>
      <c r="INN200" s="537"/>
      <c r="INO200" s="537"/>
      <c r="INP200" s="537"/>
      <c r="INQ200" s="537"/>
      <c r="INR200" s="537"/>
      <c r="INS200" s="537"/>
      <c r="INT200" s="537"/>
      <c r="INU200" s="537"/>
      <c r="INV200" s="537"/>
      <c r="INW200" s="537"/>
      <c r="INX200" s="537"/>
      <c r="INY200" s="537"/>
      <c r="INZ200" s="537"/>
      <c r="IOA200" s="537"/>
      <c r="IOB200" s="537"/>
      <c r="IOC200" s="537"/>
      <c r="IOD200" s="537"/>
      <c r="IOE200" s="537"/>
      <c r="IOF200" s="537"/>
      <c r="IOG200" s="537"/>
      <c r="IOH200" s="537"/>
      <c r="IOI200" s="537"/>
      <c r="IOJ200" s="537"/>
      <c r="IOK200" s="537"/>
      <c r="IOL200" s="537"/>
      <c r="IOM200" s="537"/>
      <c r="ION200" s="537"/>
      <c r="IOO200" s="537"/>
      <c r="IOP200" s="537"/>
      <c r="IOQ200" s="537"/>
      <c r="IOR200" s="537"/>
      <c r="IOS200" s="537"/>
      <c r="IOT200" s="537"/>
      <c r="IOU200" s="537"/>
      <c r="IOV200" s="537"/>
      <c r="IOW200" s="537"/>
      <c r="IOX200" s="537"/>
      <c r="IOY200" s="537"/>
      <c r="IOZ200" s="537"/>
      <c r="IPA200" s="537"/>
      <c r="IPB200" s="537"/>
      <c r="IPC200" s="537"/>
      <c r="IPD200" s="537"/>
      <c r="IPE200" s="537"/>
      <c r="IPF200" s="537"/>
      <c r="IPG200" s="537"/>
      <c r="IPH200" s="537"/>
      <c r="IPI200" s="537"/>
      <c r="IPJ200" s="537"/>
      <c r="IPK200" s="537"/>
      <c r="IPL200" s="537"/>
      <c r="IPM200" s="537"/>
      <c r="IPN200" s="537"/>
      <c r="IPO200" s="537"/>
      <c r="IPP200" s="537"/>
      <c r="IPQ200" s="537"/>
      <c r="IPR200" s="537"/>
      <c r="IPS200" s="537"/>
      <c r="IPT200" s="537"/>
      <c r="IPU200" s="537"/>
      <c r="IPV200" s="537"/>
      <c r="IPW200" s="537"/>
      <c r="IPX200" s="537"/>
      <c r="IPY200" s="537"/>
      <c r="IPZ200" s="537"/>
      <c r="IQA200" s="537"/>
      <c r="IQB200" s="537"/>
      <c r="IQC200" s="537"/>
      <c r="IQD200" s="537"/>
      <c r="IQE200" s="537"/>
      <c r="IQF200" s="537"/>
      <c r="IQG200" s="537"/>
      <c r="IQH200" s="537"/>
      <c r="IQI200" s="537"/>
      <c r="IQJ200" s="537"/>
      <c r="IQK200" s="537"/>
      <c r="IQL200" s="537"/>
      <c r="IQM200" s="537"/>
      <c r="IQN200" s="537"/>
      <c r="IQO200" s="537"/>
      <c r="IQP200" s="537"/>
      <c r="IQQ200" s="537"/>
      <c r="IQR200" s="537"/>
      <c r="IQS200" s="537"/>
      <c r="IQT200" s="537"/>
      <c r="IQU200" s="537"/>
      <c r="IQV200" s="537"/>
      <c r="IQW200" s="537"/>
      <c r="IQX200" s="537"/>
      <c r="IQY200" s="537"/>
      <c r="IQZ200" s="537"/>
      <c r="IRA200" s="537"/>
      <c r="IRB200" s="537"/>
      <c r="IRC200" s="537"/>
      <c r="IRD200" s="537"/>
      <c r="IRE200" s="537"/>
      <c r="IRF200" s="537"/>
      <c r="IRG200" s="537"/>
      <c r="IRH200" s="537"/>
      <c r="IRI200" s="537"/>
      <c r="IRJ200" s="537"/>
      <c r="IRK200" s="537"/>
      <c r="IRL200" s="537"/>
      <c r="IRM200" s="537"/>
      <c r="IRN200" s="537"/>
      <c r="IRO200" s="537"/>
      <c r="IRP200" s="537"/>
      <c r="IRQ200" s="537"/>
      <c r="IRR200" s="537"/>
      <c r="IRS200" s="537"/>
      <c r="IRT200" s="537"/>
      <c r="IRU200" s="537"/>
      <c r="IRV200" s="537"/>
      <c r="IRW200" s="537"/>
      <c r="IRX200" s="537"/>
      <c r="IRY200" s="537"/>
      <c r="IRZ200" s="537"/>
      <c r="ISA200" s="537"/>
      <c r="ISB200" s="537"/>
      <c r="ISC200" s="537"/>
      <c r="ISD200" s="537"/>
      <c r="ISE200" s="537"/>
      <c r="ISF200" s="537"/>
      <c r="ISG200" s="537"/>
      <c r="ISH200" s="537"/>
      <c r="ISI200" s="537"/>
      <c r="ISJ200" s="537"/>
      <c r="ISK200" s="537"/>
      <c r="ISL200" s="537"/>
      <c r="ISM200" s="537"/>
      <c r="ISN200" s="537"/>
      <c r="ISO200" s="537"/>
      <c r="ISP200" s="537"/>
      <c r="ISQ200" s="537"/>
      <c r="ISR200" s="537"/>
      <c r="ISS200" s="537"/>
      <c r="IST200" s="537"/>
      <c r="ISU200" s="537"/>
      <c r="ISV200" s="537"/>
      <c r="ISW200" s="537"/>
      <c r="ISX200" s="537"/>
      <c r="ISY200" s="537"/>
      <c r="ISZ200" s="537"/>
      <c r="ITA200" s="537"/>
      <c r="ITB200" s="537"/>
      <c r="ITC200" s="537"/>
      <c r="ITD200" s="537"/>
      <c r="ITE200" s="537"/>
      <c r="ITF200" s="537"/>
      <c r="ITG200" s="537"/>
      <c r="ITH200" s="537"/>
      <c r="ITI200" s="537"/>
      <c r="ITJ200" s="537"/>
      <c r="ITK200" s="537"/>
      <c r="ITL200" s="537"/>
      <c r="ITM200" s="537"/>
      <c r="ITN200" s="537"/>
      <c r="ITO200" s="537"/>
      <c r="ITP200" s="537"/>
      <c r="ITQ200" s="537"/>
      <c r="ITR200" s="537"/>
      <c r="ITS200" s="537"/>
      <c r="ITT200" s="537"/>
      <c r="ITU200" s="537"/>
      <c r="ITV200" s="537"/>
      <c r="ITW200" s="537"/>
      <c r="ITX200" s="537"/>
      <c r="ITY200" s="537"/>
      <c r="ITZ200" s="537"/>
      <c r="IUA200" s="537"/>
      <c r="IUB200" s="537"/>
      <c r="IUC200" s="537"/>
      <c r="IUD200" s="537"/>
      <c r="IUE200" s="537"/>
      <c r="IUF200" s="537"/>
      <c r="IUG200" s="537"/>
      <c r="IUH200" s="537"/>
      <c r="IUI200" s="537"/>
      <c r="IUJ200" s="537"/>
      <c r="IUK200" s="537"/>
      <c r="IUL200" s="537"/>
      <c r="IUM200" s="537"/>
      <c r="IUN200" s="537"/>
      <c r="IUO200" s="537"/>
      <c r="IUP200" s="537"/>
      <c r="IUQ200" s="537"/>
      <c r="IUR200" s="537"/>
      <c r="IUS200" s="537"/>
      <c r="IUT200" s="537"/>
      <c r="IUU200" s="537"/>
      <c r="IUV200" s="537"/>
      <c r="IUW200" s="537"/>
      <c r="IUX200" s="537"/>
      <c r="IUY200" s="537"/>
      <c r="IUZ200" s="537"/>
      <c r="IVA200" s="537"/>
      <c r="IVB200" s="537"/>
      <c r="IVC200" s="537"/>
      <c r="IVD200" s="537"/>
      <c r="IVE200" s="537"/>
      <c r="IVF200" s="537"/>
      <c r="IVG200" s="537"/>
      <c r="IVH200" s="537"/>
      <c r="IVI200" s="537"/>
      <c r="IVJ200" s="537"/>
      <c r="IVK200" s="537"/>
      <c r="IVL200" s="537"/>
      <c r="IVM200" s="537"/>
      <c r="IVN200" s="537"/>
      <c r="IVO200" s="537"/>
      <c r="IVP200" s="537"/>
      <c r="IVQ200" s="537"/>
      <c r="IVR200" s="537"/>
      <c r="IVS200" s="537"/>
      <c r="IVT200" s="537"/>
      <c r="IVU200" s="537"/>
      <c r="IVV200" s="537"/>
      <c r="IVW200" s="537"/>
      <c r="IVX200" s="537"/>
      <c r="IVY200" s="537"/>
      <c r="IVZ200" s="537"/>
      <c r="IWA200" s="537"/>
      <c r="IWB200" s="537"/>
      <c r="IWC200" s="537"/>
      <c r="IWD200" s="537"/>
      <c r="IWE200" s="537"/>
      <c r="IWF200" s="537"/>
      <c r="IWG200" s="537"/>
      <c r="IWH200" s="537"/>
      <c r="IWI200" s="537"/>
      <c r="IWJ200" s="537"/>
      <c r="IWK200" s="537"/>
      <c r="IWL200" s="537"/>
      <c r="IWM200" s="537"/>
      <c r="IWN200" s="537"/>
      <c r="IWO200" s="537"/>
      <c r="IWP200" s="537"/>
      <c r="IWQ200" s="537"/>
      <c r="IWR200" s="537"/>
      <c r="IWS200" s="537"/>
      <c r="IWT200" s="537"/>
      <c r="IWU200" s="537"/>
      <c r="IWV200" s="537"/>
      <c r="IWW200" s="537"/>
      <c r="IWX200" s="537"/>
      <c r="IWY200" s="537"/>
      <c r="IWZ200" s="537"/>
      <c r="IXA200" s="537"/>
      <c r="IXB200" s="537"/>
      <c r="IXC200" s="537"/>
      <c r="IXD200" s="537"/>
      <c r="IXE200" s="537"/>
      <c r="IXF200" s="537"/>
      <c r="IXG200" s="537"/>
      <c r="IXH200" s="537"/>
      <c r="IXI200" s="537"/>
      <c r="IXJ200" s="537"/>
      <c r="IXK200" s="537"/>
      <c r="IXL200" s="537"/>
      <c r="IXM200" s="537"/>
      <c r="IXN200" s="537"/>
      <c r="IXO200" s="537"/>
      <c r="IXP200" s="537"/>
      <c r="IXQ200" s="537"/>
      <c r="IXR200" s="537"/>
      <c r="IXS200" s="537"/>
      <c r="IXT200" s="537"/>
      <c r="IXU200" s="537"/>
      <c r="IXV200" s="537"/>
      <c r="IXW200" s="537"/>
      <c r="IXX200" s="537"/>
      <c r="IXY200" s="537"/>
      <c r="IXZ200" s="537"/>
      <c r="IYA200" s="537"/>
      <c r="IYB200" s="537"/>
      <c r="IYC200" s="537"/>
      <c r="IYD200" s="537"/>
      <c r="IYE200" s="537"/>
      <c r="IYF200" s="537"/>
      <c r="IYG200" s="537"/>
      <c r="IYH200" s="537"/>
      <c r="IYI200" s="537"/>
      <c r="IYJ200" s="537"/>
      <c r="IYK200" s="537"/>
      <c r="IYL200" s="537"/>
      <c r="IYM200" s="537"/>
      <c r="IYN200" s="537"/>
      <c r="IYO200" s="537"/>
      <c r="IYP200" s="537"/>
      <c r="IYQ200" s="537"/>
      <c r="IYR200" s="537"/>
      <c r="IYS200" s="537"/>
      <c r="IYT200" s="537"/>
      <c r="IYU200" s="537"/>
      <c r="IYV200" s="537"/>
      <c r="IYW200" s="537"/>
      <c r="IYX200" s="537"/>
      <c r="IYY200" s="537"/>
      <c r="IYZ200" s="537"/>
      <c r="IZA200" s="537"/>
      <c r="IZB200" s="537"/>
      <c r="IZC200" s="537"/>
      <c r="IZD200" s="537"/>
      <c r="IZE200" s="537"/>
      <c r="IZF200" s="537"/>
      <c r="IZG200" s="537"/>
      <c r="IZH200" s="537"/>
      <c r="IZI200" s="537"/>
      <c r="IZJ200" s="537"/>
      <c r="IZK200" s="537"/>
      <c r="IZL200" s="537"/>
      <c r="IZM200" s="537"/>
      <c r="IZN200" s="537"/>
      <c r="IZO200" s="537"/>
      <c r="IZP200" s="537"/>
      <c r="IZQ200" s="537"/>
      <c r="IZR200" s="537"/>
      <c r="IZS200" s="537"/>
      <c r="IZT200" s="537"/>
      <c r="IZU200" s="537"/>
      <c r="IZV200" s="537"/>
      <c r="IZW200" s="537"/>
      <c r="IZX200" s="537"/>
      <c r="IZY200" s="537"/>
      <c r="IZZ200" s="537"/>
      <c r="JAA200" s="537"/>
      <c r="JAB200" s="537"/>
      <c r="JAC200" s="537"/>
      <c r="JAD200" s="537"/>
      <c r="JAE200" s="537"/>
      <c r="JAF200" s="537"/>
      <c r="JAG200" s="537"/>
      <c r="JAH200" s="537"/>
      <c r="JAI200" s="537"/>
      <c r="JAJ200" s="537"/>
      <c r="JAK200" s="537"/>
      <c r="JAL200" s="537"/>
      <c r="JAM200" s="537"/>
      <c r="JAN200" s="537"/>
      <c r="JAO200" s="537"/>
      <c r="JAP200" s="537"/>
      <c r="JAQ200" s="537"/>
      <c r="JAR200" s="537"/>
      <c r="JAS200" s="537"/>
      <c r="JAT200" s="537"/>
      <c r="JAU200" s="537"/>
      <c r="JAV200" s="537"/>
      <c r="JAW200" s="537"/>
      <c r="JAX200" s="537"/>
      <c r="JAY200" s="537"/>
      <c r="JAZ200" s="537"/>
      <c r="JBA200" s="537"/>
      <c r="JBB200" s="537"/>
      <c r="JBC200" s="537"/>
      <c r="JBD200" s="537"/>
      <c r="JBE200" s="537"/>
      <c r="JBF200" s="537"/>
      <c r="JBG200" s="537"/>
      <c r="JBH200" s="537"/>
      <c r="JBI200" s="537"/>
      <c r="JBJ200" s="537"/>
      <c r="JBK200" s="537"/>
      <c r="JBL200" s="537"/>
      <c r="JBM200" s="537"/>
      <c r="JBN200" s="537"/>
      <c r="JBO200" s="537"/>
      <c r="JBP200" s="537"/>
      <c r="JBQ200" s="537"/>
      <c r="JBR200" s="537"/>
      <c r="JBS200" s="537"/>
      <c r="JBT200" s="537"/>
      <c r="JBU200" s="537"/>
      <c r="JBV200" s="537"/>
      <c r="JBW200" s="537"/>
      <c r="JBX200" s="537"/>
      <c r="JBY200" s="537"/>
      <c r="JBZ200" s="537"/>
      <c r="JCA200" s="537"/>
      <c r="JCB200" s="537"/>
      <c r="JCC200" s="537"/>
      <c r="JCD200" s="537"/>
      <c r="JCE200" s="537"/>
      <c r="JCF200" s="537"/>
      <c r="JCG200" s="537"/>
      <c r="JCH200" s="537"/>
      <c r="JCI200" s="537"/>
      <c r="JCJ200" s="537"/>
      <c r="JCK200" s="537"/>
      <c r="JCL200" s="537"/>
      <c r="JCM200" s="537"/>
      <c r="JCN200" s="537"/>
      <c r="JCO200" s="537"/>
      <c r="JCP200" s="537"/>
      <c r="JCQ200" s="537"/>
      <c r="JCR200" s="537"/>
      <c r="JCS200" s="537"/>
      <c r="JCT200" s="537"/>
      <c r="JCU200" s="537"/>
      <c r="JCV200" s="537"/>
      <c r="JCW200" s="537"/>
      <c r="JCX200" s="537"/>
      <c r="JCY200" s="537"/>
      <c r="JCZ200" s="537"/>
      <c r="JDA200" s="537"/>
      <c r="JDB200" s="537"/>
      <c r="JDC200" s="537"/>
      <c r="JDD200" s="537"/>
      <c r="JDE200" s="537"/>
      <c r="JDF200" s="537"/>
      <c r="JDG200" s="537"/>
      <c r="JDH200" s="537"/>
      <c r="JDI200" s="537"/>
      <c r="JDJ200" s="537"/>
      <c r="JDK200" s="537"/>
      <c r="JDL200" s="537"/>
      <c r="JDM200" s="537"/>
      <c r="JDN200" s="537"/>
      <c r="JDO200" s="537"/>
      <c r="JDP200" s="537"/>
      <c r="JDQ200" s="537"/>
      <c r="JDR200" s="537"/>
      <c r="JDS200" s="537"/>
      <c r="JDT200" s="537"/>
      <c r="JDU200" s="537"/>
      <c r="JDV200" s="537"/>
      <c r="JDW200" s="537"/>
      <c r="JDX200" s="537"/>
      <c r="JDY200" s="537"/>
      <c r="JDZ200" s="537"/>
      <c r="JEA200" s="537"/>
      <c r="JEB200" s="537"/>
      <c r="JEC200" s="537"/>
      <c r="JED200" s="537"/>
      <c r="JEE200" s="537"/>
      <c r="JEF200" s="537"/>
      <c r="JEG200" s="537"/>
      <c r="JEH200" s="537"/>
      <c r="JEI200" s="537"/>
      <c r="JEJ200" s="537"/>
      <c r="JEK200" s="537"/>
      <c r="JEL200" s="537"/>
      <c r="JEM200" s="537"/>
      <c r="JEN200" s="537"/>
      <c r="JEO200" s="537"/>
      <c r="JEP200" s="537"/>
      <c r="JEQ200" s="537"/>
      <c r="JER200" s="537"/>
      <c r="JES200" s="537"/>
      <c r="JET200" s="537"/>
      <c r="JEU200" s="537"/>
      <c r="JEV200" s="537"/>
      <c r="JEW200" s="537"/>
      <c r="JEX200" s="537"/>
      <c r="JEY200" s="537"/>
      <c r="JEZ200" s="537"/>
      <c r="JFA200" s="537"/>
      <c r="JFB200" s="537"/>
      <c r="JFC200" s="537"/>
      <c r="JFD200" s="537"/>
      <c r="JFE200" s="537"/>
      <c r="JFF200" s="537"/>
      <c r="JFG200" s="537"/>
      <c r="JFH200" s="537"/>
      <c r="JFI200" s="537"/>
      <c r="JFJ200" s="537"/>
      <c r="JFK200" s="537"/>
      <c r="JFL200" s="537"/>
      <c r="JFM200" s="537"/>
      <c r="JFN200" s="537"/>
      <c r="JFO200" s="537"/>
      <c r="JFP200" s="537"/>
      <c r="JFQ200" s="537"/>
      <c r="JFR200" s="537"/>
      <c r="JFS200" s="537"/>
      <c r="JFT200" s="537"/>
      <c r="JFU200" s="537"/>
      <c r="JFV200" s="537"/>
      <c r="JFW200" s="537"/>
      <c r="JFX200" s="537"/>
      <c r="JFY200" s="537"/>
      <c r="JFZ200" s="537"/>
      <c r="JGA200" s="537"/>
      <c r="JGB200" s="537"/>
      <c r="JGC200" s="537"/>
      <c r="JGD200" s="537"/>
      <c r="JGE200" s="537"/>
      <c r="JGF200" s="537"/>
      <c r="JGG200" s="537"/>
      <c r="JGH200" s="537"/>
      <c r="JGI200" s="537"/>
      <c r="JGJ200" s="537"/>
      <c r="JGK200" s="537"/>
      <c r="JGL200" s="537"/>
      <c r="JGM200" s="537"/>
      <c r="JGN200" s="537"/>
      <c r="JGO200" s="537"/>
      <c r="JGP200" s="537"/>
      <c r="JGQ200" s="537"/>
      <c r="JGR200" s="537"/>
      <c r="JGS200" s="537"/>
      <c r="JGT200" s="537"/>
      <c r="JGU200" s="537"/>
      <c r="JGV200" s="537"/>
      <c r="JGW200" s="537"/>
      <c r="JGX200" s="537"/>
      <c r="JGY200" s="537"/>
      <c r="JGZ200" s="537"/>
      <c r="JHA200" s="537"/>
      <c r="JHB200" s="537"/>
      <c r="JHC200" s="537"/>
      <c r="JHD200" s="537"/>
      <c r="JHE200" s="537"/>
      <c r="JHF200" s="537"/>
      <c r="JHG200" s="537"/>
      <c r="JHH200" s="537"/>
      <c r="JHI200" s="537"/>
      <c r="JHJ200" s="537"/>
      <c r="JHK200" s="537"/>
      <c r="JHL200" s="537"/>
      <c r="JHM200" s="537"/>
      <c r="JHN200" s="537"/>
      <c r="JHO200" s="537"/>
      <c r="JHP200" s="537"/>
      <c r="JHQ200" s="537"/>
      <c r="JHR200" s="537"/>
      <c r="JHS200" s="537"/>
      <c r="JHT200" s="537"/>
      <c r="JHU200" s="537"/>
      <c r="JHV200" s="537"/>
      <c r="JHW200" s="537"/>
      <c r="JHX200" s="537"/>
      <c r="JHY200" s="537"/>
      <c r="JHZ200" s="537"/>
      <c r="JIA200" s="537"/>
      <c r="JIB200" s="537"/>
      <c r="JIC200" s="537"/>
      <c r="JID200" s="537"/>
      <c r="JIE200" s="537"/>
      <c r="JIF200" s="537"/>
      <c r="JIG200" s="537"/>
      <c r="JIH200" s="537"/>
      <c r="JII200" s="537"/>
      <c r="JIJ200" s="537"/>
      <c r="JIK200" s="537"/>
      <c r="JIL200" s="537"/>
      <c r="JIM200" s="537"/>
      <c r="JIN200" s="537"/>
      <c r="JIO200" s="537"/>
      <c r="JIP200" s="537"/>
      <c r="JIQ200" s="537"/>
      <c r="JIR200" s="537"/>
      <c r="JIS200" s="537"/>
      <c r="JIT200" s="537"/>
      <c r="JIU200" s="537"/>
      <c r="JIV200" s="537"/>
      <c r="JIW200" s="537"/>
      <c r="JIX200" s="537"/>
      <c r="JIY200" s="537"/>
      <c r="JIZ200" s="537"/>
      <c r="JJA200" s="537"/>
      <c r="JJB200" s="537"/>
      <c r="JJC200" s="537"/>
      <c r="JJD200" s="537"/>
      <c r="JJE200" s="537"/>
      <c r="JJF200" s="537"/>
      <c r="JJG200" s="537"/>
      <c r="JJH200" s="537"/>
      <c r="JJI200" s="537"/>
      <c r="JJJ200" s="537"/>
      <c r="JJK200" s="537"/>
      <c r="JJL200" s="537"/>
      <c r="JJM200" s="537"/>
      <c r="JJN200" s="537"/>
      <c r="JJO200" s="537"/>
      <c r="JJP200" s="537"/>
      <c r="JJQ200" s="537"/>
      <c r="JJR200" s="537"/>
      <c r="JJS200" s="537"/>
      <c r="JJT200" s="537"/>
      <c r="JJU200" s="537"/>
      <c r="JJV200" s="537"/>
      <c r="JJW200" s="537"/>
      <c r="JJX200" s="537"/>
      <c r="JJY200" s="537"/>
      <c r="JJZ200" s="537"/>
      <c r="JKA200" s="537"/>
      <c r="JKB200" s="537"/>
      <c r="JKC200" s="537"/>
      <c r="JKD200" s="537"/>
      <c r="JKE200" s="537"/>
      <c r="JKF200" s="537"/>
      <c r="JKG200" s="537"/>
      <c r="JKH200" s="537"/>
      <c r="JKI200" s="537"/>
      <c r="JKJ200" s="537"/>
      <c r="JKK200" s="537"/>
      <c r="JKL200" s="537"/>
      <c r="JKM200" s="537"/>
      <c r="JKN200" s="537"/>
      <c r="JKO200" s="537"/>
      <c r="JKP200" s="537"/>
      <c r="JKQ200" s="537"/>
      <c r="JKR200" s="537"/>
      <c r="JKS200" s="537"/>
      <c r="JKT200" s="537"/>
      <c r="JKU200" s="537"/>
      <c r="JKV200" s="537"/>
      <c r="JKW200" s="537"/>
      <c r="JKX200" s="537"/>
      <c r="JKY200" s="537"/>
      <c r="JKZ200" s="537"/>
      <c r="JLA200" s="537"/>
      <c r="JLB200" s="537"/>
      <c r="JLC200" s="537"/>
      <c r="JLD200" s="537"/>
      <c r="JLE200" s="537"/>
      <c r="JLF200" s="537"/>
      <c r="JLG200" s="537"/>
      <c r="JLH200" s="537"/>
      <c r="JLI200" s="537"/>
      <c r="JLJ200" s="537"/>
      <c r="JLK200" s="537"/>
      <c r="JLL200" s="537"/>
      <c r="JLM200" s="537"/>
      <c r="JLN200" s="537"/>
      <c r="JLO200" s="537"/>
      <c r="JLP200" s="537"/>
      <c r="JLQ200" s="537"/>
      <c r="JLR200" s="537"/>
      <c r="JLS200" s="537"/>
      <c r="JLT200" s="537"/>
      <c r="JLU200" s="537"/>
      <c r="JLV200" s="537"/>
      <c r="JLW200" s="537"/>
      <c r="JLX200" s="537"/>
      <c r="JLY200" s="537"/>
      <c r="JLZ200" s="537"/>
      <c r="JMA200" s="537"/>
      <c r="JMB200" s="537"/>
      <c r="JMC200" s="537"/>
      <c r="JMD200" s="537"/>
      <c r="JME200" s="537"/>
      <c r="JMF200" s="537"/>
      <c r="JMG200" s="537"/>
      <c r="JMH200" s="537"/>
      <c r="JMI200" s="537"/>
      <c r="JMJ200" s="537"/>
      <c r="JMK200" s="537"/>
      <c r="JML200" s="537"/>
      <c r="JMM200" s="537"/>
      <c r="JMN200" s="537"/>
      <c r="JMO200" s="537"/>
      <c r="JMP200" s="537"/>
      <c r="JMQ200" s="537"/>
      <c r="JMR200" s="537"/>
      <c r="JMS200" s="537"/>
      <c r="JMT200" s="537"/>
      <c r="JMU200" s="537"/>
      <c r="JMV200" s="537"/>
      <c r="JMW200" s="537"/>
      <c r="JMX200" s="537"/>
      <c r="JMY200" s="537"/>
      <c r="JMZ200" s="537"/>
      <c r="JNA200" s="537"/>
      <c r="JNB200" s="537"/>
      <c r="JNC200" s="537"/>
      <c r="JND200" s="537"/>
      <c r="JNE200" s="537"/>
      <c r="JNF200" s="537"/>
      <c r="JNG200" s="537"/>
      <c r="JNH200" s="537"/>
      <c r="JNI200" s="537"/>
      <c r="JNJ200" s="537"/>
      <c r="JNK200" s="537"/>
      <c r="JNL200" s="537"/>
      <c r="JNM200" s="537"/>
      <c r="JNN200" s="537"/>
      <c r="JNO200" s="537"/>
      <c r="JNP200" s="537"/>
      <c r="JNQ200" s="537"/>
      <c r="JNR200" s="537"/>
      <c r="JNS200" s="537"/>
      <c r="JNT200" s="537"/>
      <c r="JNU200" s="537"/>
      <c r="JNV200" s="537"/>
      <c r="JNW200" s="537"/>
      <c r="JNX200" s="537"/>
      <c r="JNY200" s="537"/>
      <c r="JNZ200" s="537"/>
      <c r="JOA200" s="537"/>
      <c r="JOB200" s="537"/>
      <c r="JOC200" s="537"/>
      <c r="JOD200" s="537"/>
      <c r="JOE200" s="537"/>
      <c r="JOF200" s="537"/>
      <c r="JOG200" s="537"/>
      <c r="JOH200" s="537"/>
      <c r="JOI200" s="537"/>
      <c r="JOJ200" s="537"/>
      <c r="JOK200" s="537"/>
      <c r="JOL200" s="537"/>
      <c r="JOM200" s="537"/>
      <c r="JON200" s="537"/>
      <c r="JOO200" s="537"/>
      <c r="JOP200" s="537"/>
      <c r="JOQ200" s="537"/>
      <c r="JOR200" s="537"/>
      <c r="JOS200" s="537"/>
      <c r="JOT200" s="537"/>
      <c r="JOU200" s="537"/>
      <c r="JOV200" s="537"/>
      <c r="JOW200" s="537"/>
      <c r="JOX200" s="537"/>
      <c r="JOY200" s="537"/>
      <c r="JOZ200" s="537"/>
      <c r="JPA200" s="537"/>
      <c r="JPB200" s="537"/>
      <c r="JPC200" s="537"/>
      <c r="JPD200" s="537"/>
      <c r="JPE200" s="537"/>
      <c r="JPF200" s="537"/>
      <c r="JPG200" s="537"/>
      <c r="JPH200" s="537"/>
      <c r="JPI200" s="537"/>
      <c r="JPJ200" s="537"/>
      <c r="JPK200" s="537"/>
      <c r="JPL200" s="537"/>
      <c r="JPM200" s="537"/>
      <c r="JPN200" s="537"/>
      <c r="JPO200" s="537"/>
      <c r="JPP200" s="537"/>
      <c r="JPQ200" s="537"/>
      <c r="JPR200" s="537"/>
      <c r="JPS200" s="537"/>
      <c r="JPT200" s="537"/>
      <c r="JPU200" s="537"/>
      <c r="JPV200" s="537"/>
      <c r="JPW200" s="537"/>
      <c r="JPX200" s="537"/>
      <c r="JPY200" s="537"/>
      <c r="JPZ200" s="537"/>
      <c r="JQA200" s="537"/>
      <c r="JQB200" s="537"/>
      <c r="JQC200" s="537"/>
      <c r="JQD200" s="537"/>
      <c r="JQE200" s="537"/>
      <c r="JQF200" s="537"/>
      <c r="JQG200" s="537"/>
      <c r="JQH200" s="537"/>
      <c r="JQI200" s="537"/>
      <c r="JQJ200" s="537"/>
      <c r="JQK200" s="537"/>
      <c r="JQL200" s="537"/>
      <c r="JQM200" s="537"/>
      <c r="JQN200" s="537"/>
      <c r="JQO200" s="537"/>
      <c r="JQP200" s="537"/>
      <c r="JQQ200" s="537"/>
      <c r="JQR200" s="537"/>
      <c r="JQS200" s="537"/>
      <c r="JQT200" s="537"/>
      <c r="JQU200" s="537"/>
      <c r="JQV200" s="537"/>
      <c r="JQW200" s="537"/>
      <c r="JQX200" s="537"/>
      <c r="JQY200" s="537"/>
      <c r="JQZ200" s="537"/>
      <c r="JRA200" s="537"/>
      <c r="JRB200" s="537"/>
      <c r="JRC200" s="537"/>
      <c r="JRD200" s="537"/>
      <c r="JRE200" s="537"/>
      <c r="JRF200" s="537"/>
      <c r="JRG200" s="537"/>
      <c r="JRH200" s="537"/>
      <c r="JRI200" s="537"/>
      <c r="JRJ200" s="537"/>
      <c r="JRK200" s="537"/>
      <c r="JRL200" s="537"/>
      <c r="JRM200" s="537"/>
      <c r="JRN200" s="537"/>
      <c r="JRO200" s="537"/>
      <c r="JRP200" s="537"/>
      <c r="JRQ200" s="537"/>
      <c r="JRR200" s="537"/>
      <c r="JRS200" s="537"/>
      <c r="JRT200" s="537"/>
      <c r="JRU200" s="537"/>
      <c r="JRV200" s="537"/>
      <c r="JRW200" s="537"/>
      <c r="JRX200" s="537"/>
      <c r="JRY200" s="537"/>
      <c r="JRZ200" s="537"/>
      <c r="JSA200" s="537"/>
      <c r="JSB200" s="537"/>
      <c r="JSC200" s="537"/>
      <c r="JSD200" s="537"/>
      <c r="JSE200" s="537"/>
      <c r="JSF200" s="537"/>
      <c r="JSG200" s="537"/>
      <c r="JSH200" s="537"/>
      <c r="JSI200" s="537"/>
      <c r="JSJ200" s="537"/>
      <c r="JSK200" s="537"/>
      <c r="JSL200" s="537"/>
      <c r="JSM200" s="537"/>
      <c r="JSN200" s="537"/>
      <c r="JSO200" s="537"/>
      <c r="JSP200" s="537"/>
      <c r="JSQ200" s="537"/>
      <c r="JSR200" s="537"/>
      <c r="JSS200" s="537"/>
      <c r="JST200" s="537"/>
      <c r="JSU200" s="537"/>
      <c r="JSV200" s="537"/>
      <c r="JSW200" s="537"/>
      <c r="JSX200" s="537"/>
      <c r="JSY200" s="537"/>
      <c r="JSZ200" s="537"/>
      <c r="JTA200" s="537"/>
      <c r="JTB200" s="537"/>
      <c r="JTC200" s="537"/>
      <c r="JTD200" s="537"/>
      <c r="JTE200" s="537"/>
      <c r="JTF200" s="537"/>
      <c r="JTG200" s="537"/>
      <c r="JTH200" s="537"/>
      <c r="JTI200" s="537"/>
      <c r="JTJ200" s="537"/>
      <c r="JTK200" s="537"/>
      <c r="JTL200" s="537"/>
      <c r="JTM200" s="537"/>
      <c r="JTN200" s="537"/>
      <c r="JTO200" s="537"/>
      <c r="JTP200" s="537"/>
      <c r="JTQ200" s="537"/>
      <c r="JTR200" s="537"/>
      <c r="JTS200" s="537"/>
      <c r="JTT200" s="537"/>
      <c r="JTU200" s="537"/>
      <c r="JTV200" s="537"/>
      <c r="JTW200" s="537"/>
      <c r="JTX200" s="537"/>
      <c r="JTY200" s="537"/>
      <c r="JTZ200" s="537"/>
      <c r="JUA200" s="537"/>
      <c r="JUB200" s="537"/>
      <c r="JUC200" s="537"/>
      <c r="JUD200" s="537"/>
      <c r="JUE200" s="537"/>
      <c r="JUF200" s="537"/>
      <c r="JUG200" s="537"/>
      <c r="JUH200" s="537"/>
      <c r="JUI200" s="537"/>
      <c r="JUJ200" s="537"/>
      <c r="JUK200" s="537"/>
      <c r="JUL200" s="537"/>
      <c r="JUM200" s="537"/>
      <c r="JUN200" s="537"/>
      <c r="JUO200" s="537"/>
      <c r="JUP200" s="537"/>
      <c r="JUQ200" s="537"/>
      <c r="JUR200" s="537"/>
      <c r="JUS200" s="537"/>
      <c r="JUT200" s="537"/>
      <c r="JUU200" s="537"/>
      <c r="JUV200" s="537"/>
      <c r="JUW200" s="537"/>
      <c r="JUX200" s="537"/>
      <c r="JUY200" s="537"/>
      <c r="JUZ200" s="537"/>
      <c r="JVA200" s="537"/>
      <c r="JVB200" s="537"/>
      <c r="JVC200" s="537"/>
      <c r="JVD200" s="537"/>
      <c r="JVE200" s="537"/>
      <c r="JVF200" s="537"/>
      <c r="JVG200" s="537"/>
      <c r="JVH200" s="537"/>
      <c r="JVI200" s="537"/>
      <c r="JVJ200" s="537"/>
      <c r="JVK200" s="537"/>
      <c r="JVL200" s="537"/>
      <c r="JVM200" s="537"/>
      <c r="JVN200" s="537"/>
      <c r="JVO200" s="537"/>
      <c r="JVP200" s="537"/>
      <c r="JVQ200" s="537"/>
      <c r="JVR200" s="537"/>
      <c r="JVS200" s="537"/>
      <c r="JVT200" s="537"/>
      <c r="JVU200" s="537"/>
      <c r="JVV200" s="537"/>
      <c r="JVW200" s="537"/>
      <c r="JVX200" s="537"/>
      <c r="JVY200" s="537"/>
      <c r="JVZ200" s="537"/>
      <c r="JWA200" s="537"/>
      <c r="JWB200" s="537"/>
      <c r="JWC200" s="537"/>
      <c r="JWD200" s="537"/>
      <c r="JWE200" s="537"/>
      <c r="JWF200" s="537"/>
      <c r="JWG200" s="537"/>
      <c r="JWH200" s="537"/>
      <c r="JWI200" s="537"/>
      <c r="JWJ200" s="537"/>
      <c r="JWK200" s="537"/>
      <c r="JWL200" s="537"/>
      <c r="JWM200" s="537"/>
      <c r="JWN200" s="537"/>
      <c r="JWO200" s="537"/>
      <c r="JWP200" s="537"/>
      <c r="JWQ200" s="537"/>
      <c r="JWR200" s="537"/>
      <c r="JWS200" s="537"/>
      <c r="JWT200" s="537"/>
      <c r="JWU200" s="537"/>
      <c r="JWV200" s="537"/>
      <c r="JWW200" s="537"/>
      <c r="JWX200" s="537"/>
      <c r="JWY200" s="537"/>
      <c r="JWZ200" s="537"/>
      <c r="JXA200" s="537"/>
      <c r="JXB200" s="537"/>
      <c r="JXC200" s="537"/>
      <c r="JXD200" s="537"/>
      <c r="JXE200" s="537"/>
      <c r="JXF200" s="537"/>
      <c r="JXG200" s="537"/>
      <c r="JXH200" s="537"/>
      <c r="JXI200" s="537"/>
      <c r="JXJ200" s="537"/>
      <c r="JXK200" s="537"/>
      <c r="JXL200" s="537"/>
      <c r="JXM200" s="537"/>
      <c r="JXN200" s="537"/>
      <c r="JXO200" s="537"/>
      <c r="JXP200" s="537"/>
      <c r="JXQ200" s="537"/>
      <c r="JXR200" s="537"/>
      <c r="JXS200" s="537"/>
      <c r="JXT200" s="537"/>
      <c r="JXU200" s="537"/>
      <c r="JXV200" s="537"/>
      <c r="JXW200" s="537"/>
      <c r="JXX200" s="537"/>
      <c r="JXY200" s="537"/>
      <c r="JXZ200" s="537"/>
      <c r="JYA200" s="537"/>
      <c r="JYB200" s="537"/>
      <c r="JYC200" s="537"/>
      <c r="JYD200" s="537"/>
      <c r="JYE200" s="537"/>
      <c r="JYF200" s="537"/>
      <c r="JYG200" s="537"/>
      <c r="JYH200" s="537"/>
      <c r="JYI200" s="537"/>
      <c r="JYJ200" s="537"/>
      <c r="JYK200" s="537"/>
      <c r="JYL200" s="537"/>
      <c r="JYM200" s="537"/>
      <c r="JYN200" s="537"/>
      <c r="JYO200" s="537"/>
      <c r="JYP200" s="537"/>
      <c r="JYQ200" s="537"/>
      <c r="JYR200" s="537"/>
      <c r="JYS200" s="537"/>
      <c r="JYT200" s="537"/>
      <c r="JYU200" s="537"/>
      <c r="JYV200" s="537"/>
      <c r="JYW200" s="537"/>
      <c r="JYX200" s="537"/>
      <c r="JYY200" s="537"/>
      <c r="JYZ200" s="537"/>
      <c r="JZA200" s="537"/>
      <c r="JZB200" s="537"/>
      <c r="JZC200" s="537"/>
      <c r="JZD200" s="537"/>
      <c r="JZE200" s="537"/>
      <c r="JZF200" s="537"/>
      <c r="JZG200" s="537"/>
      <c r="JZH200" s="537"/>
      <c r="JZI200" s="537"/>
      <c r="JZJ200" s="537"/>
      <c r="JZK200" s="537"/>
      <c r="JZL200" s="537"/>
      <c r="JZM200" s="537"/>
      <c r="JZN200" s="537"/>
      <c r="JZO200" s="537"/>
      <c r="JZP200" s="537"/>
      <c r="JZQ200" s="537"/>
      <c r="JZR200" s="537"/>
      <c r="JZS200" s="537"/>
      <c r="JZT200" s="537"/>
      <c r="JZU200" s="537"/>
      <c r="JZV200" s="537"/>
      <c r="JZW200" s="537"/>
      <c r="JZX200" s="537"/>
      <c r="JZY200" s="537"/>
      <c r="JZZ200" s="537"/>
      <c r="KAA200" s="537"/>
      <c r="KAB200" s="537"/>
      <c r="KAC200" s="537"/>
      <c r="KAD200" s="537"/>
      <c r="KAE200" s="537"/>
      <c r="KAF200" s="537"/>
      <c r="KAG200" s="537"/>
      <c r="KAH200" s="537"/>
      <c r="KAI200" s="537"/>
      <c r="KAJ200" s="537"/>
      <c r="KAK200" s="537"/>
      <c r="KAL200" s="537"/>
      <c r="KAM200" s="537"/>
      <c r="KAN200" s="537"/>
      <c r="KAO200" s="537"/>
      <c r="KAP200" s="537"/>
      <c r="KAQ200" s="537"/>
      <c r="KAR200" s="537"/>
      <c r="KAS200" s="537"/>
      <c r="KAT200" s="537"/>
      <c r="KAU200" s="537"/>
      <c r="KAV200" s="537"/>
      <c r="KAW200" s="537"/>
      <c r="KAX200" s="537"/>
      <c r="KAY200" s="537"/>
      <c r="KAZ200" s="537"/>
      <c r="KBA200" s="537"/>
      <c r="KBB200" s="537"/>
      <c r="KBC200" s="537"/>
      <c r="KBD200" s="537"/>
      <c r="KBE200" s="537"/>
      <c r="KBF200" s="537"/>
      <c r="KBG200" s="537"/>
      <c r="KBH200" s="537"/>
      <c r="KBI200" s="537"/>
      <c r="KBJ200" s="537"/>
      <c r="KBK200" s="537"/>
      <c r="KBL200" s="537"/>
      <c r="KBM200" s="537"/>
      <c r="KBN200" s="537"/>
      <c r="KBO200" s="537"/>
      <c r="KBP200" s="537"/>
      <c r="KBQ200" s="537"/>
      <c r="KBR200" s="537"/>
      <c r="KBS200" s="537"/>
      <c r="KBT200" s="537"/>
      <c r="KBU200" s="537"/>
      <c r="KBV200" s="537"/>
      <c r="KBW200" s="537"/>
      <c r="KBX200" s="537"/>
      <c r="KBY200" s="537"/>
      <c r="KBZ200" s="537"/>
      <c r="KCA200" s="537"/>
      <c r="KCB200" s="537"/>
      <c r="KCC200" s="537"/>
      <c r="KCD200" s="537"/>
      <c r="KCE200" s="537"/>
      <c r="KCF200" s="537"/>
      <c r="KCG200" s="537"/>
      <c r="KCH200" s="537"/>
      <c r="KCI200" s="537"/>
      <c r="KCJ200" s="537"/>
      <c r="KCK200" s="537"/>
      <c r="KCL200" s="537"/>
      <c r="KCM200" s="537"/>
      <c r="KCN200" s="537"/>
      <c r="KCO200" s="537"/>
      <c r="KCP200" s="537"/>
      <c r="KCQ200" s="537"/>
      <c r="KCR200" s="537"/>
      <c r="KCS200" s="537"/>
      <c r="KCT200" s="537"/>
      <c r="KCU200" s="537"/>
      <c r="KCV200" s="537"/>
      <c r="KCW200" s="537"/>
      <c r="KCX200" s="537"/>
      <c r="KCY200" s="537"/>
      <c r="KCZ200" s="537"/>
      <c r="KDA200" s="537"/>
      <c r="KDB200" s="537"/>
      <c r="KDC200" s="537"/>
      <c r="KDD200" s="537"/>
      <c r="KDE200" s="537"/>
      <c r="KDF200" s="537"/>
      <c r="KDG200" s="537"/>
      <c r="KDH200" s="537"/>
      <c r="KDI200" s="537"/>
      <c r="KDJ200" s="537"/>
      <c r="KDK200" s="537"/>
      <c r="KDL200" s="537"/>
      <c r="KDM200" s="537"/>
      <c r="KDN200" s="537"/>
      <c r="KDO200" s="537"/>
      <c r="KDP200" s="537"/>
      <c r="KDQ200" s="537"/>
      <c r="KDR200" s="537"/>
      <c r="KDS200" s="537"/>
      <c r="KDT200" s="537"/>
      <c r="KDU200" s="537"/>
      <c r="KDV200" s="537"/>
      <c r="KDW200" s="537"/>
      <c r="KDX200" s="537"/>
      <c r="KDY200" s="537"/>
      <c r="KDZ200" s="537"/>
      <c r="KEA200" s="537"/>
      <c r="KEB200" s="537"/>
      <c r="KEC200" s="537"/>
      <c r="KED200" s="537"/>
      <c r="KEE200" s="537"/>
      <c r="KEF200" s="537"/>
      <c r="KEG200" s="537"/>
      <c r="KEH200" s="537"/>
      <c r="KEI200" s="537"/>
      <c r="KEJ200" s="537"/>
      <c r="KEK200" s="537"/>
      <c r="KEL200" s="537"/>
      <c r="KEM200" s="537"/>
      <c r="KEN200" s="537"/>
      <c r="KEO200" s="537"/>
      <c r="KEP200" s="537"/>
      <c r="KEQ200" s="537"/>
      <c r="KER200" s="537"/>
      <c r="KES200" s="537"/>
      <c r="KET200" s="537"/>
      <c r="KEU200" s="537"/>
      <c r="KEV200" s="537"/>
      <c r="KEW200" s="537"/>
      <c r="KEX200" s="537"/>
      <c r="KEY200" s="537"/>
      <c r="KEZ200" s="537"/>
      <c r="KFA200" s="537"/>
      <c r="KFB200" s="537"/>
      <c r="KFC200" s="537"/>
      <c r="KFD200" s="537"/>
      <c r="KFE200" s="537"/>
      <c r="KFF200" s="537"/>
      <c r="KFG200" s="537"/>
      <c r="KFH200" s="537"/>
      <c r="KFI200" s="537"/>
      <c r="KFJ200" s="537"/>
      <c r="KFK200" s="537"/>
      <c r="KFL200" s="537"/>
      <c r="KFM200" s="537"/>
      <c r="KFN200" s="537"/>
      <c r="KFO200" s="537"/>
      <c r="KFP200" s="537"/>
      <c r="KFQ200" s="537"/>
      <c r="KFR200" s="537"/>
      <c r="KFS200" s="537"/>
      <c r="KFT200" s="537"/>
      <c r="KFU200" s="537"/>
      <c r="KFV200" s="537"/>
      <c r="KFW200" s="537"/>
      <c r="KFX200" s="537"/>
      <c r="KFY200" s="537"/>
      <c r="KFZ200" s="537"/>
      <c r="KGA200" s="537"/>
      <c r="KGB200" s="537"/>
      <c r="KGC200" s="537"/>
      <c r="KGD200" s="537"/>
      <c r="KGE200" s="537"/>
      <c r="KGF200" s="537"/>
      <c r="KGG200" s="537"/>
      <c r="KGH200" s="537"/>
      <c r="KGI200" s="537"/>
      <c r="KGJ200" s="537"/>
      <c r="KGK200" s="537"/>
      <c r="KGL200" s="537"/>
      <c r="KGM200" s="537"/>
      <c r="KGN200" s="537"/>
      <c r="KGO200" s="537"/>
      <c r="KGP200" s="537"/>
      <c r="KGQ200" s="537"/>
      <c r="KGR200" s="537"/>
      <c r="KGS200" s="537"/>
      <c r="KGT200" s="537"/>
      <c r="KGU200" s="537"/>
      <c r="KGV200" s="537"/>
      <c r="KGW200" s="537"/>
      <c r="KGX200" s="537"/>
      <c r="KGY200" s="537"/>
      <c r="KGZ200" s="537"/>
      <c r="KHA200" s="537"/>
      <c r="KHB200" s="537"/>
      <c r="KHC200" s="537"/>
      <c r="KHD200" s="537"/>
      <c r="KHE200" s="537"/>
      <c r="KHF200" s="537"/>
      <c r="KHG200" s="537"/>
      <c r="KHH200" s="537"/>
      <c r="KHI200" s="537"/>
      <c r="KHJ200" s="537"/>
      <c r="KHK200" s="537"/>
      <c r="KHL200" s="537"/>
      <c r="KHM200" s="537"/>
      <c r="KHN200" s="537"/>
      <c r="KHO200" s="537"/>
      <c r="KHP200" s="537"/>
      <c r="KHQ200" s="537"/>
      <c r="KHR200" s="537"/>
      <c r="KHS200" s="537"/>
      <c r="KHT200" s="537"/>
      <c r="KHU200" s="537"/>
      <c r="KHV200" s="537"/>
      <c r="KHW200" s="537"/>
      <c r="KHX200" s="537"/>
      <c r="KHY200" s="537"/>
      <c r="KHZ200" s="537"/>
      <c r="KIA200" s="537"/>
      <c r="KIB200" s="537"/>
      <c r="KIC200" s="537"/>
      <c r="KID200" s="537"/>
      <c r="KIE200" s="537"/>
      <c r="KIF200" s="537"/>
      <c r="KIG200" s="537"/>
      <c r="KIH200" s="537"/>
      <c r="KII200" s="537"/>
      <c r="KIJ200" s="537"/>
      <c r="KIK200" s="537"/>
      <c r="KIL200" s="537"/>
      <c r="KIM200" s="537"/>
      <c r="KIN200" s="537"/>
      <c r="KIO200" s="537"/>
      <c r="KIP200" s="537"/>
      <c r="KIQ200" s="537"/>
      <c r="KIR200" s="537"/>
      <c r="KIS200" s="537"/>
      <c r="KIT200" s="537"/>
      <c r="KIU200" s="537"/>
      <c r="KIV200" s="537"/>
      <c r="KIW200" s="537"/>
      <c r="KIX200" s="537"/>
      <c r="KIY200" s="537"/>
      <c r="KIZ200" s="537"/>
      <c r="KJA200" s="537"/>
      <c r="KJB200" s="537"/>
      <c r="KJC200" s="537"/>
      <c r="KJD200" s="537"/>
      <c r="KJE200" s="537"/>
      <c r="KJF200" s="537"/>
      <c r="KJG200" s="537"/>
      <c r="KJH200" s="537"/>
      <c r="KJI200" s="537"/>
      <c r="KJJ200" s="537"/>
      <c r="KJK200" s="537"/>
      <c r="KJL200" s="537"/>
      <c r="KJM200" s="537"/>
      <c r="KJN200" s="537"/>
      <c r="KJO200" s="537"/>
      <c r="KJP200" s="537"/>
      <c r="KJQ200" s="537"/>
      <c r="KJR200" s="537"/>
      <c r="KJS200" s="537"/>
      <c r="KJT200" s="537"/>
      <c r="KJU200" s="537"/>
      <c r="KJV200" s="537"/>
      <c r="KJW200" s="537"/>
      <c r="KJX200" s="537"/>
      <c r="KJY200" s="537"/>
      <c r="KJZ200" s="537"/>
      <c r="KKA200" s="537"/>
      <c r="KKB200" s="537"/>
      <c r="KKC200" s="537"/>
      <c r="KKD200" s="537"/>
      <c r="KKE200" s="537"/>
      <c r="KKF200" s="537"/>
      <c r="KKG200" s="537"/>
      <c r="KKH200" s="537"/>
      <c r="KKI200" s="537"/>
      <c r="KKJ200" s="537"/>
      <c r="KKK200" s="537"/>
      <c r="KKL200" s="537"/>
      <c r="KKM200" s="537"/>
      <c r="KKN200" s="537"/>
      <c r="KKO200" s="537"/>
      <c r="KKP200" s="537"/>
      <c r="KKQ200" s="537"/>
      <c r="KKR200" s="537"/>
      <c r="KKS200" s="537"/>
      <c r="KKT200" s="537"/>
      <c r="KKU200" s="537"/>
      <c r="KKV200" s="537"/>
      <c r="KKW200" s="537"/>
      <c r="KKX200" s="537"/>
      <c r="KKY200" s="537"/>
      <c r="KKZ200" s="537"/>
      <c r="KLA200" s="537"/>
      <c r="KLB200" s="537"/>
      <c r="KLC200" s="537"/>
      <c r="KLD200" s="537"/>
      <c r="KLE200" s="537"/>
      <c r="KLF200" s="537"/>
      <c r="KLG200" s="537"/>
      <c r="KLH200" s="537"/>
      <c r="KLI200" s="537"/>
      <c r="KLJ200" s="537"/>
      <c r="KLK200" s="537"/>
      <c r="KLL200" s="537"/>
      <c r="KLM200" s="537"/>
      <c r="KLN200" s="537"/>
      <c r="KLO200" s="537"/>
      <c r="KLP200" s="537"/>
      <c r="KLQ200" s="537"/>
      <c r="KLR200" s="537"/>
      <c r="KLS200" s="537"/>
      <c r="KLT200" s="537"/>
      <c r="KLU200" s="537"/>
      <c r="KLV200" s="537"/>
      <c r="KLW200" s="537"/>
      <c r="KLX200" s="537"/>
      <c r="KLY200" s="537"/>
      <c r="KLZ200" s="537"/>
      <c r="KMA200" s="537"/>
      <c r="KMB200" s="537"/>
      <c r="KMC200" s="537"/>
      <c r="KMD200" s="537"/>
      <c r="KME200" s="537"/>
      <c r="KMF200" s="537"/>
      <c r="KMG200" s="537"/>
      <c r="KMH200" s="537"/>
      <c r="KMI200" s="537"/>
      <c r="KMJ200" s="537"/>
      <c r="KMK200" s="537"/>
      <c r="KML200" s="537"/>
      <c r="KMM200" s="537"/>
      <c r="KMN200" s="537"/>
      <c r="KMO200" s="537"/>
      <c r="KMP200" s="537"/>
      <c r="KMQ200" s="537"/>
      <c r="KMR200" s="537"/>
      <c r="KMS200" s="537"/>
      <c r="KMT200" s="537"/>
      <c r="KMU200" s="537"/>
      <c r="KMV200" s="537"/>
      <c r="KMW200" s="537"/>
      <c r="KMX200" s="537"/>
      <c r="KMY200" s="537"/>
      <c r="KMZ200" s="537"/>
      <c r="KNA200" s="537"/>
      <c r="KNB200" s="537"/>
      <c r="KNC200" s="537"/>
      <c r="KND200" s="537"/>
      <c r="KNE200" s="537"/>
      <c r="KNF200" s="537"/>
      <c r="KNG200" s="537"/>
      <c r="KNH200" s="537"/>
      <c r="KNI200" s="537"/>
      <c r="KNJ200" s="537"/>
      <c r="KNK200" s="537"/>
      <c r="KNL200" s="537"/>
      <c r="KNM200" s="537"/>
      <c r="KNN200" s="537"/>
      <c r="KNO200" s="537"/>
      <c r="KNP200" s="537"/>
      <c r="KNQ200" s="537"/>
      <c r="KNR200" s="537"/>
      <c r="KNS200" s="537"/>
      <c r="KNT200" s="537"/>
      <c r="KNU200" s="537"/>
      <c r="KNV200" s="537"/>
      <c r="KNW200" s="537"/>
      <c r="KNX200" s="537"/>
      <c r="KNY200" s="537"/>
      <c r="KNZ200" s="537"/>
      <c r="KOA200" s="537"/>
      <c r="KOB200" s="537"/>
      <c r="KOC200" s="537"/>
      <c r="KOD200" s="537"/>
      <c r="KOE200" s="537"/>
      <c r="KOF200" s="537"/>
      <c r="KOG200" s="537"/>
      <c r="KOH200" s="537"/>
      <c r="KOI200" s="537"/>
      <c r="KOJ200" s="537"/>
      <c r="KOK200" s="537"/>
      <c r="KOL200" s="537"/>
      <c r="KOM200" s="537"/>
      <c r="KON200" s="537"/>
      <c r="KOO200" s="537"/>
      <c r="KOP200" s="537"/>
      <c r="KOQ200" s="537"/>
      <c r="KOR200" s="537"/>
      <c r="KOS200" s="537"/>
      <c r="KOT200" s="537"/>
      <c r="KOU200" s="537"/>
      <c r="KOV200" s="537"/>
      <c r="KOW200" s="537"/>
      <c r="KOX200" s="537"/>
      <c r="KOY200" s="537"/>
      <c r="KOZ200" s="537"/>
      <c r="KPA200" s="537"/>
      <c r="KPB200" s="537"/>
      <c r="KPC200" s="537"/>
      <c r="KPD200" s="537"/>
      <c r="KPE200" s="537"/>
      <c r="KPF200" s="537"/>
      <c r="KPG200" s="537"/>
      <c r="KPH200" s="537"/>
      <c r="KPI200" s="537"/>
      <c r="KPJ200" s="537"/>
      <c r="KPK200" s="537"/>
      <c r="KPL200" s="537"/>
      <c r="KPM200" s="537"/>
      <c r="KPN200" s="537"/>
      <c r="KPO200" s="537"/>
      <c r="KPP200" s="537"/>
      <c r="KPQ200" s="537"/>
      <c r="KPR200" s="537"/>
      <c r="KPS200" s="537"/>
      <c r="KPT200" s="537"/>
      <c r="KPU200" s="537"/>
      <c r="KPV200" s="537"/>
      <c r="KPW200" s="537"/>
      <c r="KPX200" s="537"/>
      <c r="KPY200" s="537"/>
      <c r="KPZ200" s="537"/>
      <c r="KQA200" s="537"/>
      <c r="KQB200" s="537"/>
      <c r="KQC200" s="537"/>
      <c r="KQD200" s="537"/>
      <c r="KQE200" s="537"/>
      <c r="KQF200" s="537"/>
      <c r="KQG200" s="537"/>
      <c r="KQH200" s="537"/>
      <c r="KQI200" s="537"/>
      <c r="KQJ200" s="537"/>
      <c r="KQK200" s="537"/>
      <c r="KQL200" s="537"/>
      <c r="KQM200" s="537"/>
      <c r="KQN200" s="537"/>
      <c r="KQO200" s="537"/>
      <c r="KQP200" s="537"/>
      <c r="KQQ200" s="537"/>
      <c r="KQR200" s="537"/>
      <c r="KQS200" s="537"/>
      <c r="KQT200" s="537"/>
      <c r="KQU200" s="537"/>
      <c r="KQV200" s="537"/>
      <c r="KQW200" s="537"/>
      <c r="KQX200" s="537"/>
      <c r="KQY200" s="537"/>
      <c r="KQZ200" s="537"/>
      <c r="KRA200" s="537"/>
      <c r="KRB200" s="537"/>
      <c r="KRC200" s="537"/>
      <c r="KRD200" s="537"/>
      <c r="KRE200" s="537"/>
      <c r="KRF200" s="537"/>
      <c r="KRG200" s="537"/>
      <c r="KRH200" s="537"/>
      <c r="KRI200" s="537"/>
      <c r="KRJ200" s="537"/>
      <c r="KRK200" s="537"/>
      <c r="KRL200" s="537"/>
      <c r="KRM200" s="537"/>
      <c r="KRN200" s="537"/>
      <c r="KRO200" s="537"/>
      <c r="KRP200" s="537"/>
      <c r="KRQ200" s="537"/>
      <c r="KRR200" s="537"/>
      <c r="KRS200" s="537"/>
      <c r="KRT200" s="537"/>
      <c r="KRU200" s="537"/>
      <c r="KRV200" s="537"/>
      <c r="KRW200" s="537"/>
      <c r="KRX200" s="537"/>
      <c r="KRY200" s="537"/>
      <c r="KRZ200" s="537"/>
      <c r="KSA200" s="537"/>
      <c r="KSB200" s="537"/>
      <c r="KSC200" s="537"/>
      <c r="KSD200" s="537"/>
      <c r="KSE200" s="537"/>
      <c r="KSF200" s="537"/>
      <c r="KSG200" s="537"/>
      <c r="KSH200" s="537"/>
      <c r="KSI200" s="537"/>
      <c r="KSJ200" s="537"/>
      <c r="KSK200" s="537"/>
      <c r="KSL200" s="537"/>
      <c r="KSM200" s="537"/>
      <c r="KSN200" s="537"/>
      <c r="KSO200" s="537"/>
      <c r="KSP200" s="537"/>
      <c r="KSQ200" s="537"/>
      <c r="KSR200" s="537"/>
      <c r="KSS200" s="537"/>
      <c r="KST200" s="537"/>
      <c r="KSU200" s="537"/>
      <c r="KSV200" s="537"/>
      <c r="KSW200" s="537"/>
      <c r="KSX200" s="537"/>
      <c r="KSY200" s="537"/>
      <c r="KSZ200" s="537"/>
      <c r="KTA200" s="537"/>
      <c r="KTB200" s="537"/>
      <c r="KTC200" s="537"/>
      <c r="KTD200" s="537"/>
      <c r="KTE200" s="537"/>
      <c r="KTF200" s="537"/>
      <c r="KTG200" s="537"/>
      <c r="KTH200" s="537"/>
      <c r="KTI200" s="537"/>
      <c r="KTJ200" s="537"/>
      <c r="KTK200" s="537"/>
      <c r="KTL200" s="537"/>
      <c r="KTM200" s="537"/>
      <c r="KTN200" s="537"/>
      <c r="KTO200" s="537"/>
      <c r="KTP200" s="537"/>
      <c r="KTQ200" s="537"/>
      <c r="KTR200" s="537"/>
      <c r="KTS200" s="537"/>
      <c r="KTT200" s="537"/>
      <c r="KTU200" s="537"/>
      <c r="KTV200" s="537"/>
      <c r="KTW200" s="537"/>
      <c r="KTX200" s="537"/>
      <c r="KTY200" s="537"/>
      <c r="KTZ200" s="537"/>
      <c r="KUA200" s="537"/>
      <c r="KUB200" s="537"/>
      <c r="KUC200" s="537"/>
      <c r="KUD200" s="537"/>
      <c r="KUE200" s="537"/>
      <c r="KUF200" s="537"/>
      <c r="KUG200" s="537"/>
      <c r="KUH200" s="537"/>
      <c r="KUI200" s="537"/>
      <c r="KUJ200" s="537"/>
      <c r="KUK200" s="537"/>
      <c r="KUL200" s="537"/>
      <c r="KUM200" s="537"/>
      <c r="KUN200" s="537"/>
      <c r="KUO200" s="537"/>
      <c r="KUP200" s="537"/>
      <c r="KUQ200" s="537"/>
      <c r="KUR200" s="537"/>
      <c r="KUS200" s="537"/>
      <c r="KUT200" s="537"/>
      <c r="KUU200" s="537"/>
      <c r="KUV200" s="537"/>
      <c r="KUW200" s="537"/>
      <c r="KUX200" s="537"/>
      <c r="KUY200" s="537"/>
      <c r="KUZ200" s="537"/>
      <c r="KVA200" s="537"/>
      <c r="KVB200" s="537"/>
      <c r="KVC200" s="537"/>
      <c r="KVD200" s="537"/>
      <c r="KVE200" s="537"/>
      <c r="KVF200" s="537"/>
      <c r="KVG200" s="537"/>
      <c r="KVH200" s="537"/>
      <c r="KVI200" s="537"/>
      <c r="KVJ200" s="537"/>
      <c r="KVK200" s="537"/>
      <c r="KVL200" s="537"/>
      <c r="KVM200" s="537"/>
      <c r="KVN200" s="537"/>
      <c r="KVO200" s="537"/>
      <c r="KVP200" s="537"/>
      <c r="KVQ200" s="537"/>
      <c r="KVR200" s="537"/>
      <c r="KVS200" s="537"/>
      <c r="KVT200" s="537"/>
      <c r="KVU200" s="537"/>
      <c r="KVV200" s="537"/>
      <c r="KVW200" s="537"/>
      <c r="KVX200" s="537"/>
      <c r="KVY200" s="537"/>
      <c r="KVZ200" s="537"/>
      <c r="KWA200" s="537"/>
      <c r="KWB200" s="537"/>
      <c r="KWC200" s="537"/>
      <c r="KWD200" s="537"/>
      <c r="KWE200" s="537"/>
      <c r="KWF200" s="537"/>
      <c r="KWG200" s="537"/>
      <c r="KWH200" s="537"/>
      <c r="KWI200" s="537"/>
      <c r="KWJ200" s="537"/>
      <c r="KWK200" s="537"/>
      <c r="KWL200" s="537"/>
      <c r="KWM200" s="537"/>
      <c r="KWN200" s="537"/>
      <c r="KWO200" s="537"/>
      <c r="KWP200" s="537"/>
      <c r="KWQ200" s="537"/>
      <c r="KWR200" s="537"/>
      <c r="KWS200" s="537"/>
      <c r="KWT200" s="537"/>
      <c r="KWU200" s="537"/>
      <c r="KWV200" s="537"/>
      <c r="KWW200" s="537"/>
      <c r="KWX200" s="537"/>
      <c r="KWY200" s="537"/>
      <c r="KWZ200" s="537"/>
      <c r="KXA200" s="537"/>
      <c r="KXB200" s="537"/>
      <c r="KXC200" s="537"/>
      <c r="KXD200" s="537"/>
      <c r="KXE200" s="537"/>
      <c r="KXF200" s="537"/>
      <c r="KXG200" s="537"/>
      <c r="KXH200" s="537"/>
      <c r="KXI200" s="537"/>
      <c r="KXJ200" s="537"/>
      <c r="KXK200" s="537"/>
      <c r="KXL200" s="537"/>
      <c r="KXM200" s="537"/>
      <c r="KXN200" s="537"/>
      <c r="KXO200" s="537"/>
      <c r="KXP200" s="537"/>
      <c r="KXQ200" s="537"/>
      <c r="KXR200" s="537"/>
      <c r="KXS200" s="537"/>
      <c r="KXT200" s="537"/>
      <c r="KXU200" s="537"/>
      <c r="KXV200" s="537"/>
      <c r="KXW200" s="537"/>
      <c r="KXX200" s="537"/>
      <c r="KXY200" s="537"/>
      <c r="KXZ200" s="537"/>
      <c r="KYA200" s="537"/>
      <c r="KYB200" s="537"/>
      <c r="KYC200" s="537"/>
      <c r="KYD200" s="537"/>
      <c r="KYE200" s="537"/>
      <c r="KYF200" s="537"/>
      <c r="KYG200" s="537"/>
      <c r="KYH200" s="537"/>
      <c r="KYI200" s="537"/>
      <c r="KYJ200" s="537"/>
      <c r="KYK200" s="537"/>
      <c r="KYL200" s="537"/>
      <c r="KYM200" s="537"/>
      <c r="KYN200" s="537"/>
      <c r="KYO200" s="537"/>
      <c r="KYP200" s="537"/>
      <c r="KYQ200" s="537"/>
      <c r="KYR200" s="537"/>
      <c r="KYS200" s="537"/>
      <c r="KYT200" s="537"/>
      <c r="KYU200" s="537"/>
      <c r="KYV200" s="537"/>
      <c r="KYW200" s="537"/>
      <c r="KYX200" s="537"/>
      <c r="KYY200" s="537"/>
      <c r="KYZ200" s="537"/>
      <c r="KZA200" s="537"/>
      <c r="KZB200" s="537"/>
      <c r="KZC200" s="537"/>
      <c r="KZD200" s="537"/>
      <c r="KZE200" s="537"/>
      <c r="KZF200" s="537"/>
      <c r="KZG200" s="537"/>
      <c r="KZH200" s="537"/>
      <c r="KZI200" s="537"/>
      <c r="KZJ200" s="537"/>
      <c r="KZK200" s="537"/>
      <c r="KZL200" s="537"/>
      <c r="KZM200" s="537"/>
      <c r="KZN200" s="537"/>
      <c r="KZO200" s="537"/>
      <c r="KZP200" s="537"/>
      <c r="KZQ200" s="537"/>
      <c r="KZR200" s="537"/>
      <c r="KZS200" s="537"/>
      <c r="KZT200" s="537"/>
      <c r="KZU200" s="537"/>
      <c r="KZV200" s="537"/>
      <c r="KZW200" s="537"/>
      <c r="KZX200" s="537"/>
      <c r="KZY200" s="537"/>
      <c r="KZZ200" s="537"/>
      <c r="LAA200" s="537"/>
      <c r="LAB200" s="537"/>
      <c r="LAC200" s="537"/>
      <c r="LAD200" s="537"/>
      <c r="LAE200" s="537"/>
      <c r="LAF200" s="537"/>
      <c r="LAG200" s="537"/>
      <c r="LAH200" s="537"/>
      <c r="LAI200" s="537"/>
      <c r="LAJ200" s="537"/>
      <c r="LAK200" s="537"/>
      <c r="LAL200" s="537"/>
      <c r="LAM200" s="537"/>
      <c r="LAN200" s="537"/>
      <c r="LAO200" s="537"/>
      <c r="LAP200" s="537"/>
      <c r="LAQ200" s="537"/>
      <c r="LAR200" s="537"/>
      <c r="LAS200" s="537"/>
      <c r="LAT200" s="537"/>
      <c r="LAU200" s="537"/>
      <c r="LAV200" s="537"/>
      <c r="LAW200" s="537"/>
      <c r="LAX200" s="537"/>
      <c r="LAY200" s="537"/>
      <c r="LAZ200" s="537"/>
      <c r="LBA200" s="537"/>
      <c r="LBB200" s="537"/>
      <c r="LBC200" s="537"/>
      <c r="LBD200" s="537"/>
      <c r="LBE200" s="537"/>
      <c r="LBF200" s="537"/>
      <c r="LBG200" s="537"/>
      <c r="LBH200" s="537"/>
      <c r="LBI200" s="537"/>
      <c r="LBJ200" s="537"/>
      <c r="LBK200" s="537"/>
      <c r="LBL200" s="537"/>
      <c r="LBM200" s="537"/>
      <c r="LBN200" s="537"/>
      <c r="LBO200" s="537"/>
      <c r="LBP200" s="537"/>
      <c r="LBQ200" s="537"/>
      <c r="LBR200" s="537"/>
      <c r="LBS200" s="537"/>
      <c r="LBT200" s="537"/>
      <c r="LBU200" s="537"/>
      <c r="LBV200" s="537"/>
      <c r="LBW200" s="537"/>
      <c r="LBX200" s="537"/>
      <c r="LBY200" s="537"/>
      <c r="LBZ200" s="537"/>
      <c r="LCA200" s="537"/>
      <c r="LCB200" s="537"/>
      <c r="LCC200" s="537"/>
      <c r="LCD200" s="537"/>
      <c r="LCE200" s="537"/>
      <c r="LCF200" s="537"/>
      <c r="LCG200" s="537"/>
      <c r="LCH200" s="537"/>
      <c r="LCI200" s="537"/>
      <c r="LCJ200" s="537"/>
      <c r="LCK200" s="537"/>
      <c r="LCL200" s="537"/>
      <c r="LCM200" s="537"/>
      <c r="LCN200" s="537"/>
      <c r="LCO200" s="537"/>
      <c r="LCP200" s="537"/>
      <c r="LCQ200" s="537"/>
      <c r="LCR200" s="537"/>
      <c r="LCS200" s="537"/>
      <c r="LCT200" s="537"/>
      <c r="LCU200" s="537"/>
      <c r="LCV200" s="537"/>
      <c r="LCW200" s="537"/>
      <c r="LCX200" s="537"/>
      <c r="LCY200" s="537"/>
      <c r="LCZ200" s="537"/>
      <c r="LDA200" s="537"/>
      <c r="LDB200" s="537"/>
      <c r="LDC200" s="537"/>
      <c r="LDD200" s="537"/>
      <c r="LDE200" s="537"/>
      <c r="LDF200" s="537"/>
      <c r="LDG200" s="537"/>
      <c r="LDH200" s="537"/>
      <c r="LDI200" s="537"/>
      <c r="LDJ200" s="537"/>
      <c r="LDK200" s="537"/>
      <c r="LDL200" s="537"/>
      <c r="LDM200" s="537"/>
      <c r="LDN200" s="537"/>
      <c r="LDO200" s="537"/>
      <c r="LDP200" s="537"/>
      <c r="LDQ200" s="537"/>
      <c r="LDR200" s="537"/>
      <c r="LDS200" s="537"/>
      <c r="LDT200" s="537"/>
      <c r="LDU200" s="537"/>
      <c r="LDV200" s="537"/>
      <c r="LDW200" s="537"/>
      <c r="LDX200" s="537"/>
      <c r="LDY200" s="537"/>
      <c r="LDZ200" s="537"/>
      <c r="LEA200" s="537"/>
      <c r="LEB200" s="537"/>
      <c r="LEC200" s="537"/>
      <c r="LED200" s="537"/>
      <c r="LEE200" s="537"/>
      <c r="LEF200" s="537"/>
      <c r="LEG200" s="537"/>
      <c r="LEH200" s="537"/>
      <c r="LEI200" s="537"/>
      <c r="LEJ200" s="537"/>
      <c r="LEK200" s="537"/>
      <c r="LEL200" s="537"/>
      <c r="LEM200" s="537"/>
      <c r="LEN200" s="537"/>
      <c r="LEO200" s="537"/>
      <c r="LEP200" s="537"/>
      <c r="LEQ200" s="537"/>
      <c r="LER200" s="537"/>
      <c r="LES200" s="537"/>
      <c r="LET200" s="537"/>
      <c r="LEU200" s="537"/>
      <c r="LEV200" s="537"/>
      <c r="LEW200" s="537"/>
      <c r="LEX200" s="537"/>
      <c r="LEY200" s="537"/>
      <c r="LEZ200" s="537"/>
      <c r="LFA200" s="537"/>
      <c r="LFB200" s="537"/>
      <c r="LFC200" s="537"/>
      <c r="LFD200" s="537"/>
      <c r="LFE200" s="537"/>
      <c r="LFF200" s="537"/>
      <c r="LFG200" s="537"/>
      <c r="LFH200" s="537"/>
      <c r="LFI200" s="537"/>
      <c r="LFJ200" s="537"/>
      <c r="LFK200" s="537"/>
      <c r="LFL200" s="537"/>
      <c r="LFM200" s="537"/>
      <c r="LFN200" s="537"/>
      <c r="LFO200" s="537"/>
      <c r="LFP200" s="537"/>
      <c r="LFQ200" s="537"/>
      <c r="LFR200" s="537"/>
      <c r="LFS200" s="537"/>
      <c r="LFT200" s="537"/>
      <c r="LFU200" s="537"/>
      <c r="LFV200" s="537"/>
      <c r="LFW200" s="537"/>
      <c r="LFX200" s="537"/>
      <c r="LFY200" s="537"/>
      <c r="LFZ200" s="537"/>
      <c r="LGA200" s="537"/>
      <c r="LGB200" s="537"/>
      <c r="LGC200" s="537"/>
      <c r="LGD200" s="537"/>
      <c r="LGE200" s="537"/>
      <c r="LGF200" s="537"/>
      <c r="LGG200" s="537"/>
      <c r="LGH200" s="537"/>
      <c r="LGI200" s="537"/>
      <c r="LGJ200" s="537"/>
      <c r="LGK200" s="537"/>
      <c r="LGL200" s="537"/>
      <c r="LGM200" s="537"/>
      <c r="LGN200" s="537"/>
      <c r="LGO200" s="537"/>
      <c r="LGP200" s="537"/>
      <c r="LGQ200" s="537"/>
      <c r="LGR200" s="537"/>
      <c r="LGS200" s="537"/>
      <c r="LGT200" s="537"/>
      <c r="LGU200" s="537"/>
      <c r="LGV200" s="537"/>
      <c r="LGW200" s="537"/>
      <c r="LGX200" s="537"/>
      <c r="LGY200" s="537"/>
      <c r="LGZ200" s="537"/>
      <c r="LHA200" s="537"/>
      <c r="LHB200" s="537"/>
      <c r="LHC200" s="537"/>
      <c r="LHD200" s="537"/>
      <c r="LHE200" s="537"/>
      <c r="LHF200" s="537"/>
      <c r="LHG200" s="537"/>
      <c r="LHH200" s="537"/>
      <c r="LHI200" s="537"/>
      <c r="LHJ200" s="537"/>
      <c r="LHK200" s="537"/>
      <c r="LHL200" s="537"/>
      <c r="LHM200" s="537"/>
      <c r="LHN200" s="537"/>
      <c r="LHO200" s="537"/>
      <c r="LHP200" s="537"/>
      <c r="LHQ200" s="537"/>
      <c r="LHR200" s="537"/>
      <c r="LHS200" s="537"/>
      <c r="LHT200" s="537"/>
      <c r="LHU200" s="537"/>
      <c r="LHV200" s="537"/>
      <c r="LHW200" s="537"/>
      <c r="LHX200" s="537"/>
      <c r="LHY200" s="537"/>
      <c r="LHZ200" s="537"/>
      <c r="LIA200" s="537"/>
      <c r="LIB200" s="537"/>
      <c r="LIC200" s="537"/>
      <c r="LID200" s="537"/>
      <c r="LIE200" s="537"/>
      <c r="LIF200" s="537"/>
      <c r="LIG200" s="537"/>
      <c r="LIH200" s="537"/>
      <c r="LII200" s="537"/>
      <c r="LIJ200" s="537"/>
      <c r="LIK200" s="537"/>
      <c r="LIL200" s="537"/>
      <c r="LIM200" s="537"/>
      <c r="LIN200" s="537"/>
      <c r="LIO200" s="537"/>
      <c r="LIP200" s="537"/>
      <c r="LIQ200" s="537"/>
      <c r="LIR200" s="537"/>
      <c r="LIS200" s="537"/>
      <c r="LIT200" s="537"/>
      <c r="LIU200" s="537"/>
      <c r="LIV200" s="537"/>
      <c r="LIW200" s="537"/>
      <c r="LIX200" s="537"/>
      <c r="LIY200" s="537"/>
      <c r="LIZ200" s="537"/>
      <c r="LJA200" s="537"/>
      <c r="LJB200" s="537"/>
      <c r="LJC200" s="537"/>
      <c r="LJD200" s="537"/>
      <c r="LJE200" s="537"/>
      <c r="LJF200" s="537"/>
      <c r="LJG200" s="537"/>
      <c r="LJH200" s="537"/>
      <c r="LJI200" s="537"/>
      <c r="LJJ200" s="537"/>
      <c r="LJK200" s="537"/>
      <c r="LJL200" s="537"/>
      <c r="LJM200" s="537"/>
      <c r="LJN200" s="537"/>
      <c r="LJO200" s="537"/>
      <c r="LJP200" s="537"/>
      <c r="LJQ200" s="537"/>
      <c r="LJR200" s="537"/>
      <c r="LJS200" s="537"/>
      <c r="LJT200" s="537"/>
      <c r="LJU200" s="537"/>
      <c r="LJV200" s="537"/>
      <c r="LJW200" s="537"/>
      <c r="LJX200" s="537"/>
      <c r="LJY200" s="537"/>
      <c r="LJZ200" s="537"/>
      <c r="LKA200" s="537"/>
      <c r="LKB200" s="537"/>
      <c r="LKC200" s="537"/>
      <c r="LKD200" s="537"/>
      <c r="LKE200" s="537"/>
      <c r="LKF200" s="537"/>
      <c r="LKG200" s="537"/>
      <c r="LKH200" s="537"/>
      <c r="LKI200" s="537"/>
      <c r="LKJ200" s="537"/>
      <c r="LKK200" s="537"/>
      <c r="LKL200" s="537"/>
      <c r="LKM200" s="537"/>
      <c r="LKN200" s="537"/>
      <c r="LKO200" s="537"/>
      <c r="LKP200" s="537"/>
      <c r="LKQ200" s="537"/>
      <c r="LKR200" s="537"/>
      <c r="LKS200" s="537"/>
      <c r="LKT200" s="537"/>
      <c r="LKU200" s="537"/>
      <c r="LKV200" s="537"/>
      <c r="LKW200" s="537"/>
      <c r="LKX200" s="537"/>
      <c r="LKY200" s="537"/>
      <c r="LKZ200" s="537"/>
      <c r="LLA200" s="537"/>
      <c r="LLB200" s="537"/>
      <c r="LLC200" s="537"/>
      <c r="LLD200" s="537"/>
      <c r="LLE200" s="537"/>
      <c r="LLF200" s="537"/>
      <c r="LLG200" s="537"/>
      <c r="LLH200" s="537"/>
      <c r="LLI200" s="537"/>
      <c r="LLJ200" s="537"/>
      <c r="LLK200" s="537"/>
      <c r="LLL200" s="537"/>
      <c r="LLM200" s="537"/>
      <c r="LLN200" s="537"/>
      <c r="LLO200" s="537"/>
      <c r="LLP200" s="537"/>
      <c r="LLQ200" s="537"/>
      <c r="LLR200" s="537"/>
      <c r="LLS200" s="537"/>
      <c r="LLT200" s="537"/>
      <c r="LLU200" s="537"/>
      <c r="LLV200" s="537"/>
      <c r="LLW200" s="537"/>
      <c r="LLX200" s="537"/>
      <c r="LLY200" s="537"/>
      <c r="LLZ200" s="537"/>
      <c r="LMA200" s="537"/>
      <c r="LMB200" s="537"/>
      <c r="LMC200" s="537"/>
      <c r="LMD200" s="537"/>
      <c r="LME200" s="537"/>
      <c r="LMF200" s="537"/>
      <c r="LMG200" s="537"/>
      <c r="LMH200" s="537"/>
      <c r="LMI200" s="537"/>
      <c r="LMJ200" s="537"/>
      <c r="LMK200" s="537"/>
      <c r="LML200" s="537"/>
      <c r="LMM200" s="537"/>
      <c r="LMN200" s="537"/>
      <c r="LMO200" s="537"/>
      <c r="LMP200" s="537"/>
      <c r="LMQ200" s="537"/>
      <c r="LMR200" s="537"/>
      <c r="LMS200" s="537"/>
      <c r="LMT200" s="537"/>
      <c r="LMU200" s="537"/>
      <c r="LMV200" s="537"/>
      <c r="LMW200" s="537"/>
      <c r="LMX200" s="537"/>
      <c r="LMY200" s="537"/>
      <c r="LMZ200" s="537"/>
      <c r="LNA200" s="537"/>
      <c r="LNB200" s="537"/>
      <c r="LNC200" s="537"/>
      <c r="LND200" s="537"/>
      <c r="LNE200" s="537"/>
      <c r="LNF200" s="537"/>
      <c r="LNG200" s="537"/>
      <c r="LNH200" s="537"/>
      <c r="LNI200" s="537"/>
      <c r="LNJ200" s="537"/>
      <c r="LNK200" s="537"/>
      <c r="LNL200" s="537"/>
      <c r="LNM200" s="537"/>
      <c r="LNN200" s="537"/>
      <c r="LNO200" s="537"/>
      <c r="LNP200" s="537"/>
      <c r="LNQ200" s="537"/>
      <c r="LNR200" s="537"/>
      <c r="LNS200" s="537"/>
      <c r="LNT200" s="537"/>
      <c r="LNU200" s="537"/>
      <c r="LNV200" s="537"/>
      <c r="LNW200" s="537"/>
      <c r="LNX200" s="537"/>
      <c r="LNY200" s="537"/>
      <c r="LNZ200" s="537"/>
      <c r="LOA200" s="537"/>
      <c r="LOB200" s="537"/>
      <c r="LOC200" s="537"/>
      <c r="LOD200" s="537"/>
      <c r="LOE200" s="537"/>
      <c r="LOF200" s="537"/>
      <c r="LOG200" s="537"/>
      <c r="LOH200" s="537"/>
      <c r="LOI200" s="537"/>
      <c r="LOJ200" s="537"/>
      <c r="LOK200" s="537"/>
      <c r="LOL200" s="537"/>
      <c r="LOM200" s="537"/>
      <c r="LON200" s="537"/>
      <c r="LOO200" s="537"/>
      <c r="LOP200" s="537"/>
      <c r="LOQ200" s="537"/>
      <c r="LOR200" s="537"/>
      <c r="LOS200" s="537"/>
      <c r="LOT200" s="537"/>
      <c r="LOU200" s="537"/>
      <c r="LOV200" s="537"/>
      <c r="LOW200" s="537"/>
      <c r="LOX200" s="537"/>
      <c r="LOY200" s="537"/>
      <c r="LOZ200" s="537"/>
      <c r="LPA200" s="537"/>
      <c r="LPB200" s="537"/>
      <c r="LPC200" s="537"/>
      <c r="LPD200" s="537"/>
      <c r="LPE200" s="537"/>
      <c r="LPF200" s="537"/>
      <c r="LPG200" s="537"/>
      <c r="LPH200" s="537"/>
      <c r="LPI200" s="537"/>
      <c r="LPJ200" s="537"/>
      <c r="LPK200" s="537"/>
      <c r="LPL200" s="537"/>
      <c r="LPM200" s="537"/>
      <c r="LPN200" s="537"/>
      <c r="LPO200" s="537"/>
      <c r="LPP200" s="537"/>
      <c r="LPQ200" s="537"/>
      <c r="LPR200" s="537"/>
      <c r="LPS200" s="537"/>
      <c r="LPT200" s="537"/>
      <c r="LPU200" s="537"/>
      <c r="LPV200" s="537"/>
      <c r="LPW200" s="537"/>
      <c r="LPX200" s="537"/>
      <c r="LPY200" s="537"/>
      <c r="LPZ200" s="537"/>
      <c r="LQA200" s="537"/>
      <c r="LQB200" s="537"/>
      <c r="LQC200" s="537"/>
      <c r="LQD200" s="537"/>
      <c r="LQE200" s="537"/>
      <c r="LQF200" s="537"/>
      <c r="LQG200" s="537"/>
      <c r="LQH200" s="537"/>
      <c r="LQI200" s="537"/>
      <c r="LQJ200" s="537"/>
      <c r="LQK200" s="537"/>
      <c r="LQL200" s="537"/>
      <c r="LQM200" s="537"/>
      <c r="LQN200" s="537"/>
      <c r="LQO200" s="537"/>
      <c r="LQP200" s="537"/>
      <c r="LQQ200" s="537"/>
      <c r="LQR200" s="537"/>
      <c r="LQS200" s="537"/>
      <c r="LQT200" s="537"/>
      <c r="LQU200" s="537"/>
      <c r="LQV200" s="537"/>
      <c r="LQW200" s="537"/>
      <c r="LQX200" s="537"/>
      <c r="LQY200" s="537"/>
      <c r="LQZ200" s="537"/>
      <c r="LRA200" s="537"/>
      <c r="LRB200" s="537"/>
      <c r="LRC200" s="537"/>
      <c r="LRD200" s="537"/>
      <c r="LRE200" s="537"/>
      <c r="LRF200" s="537"/>
      <c r="LRG200" s="537"/>
      <c r="LRH200" s="537"/>
      <c r="LRI200" s="537"/>
      <c r="LRJ200" s="537"/>
      <c r="LRK200" s="537"/>
      <c r="LRL200" s="537"/>
      <c r="LRM200" s="537"/>
      <c r="LRN200" s="537"/>
      <c r="LRO200" s="537"/>
      <c r="LRP200" s="537"/>
      <c r="LRQ200" s="537"/>
      <c r="LRR200" s="537"/>
      <c r="LRS200" s="537"/>
      <c r="LRT200" s="537"/>
      <c r="LRU200" s="537"/>
      <c r="LRV200" s="537"/>
      <c r="LRW200" s="537"/>
      <c r="LRX200" s="537"/>
      <c r="LRY200" s="537"/>
      <c r="LRZ200" s="537"/>
      <c r="LSA200" s="537"/>
      <c r="LSB200" s="537"/>
      <c r="LSC200" s="537"/>
      <c r="LSD200" s="537"/>
      <c r="LSE200" s="537"/>
      <c r="LSF200" s="537"/>
      <c r="LSG200" s="537"/>
      <c r="LSH200" s="537"/>
      <c r="LSI200" s="537"/>
      <c r="LSJ200" s="537"/>
      <c r="LSK200" s="537"/>
      <c r="LSL200" s="537"/>
      <c r="LSM200" s="537"/>
      <c r="LSN200" s="537"/>
      <c r="LSO200" s="537"/>
      <c r="LSP200" s="537"/>
      <c r="LSQ200" s="537"/>
      <c r="LSR200" s="537"/>
      <c r="LSS200" s="537"/>
      <c r="LST200" s="537"/>
      <c r="LSU200" s="537"/>
      <c r="LSV200" s="537"/>
      <c r="LSW200" s="537"/>
      <c r="LSX200" s="537"/>
      <c r="LSY200" s="537"/>
      <c r="LSZ200" s="537"/>
      <c r="LTA200" s="537"/>
      <c r="LTB200" s="537"/>
      <c r="LTC200" s="537"/>
      <c r="LTD200" s="537"/>
      <c r="LTE200" s="537"/>
      <c r="LTF200" s="537"/>
      <c r="LTG200" s="537"/>
      <c r="LTH200" s="537"/>
      <c r="LTI200" s="537"/>
      <c r="LTJ200" s="537"/>
      <c r="LTK200" s="537"/>
      <c r="LTL200" s="537"/>
      <c r="LTM200" s="537"/>
      <c r="LTN200" s="537"/>
      <c r="LTO200" s="537"/>
      <c r="LTP200" s="537"/>
      <c r="LTQ200" s="537"/>
      <c r="LTR200" s="537"/>
      <c r="LTS200" s="537"/>
      <c r="LTT200" s="537"/>
      <c r="LTU200" s="537"/>
      <c r="LTV200" s="537"/>
      <c r="LTW200" s="537"/>
      <c r="LTX200" s="537"/>
      <c r="LTY200" s="537"/>
      <c r="LTZ200" s="537"/>
      <c r="LUA200" s="537"/>
      <c r="LUB200" s="537"/>
      <c r="LUC200" s="537"/>
      <c r="LUD200" s="537"/>
      <c r="LUE200" s="537"/>
      <c r="LUF200" s="537"/>
      <c r="LUG200" s="537"/>
      <c r="LUH200" s="537"/>
      <c r="LUI200" s="537"/>
      <c r="LUJ200" s="537"/>
      <c r="LUK200" s="537"/>
      <c r="LUL200" s="537"/>
      <c r="LUM200" s="537"/>
      <c r="LUN200" s="537"/>
      <c r="LUO200" s="537"/>
      <c r="LUP200" s="537"/>
      <c r="LUQ200" s="537"/>
      <c r="LUR200" s="537"/>
      <c r="LUS200" s="537"/>
      <c r="LUT200" s="537"/>
      <c r="LUU200" s="537"/>
      <c r="LUV200" s="537"/>
      <c r="LUW200" s="537"/>
      <c r="LUX200" s="537"/>
      <c r="LUY200" s="537"/>
      <c r="LUZ200" s="537"/>
      <c r="LVA200" s="537"/>
      <c r="LVB200" s="537"/>
      <c r="LVC200" s="537"/>
      <c r="LVD200" s="537"/>
      <c r="LVE200" s="537"/>
      <c r="LVF200" s="537"/>
      <c r="LVG200" s="537"/>
      <c r="LVH200" s="537"/>
      <c r="LVI200" s="537"/>
      <c r="LVJ200" s="537"/>
      <c r="LVK200" s="537"/>
      <c r="LVL200" s="537"/>
      <c r="LVM200" s="537"/>
      <c r="LVN200" s="537"/>
      <c r="LVO200" s="537"/>
      <c r="LVP200" s="537"/>
      <c r="LVQ200" s="537"/>
      <c r="LVR200" s="537"/>
      <c r="LVS200" s="537"/>
      <c r="LVT200" s="537"/>
      <c r="LVU200" s="537"/>
      <c r="LVV200" s="537"/>
      <c r="LVW200" s="537"/>
      <c r="LVX200" s="537"/>
      <c r="LVY200" s="537"/>
      <c r="LVZ200" s="537"/>
      <c r="LWA200" s="537"/>
      <c r="LWB200" s="537"/>
      <c r="LWC200" s="537"/>
      <c r="LWD200" s="537"/>
      <c r="LWE200" s="537"/>
      <c r="LWF200" s="537"/>
      <c r="LWG200" s="537"/>
      <c r="LWH200" s="537"/>
      <c r="LWI200" s="537"/>
      <c r="LWJ200" s="537"/>
      <c r="LWK200" s="537"/>
      <c r="LWL200" s="537"/>
      <c r="LWM200" s="537"/>
      <c r="LWN200" s="537"/>
      <c r="LWO200" s="537"/>
      <c r="LWP200" s="537"/>
      <c r="LWQ200" s="537"/>
      <c r="LWR200" s="537"/>
      <c r="LWS200" s="537"/>
      <c r="LWT200" s="537"/>
      <c r="LWU200" s="537"/>
      <c r="LWV200" s="537"/>
      <c r="LWW200" s="537"/>
      <c r="LWX200" s="537"/>
      <c r="LWY200" s="537"/>
      <c r="LWZ200" s="537"/>
      <c r="LXA200" s="537"/>
      <c r="LXB200" s="537"/>
      <c r="LXC200" s="537"/>
      <c r="LXD200" s="537"/>
      <c r="LXE200" s="537"/>
      <c r="LXF200" s="537"/>
      <c r="LXG200" s="537"/>
      <c r="LXH200" s="537"/>
      <c r="LXI200" s="537"/>
      <c r="LXJ200" s="537"/>
      <c r="LXK200" s="537"/>
      <c r="LXL200" s="537"/>
      <c r="LXM200" s="537"/>
      <c r="LXN200" s="537"/>
      <c r="LXO200" s="537"/>
      <c r="LXP200" s="537"/>
      <c r="LXQ200" s="537"/>
      <c r="LXR200" s="537"/>
      <c r="LXS200" s="537"/>
      <c r="LXT200" s="537"/>
      <c r="LXU200" s="537"/>
      <c r="LXV200" s="537"/>
      <c r="LXW200" s="537"/>
      <c r="LXX200" s="537"/>
      <c r="LXY200" s="537"/>
      <c r="LXZ200" s="537"/>
      <c r="LYA200" s="537"/>
      <c r="LYB200" s="537"/>
      <c r="LYC200" s="537"/>
      <c r="LYD200" s="537"/>
      <c r="LYE200" s="537"/>
      <c r="LYF200" s="537"/>
      <c r="LYG200" s="537"/>
      <c r="LYH200" s="537"/>
      <c r="LYI200" s="537"/>
      <c r="LYJ200" s="537"/>
      <c r="LYK200" s="537"/>
      <c r="LYL200" s="537"/>
      <c r="LYM200" s="537"/>
      <c r="LYN200" s="537"/>
      <c r="LYO200" s="537"/>
      <c r="LYP200" s="537"/>
      <c r="LYQ200" s="537"/>
      <c r="LYR200" s="537"/>
      <c r="LYS200" s="537"/>
      <c r="LYT200" s="537"/>
      <c r="LYU200" s="537"/>
      <c r="LYV200" s="537"/>
      <c r="LYW200" s="537"/>
      <c r="LYX200" s="537"/>
      <c r="LYY200" s="537"/>
      <c r="LYZ200" s="537"/>
      <c r="LZA200" s="537"/>
      <c r="LZB200" s="537"/>
      <c r="LZC200" s="537"/>
      <c r="LZD200" s="537"/>
      <c r="LZE200" s="537"/>
      <c r="LZF200" s="537"/>
      <c r="LZG200" s="537"/>
      <c r="LZH200" s="537"/>
      <c r="LZI200" s="537"/>
      <c r="LZJ200" s="537"/>
      <c r="LZK200" s="537"/>
      <c r="LZL200" s="537"/>
      <c r="LZM200" s="537"/>
      <c r="LZN200" s="537"/>
      <c r="LZO200" s="537"/>
      <c r="LZP200" s="537"/>
      <c r="LZQ200" s="537"/>
      <c r="LZR200" s="537"/>
      <c r="LZS200" s="537"/>
      <c r="LZT200" s="537"/>
      <c r="LZU200" s="537"/>
      <c r="LZV200" s="537"/>
      <c r="LZW200" s="537"/>
      <c r="LZX200" s="537"/>
      <c r="LZY200" s="537"/>
      <c r="LZZ200" s="537"/>
      <c r="MAA200" s="537"/>
      <c r="MAB200" s="537"/>
      <c r="MAC200" s="537"/>
      <c r="MAD200" s="537"/>
      <c r="MAE200" s="537"/>
      <c r="MAF200" s="537"/>
      <c r="MAG200" s="537"/>
      <c r="MAH200" s="537"/>
      <c r="MAI200" s="537"/>
      <c r="MAJ200" s="537"/>
      <c r="MAK200" s="537"/>
      <c r="MAL200" s="537"/>
      <c r="MAM200" s="537"/>
      <c r="MAN200" s="537"/>
      <c r="MAO200" s="537"/>
      <c r="MAP200" s="537"/>
      <c r="MAQ200" s="537"/>
      <c r="MAR200" s="537"/>
      <c r="MAS200" s="537"/>
      <c r="MAT200" s="537"/>
      <c r="MAU200" s="537"/>
      <c r="MAV200" s="537"/>
      <c r="MAW200" s="537"/>
      <c r="MAX200" s="537"/>
      <c r="MAY200" s="537"/>
      <c r="MAZ200" s="537"/>
      <c r="MBA200" s="537"/>
      <c r="MBB200" s="537"/>
      <c r="MBC200" s="537"/>
      <c r="MBD200" s="537"/>
      <c r="MBE200" s="537"/>
      <c r="MBF200" s="537"/>
      <c r="MBG200" s="537"/>
      <c r="MBH200" s="537"/>
      <c r="MBI200" s="537"/>
      <c r="MBJ200" s="537"/>
      <c r="MBK200" s="537"/>
      <c r="MBL200" s="537"/>
      <c r="MBM200" s="537"/>
      <c r="MBN200" s="537"/>
      <c r="MBO200" s="537"/>
      <c r="MBP200" s="537"/>
      <c r="MBQ200" s="537"/>
      <c r="MBR200" s="537"/>
      <c r="MBS200" s="537"/>
      <c r="MBT200" s="537"/>
      <c r="MBU200" s="537"/>
      <c r="MBV200" s="537"/>
      <c r="MBW200" s="537"/>
      <c r="MBX200" s="537"/>
      <c r="MBY200" s="537"/>
      <c r="MBZ200" s="537"/>
      <c r="MCA200" s="537"/>
      <c r="MCB200" s="537"/>
      <c r="MCC200" s="537"/>
      <c r="MCD200" s="537"/>
      <c r="MCE200" s="537"/>
      <c r="MCF200" s="537"/>
      <c r="MCG200" s="537"/>
      <c r="MCH200" s="537"/>
      <c r="MCI200" s="537"/>
      <c r="MCJ200" s="537"/>
      <c r="MCK200" s="537"/>
      <c r="MCL200" s="537"/>
      <c r="MCM200" s="537"/>
      <c r="MCN200" s="537"/>
      <c r="MCO200" s="537"/>
      <c r="MCP200" s="537"/>
      <c r="MCQ200" s="537"/>
      <c r="MCR200" s="537"/>
      <c r="MCS200" s="537"/>
      <c r="MCT200" s="537"/>
      <c r="MCU200" s="537"/>
      <c r="MCV200" s="537"/>
      <c r="MCW200" s="537"/>
      <c r="MCX200" s="537"/>
      <c r="MCY200" s="537"/>
      <c r="MCZ200" s="537"/>
      <c r="MDA200" s="537"/>
      <c r="MDB200" s="537"/>
      <c r="MDC200" s="537"/>
      <c r="MDD200" s="537"/>
      <c r="MDE200" s="537"/>
      <c r="MDF200" s="537"/>
      <c r="MDG200" s="537"/>
      <c r="MDH200" s="537"/>
      <c r="MDI200" s="537"/>
      <c r="MDJ200" s="537"/>
      <c r="MDK200" s="537"/>
      <c r="MDL200" s="537"/>
      <c r="MDM200" s="537"/>
      <c r="MDN200" s="537"/>
      <c r="MDO200" s="537"/>
      <c r="MDP200" s="537"/>
      <c r="MDQ200" s="537"/>
      <c r="MDR200" s="537"/>
      <c r="MDS200" s="537"/>
      <c r="MDT200" s="537"/>
      <c r="MDU200" s="537"/>
      <c r="MDV200" s="537"/>
      <c r="MDW200" s="537"/>
      <c r="MDX200" s="537"/>
      <c r="MDY200" s="537"/>
      <c r="MDZ200" s="537"/>
      <c r="MEA200" s="537"/>
      <c r="MEB200" s="537"/>
      <c r="MEC200" s="537"/>
      <c r="MED200" s="537"/>
      <c r="MEE200" s="537"/>
      <c r="MEF200" s="537"/>
      <c r="MEG200" s="537"/>
      <c r="MEH200" s="537"/>
      <c r="MEI200" s="537"/>
      <c r="MEJ200" s="537"/>
      <c r="MEK200" s="537"/>
      <c r="MEL200" s="537"/>
      <c r="MEM200" s="537"/>
      <c r="MEN200" s="537"/>
      <c r="MEO200" s="537"/>
      <c r="MEP200" s="537"/>
      <c r="MEQ200" s="537"/>
      <c r="MER200" s="537"/>
      <c r="MES200" s="537"/>
      <c r="MET200" s="537"/>
      <c r="MEU200" s="537"/>
      <c r="MEV200" s="537"/>
      <c r="MEW200" s="537"/>
      <c r="MEX200" s="537"/>
      <c r="MEY200" s="537"/>
      <c r="MEZ200" s="537"/>
      <c r="MFA200" s="537"/>
      <c r="MFB200" s="537"/>
      <c r="MFC200" s="537"/>
      <c r="MFD200" s="537"/>
      <c r="MFE200" s="537"/>
      <c r="MFF200" s="537"/>
      <c r="MFG200" s="537"/>
      <c r="MFH200" s="537"/>
      <c r="MFI200" s="537"/>
      <c r="MFJ200" s="537"/>
      <c r="MFK200" s="537"/>
      <c r="MFL200" s="537"/>
      <c r="MFM200" s="537"/>
      <c r="MFN200" s="537"/>
      <c r="MFO200" s="537"/>
      <c r="MFP200" s="537"/>
      <c r="MFQ200" s="537"/>
      <c r="MFR200" s="537"/>
      <c r="MFS200" s="537"/>
      <c r="MFT200" s="537"/>
      <c r="MFU200" s="537"/>
      <c r="MFV200" s="537"/>
      <c r="MFW200" s="537"/>
      <c r="MFX200" s="537"/>
      <c r="MFY200" s="537"/>
      <c r="MFZ200" s="537"/>
      <c r="MGA200" s="537"/>
      <c r="MGB200" s="537"/>
      <c r="MGC200" s="537"/>
      <c r="MGD200" s="537"/>
      <c r="MGE200" s="537"/>
      <c r="MGF200" s="537"/>
      <c r="MGG200" s="537"/>
      <c r="MGH200" s="537"/>
      <c r="MGI200" s="537"/>
      <c r="MGJ200" s="537"/>
      <c r="MGK200" s="537"/>
      <c r="MGL200" s="537"/>
      <c r="MGM200" s="537"/>
      <c r="MGN200" s="537"/>
      <c r="MGO200" s="537"/>
      <c r="MGP200" s="537"/>
      <c r="MGQ200" s="537"/>
      <c r="MGR200" s="537"/>
      <c r="MGS200" s="537"/>
      <c r="MGT200" s="537"/>
      <c r="MGU200" s="537"/>
      <c r="MGV200" s="537"/>
      <c r="MGW200" s="537"/>
      <c r="MGX200" s="537"/>
      <c r="MGY200" s="537"/>
      <c r="MGZ200" s="537"/>
      <c r="MHA200" s="537"/>
      <c r="MHB200" s="537"/>
      <c r="MHC200" s="537"/>
      <c r="MHD200" s="537"/>
      <c r="MHE200" s="537"/>
      <c r="MHF200" s="537"/>
      <c r="MHG200" s="537"/>
      <c r="MHH200" s="537"/>
      <c r="MHI200" s="537"/>
      <c r="MHJ200" s="537"/>
      <c r="MHK200" s="537"/>
      <c r="MHL200" s="537"/>
      <c r="MHM200" s="537"/>
      <c r="MHN200" s="537"/>
      <c r="MHO200" s="537"/>
      <c r="MHP200" s="537"/>
      <c r="MHQ200" s="537"/>
      <c r="MHR200" s="537"/>
      <c r="MHS200" s="537"/>
      <c r="MHT200" s="537"/>
      <c r="MHU200" s="537"/>
      <c r="MHV200" s="537"/>
      <c r="MHW200" s="537"/>
      <c r="MHX200" s="537"/>
      <c r="MHY200" s="537"/>
      <c r="MHZ200" s="537"/>
      <c r="MIA200" s="537"/>
      <c r="MIB200" s="537"/>
      <c r="MIC200" s="537"/>
      <c r="MID200" s="537"/>
      <c r="MIE200" s="537"/>
      <c r="MIF200" s="537"/>
      <c r="MIG200" s="537"/>
      <c r="MIH200" s="537"/>
      <c r="MII200" s="537"/>
      <c r="MIJ200" s="537"/>
      <c r="MIK200" s="537"/>
      <c r="MIL200" s="537"/>
      <c r="MIM200" s="537"/>
      <c r="MIN200" s="537"/>
      <c r="MIO200" s="537"/>
      <c r="MIP200" s="537"/>
      <c r="MIQ200" s="537"/>
      <c r="MIR200" s="537"/>
      <c r="MIS200" s="537"/>
      <c r="MIT200" s="537"/>
      <c r="MIU200" s="537"/>
      <c r="MIV200" s="537"/>
      <c r="MIW200" s="537"/>
      <c r="MIX200" s="537"/>
      <c r="MIY200" s="537"/>
      <c r="MIZ200" s="537"/>
      <c r="MJA200" s="537"/>
      <c r="MJB200" s="537"/>
      <c r="MJC200" s="537"/>
      <c r="MJD200" s="537"/>
      <c r="MJE200" s="537"/>
      <c r="MJF200" s="537"/>
      <c r="MJG200" s="537"/>
      <c r="MJH200" s="537"/>
      <c r="MJI200" s="537"/>
      <c r="MJJ200" s="537"/>
      <c r="MJK200" s="537"/>
      <c r="MJL200" s="537"/>
      <c r="MJM200" s="537"/>
      <c r="MJN200" s="537"/>
      <c r="MJO200" s="537"/>
      <c r="MJP200" s="537"/>
      <c r="MJQ200" s="537"/>
      <c r="MJR200" s="537"/>
      <c r="MJS200" s="537"/>
      <c r="MJT200" s="537"/>
      <c r="MJU200" s="537"/>
      <c r="MJV200" s="537"/>
      <c r="MJW200" s="537"/>
      <c r="MJX200" s="537"/>
      <c r="MJY200" s="537"/>
      <c r="MJZ200" s="537"/>
      <c r="MKA200" s="537"/>
      <c r="MKB200" s="537"/>
      <c r="MKC200" s="537"/>
      <c r="MKD200" s="537"/>
      <c r="MKE200" s="537"/>
      <c r="MKF200" s="537"/>
      <c r="MKG200" s="537"/>
      <c r="MKH200" s="537"/>
      <c r="MKI200" s="537"/>
      <c r="MKJ200" s="537"/>
      <c r="MKK200" s="537"/>
      <c r="MKL200" s="537"/>
      <c r="MKM200" s="537"/>
      <c r="MKN200" s="537"/>
      <c r="MKO200" s="537"/>
      <c r="MKP200" s="537"/>
      <c r="MKQ200" s="537"/>
      <c r="MKR200" s="537"/>
      <c r="MKS200" s="537"/>
      <c r="MKT200" s="537"/>
      <c r="MKU200" s="537"/>
      <c r="MKV200" s="537"/>
      <c r="MKW200" s="537"/>
      <c r="MKX200" s="537"/>
      <c r="MKY200" s="537"/>
      <c r="MKZ200" s="537"/>
      <c r="MLA200" s="537"/>
      <c r="MLB200" s="537"/>
      <c r="MLC200" s="537"/>
      <c r="MLD200" s="537"/>
      <c r="MLE200" s="537"/>
      <c r="MLF200" s="537"/>
      <c r="MLG200" s="537"/>
      <c r="MLH200" s="537"/>
      <c r="MLI200" s="537"/>
      <c r="MLJ200" s="537"/>
      <c r="MLK200" s="537"/>
      <c r="MLL200" s="537"/>
      <c r="MLM200" s="537"/>
      <c r="MLN200" s="537"/>
      <c r="MLO200" s="537"/>
      <c r="MLP200" s="537"/>
      <c r="MLQ200" s="537"/>
      <c r="MLR200" s="537"/>
      <c r="MLS200" s="537"/>
      <c r="MLT200" s="537"/>
      <c r="MLU200" s="537"/>
      <c r="MLV200" s="537"/>
      <c r="MLW200" s="537"/>
      <c r="MLX200" s="537"/>
      <c r="MLY200" s="537"/>
      <c r="MLZ200" s="537"/>
      <c r="MMA200" s="537"/>
      <c r="MMB200" s="537"/>
      <c r="MMC200" s="537"/>
      <c r="MMD200" s="537"/>
      <c r="MME200" s="537"/>
      <c r="MMF200" s="537"/>
      <c r="MMG200" s="537"/>
      <c r="MMH200" s="537"/>
      <c r="MMI200" s="537"/>
      <c r="MMJ200" s="537"/>
      <c r="MMK200" s="537"/>
      <c r="MML200" s="537"/>
      <c r="MMM200" s="537"/>
      <c r="MMN200" s="537"/>
      <c r="MMO200" s="537"/>
      <c r="MMP200" s="537"/>
      <c r="MMQ200" s="537"/>
      <c r="MMR200" s="537"/>
      <c r="MMS200" s="537"/>
      <c r="MMT200" s="537"/>
      <c r="MMU200" s="537"/>
      <c r="MMV200" s="537"/>
      <c r="MMW200" s="537"/>
      <c r="MMX200" s="537"/>
      <c r="MMY200" s="537"/>
      <c r="MMZ200" s="537"/>
      <c r="MNA200" s="537"/>
      <c r="MNB200" s="537"/>
      <c r="MNC200" s="537"/>
      <c r="MND200" s="537"/>
      <c r="MNE200" s="537"/>
      <c r="MNF200" s="537"/>
      <c r="MNG200" s="537"/>
      <c r="MNH200" s="537"/>
      <c r="MNI200" s="537"/>
      <c r="MNJ200" s="537"/>
      <c r="MNK200" s="537"/>
      <c r="MNL200" s="537"/>
      <c r="MNM200" s="537"/>
      <c r="MNN200" s="537"/>
      <c r="MNO200" s="537"/>
      <c r="MNP200" s="537"/>
      <c r="MNQ200" s="537"/>
      <c r="MNR200" s="537"/>
      <c r="MNS200" s="537"/>
      <c r="MNT200" s="537"/>
      <c r="MNU200" s="537"/>
      <c r="MNV200" s="537"/>
      <c r="MNW200" s="537"/>
      <c r="MNX200" s="537"/>
      <c r="MNY200" s="537"/>
      <c r="MNZ200" s="537"/>
      <c r="MOA200" s="537"/>
      <c r="MOB200" s="537"/>
      <c r="MOC200" s="537"/>
      <c r="MOD200" s="537"/>
      <c r="MOE200" s="537"/>
      <c r="MOF200" s="537"/>
      <c r="MOG200" s="537"/>
      <c r="MOH200" s="537"/>
      <c r="MOI200" s="537"/>
      <c r="MOJ200" s="537"/>
      <c r="MOK200" s="537"/>
      <c r="MOL200" s="537"/>
      <c r="MOM200" s="537"/>
      <c r="MON200" s="537"/>
      <c r="MOO200" s="537"/>
      <c r="MOP200" s="537"/>
      <c r="MOQ200" s="537"/>
      <c r="MOR200" s="537"/>
      <c r="MOS200" s="537"/>
      <c r="MOT200" s="537"/>
      <c r="MOU200" s="537"/>
      <c r="MOV200" s="537"/>
      <c r="MOW200" s="537"/>
      <c r="MOX200" s="537"/>
      <c r="MOY200" s="537"/>
      <c r="MOZ200" s="537"/>
      <c r="MPA200" s="537"/>
      <c r="MPB200" s="537"/>
      <c r="MPC200" s="537"/>
      <c r="MPD200" s="537"/>
      <c r="MPE200" s="537"/>
      <c r="MPF200" s="537"/>
      <c r="MPG200" s="537"/>
      <c r="MPH200" s="537"/>
      <c r="MPI200" s="537"/>
      <c r="MPJ200" s="537"/>
      <c r="MPK200" s="537"/>
      <c r="MPL200" s="537"/>
      <c r="MPM200" s="537"/>
      <c r="MPN200" s="537"/>
      <c r="MPO200" s="537"/>
      <c r="MPP200" s="537"/>
      <c r="MPQ200" s="537"/>
      <c r="MPR200" s="537"/>
      <c r="MPS200" s="537"/>
      <c r="MPT200" s="537"/>
      <c r="MPU200" s="537"/>
      <c r="MPV200" s="537"/>
      <c r="MPW200" s="537"/>
      <c r="MPX200" s="537"/>
      <c r="MPY200" s="537"/>
      <c r="MPZ200" s="537"/>
      <c r="MQA200" s="537"/>
      <c r="MQB200" s="537"/>
      <c r="MQC200" s="537"/>
      <c r="MQD200" s="537"/>
      <c r="MQE200" s="537"/>
      <c r="MQF200" s="537"/>
      <c r="MQG200" s="537"/>
      <c r="MQH200" s="537"/>
      <c r="MQI200" s="537"/>
      <c r="MQJ200" s="537"/>
      <c r="MQK200" s="537"/>
      <c r="MQL200" s="537"/>
      <c r="MQM200" s="537"/>
      <c r="MQN200" s="537"/>
      <c r="MQO200" s="537"/>
      <c r="MQP200" s="537"/>
      <c r="MQQ200" s="537"/>
      <c r="MQR200" s="537"/>
      <c r="MQS200" s="537"/>
      <c r="MQT200" s="537"/>
      <c r="MQU200" s="537"/>
      <c r="MQV200" s="537"/>
      <c r="MQW200" s="537"/>
      <c r="MQX200" s="537"/>
      <c r="MQY200" s="537"/>
      <c r="MQZ200" s="537"/>
      <c r="MRA200" s="537"/>
      <c r="MRB200" s="537"/>
      <c r="MRC200" s="537"/>
      <c r="MRD200" s="537"/>
      <c r="MRE200" s="537"/>
      <c r="MRF200" s="537"/>
      <c r="MRG200" s="537"/>
      <c r="MRH200" s="537"/>
      <c r="MRI200" s="537"/>
      <c r="MRJ200" s="537"/>
      <c r="MRK200" s="537"/>
      <c r="MRL200" s="537"/>
      <c r="MRM200" s="537"/>
      <c r="MRN200" s="537"/>
      <c r="MRO200" s="537"/>
      <c r="MRP200" s="537"/>
      <c r="MRQ200" s="537"/>
      <c r="MRR200" s="537"/>
      <c r="MRS200" s="537"/>
      <c r="MRT200" s="537"/>
      <c r="MRU200" s="537"/>
      <c r="MRV200" s="537"/>
      <c r="MRW200" s="537"/>
      <c r="MRX200" s="537"/>
      <c r="MRY200" s="537"/>
      <c r="MRZ200" s="537"/>
      <c r="MSA200" s="537"/>
      <c r="MSB200" s="537"/>
      <c r="MSC200" s="537"/>
      <c r="MSD200" s="537"/>
      <c r="MSE200" s="537"/>
      <c r="MSF200" s="537"/>
      <c r="MSG200" s="537"/>
      <c r="MSH200" s="537"/>
      <c r="MSI200" s="537"/>
      <c r="MSJ200" s="537"/>
      <c r="MSK200" s="537"/>
      <c r="MSL200" s="537"/>
      <c r="MSM200" s="537"/>
      <c r="MSN200" s="537"/>
      <c r="MSO200" s="537"/>
      <c r="MSP200" s="537"/>
      <c r="MSQ200" s="537"/>
      <c r="MSR200" s="537"/>
      <c r="MSS200" s="537"/>
      <c r="MST200" s="537"/>
      <c r="MSU200" s="537"/>
      <c r="MSV200" s="537"/>
      <c r="MSW200" s="537"/>
      <c r="MSX200" s="537"/>
      <c r="MSY200" s="537"/>
      <c r="MSZ200" s="537"/>
      <c r="MTA200" s="537"/>
      <c r="MTB200" s="537"/>
      <c r="MTC200" s="537"/>
      <c r="MTD200" s="537"/>
      <c r="MTE200" s="537"/>
      <c r="MTF200" s="537"/>
      <c r="MTG200" s="537"/>
      <c r="MTH200" s="537"/>
      <c r="MTI200" s="537"/>
      <c r="MTJ200" s="537"/>
      <c r="MTK200" s="537"/>
      <c r="MTL200" s="537"/>
      <c r="MTM200" s="537"/>
      <c r="MTN200" s="537"/>
      <c r="MTO200" s="537"/>
      <c r="MTP200" s="537"/>
      <c r="MTQ200" s="537"/>
      <c r="MTR200" s="537"/>
      <c r="MTS200" s="537"/>
      <c r="MTT200" s="537"/>
      <c r="MTU200" s="537"/>
      <c r="MTV200" s="537"/>
      <c r="MTW200" s="537"/>
      <c r="MTX200" s="537"/>
      <c r="MTY200" s="537"/>
      <c r="MTZ200" s="537"/>
      <c r="MUA200" s="537"/>
      <c r="MUB200" s="537"/>
      <c r="MUC200" s="537"/>
      <c r="MUD200" s="537"/>
      <c r="MUE200" s="537"/>
      <c r="MUF200" s="537"/>
      <c r="MUG200" s="537"/>
      <c r="MUH200" s="537"/>
      <c r="MUI200" s="537"/>
      <c r="MUJ200" s="537"/>
      <c r="MUK200" s="537"/>
      <c r="MUL200" s="537"/>
      <c r="MUM200" s="537"/>
      <c r="MUN200" s="537"/>
      <c r="MUO200" s="537"/>
      <c r="MUP200" s="537"/>
      <c r="MUQ200" s="537"/>
      <c r="MUR200" s="537"/>
      <c r="MUS200" s="537"/>
      <c r="MUT200" s="537"/>
      <c r="MUU200" s="537"/>
      <c r="MUV200" s="537"/>
      <c r="MUW200" s="537"/>
      <c r="MUX200" s="537"/>
      <c r="MUY200" s="537"/>
      <c r="MUZ200" s="537"/>
      <c r="MVA200" s="537"/>
      <c r="MVB200" s="537"/>
      <c r="MVC200" s="537"/>
      <c r="MVD200" s="537"/>
      <c r="MVE200" s="537"/>
      <c r="MVF200" s="537"/>
      <c r="MVG200" s="537"/>
      <c r="MVH200" s="537"/>
      <c r="MVI200" s="537"/>
      <c r="MVJ200" s="537"/>
      <c r="MVK200" s="537"/>
      <c r="MVL200" s="537"/>
      <c r="MVM200" s="537"/>
      <c r="MVN200" s="537"/>
      <c r="MVO200" s="537"/>
      <c r="MVP200" s="537"/>
      <c r="MVQ200" s="537"/>
      <c r="MVR200" s="537"/>
      <c r="MVS200" s="537"/>
      <c r="MVT200" s="537"/>
      <c r="MVU200" s="537"/>
      <c r="MVV200" s="537"/>
      <c r="MVW200" s="537"/>
      <c r="MVX200" s="537"/>
      <c r="MVY200" s="537"/>
      <c r="MVZ200" s="537"/>
      <c r="MWA200" s="537"/>
      <c r="MWB200" s="537"/>
      <c r="MWC200" s="537"/>
      <c r="MWD200" s="537"/>
      <c r="MWE200" s="537"/>
      <c r="MWF200" s="537"/>
      <c r="MWG200" s="537"/>
      <c r="MWH200" s="537"/>
      <c r="MWI200" s="537"/>
      <c r="MWJ200" s="537"/>
      <c r="MWK200" s="537"/>
      <c r="MWL200" s="537"/>
      <c r="MWM200" s="537"/>
      <c r="MWN200" s="537"/>
      <c r="MWO200" s="537"/>
      <c r="MWP200" s="537"/>
      <c r="MWQ200" s="537"/>
      <c r="MWR200" s="537"/>
      <c r="MWS200" s="537"/>
      <c r="MWT200" s="537"/>
      <c r="MWU200" s="537"/>
      <c r="MWV200" s="537"/>
      <c r="MWW200" s="537"/>
      <c r="MWX200" s="537"/>
      <c r="MWY200" s="537"/>
      <c r="MWZ200" s="537"/>
      <c r="MXA200" s="537"/>
      <c r="MXB200" s="537"/>
      <c r="MXC200" s="537"/>
      <c r="MXD200" s="537"/>
      <c r="MXE200" s="537"/>
      <c r="MXF200" s="537"/>
      <c r="MXG200" s="537"/>
      <c r="MXH200" s="537"/>
      <c r="MXI200" s="537"/>
      <c r="MXJ200" s="537"/>
      <c r="MXK200" s="537"/>
      <c r="MXL200" s="537"/>
      <c r="MXM200" s="537"/>
      <c r="MXN200" s="537"/>
      <c r="MXO200" s="537"/>
      <c r="MXP200" s="537"/>
      <c r="MXQ200" s="537"/>
      <c r="MXR200" s="537"/>
      <c r="MXS200" s="537"/>
      <c r="MXT200" s="537"/>
      <c r="MXU200" s="537"/>
      <c r="MXV200" s="537"/>
      <c r="MXW200" s="537"/>
      <c r="MXX200" s="537"/>
      <c r="MXY200" s="537"/>
      <c r="MXZ200" s="537"/>
      <c r="MYA200" s="537"/>
      <c r="MYB200" s="537"/>
      <c r="MYC200" s="537"/>
      <c r="MYD200" s="537"/>
      <c r="MYE200" s="537"/>
      <c r="MYF200" s="537"/>
      <c r="MYG200" s="537"/>
      <c r="MYH200" s="537"/>
      <c r="MYI200" s="537"/>
      <c r="MYJ200" s="537"/>
      <c r="MYK200" s="537"/>
      <c r="MYL200" s="537"/>
      <c r="MYM200" s="537"/>
      <c r="MYN200" s="537"/>
      <c r="MYO200" s="537"/>
      <c r="MYP200" s="537"/>
      <c r="MYQ200" s="537"/>
      <c r="MYR200" s="537"/>
      <c r="MYS200" s="537"/>
      <c r="MYT200" s="537"/>
      <c r="MYU200" s="537"/>
      <c r="MYV200" s="537"/>
      <c r="MYW200" s="537"/>
      <c r="MYX200" s="537"/>
      <c r="MYY200" s="537"/>
      <c r="MYZ200" s="537"/>
      <c r="MZA200" s="537"/>
      <c r="MZB200" s="537"/>
      <c r="MZC200" s="537"/>
      <c r="MZD200" s="537"/>
      <c r="MZE200" s="537"/>
      <c r="MZF200" s="537"/>
      <c r="MZG200" s="537"/>
      <c r="MZH200" s="537"/>
      <c r="MZI200" s="537"/>
      <c r="MZJ200" s="537"/>
      <c r="MZK200" s="537"/>
      <c r="MZL200" s="537"/>
      <c r="MZM200" s="537"/>
      <c r="MZN200" s="537"/>
      <c r="MZO200" s="537"/>
      <c r="MZP200" s="537"/>
      <c r="MZQ200" s="537"/>
      <c r="MZR200" s="537"/>
      <c r="MZS200" s="537"/>
      <c r="MZT200" s="537"/>
      <c r="MZU200" s="537"/>
      <c r="MZV200" s="537"/>
      <c r="MZW200" s="537"/>
      <c r="MZX200" s="537"/>
      <c r="MZY200" s="537"/>
      <c r="MZZ200" s="537"/>
      <c r="NAA200" s="537"/>
      <c r="NAB200" s="537"/>
      <c r="NAC200" s="537"/>
      <c r="NAD200" s="537"/>
      <c r="NAE200" s="537"/>
      <c r="NAF200" s="537"/>
      <c r="NAG200" s="537"/>
      <c r="NAH200" s="537"/>
      <c r="NAI200" s="537"/>
      <c r="NAJ200" s="537"/>
      <c r="NAK200" s="537"/>
      <c r="NAL200" s="537"/>
      <c r="NAM200" s="537"/>
      <c r="NAN200" s="537"/>
      <c r="NAO200" s="537"/>
      <c r="NAP200" s="537"/>
      <c r="NAQ200" s="537"/>
      <c r="NAR200" s="537"/>
      <c r="NAS200" s="537"/>
      <c r="NAT200" s="537"/>
      <c r="NAU200" s="537"/>
      <c r="NAV200" s="537"/>
      <c r="NAW200" s="537"/>
      <c r="NAX200" s="537"/>
      <c r="NAY200" s="537"/>
      <c r="NAZ200" s="537"/>
      <c r="NBA200" s="537"/>
      <c r="NBB200" s="537"/>
      <c r="NBC200" s="537"/>
      <c r="NBD200" s="537"/>
      <c r="NBE200" s="537"/>
      <c r="NBF200" s="537"/>
      <c r="NBG200" s="537"/>
      <c r="NBH200" s="537"/>
      <c r="NBI200" s="537"/>
      <c r="NBJ200" s="537"/>
      <c r="NBK200" s="537"/>
      <c r="NBL200" s="537"/>
      <c r="NBM200" s="537"/>
      <c r="NBN200" s="537"/>
      <c r="NBO200" s="537"/>
      <c r="NBP200" s="537"/>
      <c r="NBQ200" s="537"/>
      <c r="NBR200" s="537"/>
      <c r="NBS200" s="537"/>
      <c r="NBT200" s="537"/>
      <c r="NBU200" s="537"/>
      <c r="NBV200" s="537"/>
      <c r="NBW200" s="537"/>
      <c r="NBX200" s="537"/>
      <c r="NBY200" s="537"/>
      <c r="NBZ200" s="537"/>
      <c r="NCA200" s="537"/>
      <c r="NCB200" s="537"/>
      <c r="NCC200" s="537"/>
      <c r="NCD200" s="537"/>
      <c r="NCE200" s="537"/>
      <c r="NCF200" s="537"/>
      <c r="NCG200" s="537"/>
      <c r="NCH200" s="537"/>
      <c r="NCI200" s="537"/>
      <c r="NCJ200" s="537"/>
      <c r="NCK200" s="537"/>
      <c r="NCL200" s="537"/>
      <c r="NCM200" s="537"/>
      <c r="NCN200" s="537"/>
      <c r="NCO200" s="537"/>
      <c r="NCP200" s="537"/>
      <c r="NCQ200" s="537"/>
      <c r="NCR200" s="537"/>
      <c r="NCS200" s="537"/>
      <c r="NCT200" s="537"/>
      <c r="NCU200" s="537"/>
      <c r="NCV200" s="537"/>
      <c r="NCW200" s="537"/>
      <c r="NCX200" s="537"/>
      <c r="NCY200" s="537"/>
      <c r="NCZ200" s="537"/>
      <c r="NDA200" s="537"/>
      <c r="NDB200" s="537"/>
      <c r="NDC200" s="537"/>
      <c r="NDD200" s="537"/>
      <c r="NDE200" s="537"/>
      <c r="NDF200" s="537"/>
      <c r="NDG200" s="537"/>
      <c r="NDH200" s="537"/>
      <c r="NDI200" s="537"/>
      <c r="NDJ200" s="537"/>
      <c r="NDK200" s="537"/>
      <c r="NDL200" s="537"/>
      <c r="NDM200" s="537"/>
      <c r="NDN200" s="537"/>
      <c r="NDO200" s="537"/>
      <c r="NDP200" s="537"/>
      <c r="NDQ200" s="537"/>
      <c r="NDR200" s="537"/>
      <c r="NDS200" s="537"/>
      <c r="NDT200" s="537"/>
      <c r="NDU200" s="537"/>
      <c r="NDV200" s="537"/>
      <c r="NDW200" s="537"/>
      <c r="NDX200" s="537"/>
      <c r="NDY200" s="537"/>
      <c r="NDZ200" s="537"/>
      <c r="NEA200" s="537"/>
      <c r="NEB200" s="537"/>
      <c r="NEC200" s="537"/>
      <c r="NED200" s="537"/>
      <c r="NEE200" s="537"/>
      <c r="NEF200" s="537"/>
      <c r="NEG200" s="537"/>
      <c r="NEH200" s="537"/>
      <c r="NEI200" s="537"/>
      <c r="NEJ200" s="537"/>
      <c r="NEK200" s="537"/>
      <c r="NEL200" s="537"/>
      <c r="NEM200" s="537"/>
      <c r="NEN200" s="537"/>
      <c r="NEO200" s="537"/>
      <c r="NEP200" s="537"/>
      <c r="NEQ200" s="537"/>
      <c r="NER200" s="537"/>
      <c r="NES200" s="537"/>
      <c r="NET200" s="537"/>
      <c r="NEU200" s="537"/>
      <c r="NEV200" s="537"/>
      <c r="NEW200" s="537"/>
      <c r="NEX200" s="537"/>
      <c r="NEY200" s="537"/>
      <c r="NEZ200" s="537"/>
      <c r="NFA200" s="537"/>
      <c r="NFB200" s="537"/>
      <c r="NFC200" s="537"/>
      <c r="NFD200" s="537"/>
      <c r="NFE200" s="537"/>
      <c r="NFF200" s="537"/>
      <c r="NFG200" s="537"/>
      <c r="NFH200" s="537"/>
      <c r="NFI200" s="537"/>
      <c r="NFJ200" s="537"/>
      <c r="NFK200" s="537"/>
      <c r="NFL200" s="537"/>
      <c r="NFM200" s="537"/>
      <c r="NFN200" s="537"/>
      <c r="NFO200" s="537"/>
      <c r="NFP200" s="537"/>
      <c r="NFQ200" s="537"/>
      <c r="NFR200" s="537"/>
      <c r="NFS200" s="537"/>
      <c r="NFT200" s="537"/>
      <c r="NFU200" s="537"/>
      <c r="NFV200" s="537"/>
      <c r="NFW200" s="537"/>
      <c r="NFX200" s="537"/>
      <c r="NFY200" s="537"/>
      <c r="NFZ200" s="537"/>
      <c r="NGA200" s="537"/>
      <c r="NGB200" s="537"/>
      <c r="NGC200" s="537"/>
      <c r="NGD200" s="537"/>
      <c r="NGE200" s="537"/>
      <c r="NGF200" s="537"/>
      <c r="NGG200" s="537"/>
      <c r="NGH200" s="537"/>
      <c r="NGI200" s="537"/>
      <c r="NGJ200" s="537"/>
      <c r="NGK200" s="537"/>
      <c r="NGL200" s="537"/>
      <c r="NGM200" s="537"/>
      <c r="NGN200" s="537"/>
      <c r="NGO200" s="537"/>
      <c r="NGP200" s="537"/>
      <c r="NGQ200" s="537"/>
      <c r="NGR200" s="537"/>
      <c r="NGS200" s="537"/>
      <c r="NGT200" s="537"/>
      <c r="NGU200" s="537"/>
      <c r="NGV200" s="537"/>
      <c r="NGW200" s="537"/>
      <c r="NGX200" s="537"/>
      <c r="NGY200" s="537"/>
      <c r="NGZ200" s="537"/>
      <c r="NHA200" s="537"/>
      <c r="NHB200" s="537"/>
      <c r="NHC200" s="537"/>
      <c r="NHD200" s="537"/>
      <c r="NHE200" s="537"/>
      <c r="NHF200" s="537"/>
      <c r="NHG200" s="537"/>
      <c r="NHH200" s="537"/>
      <c r="NHI200" s="537"/>
      <c r="NHJ200" s="537"/>
      <c r="NHK200" s="537"/>
      <c r="NHL200" s="537"/>
      <c r="NHM200" s="537"/>
      <c r="NHN200" s="537"/>
      <c r="NHO200" s="537"/>
      <c r="NHP200" s="537"/>
      <c r="NHQ200" s="537"/>
      <c r="NHR200" s="537"/>
      <c r="NHS200" s="537"/>
      <c r="NHT200" s="537"/>
      <c r="NHU200" s="537"/>
      <c r="NHV200" s="537"/>
      <c r="NHW200" s="537"/>
      <c r="NHX200" s="537"/>
      <c r="NHY200" s="537"/>
      <c r="NHZ200" s="537"/>
      <c r="NIA200" s="537"/>
      <c r="NIB200" s="537"/>
      <c r="NIC200" s="537"/>
      <c r="NID200" s="537"/>
      <c r="NIE200" s="537"/>
      <c r="NIF200" s="537"/>
      <c r="NIG200" s="537"/>
      <c r="NIH200" s="537"/>
      <c r="NII200" s="537"/>
      <c r="NIJ200" s="537"/>
      <c r="NIK200" s="537"/>
      <c r="NIL200" s="537"/>
      <c r="NIM200" s="537"/>
      <c r="NIN200" s="537"/>
      <c r="NIO200" s="537"/>
      <c r="NIP200" s="537"/>
      <c r="NIQ200" s="537"/>
      <c r="NIR200" s="537"/>
      <c r="NIS200" s="537"/>
      <c r="NIT200" s="537"/>
      <c r="NIU200" s="537"/>
      <c r="NIV200" s="537"/>
      <c r="NIW200" s="537"/>
      <c r="NIX200" s="537"/>
      <c r="NIY200" s="537"/>
      <c r="NIZ200" s="537"/>
      <c r="NJA200" s="537"/>
      <c r="NJB200" s="537"/>
      <c r="NJC200" s="537"/>
      <c r="NJD200" s="537"/>
      <c r="NJE200" s="537"/>
      <c r="NJF200" s="537"/>
      <c r="NJG200" s="537"/>
      <c r="NJH200" s="537"/>
      <c r="NJI200" s="537"/>
      <c r="NJJ200" s="537"/>
      <c r="NJK200" s="537"/>
      <c r="NJL200" s="537"/>
      <c r="NJM200" s="537"/>
      <c r="NJN200" s="537"/>
      <c r="NJO200" s="537"/>
      <c r="NJP200" s="537"/>
      <c r="NJQ200" s="537"/>
      <c r="NJR200" s="537"/>
      <c r="NJS200" s="537"/>
      <c r="NJT200" s="537"/>
      <c r="NJU200" s="537"/>
      <c r="NJV200" s="537"/>
      <c r="NJW200" s="537"/>
      <c r="NJX200" s="537"/>
      <c r="NJY200" s="537"/>
      <c r="NJZ200" s="537"/>
      <c r="NKA200" s="537"/>
      <c r="NKB200" s="537"/>
      <c r="NKC200" s="537"/>
      <c r="NKD200" s="537"/>
      <c r="NKE200" s="537"/>
      <c r="NKF200" s="537"/>
      <c r="NKG200" s="537"/>
      <c r="NKH200" s="537"/>
      <c r="NKI200" s="537"/>
      <c r="NKJ200" s="537"/>
      <c r="NKK200" s="537"/>
      <c r="NKL200" s="537"/>
      <c r="NKM200" s="537"/>
      <c r="NKN200" s="537"/>
      <c r="NKO200" s="537"/>
      <c r="NKP200" s="537"/>
      <c r="NKQ200" s="537"/>
      <c r="NKR200" s="537"/>
      <c r="NKS200" s="537"/>
      <c r="NKT200" s="537"/>
      <c r="NKU200" s="537"/>
      <c r="NKV200" s="537"/>
      <c r="NKW200" s="537"/>
      <c r="NKX200" s="537"/>
      <c r="NKY200" s="537"/>
      <c r="NKZ200" s="537"/>
      <c r="NLA200" s="537"/>
      <c r="NLB200" s="537"/>
      <c r="NLC200" s="537"/>
      <c r="NLD200" s="537"/>
      <c r="NLE200" s="537"/>
      <c r="NLF200" s="537"/>
      <c r="NLG200" s="537"/>
      <c r="NLH200" s="537"/>
      <c r="NLI200" s="537"/>
      <c r="NLJ200" s="537"/>
      <c r="NLK200" s="537"/>
      <c r="NLL200" s="537"/>
      <c r="NLM200" s="537"/>
      <c r="NLN200" s="537"/>
      <c r="NLO200" s="537"/>
      <c r="NLP200" s="537"/>
      <c r="NLQ200" s="537"/>
      <c r="NLR200" s="537"/>
      <c r="NLS200" s="537"/>
      <c r="NLT200" s="537"/>
      <c r="NLU200" s="537"/>
      <c r="NLV200" s="537"/>
      <c r="NLW200" s="537"/>
      <c r="NLX200" s="537"/>
      <c r="NLY200" s="537"/>
      <c r="NLZ200" s="537"/>
      <c r="NMA200" s="537"/>
      <c r="NMB200" s="537"/>
      <c r="NMC200" s="537"/>
      <c r="NMD200" s="537"/>
      <c r="NME200" s="537"/>
      <c r="NMF200" s="537"/>
      <c r="NMG200" s="537"/>
      <c r="NMH200" s="537"/>
      <c r="NMI200" s="537"/>
      <c r="NMJ200" s="537"/>
      <c r="NMK200" s="537"/>
      <c r="NML200" s="537"/>
      <c r="NMM200" s="537"/>
      <c r="NMN200" s="537"/>
      <c r="NMO200" s="537"/>
      <c r="NMP200" s="537"/>
      <c r="NMQ200" s="537"/>
      <c r="NMR200" s="537"/>
      <c r="NMS200" s="537"/>
      <c r="NMT200" s="537"/>
      <c r="NMU200" s="537"/>
      <c r="NMV200" s="537"/>
      <c r="NMW200" s="537"/>
      <c r="NMX200" s="537"/>
      <c r="NMY200" s="537"/>
      <c r="NMZ200" s="537"/>
      <c r="NNA200" s="537"/>
      <c r="NNB200" s="537"/>
      <c r="NNC200" s="537"/>
      <c r="NND200" s="537"/>
      <c r="NNE200" s="537"/>
      <c r="NNF200" s="537"/>
      <c r="NNG200" s="537"/>
      <c r="NNH200" s="537"/>
      <c r="NNI200" s="537"/>
      <c r="NNJ200" s="537"/>
      <c r="NNK200" s="537"/>
      <c r="NNL200" s="537"/>
      <c r="NNM200" s="537"/>
      <c r="NNN200" s="537"/>
      <c r="NNO200" s="537"/>
      <c r="NNP200" s="537"/>
      <c r="NNQ200" s="537"/>
      <c r="NNR200" s="537"/>
      <c r="NNS200" s="537"/>
      <c r="NNT200" s="537"/>
      <c r="NNU200" s="537"/>
      <c r="NNV200" s="537"/>
      <c r="NNW200" s="537"/>
      <c r="NNX200" s="537"/>
      <c r="NNY200" s="537"/>
      <c r="NNZ200" s="537"/>
      <c r="NOA200" s="537"/>
      <c r="NOB200" s="537"/>
      <c r="NOC200" s="537"/>
      <c r="NOD200" s="537"/>
      <c r="NOE200" s="537"/>
      <c r="NOF200" s="537"/>
      <c r="NOG200" s="537"/>
      <c r="NOH200" s="537"/>
      <c r="NOI200" s="537"/>
      <c r="NOJ200" s="537"/>
      <c r="NOK200" s="537"/>
      <c r="NOL200" s="537"/>
      <c r="NOM200" s="537"/>
      <c r="NON200" s="537"/>
      <c r="NOO200" s="537"/>
      <c r="NOP200" s="537"/>
      <c r="NOQ200" s="537"/>
      <c r="NOR200" s="537"/>
      <c r="NOS200" s="537"/>
      <c r="NOT200" s="537"/>
      <c r="NOU200" s="537"/>
      <c r="NOV200" s="537"/>
      <c r="NOW200" s="537"/>
      <c r="NOX200" s="537"/>
      <c r="NOY200" s="537"/>
      <c r="NOZ200" s="537"/>
      <c r="NPA200" s="537"/>
      <c r="NPB200" s="537"/>
      <c r="NPC200" s="537"/>
      <c r="NPD200" s="537"/>
      <c r="NPE200" s="537"/>
      <c r="NPF200" s="537"/>
      <c r="NPG200" s="537"/>
      <c r="NPH200" s="537"/>
      <c r="NPI200" s="537"/>
      <c r="NPJ200" s="537"/>
      <c r="NPK200" s="537"/>
      <c r="NPL200" s="537"/>
      <c r="NPM200" s="537"/>
      <c r="NPN200" s="537"/>
      <c r="NPO200" s="537"/>
      <c r="NPP200" s="537"/>
      <c r="NPQ200" s="537"/>
      <c r="NPR200" s="537"/>
      <c r="NPS200" s="537"/>
      <c r="NPT200" s="537"/>
      <c r="NPU200" s="537"/>
      <c r="NPV200" s="537"/>
      <c r="NPW200" s="537"/>
      <c r="NPX200" s="537"/>
      <c r="NPY200" s="537"/>
      <c r="NPZ200" s="537"/>
      <c r="NQA200" s="537"/>
      <c r="NQB200" s="537"/>
      <c r="NQC200" s="537"/>
      <c r="NQD200" s="537"/>
      <c r="NQE200" s="537"/>
      <c r="NQF200" s="537"/>
      <c r="NQG200" s="537"/>
      <c r="NQH200" s="537"/>
      <c r="NQI200" s="537"/>
      <c r="NQJ200" s="537"/>
      <c r="NQK200" s="537"/>
      <c r="NQL200" s="537"/>
      <c r="NQM200" s="537"/>
      <c r="NQN200" s="537"/>
      <c r="NQO200" s="537"/>
      <c r="NQP200" s="537"/>
      <c r="NQQ200" s="537"/>
      <c r="NQR200" s="537"/>
      <c r="NQS200" s="537"/>
      <c r="NQT200" s="537"/>
      <c r="NQU200" s="537"/>
      <c r="NQV200" s="537"/>
      <c r="NQW200" s="537"/>
      <c r="NQX200" s="537"/>
      <c r="NQY200" s="537"/>
      <c r="NQZ200" s="537"/>
      <c r="NRA200" s="537"/>
      <c r="NRB200" s="537"/>
      <c r="NRC200" s="537"/>
      <c r="NRD200" s="537"/>
      <c r="NRE200" s="537"/>
      <c r="NRF200" s="537"/>
      <c r="NRG200" s="537"/>
      <c r="NRH200" s="537"/>
      <c r="NRI200" s="537"/>
      <c r="NRJ200" s="537"/>
      <c r="NRK200" s="537"/>
      <c r="NRL200" s="537"/>
      <c r="NRM200" s="537"/>
      <c r="NRN200" s="537"/>
      <c r="NRO200" s="537"/>
      <c r="NRP200" s="537"/>
      <c r="NRQ200" s="537"/>
      <c r="NRR200" s="537"/>
      <c r="NRS200" s="537"/>
      <c r="NRT200" s="537"/>
      <c r="NRU200" s="537"/>
      <c r="NRV200" s="537"/>
      <c r="NRW200" s="537"/>
      <c r="NRX200" s="537"/>
      <c r="NRY200" s="537"/>
      <c r="NRZ200" s="537"/>
      <c r="NSA200" s="537"/>
      <c r="NSB200" s="537"/>
      <c r="NSC200" s="537"/>
      <c r="NSD200" s="537"/>
      <c r="NSE200" s="537"/>
      <c r="NSF200" s="537"/>
      <c r="NSG200" s="537"/>
      <c r="NSH200" s="537"/>
      <c r="NSI200" s="537"/>
      <c r="NSJ200" s="537"/>
      <c r="NSK200" s="537"/>
      <c r="NSL200" s="537"/>
      <c r="NSM200" s="537"/>
      <c r="NSN200" s="537"/>
      <c r="NSO200" s="537"/>
      <c r="NSP200" s="537"/>
      <c r="NSQ200" s="537"/>
      <c r="NSR200" s="537"/>
      <c r="NSS200" s="537"/>
      <c r="NST200" s="537"/>
      <c r="NSU200" s="537"/>
      <c r="NSV200" s="537"/>
      <c r="NSW200" s="537"/>
      <c r="NSX200" s="537"/>
      <c r="NSY200" s="537"/>
      <c r="NSZ200" s="537"/>
      <c r="NTA200" s="537"/>
      <c r="NTB200" s="537"/>
      <c r="NTC200" s="537"/>
      <c r="NTD200" s="537"/>
      <c r="NTE200" s="537"/>
      <c r="NTF200" s="537"/>
      <c r="NTG200" s="537"/>
      <c r="NTH200" s="537"/>
      <c r="NTI200" s="537"/>
      <c r="NTJ200" s="537"/>
      <c r="NTK200" s="537"/>
      <c r="NTL200" s="537"/>
      <c r="NTM200" s="537"/>
      <c r="NTN200" s="537"/>
      <c r="NTO200" s="537"/>
      <c r="NTP200" s="537"/>
      <c r="NTQ200" s="537"/>
      <c r="NTR200" s="537"/>
      <c r="NTS200" s="537"/>
      <c r="NTT200" s="537"/>
      <c r="NTU200" s="537"/>
      <c r="NTV200" s="537"/>
      <c r="NTW200" s="537"/>
      <c r="NTX200" s="537"/>
      <c r="NTY200" s="537"/>
      <c r="NTZ200" s="537"/>
      <c r="NUA200" s="537"/>
      <c r="NUB200" s="537"/>
      <c r="NUC200" s="537"/>
      <c r="NUD200" s="537"/>
      <c r="NUE200" s="537"/>
      <c r="NUF200" s="537"/>
      <c r="NUG200" s="537"/>
      <c r="NUH200" s="537"/>
      <c r="NUI200" s="537"/>
      <c r="NUJ200" s="537"/>
      <c r="NUK200" s="537"/>
      <c r="NUL200" s="537"/>
      <c r="NUM200" s="537"/>
      <c r="NUN200" s="537"/>
      <c r="NUO200" s="537"/>
      <c r="NUP200" s="537"/>
      <c r="NUQ200" s="537"/>
      <c r="NUR200" s="537"/>
      <c r="NUS200" s="537"/>
      <c r="NUT200" s="537"/>
      <c r="NUU200" s="537"/>
      <c r="NUV200" s="537"/>
      <c r="NUW200" s="537"/>
      <c r="NUX200" s="537"/>
      <c r="NUY200" s="537"/>
      <c r="NUZ200" s="537"/>
      <c r="NVA200" s="537"/>
      <c r="NVB200" s="537"/>
      <c r="NVC200" s="537"/>
      <c r="NVD200" s="537"/>
      <c r="NVE200" s="537"/>
      <c r="NVF200" s="537"/>
      <c r="NVG200" s="537"/>
      <c r="NVH200" s="537"/>
      <c r="NVI200" s="537"/>
      <c r="NVJ200" s="537"/>
      <c r="NVK200" s="537"/>
      <c r="NVL200" s="537"/>
      <c r="NVM200" s="537"/>
      <c r="NVN200" s="537"/>
      <c r="NVO200" s="537"/>
      <c r="NVP200" s="537"/>
      <c r="NVQ200" s="537"/>
      <c r="NVR200" s="537"/>
      <c r="NVS200" s="537"/>
      <c r="NVT200" s="537"/>
      <c r="NVU200" s="537"/>
      <c r="NVV200" s="537"/>
      <c r="NVW200" s="537"/>
      <c r="NVX200" s="537"/>
      <c r="NVY200" s="537"/>
      <c r="NVZ200" s="537"/>
      <c r="NWA200" s="537"/>
      <c r="NWB200" s="537"/>
      <c r="NWC200" s="537"/>
      <c r="NWD200" s="537"/>
      <c r="NWE200" s="537"/>
      <c r="NWF200" s="537"/>
      <c r="NWG200" s="537"/>
      <c r="NWH200" s="537"/>
      <c r="NWI200" s="537"/>
      <c r="NWJ200" s="537"/>
      <c r="NWK200" s="537"/>
      <c r="NWL200" s="537"/>
      <c r="NWM200" s="537"/>
      <c r="NWN200" s="537"/>
      <c r="NWO200" s="537"/>
      <c r="NWP200" s="537"/>
      <c r="NWQ200" s="537"/>
      <c r="NWR200" s="537"/>
      <c r="NWS200" s="537"/>
      <c r="NWT200" s="537"/>
      <c r="NWU200" s="537"/>
      <c r="NWV200" s="537"/>
      <c r="NWW200" s="537"/>
      <c r="NWX200" s="537"/>
      <c r="NWY200" s="537"/>
      <c r="NWZ200" s="537"/>
      <c r="NXA200" s="537"/>
      <c r="NXB200" s="537"/>
      <c r="NXC200" s="537"/>
      <c r="NXD200" s="537"/>
      <c r="NXE200" s="537"/>
      <c r="NXF200" s="537"/>
      <c r="NXG200" s="537"/>
      <c r="NXH200" s="537"/>
      <c r="NXI200" s="537"/>
      <c r="NXJ200" s="537"/>
      <c r="NXK200" s="537"/>
      <c r="NXL200" s="537"/>
      <c r="NXM200" s="537"/>
      <c r="NXN200" s="537"/>
      <c r="NXO200" s="537"/>
      <c r="NXP200" s="537"/>
      <c r="NXQ200" s="537"/>
      <c r="NXR200" s="537"/>
      <c r="NXS200" s="537"/>
      <c r="NXT200" s="537"/>
      <c r="NXU200" s="537"/>
      <c r="NXV200" s="537"/>
      <c r="NXW200" s="537"/>
      <c r="NXX200" s="537"/>
      <c r="NXY200" s="537"/>
      <c r="NXZ200" s="537"/>
      <c r="NYA200" s="537"/>
      <c r="NYB200" s="537"/>
      <c r="NYC200" s="537"/>
      <c r="NYD200" s="537"/>
      <c r="NYE200" s="537"/>
      <c r="NYF200" s="537"/>
      <c r="NYG200" s="537"/>
      <c r="NYH200" s="537"/>
      <c r="NYI200" s="537"/>
      <c r="NYJ200" s="537"/>
      <c r="NYK200" s="537"/>
      <c r="NYL200" s="537"/>
      <c r="NYM200" s="537"/>
      <c r="NYN200" s="537"/>
      <c r="NYO200" s="537"/>
      <c r="NYP200" s="537"/>
      <c r="NYQ200" s="537"/>
      <c r="NYR200" s="537"/>
      <c r="NYS200" s="537"/>
      <c r="NYT200" s="537"/>
      <c r="NYU200" s="537"/>
      <c r="NYV200" s="537"/>
      <c r="NYW200" s="537"/>
      <c r="NYX200" s="537"/>
      <c r="NYY200" s="537"/>
      <c r="NYZ200" s="537"/>
      <c r="NZA200" s="537"/>
      <c r="NZB200" s="537"/>
      <c r="NZC200" s="537"/>
      <c r="NZD200" s="537"/>
      <c r="NZE200" s="537"/>
      <c r="NZF200" s="537"/>
      <c r="NZG200" s="537"/>
      <c r="NZH200" s="537"/>
      <c r="NZI200" s="537"/>
      <c r="NZJ200" s="537"/>
      <c r="NZK200" s="537"/>
      <c r="NZL200" s="537"/>
      <c r="NZM200" s="537"/>
      <c r="NZN200" s="537"/>
      <c r="NZO200" s="537"/>
      <c r="NZP200" s="537"/>
      <c r="NZQ200" s="537"/>
      <c r="NZR200" s="537"/>
      <c r="NZS200" s="537"/>
      <c r="NZT200" s="537"/>
      <c r="NZU200" s="537"/>
      <c r="NZV200" s="537"/>
      <c r="NZW200" s="537"/>
      <c r="NZX200" s="537"/>
      <c r="NZY200" s="537"/>
      <c r="NZZ200" s="537"/>
      <c r="OAA200" s="537"/>
      <c r="OAB200" s="537"/>
      <c r="OAC200" s="537"/>
      <c r="OAD200" s="537"/>
      <c r="OAE200" s="537"/>
      <c r="OAF200" s="537"/>
      <c r="OAG200" s="537"/>
      <c r="OAH200" s="537"/>
      <c r="OAI200" s="537"/>
      <c r="OAJ200" s="537"/>
      <c r="OAK200" s="537"/>
      <c r="OAL200" s="537"/>
      <c r="OAM200" s="537"/>
      <c r="OAN200" s="537"/>
      <c r="OAO200" s="537"/>
      <c r="OAP200" s="537"/>
      <c r="OAQ200" s="537"/>
      <c r="OAR200" s="537"/>
      <c r="OAS200" s="537"/>
      <c r="OAT200" s="537"/>
      <c r="OAU200" s="537"/>
      <c r="OAV200" s="537"/>
      <c r="OAW200" s="537"/>
      <c r="OAX200" s="537"/>
      <c r="OAY200" s="537"/>
      <c r="OAZ200" s="537"/>
      <c r="OBA200" s="537"/>
      <c r="OBB200" s="537"/>
      <c r="OBC200" s="537"/>
      <c r="OBD200" s="537"/>
      <c r="OBE200" s="537"/>
      <c r="OBF200" s="537"/>
      <c r="OBG200" s="537"/>
      <c r="OBH200" s="537"/>
      <c r="OBI200" s="537"/>
      <c r="OBJ200" s="537"/>
      <c r="OBK200" s="537"/>
      <c r="OBL200" s="537"/>
      <c r="OBM200" s="537"/>
      <c r="OBN200" s="537"/>
      <c r="OBO200" s="537"/>
      <c r="OBP200" s="537"/>
      <c r="OBQ200" s="537"/>
      <c r="OBR200" s="537"/>
      <c r="OBS200" s="537"/>
      <c r="OBT200" s="537"/>
      <c r="OBU200" s="537"/>
      <c r="OBV200" s="537"/>
      <c r="OBW200" s="537"/>
      <c r="OBX200" s="537"/>
      <c r="OBY200" s="537"/>
      <c r="OBZ200" s="537"/>
      <c r="OCA200" s="537"/>
      <c r="OCB200" s="537"/>
      <c r="OCC200" s="537"/>
      <c r="OCD200" s="537"/>
      <c r="OCE200" s="537"/>
      <c r="OCF200" s="537"/>
      <c r="OCG200" s="537"/>
      <c r="OCH200" s="537"/>
      <c r="OCI200" s="537"/>
      <c r="OCJ200" s="537"/>
      <c r="OCK200" s="537"/>
      <c r="OCL200" s="537"/>
      <c r="OCM200" s="537"/>
      <c r="OCN200" s="537"/>
      <c r="OCO200" s="537"/>
      <c r="OCP200" s="537"/>
      <c r="OCQ200" s="537"/>
      <c r="OCR200" s="537"/>
      <c r="OCS200" s="537"/>
      <c r="OCT200" s="537"/>
      <c r="OCU200" s="537"/>
      <c r="OCV200" s="537"/>
      <c r="OCW200" s="537"/>
      <c r="OCX200" s="537"/>
      <c r="OCY200" s="537"/>
      <c r="OCZ200" s="537"/>
      <c r="ODA200" s="537"/>
      <c r="ODB200" s="537"/>
      <c r="ODC200" s="537"/>
      <c r="ODD200" s="537"/>
      <c r="ODE200" s="537"/>
      <c r="ODF200" s="537"/>
      <c r="ODG200" s="537"/>
      <c r="ODH200" s="537"/>
      <c r="ODI200" s="537"/>
      <c r="ODJ200" s="537"/>
      <c r="ODK200" s="537"/>
      <c r="ODL200" s="537"/>
      <c r="ODM200" s="537"/>
      <c r="ODN200" s="537"/>
      <c r="ODO200" s="537"/>
      <c r="ODP200" s="537"/>
      <c r="ODQ200" s="537"/>
      <c r="ODR200" s="537"/>
      <c r="ODS200" s="537"/>
      <c r="ODT200" s="537"/>
      <c r="ODU200" s="537"/>
      <c r="ODV200" s="537"/>
      <c r="ODW200" s="537"/>
      <c r="ODX200" s="537"/>
      <c r="ODY200" s="537"/>
      <c r="ODZ200" s="537"/>
      <c r="OEA200" s="537"/>
      <c r="OEB200" s="537"/>
      <c r="OEC200" s="537"/>
      <c r="OED200" s="537"/>
      <c r="OEE200" s="537"/>
      <c r="OEF200" s="537"/>
      <c r="OEG200" s="537"/>
      <c r="OEH200" s="537"/>
      <c r="OEI200" s="537"/>
      <c r="OEJ200" s="537"/>
      <c r="OEK200" s="537"/>
      <c r="OEL200" s="537"/>
      <c r="OEM200" s="537"/>
      <c r="OEN200" s="537"/>
      <c r="OEO200" s="537"/>
      <c r="OEP200" s="537"/>
      <c r="OEQ200" s="537"/>
      <c r="OER200" s="537"/>
      <c r="OES200" s="537"/>
      <c r="OET200" s="537"/>
      <c r="OEU200" s="537"/>
      <c r="OEV200" s="537"/>
      <c r="OEW200" s="537"/>
      <c r="OEX200" s="537"/>
      <c r="OEY200" s="537"/>
      <c r="OEZ200" s="537"/>
      <c r="OFA200" s="537"/>
      <c r="OFB200" s="537"/>
      <c r="OFC200" s="537"/>
      <c r="OFD200" s="537"/>
      <c r="OFE200" s="537"/>
      <c r="OFF200" s="537"/>
      <c r="OFG200" s="537"/>
      <c r="OFH200" s="537"/>
      <c r="OFI200" s="537"/>
      <c r="OFJ200" s="537"/>
      <c r="OFK200" s="537"/>
      <c r="OFL200" s="537"/>
      <c r="OFM200" s="537"/>
      <c r="OFN200" s="537"/>
      <c r="OFO200" s="537"/>
      <c r="OFP200" s="537"/>
      <c r="OFQ200" s="537"/>
      <c r="OFR200" s="537"/>
      <c r="OFS200" s="537"/>
      <c r="OFT200" s="537"/>
      <c r="OFU200" s="537"/>
      <c r="OFV200" s="537"/>
      <c r="OFW200" s="537"/>
      <c r="OFX200" s="537"/>
      <c r="OFY200" s="537"/>
      <c r="OFZ200" s="537"/>
      <c r="OGA200" s="537"/>
      <c r="OGB200" s="537"/>
      <c r="OGC200" s="537"/>
      <c r="OGD200" s="537"/>
      <c r="OGE200" s="537"/>
      <c r="OGF200" s="537"/>
      <c r="OGG200" s="537"/>
      <c r="OGH200" s="537"/>
      <c r="OGI200" s="537"/>
      <c r="OGJ200" s="537"/>
      <c r="OGK200" s="537"/>
      <c r="OGL200" s="537"/>
      <c r="OGM200" s="537"/>
      <c r="OGN200" s="537"/>
      <c r="OGO200" s="537"/>
      <c r="OGP200" s="537"/>
      <c r="OGQ200" s="537"/>
      <c r="OGR200" s="537"/>
      <c r="OGS200" s="537"/>
      <c r="OGT200" s="537"/>
      <c r="OGU200" s="537"/>
      <c r="OGV200" s="537"/>
      <c r="OGW200" s="537"/>
      <c r="OGX200" s="537"/>
      <c r="OGY200" s="537"/>
      <c r="OGZ200" s="537"/>
      <c r="OHA200" s="537"/>
      <c r="OHB200" s="537"/>
      <c r="OHC200" s="537"/>
      <c r="OHD200" s="537"/>
      <c r="OHE200" s="537"/>
      <c r="OHF200" s="537"/>
      <c r="OHG200" s="537"/>
      <c r="OHH200" s="537"/>
      <c r="OHI200" s="537"/>
      <c r="OHJ200" s="537"/>
      <c r="OHK200" s="537"/>
      <c r="OHL200" s="537"/>
      <c r="OHM200" s="537"/>
      <c r="OHN200" s="537"/>
      <c r="OHO200" s="537"/>
      <c r="OHP200" s="537"/>
      <c r="OHQ200" s="537"/>
      <c r="OHR200" s="537"/>
      <c r="OHS200" s="537"/>
      <c r="OHT200" s="537"/>
      <c r="OHU200" s="537"/>
      <c r="OHV200" s="537"/>
      <c r="OHW200" s="537"/>
      <c r="OHX200" s="537"/>
      <c r="OHY200" s="537"/>
      <c r="OHZ200" s="537"/>
      <c r="OIA200" s="537"/>
      <c r="OIB200" s="537"/>
      <c r="OIC200" s="537"/>
      <c r="OID200" s="537"/>
      <c r="OIE200" s="537"/>
      <c r="OIF200" s="537"/>
      <c r="OIG200" s="537"/>
      <c r="OIH200" s="537"/>
      <c r="OII200" s="537"/>
      <c r="OIJ200" s="537"/>
      <c r="OIK200" s="537"/>
      <c r="OIL200" s="537"/>
      <c r="OIM200" s="537"/>
      <c r="OIN200" s="537"/>
      <c r="OIO200" s="537"/>
      <c r="OIP200" s="537"/>
      <c r="OIQ200" s="537"/>
      <c r="OIR200" s="537"/>
      <c r="OIS200" s="537"/>
      <c r="OIT200" s="537"/>
      <c r="OIU200" s="537"/>
      <c r="OIV200" s="537"/>
      <c r="OIW200" s="537"/>
      <c r="OIX200" s="537"/>
      <c r="OIY200" s="537"/>
      <c r="OIZ200" s="537"/>
      <c r="OJA200" s="537"/>
      <c r="OJB200" s="537"/>
      <c r="OJC200" s="537"/>
      <c r="OJD200" s="537"/>
      <c r="OJE200" s="537"/>
      <c r="OJF200" s="537"/>
      <c r="OJG200" s="537"/>
      <c r="OJH200" s="537"/>
      <c r="OJI200" s="537"/>
      <c r="OJJ200" s="537"/>
      <c r="OJK200" s="537"/>
      <c r="OJL200" s="537"/>
      <c r="OJM200" s="537"/>
      <c r="OJN200" s="537"/>
      <c r="OJO200" s="537"/>
      <c r="OJP200" s="537"/>
      <c r="OJQ200" s="537"/>
      <c r="OJR200" s="537"/>
      <c r="OJS200" s="537"/>
      <c r="OJT200" s="537"/>
      <c r="OJU200" s="537"/>
      <c r="OJV200" s="537"/>
      <c r="OJW200" s="537"/>
      <c r="OJX200" s="537"/>
      <c r="OJY200" s="537"/>
      <c r="OJZ200" s="537"/>
      <c r="OKA200" s="537"/>
      <c r="OKB200" s="537"/>
      <c r="OKC200" s="537"/>
      <c r="OKD200" s="537"/>
      <c r="OKE200" s="537"/>
      <c r="OKF200" s="537"/>
      <c r="OKG200" s="537"/>
      <c r="OKH200" s="537"/>
      <c r="OKI200" s="537"/>
      <c r="OKJ200" s="537"/>
      <c r="OKK200" s="537"/>
      <c r="OKL200" s="537"/>
      <c r="OKM200" s="537"/>
      <c r="OKN200" s="537"/>
      <c r="OKO200" s="537"/>
      <c r="OKP200" s="537"/>
      <c r="OKQ200" s="537"/>
      <c r="OKR200" s="537"/>
      <c r="OKS200" s="537"/>
      <c r="OKT200" s="537"/>
      <c r="OKU200" s="537"/>
      <c r="OKV200" s="537"/>
      <c r="OKW200" s="537"/>
      <c r="OKX200" s="537"/>
      <c r="OKY200" s="537"/>
      <c r="OKZ200" s="537"/>
      <c r="OLA200" s="537"/>
      <c r="OLB200" s="537"/>
      <c r="OLC200" s="537"/>
      <c r="OLD200" s="537"/>
      <c r="OLE200" s="537"/>
      <c r="OLF200" s="537"/>
      <c r="OLG200" s="537"/>
      <c r="OLH200" s="537"/>
      <c r="OLI200" s="537"/>
      <c r="OLJ200" s="537"/>
      <c r="OLK200" s="537"/>
      <c r="OLL200" s="537"/>
      <c r="OLM200" s="537"/>
      <c r="OLN200" s="537"/>
      <c r="OLO200" s="537"/>
      <c r="OLP200" s="537"/>
      <c r="OLQ200" s="537"/>
      <c r="OLR200" s="537"/>
      <c r="OLS200" s="537"/>
      <c r="OLT200" s="537"/>
      <c r="OLU200" s="537"/>
      <c r="OLV200" s="537"/>
      <c r="OLW200" s="537"/>
      <c r="OLX200" s="537"/>
      <c r="OLY200" s="537"/>
      <c r="OLZ200" s="537"/>
      <c r="OMA200" s="537"/>
      <c r="OMB200" s="537"/>
      <c r="OMC200" s="537"/>
      <c r="OMD200" s="537"/>
      <c r="OME200" s="537"/>
      <c r="OMF200" s="537"/>
      <c r="OMG200" s="537"/>
      <c r="OMH200" s="537"/>
      <c r="OMI200" s="537"/>
      <c r="OMJ200" s="537"/>
      <c r="OMK200" s="537"/>
      <c r="OML200" s="537"/>
      <c r="OMM200" s="537"/>
      <c r="OMN200" s="537"/>
      <c r="OMO200" s="537"/>
      <c r="OMP200" s="537"/>
      <c r="OMQ200" s="537"/>
      <c r="OMR200" s="537"/>
      <c r="OMS200" s="537"/>
      <c r="OMT200" s="537"/>
      <c r="OMU200" s="537"/>
      <c r="OMV200" s="537"/>
      <c r="OMW200" s="537"/>
      <c r="OMX200" s="537"/>
      <c r="OMY200" s="537"/>
      <c r="OMZ200" s="537"/>
      <c r="ONA200" s="537"/>
      <c r="ONB200" s="537"/>
      <c r="ONC200" s="537"/>
      <c r="OND200" s="537"/>
      <c r="ONE200" s="537"/>
      <c r="ONF200" s="537"/>
      <c r="ONG200" s="537"/>
      <c r="ONH200" s="537"/>
      <c r="ONI200" s="537"/>
      <c r="ONJ200" s="537"/>
      <c r="ONK200" s="537"/>
      <c r="ONL200" s="537"/>
      <c r="ONM200" s="537"/>
      <c r="ONN200" s="537"/>
      <c r="ONO200" s="537"/>
      <c r="ONP200" s="537"/>
      <c r="ONQ200" s="537"/>
      <c r="ONR200" s="537"/>
      <c r="ONS200" s="537"/>
      <c r="ONT200" s="537"/>
      <c r="ONU200" s="537"/>
      <c r="ONV200" s="537"/>
      <c r="ONW200" s="537"/>
      <c r="ONX200" s="537"/>
      <c r="ONY200" s="537"/>
      <c r="ONZ200" s="537"/>
      <c r="OOA200" s="537"/>
      <c r="OOB200" s="537"/>
      <c r="OOC200" s="537"/>
      <c r="OOD200" s="537"/>
      <c r="OOE200" s="537"/>
      <c r="OOF200" s="537"/>
      <c r="OOG200" s="537"/>
      <c r="OOH200" s="537"/>
      <c r="OOI200" s="537"/>
      <c r="OOJ200" s="537"/>
      <c r="OOK200" s="537"/>
      <c r="OOL200" s="537"/>
      <c r="OOM200" s="537"/>
      <c r="OON200" s="537"/>
      <c r="OOO200" s="537"/>
      <c r="OOP200" s="537"/>
      <c r="OOQ200" s="537"/>
      <c r="OOR200" s="537"/>
      <c r="OOS200" s="537"/>
      <c r="OOT200" s="537"/>
      <c r="OOU200" s="537"/>
      <c r="OOV200" s="537"/>
      <c r="OOW200" s="537"/>
      <c r="OOX200" s="537"/>
      <c r="OOY200" s="537"/>
      <c r="OOZ200" s="537"/>
      <c r="OPA200" s="537"/>
      <c r="OPB200" s="537"/>
      <c r="OPC200" s="537"/>
      <c r="OPD200" s="537"/>
      <c r="OPE200" s="537"/>
      <c r="OPF200" s="537"/>
      <c r="OPG200" s="537"/>
      <c r="OPH200" s="537"/>
      <c r="OPI200" s="537"/>
      <c r="OPJ200" s="537"/>
      <c r="OPK200" s="537"/>
      <c r="OPL200" s="537"/>
      <c r="OPM200" s="537"/>
      <c r="OPN200" s="537"/>
      <c r="OPO200" s="537"/>
      <c r="OPP200" s="537"/>
      <c r="OPQ200" s="537"/>
      <c r="OPR200" s="537"/>
      <c r="OPS200" s="537"/>
      <c r="OPT200" s="537"/>
      <c r="OPU200" s="537"/>
      <c r="OPV200" s="537"/>
      <c r="OPW200" s="537"/>
      <c r="OPX200" s="537"/>
      <c r="OPY200" s="537"/>
      <c r="OPZ200" s="537"/>
      <c r="OQA200" s="537"/>
      <c r="OQB200" s="537"/>
      <c r="OQC200" s="537"/>
      <c r="OQD200" s="537"/>
      <c r="OQE200" s="537"/>
      <c r="OQF200" s="537"/>
      <c r="OQG200" s="537"/>
      <c r="OQH200" s="537"/>
      <c r="OQI200" s="537"/>
      <c r="OQJ200" s="537"/>
      <c r="OQK200" s="537"/>
      <c r="OQL200" s="537"/>
      <c r="OQM200" s="537"/>
      <c r="OQN200" s="537"/>
      <c r="OQO200" s="537"/>
      <c r="OQP200" s="537"/>
      <c r="OQQ200" s="537"/>
      <c r="OQR200" s="537"/>
      <c r="OQS200" s="537"/>
      <c r="OQT200" s="537"/>
      <c r="OQU200" s="537"/>
      <c r="OQV200" s="537"/>
      <c r="OQW200" s="537"/>
      <c r="OQX200" s="537"/>
      <c r="OQY200" s="537"/>
      <c r="OQZ200" s="537"/>
      <c r="ORA200" s="537"/>
      <c r="ORB200" s="537"/>
      <c r="ORC200" s="537"/>
      <c r="ORD200" s="537"/>
      <c r="ORE200" s="537"/>
      <c r="ORF200" s="537"/>
      <c r="ORG200" s="537"/>
      <c r="ORH200" s="537"/>
      <c r="ORI200" s="537"/>
      <c r="ORJ200" s="537"/>
      <c r="ORK200" s="537"/>
      <c r="ORL200" s="537"/>
      <c r="ORM200" s="537"/>
      <c r="ORN200" s="537"/>
      <c r="ORO200" s="537"/>
      <c r="ORP200" s="537"/>
      <c r="ORQ200" s="537"/>
      <c r="ORR200" s="537"/>
      <c r="ORS200" s="537"/>
      <c r="ORT200" s="537"/>
      <c r="ORU200" s="537"/>
      <c r="ORV200" s="537"/>
      <c r="ORW200" s="537"/>
      <c r="ORX200" s="537"/>
      <c r="ORY200" s="537"/>
      <c r="ORZ200" s="537"/>
      <c r="OSA200" s="537"/>
      <c r="OSB200" s="537"/>
      <c r="OSC200" s="537"/>
      <c r="OSD200" s="537"/>
      <c r="OSE200" s="537"/>
      <c r="OSF200" s="537"/>
      <c r="OSG200" s="537"/>
      <c r="OSH200" s="537"/>
      <c r="OSI200" s="537"/>
      <c r="OSJ200" s="537"/>
      <c r="OSK200" s="537"/>
      <c r="OSL200" s="537"/>
      <c r="OSM200" s="537"/>
      <c r="OSN200" s="537"/>
      <c r="OSO200" s="537"/>
      <c r="OSP200" s="537"/>
      <c r="OSQ200" s="537"/>
      <c r="OSR200" s="537"/>
      <c r="OSS200" s="537"/>
      <c r="OST200" s="537"/>
      <c r="OSU200" s="537"/>
      <c r="OSV200" s="537"/>
      <c r="OSW200" s="537"/>
      <c r="OSX200" s="537"/>
      <c r="OSY200" s="537"/>
      <c r="OSZ200" s="537"/>
      <c r="OTA200" s="537"/>
      <c r="OTB200" s="537"/>
      <c r="OTC200" s="537"/>
      <c r="OTD200" s="537"/>
      <c r="OTE200" s="537"/>
      <c r="OTF200" s="537"/>
      <c r="OTG200" s="537"/>
      <c r="OTH200" s="537"/>
      <c r="OTI200" s="537"/>
      <c r="OTJ200" s="537"/>
      <c r="OTK200" s="537"/>
      <c r="OTL200" s="537"/>
      <c r="OTM200" s="537"/>
      <c r="OTN200" s="537"/>
      <c r="OTO200" s="537"/>
      <c r="OTP200" s="537"/>
      <c r="OTQ200" s="537"/>
      <c r="OTR200" s="537"/>
      <c r="OTS200" s="537"/>
      <c r="OTT200" s="537"/>
      <c r="OTU200" s="537"/>
      <c r="OTV200" s="537"/>
      <c r="OTW200" s="537"/>
      <c r="OTX200" s="537"/>
      <c r="OTY200" s="537"/>
      <c r="OTZ200" s="537"/>
      <c r="OUA200" s="537"/>
      <c r="OUB200" s="537"/>
      <c r="OUC200" s="537"/>
      <c r="OUD200" s="537"/>
      <c r="OUE200" s="537"/>
      <c r="OUF200" s="537"/>
      <c r="OUG200" s="537"/>
      <c r="OUH200" s="537"/>
      <c r="OUI200" s="537"/>
      <c r="OUJ200" s="537"/>
      <c r="OUK200" s="537"/>
      <c r="OUL200" s="537"/>
      <c r="OUM200" s="537"/>
      <c r="OUN200" s="537"/>
      <c r="OUO200" s="537"/>
      <c r="OUP200" s="537"/>
      <c r="OUQ200" s="537"/>
      <c r="OUR200" s="537"/>
      <c r="OUS200" s="537"/>
      <c r="OUT200" s="537"/>
      <c r="OUU200" s="537"/>
      <c r="OUV200" s="537"/>
      <c r="OUW200" s="537"/>
      <c r="OUX200" s="537"/>
      <c r="OUY200" s="537"/>
      <c r="OUZ200" s="537"/>
      <c r="OVA200" s="537"/>
      <c r="OVB200" s="537"/>
      <c r="OVC200" s="537"/>
      <c r="OVD200" s="537"/>
      <c r="OVE200" s="537"/>
      <c r="OVF200" s="537"/>
      <c r="OVG200" s="537"/>
      <c r="OVH200" s="537"/>
      <c r="OVI200" s="537"/>
      <c r="OVJ200" s="537"/>
      <c r="OVK200" s="537"/>
      <c r="OVL200" s="537"/>
      <c r="OVM200" s="537"/>
      <c r="OVN200" s="537"/>
      <c r="OVO200" s="537"/>
      <c r="OVP200" s="537"/>
      <c r="OVQ200" s="537"/>
      <c r="OVR200" s="537"/>
      <c r="OVS200" s="537"/>
      <c r="OVT200" s="537"/>
      <c r="OVU200" s="537"/>
      <c r="OVV200" s="537"/>
      <c r="OVW200" s="537"/>
      <c r="OVX200" s="537"/>
      <c r="OVY200" s="537"/>
      <c r="OVZ200" s="537"/>
      <c r="OWA200" s="537"/>
      <c r="OWB200" s="537"/>
      <c r="OWC200" s="537"/>
      <c r="OWD200" s="537"/>
      <c r="OWE200" s="537"/>
      <c r="OWF200" s="537"/>
      <c r="OWG200" s="537"/>
      <c r="OWH200" s="537"/>
      <c r="OWI200" s="537"/>
      <c r="OWJ200" s="537"/>
      <c r="OWK200" s="537"/>
      <c r="OWL200" s="537"/>
      <c r="OWM200" s="537"/>
      <c r="OWN200" s="537"/>
      <c r="OWO200" s="537"/>
      <c r="OWP200" s="537"/>
      <c r="OWQ200" s="537"/>
      <c r="OWR200" s="537"/>
      <c r="OWS200" s="537"/>
      <c r="OWT200" s="537"/>
      <c r="OWU200" s="537"/>
      <c r="OWV200" s="537"/>
      <c r="OWW200" s="537"/>
      <c r="OWX200" s="537"/>
      <c r="OWY200" s="537"/>
      <c r="OWZ200" s="537"/>
      <c r="OXA200" s="537"/>
      <c r="OXB200" s="537"/>
      <c r="OXC200" s="537"/>
      <c r="OXD200" s="537"/>
      <c r="OXE200" s="537"/>
      <c r="OXF200" s="537"/>
      <c r="OXG200" s="537"/>
      <c r="OXH200" s="537"/>
      <c r="OXI200" s="537"/>
      <c r="OXJ200" s="537"/>
      <c r="OXK200" s="537"/>
      <c r="OXL200" s="537"/>
      <c r="OXM200" s="537"/>
      <c r="OXN200" s="537"/>
      <c r="OXO200" s="537"/>
      <c r="OXP200" s="537"/>
      <c r="OXQ200" s="537"/>
      <c r="OXR200" s="537"/>
      <c r="OXS200" s="537"/>
      <c r="OXT200" s="537"/>
      <c r="OXU200" s="537"/>
      <c r="OXV200" s="537"/>
      <c r="OXW200" s="537"/>
      <c r="OXX200" s="537"/>
      <c r="OXY200" s="537"/>
      <c r="OXZ200" s="537"/>
      <c r="OYA200" s="537"/>
      <c r="OYB200" s="537"/>
      <c r="OYC200" s="537"/>
      <c r="OYD200" s="537"/>
      <c r="OYE200" s="537"/>
      <c r="OYF200" s="537"/>
      <c r="OYG200" s="537"/>
      <c r="OYH200" s="537"/>
      <c r="OYI200" s="537"/>
      <c r="OYJ200" s="537"/>
      <c r="OYK200" s="537"/>
      <c r="OYL200" s="537"/>
      <c r="OYM200" s="537"/>
      <c r="OYN200" s="537"/>
      <c r="OYO200" s="537"/>
      <c r="OYP200" s="537"/>
      <c r="OYQ200" s="537"/>
      <c r="OYR200" s="537"/>
      <c r="OYS200" s="537"/>
      <c r="OYT200" s="537"/>
      <c r="OYU200" s="537"/>
      <c r="OYV200" s="537"/>
      <c r="OYW200" s="537"/>
      <c r="OYX200" s="537"/>
      <c r="OYY200" s="537"/>
      <c r="OYZ200" s="537"/>
      <c r="OZA200" s="537"/>
      <c r="OZB200" s="537"/>
      <c r="OZC200" s="537"/>
      <c r="OZD200" s="537"/>
      <c r="OZE200" s="537"/>
      <c r="OZF200" s="537"/>
      <c r="OZG200" s="537"/>
      <c r="OZH200" s="537"/>
      <c r="OZI200" s="537"/>
      <c r="OZJ200" s="537"/>
      <c r="OZK200" s="537"/>
      <c r="OZL200" s="537"/>
      <c r="OZM200" s="537"/>
      <c r="OZN200" s="537"/>
      <c r="OZO200" s="537"/>
      <c r="OZP200" s="537"/>
      <c r="OZQ200" s="537"/>
      <c r="OZR200" s="537"/>
      <c r="OZS200" s="537"/>
      <c r="OZT200" s="537"/>
      <c r="OZU200" s="537"/>
      <c r="OZV200" s="537"/>
      <c r="OZW200" s="537"/>
      <c r="OZX200" s="537"/>
      <c r="OZY200" s="537"/>
      <c r="OZZ200" s="537"/>
      <c r="PAA200" s="537"/>
      <c r="PAB200" s="537"/>
      <c r="PAC200" s="537"/>
      <c r="PAD200" s="537"/>
      <c r="PAE200" s="537"/>
      <c r="PAF200" s="537"/>
      <c r="PAG200" s="537"/>
      <c r="PAH200" s="537"/>
      <c r="PAI200" s="537"/>
      <c r="PAJ200" s="537"/>
      <c r="PAK200" s="537"/>
      <c r="PAL200" s="537"/>
      <c r="PAM200" s="537"/>
      <c r="PAN200" s="537"/>
      <c r="PAO200" s="537"/>
      <c r="PAP200" s="537"/>
      <c r="PAQ200" s="537"/>
      <c r="PAR200" s="537"/>
      <c r="PAS200" s="537"/>
      <c r="PAT200" s="537"/>
      <c r="PAU200" s="537"/>
      <c r="PAV200" s="537"/>
      <c r="PAW200" s="537"/>
      <c r="PAX200" s="537"/>
      <c r="PAY200" s="537"/>
      <c r="PAZ200" s="537"/>
      <c r="PBA200" s="537"/>
      <c r="PBB200" s="537"/>
      <c r="PBC200" s="537"/>
      <c r="PBD200" s="537"/>
      <c r="PBE200" s="537"/>
      <c r="PBF200" s="537"/>
      <c r="PBG200" s="537"/>
      <c r="PBH200" s="537"/>
      <c r="PBI200" s="537"/>
      <c r="PBJ200" s="537"/>
      <c r="PBK200" s="537"/>
      <c r="PBL200" s="537"/>
      <c r="PBM200" s="537"/>
      <c r="PBN200" s="537"/>
      <c r="PBO200" s="537"/>
      <c r="PBP200" s="537"/>
      <c r="PBQ200" s="537"/>
      <c r="PBR200" s="537"/>
      <c r="PBS200" s="537"/>
      <c r="PBT200" s="537"/>
      <c r="PBU200" s="537"/>
      <c r="PBV200" s="537"/>
      <c r="PBW200" s="537"/>
      <c r="PBX200" s="537"/>
      <c r="PBY200" s="537"/>
      <c r="PBZ200" s="537"/>
      <c r="PCA200" s="537"/>
      <c r="PCB200" s="537"/>
      <c r="PCC200" s="537"/>
      <c r="PCD200" s="537"/>
      <c r="PCE200" s="537"/>
      <c r="PCF200" s="537"/>
      <c r="PCG200" s="537"/>
      <c r="PCH200" s="537"/>
      <c r="PCI200" s="537"/>
      <c r="PCJ200" s="537"/>
      <c r="PCK200" s="537"/>
      <c r="PCL200" s="537"/>
      <c r="PCM200" s="537"/>
      <c r="PCN200" s="537"/>
      <c r="PCO200" s="537"/>
      <c r="PCP200" s="537"/>
      <c r="PCQ200" s="537"/>
      <c r="PCR200" s="537"/>
      <c r="PCS200" s="537"/>
      <c r="PCT200" s="537"/>
      <c r="PCU200" s="537"/>
      <c r="PCV200" s="537"/>
      <c r="PCW200" s="537"/>
      <c r="PCX200" s="537"/>
      <c r="PCY200" s="537"/>
      <c r="PCZ200" s="537"/>
      <c r="PDA200" s="537"/>
      <c r="PDB200" s="537"/>
      <c r="PDC200" s="537"/>
      <c r="PDD200" s="537"/>
      <c r="PDE200" s="537"/>
      <c r="PDF200" s="537"/>
      <c r="PDG200" s="537"/>
      <c r="PDH200" s="537"/>
      <c r="PDI200" s="537"/>
      <c r="PDJ200" s="537"/>
      <c r="PDK200" s="537"/>
      <c r="PDL200" s="537"/>
      <c r="PDM200" s="537"/>
      <c r="PDN200" s="537"/>
      <c r="PDO200" s="537"/>
      <c r="PDP200" s="537"/>
      <c r="PDQ200" s="537"/>
      <c r="PDR200" s="537"/>
      <c r="PDS200" s="537"/>
      <c r="PDT200" s="537"/>
      <c r="PDU200" s="537"/>
      <c r="PDV200" s="537"/>
      <c r="PDW200" s="537"/>
      <c r="PDX200" s="537"/>
      <c r="PDY200" s="537"/>
      <c r="PDZ200" s="537"/>
      <c r="PEA200" s="537"/>
      <c r="PEB200" s="537"/>
      <c r="PEC200" s="537"/>
      <c r="PED200" s="537"/>
      <c r="PEE200" s="537"/>
      <c r="PEF200" s="537"/>
      <c r="PEG200" s="537"/>
      <c r="PEH200" s="537"/>
      <c r="PEI200" s="537"/>
      <c r="PEJ200" s="537"/>
      <c r="PEK200" s="537"/>
      <c r="PEL200" s="537"/>
      <c r="PEM200" s="537"/>
      <c r="PEN200" s="537"/>
      <c r="PEO200" s="537"/>
      <c r="PEP200" s="537"/>
      <c r="PEQ200" s="537"/>
      <c r="PER200" s="537"/>
      <c r="PES200" s="537"/>
      <c r="PET200" s="537"/>
      <c r="PEU200" s="537"/>
      <c r="PEV200" s="537"/>
      <c r="PEW200" s="537"/>
      <c r="PEX200" s="537"/>
      <c r="PEY200" s="537"/>
      <c r="PEZ200" s="537"/>
      <c r="PFA200" s="537"/>
      <c r="PFB200" s="537"/>
      <c r="PFC200" s="537"/>
      <c r="PFD200" s="537"/>
      <c r="PFE200" s="537"/>
      <c r="PFF200" s="537"/>
      <c r="PFG200" s="537"/>
      <c r="PFH200" s="537"/>
      <c r="PFI200" s="537"/>
      <c r="PFJ200" s="537"/>
      <c r="PFK200" s="537"/>
      <c r="PFL200" s="537"/>
      <c r="PFM200" s="537"/>
      <c r="PFN200" s="537"/>
      <c r="PFO200" s="537"/>
      <c r="PFP200" s="537"/>
      <c r="PFQ200" s="537"/>
      <c r="PFR200" s="537"/>
      <c r="PFS200" s="537"/>
      <c r="PFT200" s="537"/>
      <c r="PFU200" s="537"/>
      <c r="PFV200" s="537"/>
      <c r="PFW200" s="537"/>
      <c r="PFX200" s="537"/>
      <c r="PFY200" s="537"/>
      <c r="PFZ200" s="537"/>
      <c r="PGA200" s="537"/>
      <c r="PGB200" s="537"/>
      <c r="PGC200" s="537"/>
      <c r="PGD200" s="537"/>
      <c r="PGE200" s="537"/>
      <c r="PGF200" s="537"/>
      <c r="PGG200" s="537"/>
      <c r="PGH200" s="537"/>
      <c r="PGI200" s="537"/>
      <c r="PGJ200" s="537"/>
      <c r="PGK200" s="537"/>
      <c r="PGL200" s="537"/>
      <c r="PGM200" s="537"/>
      <c r="PGN200" s="537"/>
      <c r="PGO200" s="537"/>
      <c r="PGP200" s="537"/>
      <c r="PGQ200" s="537"/>
      <c r="PGR200" s="537"/>
      <c r="PGS200" s="537"/>
      <c r="PGT200" s="537"/>
      <c r="PGU200" s="537"/>
      <c r="PGV200" s="537"/>
      <c r="PGW200" s="537"/>
      <c r="PGX200" s="537"/>
      <c r="PGY200" s="537"/>
      <c r="PGZ200" s="537"/>
      <c r="PHA200" s="537"/>
      <c r="PHB200" s="537"/>
      <c r="PHC200" s="537"/>
      <c r="PHD200" s="537"/>
      <c r="PHE200" s="537"/>
      <c r="PHF200" s="537"/>
      <c r="PHG200" s="537"/>
      <c r="PHH200" s="537"/>
      <c r="PHI200" s="537"/>
      <c r="PHJ200" s="537"/>
      <c r="PHK200" s="537"/>
      <c r="PHL200" s="537"/>
      <c r="PHM200" s="537"/>
      <c r="PHN200" s="537"/>
      <c r="PHO200" s="537"/>
      <c r="PHP200" s="537"/>
      <c r="PHQ200" s="537"/>
      <c r="PHR200" s="537"/>
      <c r="PHS200" s="537"/>
      <c r="PHT200" s="537"/>
      <c r="PHU200" s="537"/>
      <c r="PHV200" s="537"/>
      <c r="PHW200" s="537"/>
      <c r="PHX200" s="537"/>
      <c r="PHY200" s="537"/>
      <c r="PHZ200" s="537"/>
      <c r="PIA200" s="537"/>
      <c r="PIB200" s="537"/>
      <c r="PIC200" s="537"/>
      <c r="PID200" s="537"/>
      <c r="PIE200" s="537"/>
      <c r="PIF200" s="537"/>
      <c r="PIG200" s="537"/>
      <c r="PIH200" s="537"/>
      <c r="PII200" s="537"/>
      <c r="PIJ200" s="537"/>
      <c r="PIK200" s="537"/>
      <c r="PIL200" s="537"/>
      <c r="PIM200" s="537"/>
      <c r="PIN200" s="537"/>
      <c r="PIO200" s="537"/>
      <c r="PIP200" s="537"/>
      <c r="PIQ200" s="537"/>
      <c r="PIR200" s="537"/>
      <c r="PIS200" s="537"/>
      <c r="PIT200" s="537"/>
      <c r="PIU200" s="537"/>
      <c r="PIV200" s="537"/>
      <c r="PIW200" s="537"/>
      <c r="PIX200" s="537"/>
      <c r="PIY200" s="537"/>
      <c r="PIZ200" s="537"/>
      <c r="PJA200" s="537"/>
      <c r="PJB200" s="537"/>
      <c r="PJC200" s="537"/>
      <c r="PJD200" s="537"/>
      <c r="PJE200" s="537"/>
      <c r="PJF200" s="537"/>
      <c r="PJG200" s="537"/>
      <c r="PJH200" s="537"/>
      <c r="PJI200" s="537"/>
      <c r="PJJ200" s="537"/>
      <c r="PJK200" s="537"/>
      <c r="PJL200" s="537"/>
      <c r="PJM200" s="537"/>
      <c r="PJN200" s="537"/>
      <c r="PJO200" s="537"/>
      <c r="PJP200" s="537"/>
      <c r="PJQ200" s="537"/>
      <c r="PJR200" s="537"/>
      <c r="PJS200" s="537"/>
      <c r="PJT200" s="537"/>
      <c r="PJU200" s="537"/>
      <c r="PJV200" s="537"/>
      <c r="PJW200" s="537"/>
      <c r="PJX200" s="537"/>
      <c r="PJY200" s="537"/>
      <c r="PJZ200" s="537"/>
      <c r="PKA200" s="537"/>
      <c r="PKB200" s="537"/>
      <c r="PKC200" s="537"/>
      <c r="PKD200" s="537"/>
      <c r="PKE200" s="537"/>
      <c r="PKF200" s="537"/>
      <c r="PKG200" s="537"/>
      <c r="PKH200" s="537"/>
      <c r="PKI200" s="537"/>
      <c r="PKJ200" s="537"/>
      <c r="PKK200" s="537"/>
      <c r="PKL200" s="537"/>
      <c r="PKM200" s="537"/>
      <c r="PKN200" s="537"/>
      <c r="PKO200" s="537"/>
      <c r="PKP200" s="537"/>
      <c r="PKQ200" s="537"/>
      <c r="PKR200" s="537"/>
      <c r="PKS200" s="537"/>
      <c r="PKT200" s="537"/>
      <c r="PKU200" s="537"/>
      <c r="PKV200" s="537"/>
      <c r="PKW200" s="537"/>
      <c r="PKX200" s="537"/>
      <c r="PKY200" s="537"/>
      <c r="PKZ200" s="537"/>
      <c r="PLA200" s="537"/>
      <c r="PLB200" s="537"/>
      <c r="PLC200" s="537"/>
      <c r="PLD200" s="537"/>
      <c r="PLE200" s="537"/>
      <c r="PLF200" s="537"/>
      <c r="PLG200" s="537"/>
      <c r="PLH200" s="537"/>
      <c r="PLI200" s="537"/>
      <c r="PLJ200" s="537"/>
      <c r="PLK200" s="537"/>
      <c r="PLL200" s="537"/>
      <c r="PLM200" s="537"/>
      <c r="PLN200" s="537"/>
      <c r="PLO200" s="537"/>
      <c r="PLP200" s="537"/>
      <c r="PLQ200" s="537"/>
      <c r="PLR200" s="537"/>
      <c r="PLS200" s="537"/>
      <c r="PLT200" s="537"/>
      <c r="PLU200" s="537"/>
      <c r="PLV200" s="537"/>
      <c r="PLW200" s="537"/>
      <c r="PLX200" s="537"/>
      <c r="PLY200" s="537"/>
      <c r="PLZ200" s="537"/>
      <c r="PMA200" s="537"/>
      <c r="PMB200" s="537"/>
      <c r="PMC200" s="537"/>
      <c r="PMD200" s="537"/>
      <c r="PME200" s="537"/>
      <c r="PMF200" s="537"/>
      <c r="PMG200" s="537"/>
      <c r="PMH200" s="537"/>
      <c r="PMI200" s="537"/>
      <c r="PMJ200" s="537"/>
      <c r="PMK200" s="537"/>
      <c r="PML200" s="537"/>
      <c r="PMM200" s="537"/>
      <c r="PMN200" s="537"/>
      <c r="PMO200" s="537"/>
      <c r="PMP200" s="537"/>
      <c r="PMQ200" s="537"/>
      <c r="PMR200" s="537"/>
      <c r="PMS200" s="537"/>
      <c r="PMT200" s="537"/>
      <c r="PMU200" s="537"/>
      <c r="PMV200" s="537"/>
      <c r="PMW200" s="537"/>
      <c r="PMX200" s="537"/>
      <c r="PMY200" s="537"/>
      <c r="PMZ200" s="537"/>
      <c r="PNA200" s="537"/>
      <c r="PNB200" s="537"/>
      <c r="PNC200" s="537"/>
      <c r="PND200" s="537"/>
      <c r="PNE200" s="537"/>
      <c r="PNF200" s="537"/>
      <c r="PNG200" s="537"/>
      <c r="PNH200" s="537"/>
      <c r="PNI200" s="537"/>
      <c r="PNJ200" s="537"/>
      <c r="PNK200" s="537"/>
      <c r="PNL200" s="537"/>
      <c r="PNM200" s="537"/>
      <c r="PNN200" s="537"/>
      <c r="PNO200" s="537"/>
      <c r="PNP200" s="537"/>
      <c r="PNQ200" s="537"/>
      <c r="PNR200" s="537"/>
      <c r="PNS200" s="537"/>
      <c r="PNT200" s="537"/>
      <c r="PNU200" s="537"/>
      <c r="PNV200" s="537"/>
      <c r="PNW200" s="537"/>
      <c r="PNX200" s="537"/>
      <c r="PNY200" s="537"/>
      <c r="PNZ200" s="537"/>
      <c r="POA200" s="537"/>
      <c r="POB200" s="537"/>
      <c r="POC200" s="537"/>
      <c r="POD200" s="537"/>
      <c r="POE200" s="537"/>
      <c r="POF200" s="537"/>
      <c r="POG200" s="537"/>
      <c r="POH200" s="537"/>
      <c r="POI200" s="537"/>
      <c r="POJ200" s="537"/>
      <c r="POK200" s="537"/>
      <c r="POL200" s="537"/>
      <c r="POM200" s="537"/>
      <c r="PON200" s="537"/>
      <c r="POO200" s="537"/>
      <c r="POP200" s="537"/>
      <c r="POQ200" s="537"/>
      <c r="POR200" s="537"/>
      <c r="POS200" s="537"/>
      <c r="POT200" s="537"/>
      <c r="POU200" s="537"/>
      <c r="POV200" s="537"/>
      <c r="POW200" s="537"/>
      <c r="POX200" s="537"/>
      <c r="POY200" s="537"/>
      <c r="POZ200" s="537"/>
      <c r="PPA200" s="537"/>
      <c r="PPB200" s="537"/>
      <c r="PPC200" s="537"/>
      <c r="PPD200" s="537"/>
      <c r="PPE200" s="537"/>
      <c r="PPF200" s="537"/>
      <c r="PPG200" s="537"/>
      <c r="PPH200" s="537"/>
      <c r="PPI200" s="537"/>
      <c r="PPJ200" s="537"/>
      <c r="PPK200" s="537"/>
      <c r="PPL200" s="537"/>
      <c r="PPM200" s="537"/>
      <c r="PPN200" s="537"/>
      <c r="PPO200" s="537"/>
      <c r="PPP200" s="537"/>
      <c r="PPQ200" s="537"/>
      <c r="PPR200" s="537"/>
      <c r="PPS200" s="537"/>
      <c r="PPT200" s="537"/>
      <c r="PPU200" s="537"/>
      <c r="PPV200" s="537"/>
      <c r="PPW200" s="537"/>
      <c r="PPX200" s="537"/>
      <c r="PPY200" s="537"/>
      <c r="PPZ200" s="537"/>
      <c r="PQA200" s="537"/>
      <c r="PQB200" s="537"/>
      <c r="PQC200" s="537"/>
      <c r="PQD200" s="537"/>
      <c r="PQE200" s="537"/>
      <c r="PQF200" s="537"/>
      <c r="PQG200" s="537"/>
      <c r="PQH200" s="537"/>
      <c r="PQI200" s="537"/>
      <c r="PQJ200" s="537"/>
      <c r="PQK200" s="537"/>
      <c r="PQL200" s="537"/>
      <c r="PQM200" s="537"/>
      <c r="PQN200" s="537"/>
      <c r="PQO200" s="537"/>
      <c r="PQP200" s="537"/>
      <c r="PQQ200" s="537"/>
      <c r="PQR200" s="537"/>
      <c r="PQS200" s="537"/>
      <c r="PQT200" s="537"/>
      <c r="PQU200" s="537"/>
      <c r="PQV200" s="537"/>
      <c r="PQW200" s="537"/>
      <c r="PQX200" s="537"/>
      <c r="PQY200" s="537"/>
      <c r="PQZ200" s="537"/>
      <c r="PRA200" s="537"/>
      <c r="PRB200" s="537"/>
      <c r="PRC200" s="537"/>
      <c r="PRD200" s="537"/>
      <c r="PRE200" s="537"/>
      <c r="PRF200" s="537"/>
      <c r="PRG200" s="537"/>
      <c r="PRH200" s="537"/>
      <c r="PRI200" s="537"/>
      <c r="PRJ200" s="537"/>
      <c r="PRK200" s="537"/>
      <c r="PRL200" s="537"/>
      <c r="PRM200" s="537"/>
      <c r="PRN200" s="537"/>
      <c r="PRO200" s="537"/>
      <c r="PRP200" s="537"/>
      <c r="PRQ200" s="537"/>
      <c r="PRR200" s="537"/>
      <c r="PRS200" s="537"/>
      <c r="PRT200" s="537"/>
      <c r="PRU200" s="537"/>
      <c r="PRV200" s="537"/>
      <c r="PRW200" s="537"/>
      <c r="PRX200" s="537"/>
      <c r="PRY200" s="537"/>
      <c r="PRZ200" s="537"/>
      <c r="PSA200" s="537"/>
      <c r="PSB200" s="537"/>
      <c r="PSC200" s="537"/>
      <c r="PSD200" s="537"/>
      <c r="PSE200" s="537"/>
      <c r="PSF200" s="537"/>
      <c r="PSG200" s="537"/>
      <c r="PSH200" s="537"/>
      <c r="PSI200" s="537"/>
      <c r="PSJ200" s="537"/>
      <c r="PSK200" s="537"/>
      <c r="PSL200" s="537"/>
      <c r="PSM200" s="537"/>
      <c r="PSN200" s="537"/>
      <c r="PSO200" s="537"/>
      <c r="PSP200" s="537"/>
      <c r="PSQ200" s="537"/>
      <c r="PSR200" s="537"/>
      <c r="PSS200" s="537"/>
      <c r="PST200" s="537"/>
      <c r="PSU200" s="537"/>
      <c r="PSV200" s="537"/>
      <c r="PSW200" s="537"/>
      <c r="PSX200" s="537"/>
      <c r="PSY200" s="537"/>
      <c r="PSZ200" s="537"/>
      <c r="PTA200" s="537"/>
      <c r="PTB200" s="537"/>
      <c r="PTC200" s="537"/>
      <c r="PTD200" s="537"/>
      <c r="PTE200" s="537"/>
      <c r="PTF200" s="537"/>
      <c r="PTG200" s="537"/>
      <c r="PTH200" s="537"/>
      <c r="PTI200" s="537"/>
      <c r="PTJ200" s="537"/>
      <c r="PTK200" s="537"/>
      <c r="PTL200" s="537"/>
      <c r="PTM200" s="537"/>
      <c r="PTN200" s="537"/>
      <c r="PTO200" s="537"/>
      <c r="PTP200" s="537"/>
      <c r="PTQ200" s="537"/>
      <c r="PTR200" s="537"/>
      <c r="PTS200" s="537"/>
      <c r="PTT200" s="537"/>
      <c r="PTU200" s="537"/>
      <c r="PTV200" s="537"/>
      <c r="PTW200" s="537"/>
      <c r="PTX200" s="537"/>
      <c r="PTY200" s="537"/>
      <c r="PTZ200" s="537"/>
      <c r="PUA200" s="537"/>
      <c r="PUB200" s="537"/>
      <c r="PUC200" s="537"/>
      <c r="PUD200" s="537"/>
      <c r="PUE200" s="537"/>
      <c r="PUF200" s="537"/>
      <c r="PUG200" s="537"/>
      <c r="PUH200" s="537"/>
      <c r="PUI200" s="537"/>
      <c r="PUJ200" s="537"/>
      <c r="PUK200" s="537"/>
      <c r="PUL200" s="537"/>
      <c r="PUM200" s="537"/>
      <c r="PUN200" s="537"/>
      <c r="PUO200" s="537"/>
      <c r="PUP200" s="537"/>
      <c r="PUQ200" s="537"/>
      <c r="PUR200" s="537"/>
      <c r="PUS200" s="537"/>
      <c r="PUT200" s="537"/>
      <c r="PUU200" s="537"/>
      <c r="PUV200" s="537"/>
      <c r="PUW200" s="537"/>
      <c r="PUX200" s="537"/>
      <c r="PUY200" s="537"/>
      <c r="PUZ200" s="537"/>
      <c r="PVA200" s="537"/>
      <c r="PVB200" s="537"/>
      <c r="PVC200" s="537"/>
      <c r="PVD200" s="537"/>
      <c r="PVE200" s="537"/>
      <c r="PVF200" s="537"/>
      <c r="PVG200" s="537"/>
      <c r="PVH200" s="537"/>
      <c r="PVI200" s="537"/>
      <c r="PVJ200" s="537"/>
      <c r="PVK200" s="537"/>
      <c r="PVL200" s="537"/>
      <c r="PVM200" s="537"/>
      <c r="PVN200" s="537"/>
      <c r="PVO200" s="537"/>
      <c r="PVP200" s="537"/>
      <c r="PVQ200" s="537"/>
      <c r="PVR200" s="537"/>
      <c r="PVS200" s="537"/>
      <c r="PVT200" s="537"/>
      <c r="PVU200" s="537"/>
      <c r="PVV200" s="537"/>
      <c r="PVW200" s="537"/>
      <c r="PVX200" s="537"/>
      <c r="PVY200" s="537"/>
      <c r="PVZ200" s="537"/>
      <c r="PWA200" s="537"/>
      <c r="PWB200" s="537"/>
      <c r="PWC200" s="537"/>
      <c r="PWD200" s="537"/>
      <c r="PWE200" s="537"/>
      <c r="PWF200" s="537"/>
      <c r="PWG200" s="537"/>
      <c r="PWH200" s="537"/>
      <c r="PWI200" s="537"/>
      <c r="PWJ200" s="537"/>
      <c r="PWK200" s="537"/>
      <c r="PWL200" s="537"/>
      <c r="PWM200" s="537"/>
      <c r="PWN200" s="537"/>
      <c r="PWO200" s="537"/>
      <c r="PWP200" s="537"/>
      <c r="PWQ200" s="537"/>
      <c r="PWR200" s="537"/>
      <c r="PWS200" s="537"/>
      <c r="PWT200" s="537"/>
      <c r="PWU200" s="537"/>
      <c r="PWV200" s="537"/>
      <c r="PWW200" s="537"/>
      <c r="PWX200" s="537"/>
      <c r="PWY200" s="537"/>
      <c r="PWZ200" s="537"/>
      <c r="PXA200" s="537"/>
      <c r="PXB200" s="537"/>
      <c r="PXC200" s="537"/>
      <c r="PXD200" s="537"/>
      <c r="PXE200" s="537"/>
      <c r="PXF200" s="537"/>
      <c r="PXG200" s="537"/>
      <c r="PXH200" s="537"/>
      <c r="PXI200" s="537"/>
      <c r="PXJ200" s="537"/>
      <c r="PXK200" s="537"/>
      <c r="PXL200" s="537"/>
      <c r="PXM200" s="537"/>
      <c r="PXN200" s="537"/>
      <c r="PXO200" s="537"/>
      <c r="PXP200" s="537"/>
      <c r="PXQ200" s="537"/>
      <c r="PXR200" s="537"/>
      <c r="PXS200" s="537"/>
      <c r="PXT200" s="537"/>
      <c r="PXU200" s="537"/>
      <c r="PXV200" s="537"/>
      <c r="PXW200" s="537"/>
      <c r="PXX200" s="537"/>
      <c r="PXY200" s="537"/>
      <c r="PXZ200" s="537"/>
      <c r="PYA200" s="537"/>
      <c r="PYB200" s="537"/>
      <c r="PYC200" s="537"/>
      <c r="PYD200" s="537"/>
      <c r="PYE200" s="537"/>
      <c r="PYF200" s="537"/>
      <c r="PYG200" s="537"/>
      <c r="PYH200" s="537"/>
      <c r="PYI200" s="537"/>
      <c r="PYJ200" s="537"/>
      <c r="PYK200" s="537"/>
      <c r="PYL200" s="537"/>
      <c r="PYM200" s="537"/>
      <c r="PYN200" s="537"/>
      <c r="PYO200" s="537"/>
      <c r="PYP200" s="537"/>
      <c r="PYQ200" s="537"/>
      <c r="PYR200" s="537"/>
      <c r="PYS200" s="537"/>
      <c r="PYT200" s="537"/>
      <c r="PYU200" s="537"/>
      <c r="PYV200" s="537"/>
      <c r="PYW200" s="537"/>
      <c r="PYX200" s="537"/>
      <c r="PYY200" s="537"/>
      <c r="PYZ200" s="537"/>
      <c r="PZA200" s="537"/>
      <c r="PZB200" s="537"/>
      <c r="PZC200" s="537"/>
      <c r="PZD200" s="537"/>
      <c r="PZE200" s="537"/>
      <c r="PZF200" s="537"/>
      <c r="PZG200" s="537"/>
      <c r="PZH200" s="537"/>
      <c r="PZI200" s="537"/>
      <c r="PZJ200" s="537"/>
      <c r="PZK200" s="537"/>
      <c r="PZL200" s="537"/>
      <c r="PZM200" s="537"/>
      <c r="PZN200" s="537"/>
      <c r="PZO200" s="537"/>
      <c r="PZP200" s="537"/>
      <c r="PZQ200" s="537"/>
      <c r="PZR200" s="537"/>
      <c r="PZS200" s="537"/>
      <c r="PZT200" s="537"/>
      <c r="PZU200" s="537"/>
      <c r="PZV200" s="537"/>
      <c r="PZW200" s="537"/>
      <c r="PZX200" s="537"/>
      <c r="PZY200" s="537"/>
      <c r="PZZ200" s="537"/>
      <c r="QAA200" s="537"/>
      <c r="QAB200" s="537"/>
      <c r="QAC200" s="537"/>
      <c r="QAD200" s="537"/>
      <c r="QAE200" s="537"/>
      <c r="QAF200" s="537"/>
      <c r="QAG200" s="537"/>
      <c r="QAH200" s="537"/>
      <c r="QAI200" s="537"/>
      <c r="QAJ200" s="537"/>
      <c r="QAK200" s="537"/>
      <c r="QAL200" s="537"/>
      <c r="QAM200" s="537"/>
      <c r="QAN200" s="537"/>
      <c r="QAO200" s="537"/>
      <c r="QAP200" s="537"/>
      <c r="QAQ200" s="537"/>
      <c r="QAR200" s="537"/>
      <c r="QAS200" s="537"/>
      <c r="QAT200" s="537"/>
      <c r="QAU200" s="537"/>
      <c r="QAV200" s="537"/>
      <c r="QAW200" s="537"/>
      <c r="QAX200" s="537"/>
      <c r="QAY200" s="537"/>
      <c r="QAZ200" s="537"/>
      <c r="QBA200" s="537"/>
      <c r="QBB200" s="537"/>
      <c r="QBC200" s="537"/>
      <c r="QBD200" s="537"/>
      <c r="QBE200" s="537"/>
      <c r="QBF200" s="537"/>
      <c r="QBG200" s="537"/>
      <c r="QBH200" s="537"/>
      <c r="QBI200" s="537"/>
      <c r="QBJ200" s="537"/>
      <c r="QBK200" s="537"/>
      <c r="QBL200" s="537"/>
      <c r="QBM200" s="537"/>
      <c r="QBN200" s="537"/>
      <c r="QBO200" s="537"/>
      <c r="QBP200" s="537"/>
      <c r="QBQ200" s="537"/>
      <c r="QBR200" s="537"/>
      <c r="QBS200" s="537"/>
      <c r="QBT200" s="537"/>
      <c r="QBU200" s="537"/>
      <c r="QBV200" s="537"/>
      <c r="QBW200" s="537"/>
      <c r="QBX200" s="537"/>
      <c r="QBY200" s="537"/>
      <c r="QBZ200" s="537"/>
      <c r="QCA200" s="537"/>
      <c r="QCB200" s="537"/>
      <c r="QCC200" s="537"/>
      <c r="QCD200" s="537"/>
      <c r="QCE200" s="537"/>
      <c r="QCF200" s="537"/>
      <c r="QCG200" s="537"/>
      <c r="QCH200" s="537"/>
      <c r="QCI200" s="537"/>
      <c r="QCJ200" s="537"/>
      <c r="QCK200" s="537"/>
      <c r="QCL200" s="537"/>
      <c r="QCM200" s="537"/>
      <c r="QCN200" s="537"/>
      <c r="QCO200" s="537"/>
      <c r="QCP200" s="537"/>
      <c r="QCQ200" s="537"/>
      <c r="QCR200" s="537"/>
      <c r="QCS200" s="537"/>
      <c r="QCT200" s="537"/>
      <c r="QCU200" s="537"/>
      <c r="QCV200" s="537"/>
      <c r="QCW200" s="537"/>
      <c r="QCX200" s="537"/>
      <c r="QCY200" s="537"/>
      <c r="QCZ200" s="537"/>
      <c r="QDA200" s="537"/>
      <c r="QDB200" s="537"/>
      <c r="QDC200" s="537"/>
      <c r="QDD200" s="537"/>
      <c r="QDE200" s="537"/>
      <c r="QDF200" s="537"/>
      <c r="QDG200" s="537"/>
      <c r="QDH200" s="537"/>
      <c r="QDI200" s="537"/>
      <c r="QDJ200" s="537"/>
      <c r="QDK200" s="537"/>
      <c r="QDL200" s="537"/>
      <c r="QDM200" s="537"/>
      <c r="QDN200" s="537"/>
      <c r="QDO200" s="537"/>
      <c r="QDP200" s="537"/>
      <c r="QDQ200" s="537"/>
      <c r="QDR200" s="537"/>
      <c r="QDS200" s="537"/>
      <c r="QDT200" s="537"/>
      <c r="QDU200" s="537"/>
      <c r="QDV200" s="537"/>
      <c r="QDW200" s="537"/>
      <c r="QDX200" s="537"/>
      <c r="QDY200" s="537"/>
      <c r="QDZ200" s="537"/>
      <c r="QEA200" s="537"/>
      <c r="QEB200" s="537"/>
      <c r="QEC200" s="537"/>
      <c r="QED200" s="537"/>
      <c r="QEE200" s="537"/>
      <c r="QEF200" s="537"/>
      <c r="QEG200" s="537"/>
      <c r="QEH200" s="537"/>
      <c r="QEI200" s="537"/>
      <c r="QEJ200" s="537"/>
      <c r="QEK200" s="537"/>
      <c r="QEL200" s="537"/>
      <c r="QEM200" s="537"/>
      <c r="QEN200" s="537"/>
      <c r="QEO200" s="537"/>
      <c r="QEP200" s="537"/>
      <c r="QEQ200" s="537"/>
      <c r="QER200" s="537"/>
      <c r="QES200" s="537"/>
      <c r="QET200" s="537"/>
      <c r="QEU200" s="537"/>
      <c r="QEV200" s="537"/>
      <c r="QEW200" s="537"/>
      <c r="QEX200" s="537"/>
      <c r="QEY200" s="537"/>
      <c r="QEZ200" s="537"/>
      <c r="QFA200" s="537"/>
      <c r="QFB200" s="537"/>
      <c r="QFC200" s="537"/>
      <c r="QFD200" s="537"/>
      <c r="QFE200" s="537"/>
      <c r="QFF200" s="537"/>
      <c r="QFG200" s="537"/>
      <c r="QFH200" s="537"/>
      <c r="QFI200" s="537"/>
      <c r="QFJ200" s="537"/>
      <c r="QFK200" s="537"/>
      <c r="QFL200" s="537"/>
      <c r="QFM200" s="537"/>
      <c r="QFN200" s="537"/>
      <c r="QFO200" s="537"/>
      <c r="QFP200" s="537"/>
      <c r="QFQ200" s="537"/>
      <c r="QFR200" s="537"/>
      <c r="QFS200" s="537"/>
      <c r="QFT200" s="537"/>
      <c r="QFU200" s="537"/>
      <c r="QFV200" s="537"/>
      <c r="QFW200" s="537"/>
      <c r="QFX200" s="537"/>
      <c r="QFY200" s="537"/>
      <c r="QFZ200" s="537"/>
      <c r="QGA200" s="537"/>
      <c r="QGB200" s="537"/>
      <c r="QGC200" s="537"/>
      <c r="QGD200" s="537"/>
      <c r="QGE200" s="537"/>
      <c r="QGF200" s="537"/>
      <c r="QGG200" s="537"/>
      <c r="QGH200" s="537"/>
      <c r="QGI200" s="537"/>
      <c r="QGJ200" s="537"/>
      <c r="QGK200" s="537"/>
      <c r="QGL200" s="537"/>
      <c r="QGM200" s="537"/>
      <c r="QGN200" s="537"/>
      <c r="QGO200" s="537"/>
      <c r="QGP200" s="537"/>
      <c r="QGQ200" s="537"/>
      <c r="QGR200" s="537"/>
      <c r="QGS200" s="537"/>
      <c r="QGT200" s="537"/>
      <c r="QGU200" s="537"/>
      <c r="QGV200" s="537"/>
      <c r="QGW200" s="537"/>
      <c r="QGX200" s="537"/>
      <c r="QGY200" s="537"/>
      <c r="QGZ200" s="537"/>
      <c r="QHA200" s="537"/>
      <c r="QHB200" s="537"/>
      <c r="QHC200" s="537"/>
      <c r="QHD200" s="537"/>
      <c r="QHE200" s="537"/>
      <c r="QHF200" s="537"/>
      <c r="QHG200" s="537"/>
      <c r="QHH200" s="537"/>
      <c r="QHI200" s="537"/>
      <c r="QHJ200" s="537"/>
      <c r="QHK200" s="537"/>
      <c r="QHL200" s="537"/>
      <c r="QHM200" s="537"/>
      <c r="QHN200" s="537"/>
      <c r="QHO200" s="537"/>
      <c r="QHP200" s="537"/>
      <c r="QHQ200" s="537"/>
      <c r="QHR200" s="537"/>
      <c r="QHS200" s="537"/>
      <c r="QHT200" s="537"/>
      <c r="QHU200" s="537"/>
      <c r="QHV200" s="537"/>
      <c r="QHW200" s="537"/>
      <c r="QHX200" s="537"/>
      <c r="QHY200" s="537"/>
      <c r="QHZ200" s="537"/>
      <c r="QIA200" s="537"/>
      <c r="QIB200" s="537"/>
      <c r="QIC200" s="537"/>
      <c r="QID200" s="537"/>
      <c r="QIE200" s="537"/>
      <c r="QIF200" s="537"/>
      <c r="QIG200" s="537"/>
      <c r="QIH200" s="537"/>
      <c r="QII200" s="537"/>
      <c r="QIJ200" s="537"/>
      <c r="QIK200" s="537"/>
      <c r="QIL200" s="537"/>
      <c r="QIM200" s="537"/>
      <c r="QIN200" s="537"/>
      <c r="QIO200" s="537"/>
      <c r="QIP200" s="537"/>
      <c r="QIQ200" s="537"/>
      <c r="QIR200" s="537"/>
      <c r="QIS200" s="537"/>
      <c r="QIT200" s="537"/>
      <c r="QIU200" s="537"/>
      <c r="QIV200" s="537"/>
      <c r="QIW200" s="537"/>
      <c r="QIX200" s="537"/>
      <c r="QIY200" s="537"/>
      <c r="QIZ200" s="537"/>
      <c r="QJA200" s="537"/>
      <c r="QJB200" s="537"/>
      <c r="QJC200" s="537"/>
      <c r="QJD200" s="537"/>
      <c r="QJE200" s="537"/>
      <c r="QJF200" s="537"/>
      <c r="QJG200" s="537"/>
      <c r="QJH200" s="537"/>
      <c r="QJI200" s="537"/>
      <c r="QJJ200" s="537"/>
      <c r="QJK200" s="537"/>
      <c r="QJL200" s="537"/>
      <c r="QJM200" s="537"/>
      <c r="QJN200" s="537"/>
      <c r="QJO200" s="537"/>
      <c r="QJP200" s="537"/>
      <c r="QJQ200" s="537"/>
      <c r="QJR200" s="537"/>
      <c r="QJS200" s="537"/>
      <c r="QJT200" s="537"/>
      <c r="QJU200" s="537"/>
      <c r="QJV200" s="537"/>
      <c r="QJW200" s="537"/>
      <c r="QJX200" s="537"/>
      <c r="QJY200" s="537"/>
      <c r="QJZ200" s="537"/>
      <c r="QKA200" s="537"/>
      <c r="QKB200" s="537"/>
      <c r="QKC200" s="537"/>
      <c r="QKD200" s="537"/>
      <c r="QKE200" s="537"/>
      <c r="QKF200" s="537"/>
      <c r="QKG200" s="537"/>
      <c r="QKH200" s="537"/>
      <c r="QKI200" s="537"/>
      <c r="QKJ200" s="537"/>
      <c r="QKK200" s="537"/>
      <c r="QKL200" s="537"/>
      <c r="QKM200" s="537"/>
      <c r="QKN200" s="537"/>
      <c r="QKO200" s="537"/>
      <c r="QKP200" s="537"/>
      <c r="QKQ200" s="537"/>
      <c r="QKR200" s="537"/>
      <c r="QKS200" s="537"/>
      <c r="QKT200" s="537"/>
      <c r="QKU200" s="537"/>
      <c r="QKV200" s="537"/>
      <c r="QKW200" s="537"/>
      <c r="QKX200" s="537"/>
      <c r="QKY200" s="537"/>
      <c r="QKZ200" s="537"/>
      <c r="QLA200" s="537"/>
      <c r="QLB200" s="537"/>
      <c r="QLC200" s="537"/>
      <c r="QLD200" s="537"/>
      <c r="QLE200" s="537"/>
      <c r="QLF200" s="537"/>
      <c r="QLG200" s="537"/>
      <c r="QLH200" s="537"/>
      <c r="QLI200" s="537"/>
      <c r="QLJ200" s="537"/>
      <c r="QLK200" s="537"/>
      <c r="QLL200" s="537"/>
      <c r="QLM200" s="537"/>
      <c r="QLN200" s="537"/>
      <c r="QLO200" s="537"/>
      <c r="QLP200" s="537"/>
      <c r="QLQ200" s="537"/>
      <c r="QLR200" s="537"/>
      <c r="QLS200" s="537"/>
      <c r="QLT200" s="537"/>
      <c r="QLU200" s="537"/>
      <c r="QLV200" s="537"/>
      <c r="QLW200" s="537"/>
      <c r="QLX200" s="537"/>
      <c r="QLY200" s="537"/>
      <c r="QLZ200" s="537"/>
      <c r="QMA200" s="537"/>
      <c r="QMB200" s="537"/>
      <c r="QMC200" s="537"/>
      <c r="QMD200" s="537"/>
      <c r="QME200" s="537"/>
      <c r="QMF200" s="537"/>
      <c r="QMG200" s="537"/>
      <c r="QMH200" s="537"/>
      <c r="QMI200" s="537"/>
      <c r="QMJ200" s="537"/>
      <c r="QMK200" s="537"/>
      <c r="QML200" s="537"/>
      <c r="QMM200" s="537"/>
      <c r="QMN200" s="537"/>
      <c r="QMO200" s="537"/>
      <c r="QMP200" s="537"/>
      <c r="QMQ200" s="537"/>
      <c r="QMR200" s="537"/>
      <c r="QMS200" s="537"/>
      <c r="QMT200" s="537"/>
      <c r="QMU200" s="537"/>
      <c r="QMV200" s="537"/>
      <c r="QMW200" s="537"/>
      <c r="QMX200" s="537"/>
      <c r="QMY200" s="537"/>
      <c r="QMZ200" s="537"/>
      <c r="QNA200" s="537"/>
      <c r="QNB200" s="537"/>
      <c r="QNC200" s="537"/>
      <c r="QND200" s="537"/>
      <c r="QNE200" s="537"/>
      <c r="QNF200" s="537"/>
      <c r="QNG200" s="537"/>
      <c r="QNH200" s="537"/>
      <c r="QNI200" s="537"/>
      <c r="QNJ200" s="537"/>
      <c r="QNK200" s="537"/>
      <c r="QNL200" s="537"/>
      <c r="QNM200" s="537"/>
      <c r="QNN200" s="537"/>
      <c r="QNO200" s="537"/>
      <c r="QNP200" s="537"/>
      <c r="QNQ200" s="537"/>
      <c r="QNR200" s="537"/>
      <c r="QNS200" s="537"/>
      <c r="QNT200" s="537"/>
      <c r="QNU200" s="537"/>
      <c r="QNV200" s="537"/>
      <c r="QNW200" s="537"/>
      <c r="QNX200" s="537"/>
      <c r="QNY200" s="537"/>
      <c r="QNZ200" s="537"/>
      <c r="QOA200" s="537"/>
      <c r="QOB200" s="537"/>
      <c r="QOC200" s="537"/>
      <c r="QOD200" s="537"/>
      <c r="QOE200" s="537"/>
      <c r="QOF200" s="537"/>
      <c r="QOG200" s="537"/>
      <c r="QOH200" s="537"/>
      <c r="QOI200" s="537"/>
      <c r="QOJ200" s="537"/>
      <c r="QOK200" s="537"/>
      <c r="QOL200" s="537"/>
      <c r="QOM200" s="537"/>
      <c r="QON200" s="537"/>
      <c r="QOO200" s="537"/>
      <c r="QOP200" s="537"/>
      <c r="QOQ200" s="537"/>
      <c r="QOR200" s="537"/>
      <c r="QOS200" s="537"/>
      <c r="QOT200" s="537"/>
      <c r="QOU200" s="537"/>
      <c r="QOV200" s="537"/>
      <c r="QOW200" s="537"/>
      <c r="QOX200" s="537"/>
      <c r="QOY200" s="537"/>
      <c r="QOZ200" s="537"/>
      <c r="QPA200" s="537"/>
      <c r="QPB200" s="537"/>
      <c r="QPC200" s="537"/>
      <c r="QPD200" s="537"/>
      <c r="QPE200" s="537"/>
      <c r="QPF200" s="537"/>
      <c r="QPG200" s="537"/>
      <c r="QPH200" s="537"/>
      <c r="QPI200" s="537"/>
      <c r="QPJ200" s="537"/>
      <c r="QPK200" s="537"/>
      <c r="QPL200" s="537"/>
      <c r="QPM200" s="537"/>
      <c r="QPN200" s="537"/>
      <c r="QPO200" s="537"/>
      <c r="QPP200" s="537"/>
      <c r="QPQ200" s="537"/>
      <c r="QPR200" s="537"/>
      <c r="QPS200" s="537"/>
      <c r="QPT200" s="537"/>
      <c r="QPU200" s="537"/>
      <c r="QPV200" s="537"/>
      <c r="QPW200" s="537"/>
      <c r="QPX200" s="537"/>
      <c r="QPY200" s="537"/>
      <c r="QPZ200" s="537"/>
      <c r="QQA200" s="537"/>
      <c r="QQB200" s="537"/>
      <c r="QQC200" s="537"/>
      <c r="QQD200" s="537"/>
      <c r="QQE200" s="537"/>
      <c r="QQF200" s="537"/>
      <c r="QQG200" s="537"/>
      <c r="QQH200" s="537"/>
      <c r="QQI200" s="537"/>
      <c r="QQJ200" s="537"/>
      <c r="QQK200" s="537"/>
      <c r="QQL200" s="537"/>
      <c r="QQM200" s="537"/>
      <c r="QQN200" s="537"/>
      <c r="QQO200" s="537"/>
      <c r="QQP200" s="537"/>
      <c r="QQQ200" s="537"/>
      <c r="QQR200" s="537"/>
      <c r="QQS200" s="537"/>
      <c r="QQT200" s="537"/>
      <c r="QQU200" s="537"/>
      <c r="QQV200" s="537"/>
      <c r="QQW200" s="537"/>
      <c r="QQX200" s="537"/>
      <c r="QQY200" s="537"/>
      <c r="QQZ200" s="537"/>
      <c r="QRA200" s="537"/>
      <c r="QRB200" s="537"/>
      <c r="QRC200" s="537"/>
      <c r="QRD200" s="537"/>
      <c r="QRE200" s="537"/>
      <c r="QRF200" s="537"/>
      <c r="QRG200" s="537"/>
      <c r="QRH200" s="537"/>
      <c r="QRI200" s="537"/>
      <c r="QRJ200" s="537"/>
      <c r="QRK200" s="537"/>
      <c r="QRL200" s="537"/>
      <c r="QRM200" s="537"/>
      <c r="QRN200" s="537"/>
      <c r="QRO200" s="537"/>
      <c r="QRP200" s="537"/>
      <c r="QRQ200" s="537"/>
      <c r="QRR200" s="537"/>
      <c r="QRS200" s="537"/>
      <c r="QRT200" s="537"/>
      <c r="QRU200" s="537"/>
      <c r="QRV200" s="537"/>
      <c r="QRW200" s="537"/>
      <c r="QRX200" s="537"/>
      <c r="QRY200" s="537"/>
      <c r="QRZ200" s="537"/>
      <c r="QSA200" s="537"/>
      <c r="QSB200" s="537"/>
      <c r="QSC200" s="537"/>
      <c r="QSD200" s="537"/>
      <c r="QSE200" s="537"/>
      <c r="QSF200" s="537"/>
      <c r="QSG200" s="537"/>
      <c r="QSH200" s="537"/>
      <c r="QSI200" s="537"/>
      <c r="QSJ200" s="537"/>
      <c r="QSK200" s="537"/>
      <c r="QSL200" s="537"/>
      <c r="QSM200" s="537"/>
      <c r="QSN200" s="537"/>
      <c r="QSO200" s="537"/>
      <c r="QSP200" s="537"/>
      <c r="QSQ200" s="537"/>
      <c r="QSR200" s="537"/>
      <c r="QSS200" s="537"/>
      <c r="QST200" s="537"/>
      <c r="QSU200" s="537"/>
      <c r="QSV200" s="537"/>
      <c r="QSW200" s="537"/>
      <c r="QSX200" s="537"/>
      <c r="QSY200" s="537"/>
      <c r="QSZ200" s="537"/>
      <c r="QTA200" s="537"/>
      <c r="QTB200" s="537"/>
      <c r="QTC200" s="537"/>
      <c r="QTD200" s="537"/>
      <c r="QTE200" s="537"/>
      <c r="QTF200" s="537"/>
      <c r="QTG200" s="537"/>
      <c r="QTH200" s="537"/>
      <c r="QTI200" s="537"/>
      <c r="QTJ200" s="537"/>
      <c r="QTK200" s="537"/>
      <c r="QTL200" s="537"/>
      <c r="QTM200" s="537"/>
      <c r="QTN200" s="537"/>
      <c r="QTO200" s="537"/>
      <c r="QTP200" s="537"/>
      <c r="QTQ200" s="537"/>
      <c r="QTR200" s="537"/>
      <c r="QTS200" s="537"/>
      <c r="QTT200" s="537"/>
      <c r="QTU200" s="537"/>
      <c r="QTV200" s="537"/>
      <c r="QTW200" s="537"/>
      <c r="QTX200" s="537"/>
      <c r="QTY200" s="537"/>
      <c r="QTZ200" s="537"/>
      <c r="QUA200" s="537"/>
      <c r="QUB200" s="537"/>
      <c r="QUC200" s="537"/>
      <c r="QUD200" s="537"/>
      <c r="QUE200" s="537"/>
      <c r="QUF200" s="537"/>
      <c r="QUG200" s="537"/>
      <c r="QUH200" s="537"/>
      <c r="QUI200" s="537"/>
      <c r="QUJ200" s="537"/>
      <c r="QUK200" s="537"/>
      <c r="QUL200" s="537"/>
      <c r="QUM200" s="537"/>
      <c r="QUN200" s="537"/>
      <c r="QUO200" s="537"/>
      <c r="QUP200" s="537"/>
      <c r="QUQ200" s="537"/>
      <c r="QUR200" s="537"/>
      <c r="QUS200" s="537"/>
      <c r="QUT200" s="537"/>
      <c r="QUU200" s="537"/>
      <c r="QUV200" s="537"/>
      <c r="QUW200" s="537"/>
      <c r="QUX200" s="537"/>
      <c r="QUY200" s="537"/>
      <c r="QUZ200" s="537"/>
      <c r="QVA200" s="537"/>
      <c r="QVB200" s="537"/>
      <c r="QVC200" s="537"/>
      <c r="QVD200" s="537"/>
      <c r="QVE200" s="537"/>
      <c r="QVF200" s="537"/>
      <c r="QVG200" s="537"/>
      <c r="QVH200" s="537"/>
      <c r="QVI200" s="537"/>
      <c r="QVJ200" s="537"/>
      <c r="QVK200" s="537"/>
      <c r="QVL200" s="537"/>
      <c r="QVM200" s="537"/>
      <c r="QVN200" s="537"/>
      <c r="QVO200" s="537"/>
      <c r="QVP200" s="537"/>
      <c r="QVQ200" s="537"/>
      <c r="QVR200" s="537"/>
      <c r="QVS200" s="537"/>
      <c r="QVT200" s="537"/>
      <c r="QVU200" s="537"/>
      <c r="QVV200" s="537"/>
      <c r="QVW200" s="537"/>
      <c r="QVX200" s="537"/>
      <c r="QVY200" s="537"/>
      <c r="QVZ200" s="537"/>
      <c r="QWA200" s="537"/>
      <c r="QWB200" s="537"/>
      <c r="QWC200" s="537"/>
      <c r="QWD200" s="537"/>
      <c r="QWE200" s="537"/>
      <c r="QWF200" s="537"/>
      <c r="QWG200" s="537"/>
      <c r="QWH200" s="537"/>
      <c r="QWI200" s="537"/>
      <c r="QWJ200" s="537"/>
      <c r="QWK200" s="537"/>
      <c r="QWL200" s="537"/>
      <c r="QWM200" s="537"/>
      <c r="QWN200" s="537"/>
      <c r="QWO200" s="537"/>
      <c r="QWP200" s="537"/>
      <c r="QWQ200" s="537"/>
      <c r="QWR200" s="537"/>
      <c r="QWS200" s="537"/>
      <c r="QWT200" s="537"/>
      <c r="QWU200" s="537"/>
      <c r="QWV200" s="537"/>
      <c r="QWW200" s="537"/>
      <c r="QWX200" s="537"/>
      <c r="QWY200" s="537"/>
      <c r="QWZ200" s="537"/>
      <c r="QXA200" s="537"/>
      <c r="QXB200" s="537"/>
      <c r="QXC200" s="537"/>
      <c r="QXD200" s="537"/>
      <c r="QXE200" s="537"/>
      <c r="QXF200" s="537"/>
      <c r="QXG200" s="537"/>
      <c r="QXH200" s="537"/>
      <c r="QXI200" s="537"/>
      <c r="QXJ200" s="537"/>
      <c r="QXK200" s="537"/>
      <c r="QXL200" s="537"/>
      <c r="QXM200" s="537"/>
      <c r="QXN200" s="537"/>
      <c r="QXO200" s="537"/>
      <c r="QXP200" s="537"/>
      <c r="QXQ200" s="537"/>
      <c r="QXR200" s="537"/>
      <c r="QXS200" s="537"/>
      <c r="QXT200" s="537"/>
      <c r="QXU200" s="537"/>
      <c r="QXV200" s="537"/>
      <c r="QXW200" s="537"/>
      <c r="QXX200" s="537"/>
      <c r="QXY200" s="537"/>
      <c r="QXZ200" s="537"/>
      <c r="QYA200" s="537"/>
      <c r="QYB200" s="537"/>
      <c r="QYC200" s="537"/>
      <c r="QYD200" s="537"/>
      <c r="QYE200" s="537"/>
      <c r="QYF200" s="537"/>
      <c r="QYG200" s="537"/>
      <c r="QYH200" s="537"/>
      <c r="QYI200" s="537"/>
      <c r="QYJ200" s="537"/>
      <c r="QYK200" s="537"/>
      <c r="QYL200" s="537"/>
      <c r="QYM200" s="537"/>
      <c r="QYN200" s="537"/>
      <c r="QYO200" s="537"/>
      <c r="QYP200" s="537"/>
      <c r="QYQ200" s="537"/>
      <c r="QYR200" s="537"/>
      <c r="QYS200" s="537"/>
      <c r="QYT200" s="537"/>
      <c r="QYU200" s="537"/>
      <c r="QYV200" s="537"/>
      <c r="QYW200" s="537"/>
      <c r="QYX200" s="537"/>
      <c r="QYY200" s="537"/>
      <c r="QYZ200" s="537"/>
      <c r="QZA200" s="537"/>
      <c r="QZB200" s="537"/>
      <c r="QZC200" s="537"/>
      <c r="QZD200" s="537"/>
      <c r="QZE200" s="537"/>
      <c r="QZF200" s="537"/>
      <c r="QZG200" s="537"/>
      <c r="QZH200" s="537"/>
      <c r="QZI200" s="537"/>
      <c r="QZJ200" s="537"/>
      <c r="QZK200" s="537"/>
      <c r="QZL200" s="537"/>
      <c r="QZM200" s="537"/>
      <c r="QZN200" s="537"/>
      <c r="QZO200" s="537"/>
      <c r="QZP200" s="537"/>
      <c r="QZQ200" s="537"/>
      <c r="QZR200" s="537"/>
      <c r="QZS200" s="537"/>
      <c r="QZT200" s="537"/>
      <c r="QZU200" s="537"/>
      <c r="QZV200" s="537"/>
      <c r="QZW200" s="537"/>
      <c r="QZX200" s="537"/>
      <c r="QZY200" s="537"/>
      <c r="QZZ200" s="537"/>
      <c r="RAA200" s="537"/>
      <c r="RAB200" s="537"/>
      <c r="RAC200" s="537"/>
      <c r="RAD200" s="537"/>
      <c r="RAE200" s="537"/>
      <c r="RAF200" s="537"/>
      <c r="RAG200" s="537"/>
      <c r="RAH200" s="537"/>
      <c r="RAI200" s="537"/>
      <c r="RAJ200" s="537"/>
      <c r="RAK200" s="537"/>
      <c r="RAL200" s="537"/>
      <c r="RAM200" s="537"/>
      <c r="RAN200" s="537"/>
      <c r="RAO200" s="537"/>
      <c r="RAP200" s="537"/>
      <c r="RAQ200" s="537"/>
      <c r="RAR200" s="537"/>
      <c r="RAS200" s="537"/>
      <c r="RAT200" s="537"/>
      <c r="RAU200" s="537"/>
      <c r="RAV200" s="537"/>
      <c r="RAW200" s="537"/>
      <c r="RAX200" s="537"/>
      <c r="RAY200" s="537"/>
      <c r="RAZ200" s="537"/>
      <c r="RBA200" s="537"/>
      <c r="RBB200" s="537"/>
      <c r="RBC200" s="537"/>
      <c r="RBD200" s="537"/>
      <c r="RBE200" s="537"/>
      <c r="RBF200" s="537"/>
      <c r="RBG200" s="537"/>
      <c r="RBH200" s="537"/>
      <c r="RBI200" s="537"/>
      <c r="RBJ200" s="537"/>
      <c r="RBK200" s="537"/>
      <c r="RBL200" s="537"/>
      <c r="RBM200" s="537"/>
      <c r="RBN200" s="537"/>
      <c r="RBO200" s="537"/>
      <c r="RBP200" s="537"/>
      <c r="RBQ200" s="537"/>
      <c r="RBR200" s="537"/>
      <c r="RBS200" s="537"/>
      <c r="RBT200" s="537"/>
      <c r="RBU200" s="537"/>
      <c r="RBV200" s="537"/>
      <c r="RBW200" s="537"/>
      <c r="RBX200" s="537"/>
      <c r="RBY200" s="537"/>
      <c r="RBZ200" s="537"/>
      <c r="RCA200" s="537"/>
      <c r="RCB200" s="537"/>
      <c r="RCC200" s="537"/>
      <c r="RCD200" s="537"/>
      <c r="RCE200" s="537"/>
      <c r="RCF200" s="537"/>
      <c r="RCG200" s="537"/>
      <c r="RCH200" s="537"/>
      <c r="RCI200" s="537"/>
      <c r="RCJ200" s="537"/>
      <c r="RCK200" s="537"/>
      <c r="RCL200" s="537"/>
      <c r="RCM200" s="537"/>
      <c r="RCN200" s="537"/>
      <c r="RCO200" s="537"/>
      <c r="RCP200" s="537"/>
      <c r="RCQ200" s="537"/>
      <c r="RCR200" s="537"/>
      <c r="RCS200" s="537"/>
      <c r="RCT200" s="537"/>
      <c r="RCU200" s="537"/>
      <c r="RCV200" s="537"/>
      <c r="RCW200" s="537"/>
      <c r="RCX200" s="537"/>
      <c r="RCY200" s="537"/>
      <c r="RCZ200" s="537"/>
      <c r="RDA200" s="537"/>
      <c r="RDB200" s="537"/>
      <c r="RDC200" s="537"/>
      <c r="RDD200" s="537"/>
      <c r="RDE200" s="537"/>
      <c r="RDF200" s="537"/>
      <c r="RDG200" s="537"/>
      <c r="RDH200" s="537"/>
      <c r="RDI200" s="537"/>
      <c r="RDJ200" s="537"/>
      <c r="RDK200" s="537"/>
      <c r="RDL200" s="537"/>
      <c r="RDM200" s="537"/>
      <c r="RDN200" s="537"/>
      <c r="RDO200" s="537"/>
      <c r="RDP200" s="537"/>
      <c r="RDQ200" s="537"/>
      <c r="RDR200" s="537"/>
      <c r="RDS200" s="537"/>
      <c r="RDT200" s="537"/>
      <c r="RDU200" s="537"/>
      <c r="RDV200" s="537"/>
      <c r="RDW200" s="537"/>
      <c r="RDX200" s="537"/>
      <c r="RDY200" s="537"/>
      <c r="RDZ200" s="537"/>
      <c r="REA200" s="537"/>
      <c r="REB200" s="537"/>
      <c r="REC200" s="537"/>
      <c r="RED200" s="537"/>
      <c r="REE200" s="537"/>
      <c r="REF200" s="537"/>
      <c r="REG200" s="537"/>
      <c r="REH200" s="537"/>
      <c r="REI200" s="537"/>
      <c r="REJ200" s="537"/>
      <c r="REK200" s="537"/>
      <c r="REL200" s="537"/>
      <c r="REM200" s="537"/>
      <c r="REN200" s="537"/>
      <c r="REO200" s="537"/>
      <c r="REP200" s="537"/>
      <c r="REQ200" s="537"/>
      <c r="RER200" s="537"/>
      <c r="RES200" s="537"/>
      <c r="RET200" s="537"/>
      <c r="REU200" s="537"/>
      <c r="REV200" s="537"/>
      <c r="REW200" s="537"/>
      <c r="REX200" s="537"/>
      <c r="REY200" s="537"/>
      <c r="REZ200" s="537"/>
      <c r="RFA200" s="537"/>
      <c r="RFB200" s="537"/>
      <c r="RFC200" s="537"/>
      <c r="RFD200" s="537"/>
      <c r="RFE200" s="537"/>
      <c r="RFF200" s="537"/>
      <c r="RFG200" s="537"/>
      <c r="RFH200" s="537"/>
      <c r="RFI200" s="537"/>
      <c r="RFJ200" s="537"/>
      <c r="RFK200" s="537"/>
      <c r="RFL200" s="537"/>
      <c r="RFM200" s="537"/>
      <c r="RFN200" s="537"/>
      <c r="RFO200" s="537"/>
      <c r="RFP200" s="537"/>
      <c r="RFQ200" s="537"/>
      <c r="RFR200" s="537"/>
      <c r="RFS200" s="537"/>
      <c r="RFT200" s="537"/>
      <c r="RFU200" s="537"/>
      <c r="RFV200" s="537"/>
      <c r="RFW200" s="537"/>
      <c r="RFX200" s="537"/>
      <c r="RFY200" s="537"/>
      <c r="RFZ200" s="537"/>
      <c r="RGA200" s="537"/>
      <c r="RGB200" s="537"/>
      <c r="RGC200" s="537"/>
      <c r="RGD200" s="537"/>
      <c r="RGE200" s="537"/>
      <c r="RGF200" s="537"/>
      <c r="RGG200" s="537"/>
      <c r="RGH200" s="537"/>
      <c r="RGI200" s="537"/>
      <c r="RGJ200" s="537"/>
      <c r="RGK200" s="537"/>
      <c r="RGL200" s="537"/>
      <c r="RGM200" s="537"/>
      <c r="RGN200" s="537"/>
      <c r="RGO200" s="537"/>
      <c r="RGP200" s="537"/>
      <c r="RGQ200" s="537"/>
      <c r="RGR200" s="537"/>
      <c r="RGS200" s="537"/>
      <c r="RGT200" s="537"/>
      <c r="RGU200" s="537"/>
      <c r="RGV200" s="537"/>
      <c r="RGW200" s="537"/>
      <c r="RGX200" s="537"/>
      <c r="RGY200" s="537"/>
      <c r="RGZ200" s="537"/>
      <c r="RHA200" s="537"/>
      <c r="RHB200" s="537"/>
      <c r="RHC200" s="537"/>
      <c r="RHD200" s="537"/>
      <c r="RHE200" s="537"/>
      <c r="RHF200" s="537"/>
      <c r="RHG200" s="537"/>
      <c r="RHH200" s="537"/>
      <c r="RHI200" s="537"/>
      <c r="RHJ200" s="537"/>
      <c r="RHK200" s="537"/>
      <c r="RHL200" s="537"/>
      <c r="RHM200" s="537"/>
      <c r="RHN200" s="537"/>
      <c r="RHO200" s="537"/>
      <c r="RHP200" s="537"/>
      <c r="RHQ200" s="537"/>
      <c r="RHR200" s="537"/>
      <c r="RHS200" s="537"/>
      <c r="RHT200" s="537"/>
      <c r="RHU200" s="537"/>
      <c r="RHV200" s="537"/>
      <c r="RHW200" s="537"/>
      <c r="RHX200" s="537"/>
      <c r="RHY200" s="537"/>
      <c r="RHZ200" s="537"/>
      <c r="RIA200" s="537"/>
      <c r="RIB200" s="537"/>
      <c r="RIC200" s="537"/>
      <c r="RID200" s="537"/>
      <c r="RIE200" s="537"/>
      <c r="RIF200" s="537"/>
      <c r="RIG200" s="537"/>
      <c r="RIH200" s="537"/>
      <c r="RII200" s="537"/>
      <c r="RIJ200" s="537"/>
      <c r="RIK200" s="537"/>
      <c r="RIL200" s="537"/>
      <c r="RIM200" s="537"/>
      <c r="RIN200" s="537"/>
      <c r="RIO200" s="537"/>
      <c r="RIP200" s="537"/>
      <c r="RIQ200" s="537"/>
      <c r="RIR200" s="537"/>
      <c r="RIS200" s="537"/>
      <c r="RIT200" s="537"/>
      <c r="RIU200" s="537"/>
      <c r="RIV200" s="537"/>
      <c r="RIW200" s="537"/>
      <c r="RIX200" s="537"/>
      <c r="RIY200" s="537"/>
      <c r="RIZ200" s="537"/>
      <c r="RJA200" s="537"/>
      <c r="RJB200" s="537"/>
      <c r="RJC200" s="537"/>
      <c r="RJD200" s="537"/>
      <c r="RJE200" s="537"/>
      <c r="RJF200" s="537"/>
      <c r="RJG200" s="537"/>
      <c r="RJH200" s="537"/>
      <c r="RJI200" s="537"/>
      <c r="RJJ200" s="537"/>
      <c r="RJK200" s="537"/>
      <c r="RJL200" s="537"/>
      <c r="RJM200" s="537"/>
      <c r="RJN200" s="537"/>
      <c r="RJO200" s="537"/>
      <c r="RJP200" s="537"/>
      <c r="RJQ200" s="537"/>
      <c r="RJR200" s="537"/>
      <c r="RJS200" s="537"/>
      <c r="RJT200" s="537"/>
      <c r="RJU200" s="537"/>
      <c r="RJV200" s="537"/>
      <c r="RJW200" s="537"/>
      <c r="RJX200" s="537"/>
      <c r="RJY200" s="537"/>
      <c r="RJZ200" s="537"/>
      <c r="RKA200" s="537"/>
      <c r="RKB200" s="537"/>
      <c r="RKC200" s="537"/>
      <c r="RKD200" s="537"/>
      <c r="RKE200" s="537"/>
      <c r="RKF200" s="537"/>
      <c r="RKG200" s="537"/>
      <c r="RKH200" s="537"/>
      <c r="RKI200" s="537"/>
      <c r="RKJ200" s="537"/>
      <c r="RKK200" s="537"/>
      <c r="RKL200" s="537"/>
      <c r="RKM200" s="537"/>
      <c r="RKN200" s="537"/>
      <c r="RKO200" s="537"/>
      <c r="RKP200" s="537"/>
      <c r="RKQ200" s="537"/>
      <c r="RKR200" s="537"/>
      <c r="RKS200" s="537"/>
      <c r="RKT200" s="537"/>
      <c r="RKU200" s="537"/>
      <c r="RKV200" s="537"/>
      <c r="RKW200" s="537"/>
      <c r="RKX200" s="537"/>
      <c r="RKY200" s="537"/>
      <c r="RKZ200" s="537"/>
      <c r="RLA200" s="537"/>
      <c r="RLB200" s="537"/>
      <c r="RLC200" s="537"/>
      <c r="RLD200" s="537"/>
      <c r="RLE200" s="537"/>
      <c r="RLF200" s="537"/>
      <c r="RLG200" s="537"/>
      <c r="RLH200" s="537"/>
      <c r="RLI200" s="537"/>
      <c r="RLJ200" s="537"/>
      <c r="RLK200" s="537"/>
      <c r="RLL200" s="537"/>
      <c r="RLM200" s="537"/>
      <c r="RLN200" s="537"/>
      <c r="RLO200" s="537"/>
      <c r="RLP200" s="537"/>
      <c r="RLQ200" s="537"/>
      <c r="RLR200" s="537"/>
      <c r="RLS200" s="537"/>
      <c r="RLT200" s="537"/>
      <c r="RLU200" s="537"/>
      <c r="RLV200" s="537"/>
      <c r="RLW200" s="537"/>
      <c r="RLX200" s="537"/>
      <c r="RLY200" s="537"/>
      <c r="RLZ200" s="537"/>
      <c r="RMA200" s="537"/>
      <c r="RMB200" s="537"/>
      <c r="RMC200" s="537"/>
      <c r="RMD200" s="537"/>
      <c r="RME200" s="537"/>
      <c r="RMF200" s="537"/>
      <c r="RMG200" s="537"/>
      <c r="RMH200" s="537"/>
      <c r="RMI200" s="537"/>
      <c r="RMJ200" s="537"/>
      <c r="RMK200" s="537"/>
      <c r="RML200" s="537"/>
      <c r="RMM200" s="537"/>
      <c r="RMN200" s="537"/>
      <c r="RMO200" s="537"/>
      <c r="RMP200" s="537"/>
      <c r="RMQ200" s="537"/>
      <c r="RMR200" s="537"/>
      <c r="RMS200" s="537"/>
      <c r="RMT200" s="537"/>
      <c r="RMU200" s="537"/>
      <c r="RMV200" s="537"/>
      <c r="RMW200" s="537"/>
      <c r="RMX200" s="537"/>
      <c r="RMY200" s="537"/>
      <c r="RMZ200" s="537"/>
      <c r="RNA200" s="537"/>
      <c r="RNB200" s="537"/>
      <c r="RNC200" s="537"/>
      <c r="RND200" s="537"/>
      <c r="RNE200" s="537"/>
      <c r="RNF200" s="537"/>
      <c r="RNG200" s="537"/>
      <c r="RNH200" s="537"/>
      <c r="RNI200" s="537"/>
      <c r="RNJ200" s="537"/>
      <c r="RNK200" s="537"/>
      <c r="RNL200" s="537"/>
      <c r="RNM200" s="537"/>
      <c r="RNN200" s="537"/>
      <c r="RNO200" s="537"/>
      <c r="RNP200" s="537"/>
      <c r="RNQ200" s="537"/>
      <c r="RNR200" s="537"/>
      <c r="RNS200" s="537"/>
      <c r="RNT200" s="537"/>
      <c r="RNU200" s="537"/>
      <c r="RNV200" s="537"/>
      <c r="RNW200" s="537"/>
      <c r="RNX200" s="537"/>
      <c r="RNY200" s="537"/>
      <c r="RNZ200" s="537"/>
      <c r="ROA200" s="537"/>
      <c r="ROB200" s="537"/>
      <c r="ROC200" s="537"/>
      <c r="ROD200" s="537"/>
      <c r="ROE200" s="537"/>
      <c r="ROF200" s="537"/>
      <c r="ROG200" s="537"/>
      <c r="ROH200" s="537"/>
      <c r="ROI200" s="537"/>
      <c r="ROJ200" s="537"/>
      <c r="ROK200" s="537"/>
      <c r="ROL200" s="537"/>
      <c r="ROM200" s="537"/>
      <c r="RON200" s="537"/>
      <c r="ROO200" s="537"/>
      <c r="ROP200" s="537"/>
      <c r="ROQ200" s="537"/>
      <c r="ROR200" s="537"/>
      <c r="ROS200" s="537"/>
      <c r="ROT200" s="537"/>
      <c r="ROU200" s="537"/>
      <c r="ROV200" s="537"/>
      <c r="ROW200" s="537"/>
      <c r="ROX200" s="537"/>
      <c r="ROY200" s="537"/>
      <c r="ROZ200" s="537"/>
      <c r="RPA200" s="537"/>
      <c r="RPB200" s="537"/>
      <c r="RPC200" s="537"/>
      <c r="RPD200" s="537"/>
      <c r="RPE200" s="537"/>
      <c r="RPF200" s="537"/>
      <c r="RPG200" s="537"/>
      <c r="RPH200" s="537"/>
      <c r="RPI200" s="537"/>
      <c r="RPJ200" s="537"/>
      <c r="RPK200" s="537"/>
      <c r="RPL200" s="537"/>
      <c r="RPM200" s="537"/>
      <c r="RPN200" s="537"/>
      <c r="RPO200" s="537"/>
      <c r="RPP200" s="537"/>
      <c r="RPQ200" s="537"/>
      <c r="RPR200" s="537"/>
      <c r="RPS200" s="537"/>
      <c r="RPT200" s="537"/>
      <c r="RPU200" s="537"/>
      <c r="RPV200" s="537"/>
      <c r="RPW200" s="537"/>
      <c r="RPX200" s="537"/>
      <c r="RPY200" s="537"/>
      <c r="RPZ200" s="537"/>
      <c r="RQA200" s="537"/>
      <c r="RQB200" s="537"/>
      <c r="RQC200" s="537"/>
      <c r="RQD200" s="537"/>
      <c r="RQE200" s="537"/>
      <c r="RQF200" s="537"/>
      <c r="RQG200" s="537"/>
      <c r="RQH200" s="537"/>
      <c r="RQI200" s="537"/>
      <c r="RQJ200" s="537"/>
      <c r="RQK200" s="537"/>
      <c r="RQL200" s="537"/>
      <c r="RQM200" s="537"/>
      <c r="RQN200" s="537"/>
      <c r="RQO200" s="537"/>
      <c r="RQP200" s="537"/>
      <c r="RQQ200" s="537"/>
      <c r="RQR200" s="537"/>
      <c r="RQS200" s="537"/>
      <c r="RQT200" s="537"/>
      <c r="RQU200" s="537"/>
      <c r="RQV200" s="537"/>
      <c r="RQW200" s="537"/>
      <c r="RQX200" s="537"/>
      <c r="RQY200" s="537"/>
      <c r="RQZ200" s="537"/>
      <c r="RRA200" s="537"/>
      <c r="RRB200" s="537"/>
      <c r="RRC200" s="537"/>
      <c r="RRD200" s="537"/>
      <c r="RRE200" s="537"/>
      <c r="RRF200" s="537"/>
      <c r="RRG200" s="537"/>
      <c r="RRH200" s="537"/>
      <c r="RRI200" s="537"/>
      <c r="RRJ200" s="537"/>
      <c r="RRK200" s="537"/>
      <c r="RRL200" s="537"/>
      <c r="RRM200" s="537"/>
      <c r="RRN200" s="537"/>
      <c r="RRO200" s="537"/>
      <c r="RRP200" s="537"/>
      <c r="RRQ200" s="537"/>
      <c r="RRR200" s="537"/>
      <c r="RRS200" s="537"/>
      <c r="RRT200" s="537"/>
      <c r="RRU200" s="537"/>
      <c r="RRV200" s="537"/>
      <c r="RRW200" s="537"/>
      <c r="RRX200" s="537"/>
      <c r="RRY200" s="537"/>
      <c r="RRZ200" s="537"/>
      <c r="RSA200" s="537"/>
      <c r="RSB200" s="537"/>
      <c r="RSC200" s="537"/>
      <c r="RSD200" s="537"/>
      <c r="RSE200" s="537"/>
      <c r="RSF200" s="537"/>
      <c r="RSG200" s="537"/>
      <c r="RSH200" s="537"/>
      <c r="RSI200" s="537"/>
      <c r="RSJ200" s="537"/>
      <c r="RSK200" s="537"/>
      <c r="RSL200" s="537"/>
      <c r="RSM200" s="537"/>
      <c r="RSN200" s="537"/>
      <c r="RSO200" s="537"/>
      <c r="RSP200" s="537"/>
      <c r="RSQ200" s="537"/>
      <c r="RSR200" s="537"/>
      <c r="RSS200" s="537"/>
      <c r="RST200" s="537"/>
      <c r="RSU200" s="537"/>
      <c r="RSV200" s="537"/>
      <c r="RSW200" s="537"/>
      <c r="RSX200" s="537"/>
      <c r="RSY200" s="537"/>
      <c r="RSZ200" s="537"/>
      <c r="RTA200" s="537"/>
      <c r="RTB200" s="537"/>
      <c r="RTC200" s="537"/>
      <c r="RTD200" s="537"/>
      <c r="RTE200" s="537"/>
      <c r="RTF200" s="537"/>
      <c r="RTG200" s="537"/>
      <c r="RTH200" s="537"/>
      <c r="RTI200" s="537"/>
      <c r="RTJ200" s="537"/>
      <c r="RTK200" s="537"/>
      <c r="RTL200" s="537"/>
      <c r="RTM200" s="537"/>
      <c r="RTN200" s="537"/>
      <c r="RTO200" s="537"/>
      <c r="RTP200" s="537"/>
      <c r="RTQ200" s="537"/>
      <c r="RTR200" s="537"/>
      <c r="RTS200" s="537"/>
      <c r="RTT200" s="537"/>
      <c r="RTU200" s="537"/>
      <c r="RTV200" s="537"/>
      <c r="RTW200" s="537"/>
      <c r="RTX200" s="537"/>
      <c r="RTY200" s="537"/>
      <c r="RTZ200" s="537"/>
      <c r="RUA200" s="537"/>
      <c r="RUB200" s="537"/>
      <c r="RUC200" s="537"/>
      <c r="RUD200" s="537"/>
      <c r="RUE200" s="537"/>
      <c r="RUF200" s="537"/>
      <c r="RUG200" s="537"/>
      <c r="RUH200" s="537"/>
      <c r="RUI200" s="537"/>
      <c r="RUJ200" s="537"/>
      <c r="RUK200" s="537"/>
      <c r="RUL200" s="537"/>
      <c r="RUM200" s="537"/>
      <c r="RUN200" s="537"/>
      <c r="RUO200" s="537"/>
      <c r="RUP200" s="537"/>
      <c r="RUQ200" s="537"/>
      <c r="RUR200" s="537"/>
      <c r="RUS200" s="537"/>
      <c r="RUT200" s="537"/>
      <c r="RUU200" s="537"/>
      <c r="RUV200" s="537"/>
      <c r="RUW200" s="537"/>
      <c r="RUX200" s="537"/>
      <c r="RUY200" s="537"/>
      <c r="RUZ200" s="537"/>
      <c r="RVA200" s="537"/>
      <c r="RVB200" s="537"/>
      <c r="RVC200" s="537"/>
      <c r="RVD200" s="537"/>
      <c r="RVE200" s="537"/>
      <c r="RVF200" s="537"/>
      <c r="RVG200" s="537"/>
      <c r="RVH200" s="537"/>
      <c r="RVI200" s="537"/>
      <c r="RVJ200" s="537"/>
      <c r="RVK200" s="537"/>
      <c r="RVL200" s="537"/>
      <c r="RVM200" s="537"/>
      <c r="RVN200" s="537"/>
      <c r="RVO200" s="537"/>
      <c r="RVP200" s="537"/>
      <c r="RVQ200" s="537"/>
      <c r="RVR200" s="537"/>
      <c r="RVS200" s="537"/>
      <c r="RVT200" s="537"/>
      <c r="RVU200" s="537"/>
      <c r="RVV200" s="537"/>
      <c r="RVW200" s="537"/>
      <c r="RVX200" s="537"/>
      <c r="RVY200" s="537"/>
      <c r="RVZ200" s="537"/>
      <c r="RWA200" s="537"/>
      <c r="RWB200" s="537"/>
      <c r="RWC200" s="537"/>
      <c r="RWD200" s="537"/>
      <c r="RWE200" s="537"/>
      <c r="RWF200" s="537"/>
      <c r="RWG200" s="537"/>
      <c r="RWH200" s="537"/>
      <c r="RWI200" s="537"/>
      <c r="RWJ200" s="537"/>
      <c r="RWK200" s="537"/>
      <c r="RWL200" s="537"/>
      <c r="RWM200" s="537"/>
      <c r="RWN200" s="537"/>
      <c r="RWO200" s="537"/>
      <c r="RWP200" s="537"/>
      <c r="RWQ200" s="537"/>
      <c r="RWR200" s="537"/>
      <c r="RWS200" s="537"/>
      <c r="RWT200" s="537"/>
      <c r="RWU200" s="537"/>
      <c r="RWV200" s="537"/>
      <c r="RWW200" s="537"/>
      <c r="RWX200" s="537"/>
      <c r="RWY200" s="537"/>
      <c r="RWZ200" s="537"/>
      <c r="RXA200" s="537"/>
      <c r="RXB200" s="537"/>
      <c r="RXC200" s="537"/>
      <c r="RXD200" s="537"/>
      <c r="RXE200" s="537"/>
      <c r="RXF200" s="537"/>
      <c r="RXG200" s="537"/>
      <c r="RXH200" s="537"/>
      <c r="RXI200" s="537"/>
      <c r="RXJ200" s="537"/>
      <c r="RXK200" s="537"/>
      <c r="RXL200" s="537"/>
      <c r="RXM200" s="537"/>
      <c r="RXN200" s="537"/>
      <c r="RXO200" s="537"/>
      <c r="RXP200" s="537"/>
      <c r="RXQ200" s="537"/>
      <c r="RXR200" s="537"/>
      <c r="RXS200" s="537"/>
      <c r="RXT200" s="537"/>
      <c r="RXU200" s="537"/>
      <c r="RXV200" s="537"/>
      <c r="RXW200" s="537"/>
      <c r="RXX200" s="537"/>
      <c r="RXY200" s="537"/>
      <c r="RXZ200" s="537"/>
      <c r="RYA200" s="537"/>
      <c r="RYB200" s="537"/>
      <c r="RYC200" s="537"/>
      <c r="RYD200" s="537"/>
      <c r="RYE200" s="537"/>
      <c r="RYF200" s="537"/>
      <c r="RYG200" s="537"/>
      <c r="RYH200" s="537"/>
      <c r="RYI200" s="537"/>
      <c r="RYJ200" s="537"/>
      <c r="RYK200" s="537"/>
      <c r="RYL200" s="537"/>
      <c r="RYM200" s="537"/>
      <c r="RYN200" s="537"/>
      <c r="RYO200" s="537"/>
      <c r="RYP200" s="537"/>
      <c r="RYQ200" s="537"/>
      <c r="RYR200" s="537"/>
      <c r="RYS200" s="537"/>
      <c r="RYT200" s="537"/>
      <c r="RYU200" s="537"/>
      <c r="RYV200" s="537"/>
      <c r="RYW200" s="537"/>
      <c r="RYX200" s="537"/>
      <c r="RYY200" s="537"/>
      <c r="RYZ200" s="537"/>
      <c r="RZA200" s="537"/>
      <c r="RZB200" s="537"/>
      <c r="RZC200" s="537"/>
      <c r="RZD200" s="537"/>
      <c r="RZE200" s="537"/>
      <c r="RZF200" s="537"/>
      <c r="RZG200" s="537"/>
      <c r="RZH200" s="537"/>
      <c r="RZI200" s="537"/>
      <c r="RZJ200" s="537"/>
      <c r="RZK200" s="537"/>
      <c r="RZL200" s="537"/>
      <c r="RZM200" s="537"/>
      <c r="RZN200" s="537"/>
      <c r="RZO200" s="537"/>
      <c r="RZP200" s="537"/>
      <c r="RZQ200" s="537"/>
      <c r="RZR200" s="537"/>
      <c r="RZS200" s="537"/>
      <c r="RZT200" s="537"/>
      <c r="RZU200" s="537"/>
      <c r="RZV200" s="537"/>
      <c r="RZW200" s="537"/>
      <c r="RZX200" s="537"/>
      <c r="RZY200" s="537"/>
      <c r="RZZ200" s="537"/>
      <c r="SAA200" s="537"/>
      <c r="SAB200" s="537"/>
      <c r="SAC200" s="537"/>
      <c r="SAD200" s="537"/>
      <c r="SAE200" s="537"/>
      <c r="SAF200" s="537"/>
      <c r="SAG200" s="537"/>
      <c r="SAH200" s="537"/>
      <c r="SAI200" s="537"/>
      <c r="SAJ200" s="537"/>
      <c r="SAK200" s="537"/>
      <c r="SAL200" s="537"/>
      <c r="SAM200" s="537"/>
      <c r="SAN200" s="537"/>
      <c r="SAO200" s="537"/>
      <c r="SAP200" s="537"/>
      <c r="SAQ200" s="537"/>
      <c r="SAR200" s="537"/>
      <c r="SAS200" s="537"/>
      <c r="SAT200" s="537"/>
      <c r="SAU200" s="537"/>
      <c r="SAV200" s="537"/>
      <c r="SAW200" s="537"/>
      <c r="SAX200" s="537"/>
      <c r="SAY200" s="537"/>
      <c r="SAZ200" s="537"/>
      <c r="SBA200" s="537"/>
      <c r="SBB200" s="537"/>
      <c r="SBC200" s="537"/>
      <c r="SBD200" s="537"/>
      <c r="SBE200" s="537"/>
      <c r="SBF200" s="537"/>
      <c r="SBG200" s="537"/>
      <c r="SBH200" s="537"/>
      <c r="SBI200" s="537"/>
      <c r="SBJ200" s="537"/>
      <c r="SBK200" s="537"/>
      <c r="SBL200" s="537"/>
      <c r="SBM200" s="537"/>
      <c r="SBN200" s="537"/>
      <c r="SBO200" s="537"/>
      <c r="SBP200" s="537"/>
      <c r="SBQ200" s="537"/>
      <c r="SBR200" s="537"/>
      <c r="SBS200" s="537"/>
      <c r="SBT200" s="537"/>
      <c r="SBU200" s="537"/>
      <c r="SBV200" s="537"/>
      <c r="SBW200" s="537"/>
      <c r="SBX200" s="537"/>
      <c r="SBY200" s="537"/>
      <c r="SBZ200" s="537"/>
      <c r="SCA200" s="537"/>
      <c r="SCB200" s="537"/>
      <c r="SCC200" s="537"/>
      <c r="SCD200" s="537"/>
      <c r="SCE200" s="537"/>
      <c r="SCF200" s="537"/>
      <c r="SCG200" s="537"/>
      <c r="SCH200" s="537"/>
      <c r="SCI200" s="537"/>
      <c r="SCJ200" s="537"/>
      <c r="SCK200" s="537"/>
      <c r="SCL200" s="537"/>
      <c r="SCM200" s="537"/>
      <c r="SCN200" s="537"/>
      <c r="SCO200" s="537"/>
      <c r="SCP200" s="537"/>
      <c r="SCQ200" s="537"/>
      <c r="SCR200" s="537"/>
      <c r="SCS200" s="537"/>
      <c r="SCT200" s="537"/>
      <c r="SCU200" s="537"/>
      <c r="SCV200" s="537"/>
      <c r="SCW200" s="537"/>
      <c r="SCX200" s="537"/>
      <c r="SCY200" s="537"/>
      <c r="SCZ200" s="537"/>
      <c r="SDA200" s="537"/>
      <c r="SDB200" s="537"/>
      <c r="SDC200" s="537"/>
      <c r="SDD200" s="537"/>
      <c r="SDE200" s="537"/>
      <c r="SDF200" s="537"/>
      <c r="SDG200" s="537"/>
      <c r="SDH200" s="537"/>
      <c r="SDI200" s="537"/>
      <c r="SDJ200" s="537"/>
      <c r="SDK200" s="537"/>
      <c r="SDL200" s="537"/>
      <c r="SDM200" s="537"/>
      <c r="SDN200" s="537"/>
      <c r="SDO200" s="537"/>
      <c r="SDP200" s="537"/>
      <c r="SDQ200" s="537"/>
      <c r="SDR200" s="537"/>
      <c r="SDS200" s="537"/>
      <c r="SDT200" s="537"/>
      <c r="SDU200" s="537"/>
      <c r="SDV200" s="537"/>
      <c r="SDW200" s="537"/>
      <c r="SDX200" s="537"/>
      <c r="SDY200" s="537"/>
      <c r="SDZ200" s="537"/>
      <c r="SEA200" s="537"/>
      <c r="SEB200" s="537"/>
      <c r="SEC200" s="537"/>
      <c r="SED200" s="537"/>
      <c r="SEE200" s="537"/>
      <c r="SEF200" s="537"/>
      <c r="SEG200" s="537"/>
      <c r="SEH200" s="537"/>
      <c r="SEI200" s="537"/>
      <c r="SEJ200" s="537"/>
      <c r="SEK200" s="537"/>
      <c r="SEL200" s="537"/>
      <c r="SEM200" s="537"/>
      <c r="SEN200" s="537"/>
      <c r="SEO200" s="537"/>
      <c r="SEP200" s="537"/>
      <c r="SEQ200" s="537"/>
      <c r="SER200" s="537"/>
      <c r="SES200" s="537"/>
      <c r="SET200" s="537"/>
      <c r="SEU200" s="537"/>
      <c r="SEV200" s="537"/>
      <c r="SEW200" s="537"/>
      <c r="SEX200" s="537"/>
      <c r="SEY200" s="537"/>
      <c r="SEZ200" s="537"/>
      <c r="SFA200" s="537"/>
      <c r="SFB200" s="537"/>
      <c r="SFC200" s="537"/>
      <c r="SFD200" s="537"/>
      <c r="SFE200" s="537"/>
      <c r="SFF200" s="537"/>
      <c r="SFG200" s="537"/>
      <c r="SFH200" s="537"/>
      <c r="SFI200" s="537"/>
      <c r="SFJ200" s="537"/>
      <c r="SFK200" s="537"/>
      <c r="SFL200" s="537"/>
      <c r="SFM200" s="537"/>
      <c r="SFN200" s="537"/>
      <c r="SFO200" s="537"/>
      <c r="SFP200" s="537"/>
      <c r="SFQ200" s="537"/>
      <c r="SFR200" s="537"/>
      <c r="SFS200" s="537"/>
      <c r="SFT200" s="537"/>
      <c r="SFU200" s="537"/>
      <c r="SFV200" s="537"/>
      <c r="SFW200" s="537"/>
      <c r="SFX200" s="537"/>
      <c r="SFY200" s="537"/>
      <c r="SFZ200" s="537"/>
      <c r="SGA200" s="537"/>
      <c r="SGB200" s="537"/>
      <c r="SGC200" s="537"/>
      <c r="SGD200" s="537"/>
      <c r="SGE200" s="537"/>
      <c r="SGF200" s="537"/>
      <c r="SGG200" s="537"/>
      <c r="SGH200" s="537"/>
      <c r="SGI200" s="537"/>
      <c r="SGJ200" s="537"/>
      <c r="SGK200" s="537"/>
      <c r="SGL200" s="537"/>
      <c r="SGM200" s="537"/>
      <c r="SGN200" s="537"/>
      <c r="SGO200" s="537"/>
      <c r="SGP200" s="537"/>
      <c r="SGQ200" s="537"/>
      <c r="SGR200" s="537"/>
      <c r="SGS200" s="537"/>
      <c r="SGT200" s="537"/>
      <c r="SGU200" s="537"/>
      <c r="SGV200" s="537"/>
      <c r="SGW200" s="537"/>
      <c r="SGX200" s="537"/>
      <c r="SGY200" s="537"/>
      <c r="SGZ200" s="537"/>
      <c r="SHA200" s="537"/>
      <c r="SHB200" s="537"/>
      <c r="SHC200" s="537"/>
      <c r="SHD200" s="537"/>
      <c r="SHE200" s="537"/>
      <c r="SHF200" s="537"/>
      <c r="SHG200" s="537"/>
      <c r="SHH200" s="537"/>
      <c r="SHI200" s="537"/>
      <c r="SHJ200" s="537"/>
      <c r="SHK200" s="537"/>
      <c r="SHL200" s="537"/>
      <c r="SHM200" s="537"/>
      <c r="SHN200" s="537"/>
      <c r="SHO200" s="537"/>
      <c r="SHP200" s="537"/>
      <c r="SHQ200" s="537"/>
      <c r="SHR200" s="537"/>
      <c r="SHS200" s="537"/>
      <c r="SHT200" s="537"/>
      <c r="SHU200" s="537"/>
      <c r="SHV200" s="537"/>
      <c r="SHW200" s="537"/>
      <c r="SHX200" s="537"/>
      <c r="SHY200" s="537"/>
      <c r="SHZ200" s="537"/>
      <c r="SIA200" s="537"/>
      <c r="SIB200" s="537"/>
      <c r="SIC200" s="537"/>
      <c r="SID200" s="537"/>
      <c r="SIE200" s="537"/>
      <c r="SIF200" s="537"/>
      <c r="SIG200" s="537"/>
      <c r="SIH200" s="537"/>
      <c r="SII200" s="537"/>
      <c r="SIJ200" s="537"/>
      <c r="SIK200" s="537"/>
      <c r="SIL200" s="537"/>
      <c r="SIM200" s="537"/>
      <c r="SIN200" s="537"/>
      <c r="SIO200" s="537"/>
      <c r="SIP200" s="537"/>
      <c r="SIQ200" s="537"/>
      <c r="SIR200" s="537"/>
      <c r="SIS200" s="537"/>
      <c r="SIT200" s="537"/>
      <c r="SIU200" s="537"/>
      <c r="SIV200" s="537"/>
      <c r="SIW200" s="537"/>
      <c r="SIX200" s="537"/>
      <c r="SIY200" s="537"/>
      <c r="SIZ200" s="537"/>
      <c r="SJA200" s="537"/>
      <c r="SJB200" s="537"/>
      <c r="SJC200" s="537"/>
      <c r="SJD200" s="537"/>
      <c r="SJE200" s="537"/>
      <c r="SJF200" s="537"/>
      <c r="SJG200" s="537"/>
      <c r="SJH200" s="537"/>
      <c r="SJI200" s="537"/>
      <c r="SJJ200" s="537"/>
      <c r="SJK200" s="537"/>
      <c r="SJL200" s="537"/>
      <c r="SJM200" s="537"/>
      <c r="SJN200" s="537"/>
      <c r="SJO200" s="537"/>
      <c r="SJP200" s="537"/>
      <c r="SJQ200" s="537"/>
      <c r="SJR200" s="537"/>
      <c r="SJS200" s="537"/>
      <c r="SJT200" s="537"/>
      <c r="SJU200" s="537"/>
      <c r="SJV200" s="537"/>
      <c r="SJW200" s="537"/>
      <c r="SJX200" s="537"/>
      <c r="SJY200" s="537"/>
      <c r="SJZ200" s="537"/>
      <c r="SKA200" s="537"/>
      <c r="SKB200" s="537"/>
      <c r="SKC200" s="537"/>
      <c r="SKD200" s="537"/>
      <c r="SKE200" s="537"/>
      <c r="SKF200" s="537"/>
      <c r="SKG200" s="537"/>
      <c r="SKH200" s="537"/>
      <c r="SKI200" s="537"/>
      <c r="SKJ200" s="537"/>
      <c r="SKK200" s="537"/>
      <c r="SKL200" s="537"/>
      <c r="SKM200" s="537"/>
      <c r="SKN200" s="537"/>
      <c r="SKO200" s="537"/>
      <c r="SKP200" s="537"/>
      <c r="SKQ200" s="537"/>
      <c r="SKR200" s="537"/>
      <c r="SKS200" s="537"/>
      <c r="SKT200" s="537"/>
      <c r="SKU200" s="537"/>
      <c r="SKV200" s="537"/>
      <c r="SKW200" s="537"/>
      <c r="SKX200" s="537"/>
      <c r="SKY200" s="537"/>
      <c r="SKZ200" s="537"/>
      <c r="SLA200" s="537"/>
      <c r="SLB200" s="537"/>
      <c r="SLC200" s="537"/>
      <c r="SLD200" s="537"/>
      <c r="SLE200" s="537"/>
      <c r="SLF200" s="537"/>
      <c r="SLG200" s="537"/>
      <c r="SLH200" s="537"/>
      <c r="SLI200" s="537"/>
      <c r="SLJ200" s="537"/>
      <c r="SLK200" s="537"/>
      <c r="SLL200" s="537"/>
      <c r="SLM200" s="537"/>
      <c r="SLN200" s="537"/>
      <c r="SLO200" s="537"/>
      <c r="SLP200" s="537"/>
      <c r="SLQ200" s="537"/>
      <c r="SLR200" s="537"/>
      <c r="SLS200" s="537"/>
      <c r="SLT200" s="537"/>
      <c r="SLU200" s="537"/>
      <c r="SLV200" s="537"/>
      <c r="SLW200" s="537"/>
      <c r="SLX200" s="537"/>
      <c r="SLY200" s="537"/>
      <c r="SLZ200" s="537"/>
      <c r="SMA200" s="537"/>
      <c r="SMB200" s="537"/>
      <c r="SMC200" s="537"/>
      <c r="SMD200" s="537"/>
      <c r="SME200" s="537"/>
      <c r="SMF200" s="537"/>
      <c r="SMG200" s="537"/>
      <c r="SMH200" s="537"/>
      <c r="SMI200" s="537"/>
      <c r="SMJ200" s="537"/>
      <c r="SMK200" s="537"/>
      <c r="SML200" s="537"/>
      <c r="SMM200" s="537"/>
      <c r="SMN200" s="537"/>
      <c r="SMO200" s="537"/>
      <c r="SMP200" s="537"/>
      <c r="SMQ200" s="537"/>
      <c r="SMR200" s="537"/>
      <c r="SMS200" s="537"/>
      <c r="SMT200" s="537"/>
      <c r="SMU200" s="537"/>
      <c r="SMV200" s="537"/>
      <c r="SMW200" s="537"/>
      <c r="SMX200" s="537"/>
      <c r="SMY200" s="537"/>
      <c r="SMZ200" s="537"/>
      <c r="SNA200" s="537"/>
      <c r="SNB200" s="537"/>
      <c r="SNC200" s="537"/>
      <c r="SND200" s="537"/>
      <c r="SNE200" s="537"/>
      <c r="SNF200" s="537"/>
      <c r="SNG200" s="537"/>
      <c r="SNH200" s="537"/>
      <c r="SNI200" s="537"/>
      <c r="SNJ200" s="537"/>
      <c r="SNK200" s="537"/>
      <c r="SNL200" s="537"/>
      <c r="SNM200" s="537"/>
      <c r="SNN200" s="537"/>
      <c r="SNO200" s="537"/>
      <c r="SNP200" s="537"/>
      <c r="SNQ200" s="537"/>
      <c r="SNR200" s="537"/>
      <c r="SNS200" s="537"/>
      <c r="SNT200" s="537"/>
      <c r="SNU200" s="537"/>
      <c r="SNV200" s="537"/>
      <c r="SNW200" s="537"/>
      <c r="SNX200" s="537"/>
      <c r="SNY200" s="537"/>
      <c r="SNZ200" s="537"/>
      <c r="SOA200" s="537"/>
      <c r="SOB200" s="537"/>
      <c r="SOC200" s="537"/>
      <c r="SOD200" s="537"/>
      <c r="SOE200" s="537"/>
      <c r="SOF200" s="537"/>
      <c r="SOG200" s="537"/>
      <c r="SOH200" s="537"/>
      <c r="SOI200" s="537"/>
      <c r="SOJ200" s="537"/>
      <c r="SOK200" s="537"/>
      <c r="SOL200" s="537"/>
      <c r="SOM200" s="537"/>
      <c r="SON200" s="537"/>
      <c r="SOO200" s="537"/>
      <c r="SOP200" s="537"/>
      <c r="SOQ200" s="537"/>
      <c r="SOR200" s="537"/>
      <c r="SOS200" s="537"/>
      <c r="SOT200" s="537"/>
      <c r="SOU200" s="537"/>
      <c r="SOV200" s="537"/>
      <c r="SOW200" s="537"/>
      <c r="SOX200" s="537"/>
      <c r="SOY200" s="537"/>
      <c r="SOZ200" s="537"/>
      <c r="SPA200" s="537"/>
      <c r="SPB200" s="537"/>
      <c r="SPC200" s="537"/>
      <c r="SPD200" s="537"/>
      <c r="SPE200" s="537"/>
      <c r="SPF200" s="537"/>
      <c r="SPG200" s="537"/>
      <c r="SPH200" s="537"/>
      <c r="SPI200" s="537"/>
      <c r="SPJ200" s="537"/>
      <c r="SPK200" s="537"/>
      <c r="SPL200" s="537"/>
      <c r="SPM200" s="537"/>
      <c r="SPN200" s="537"/>
      <c r="SPO200" s="537"/>
      <c r="SPP200" s="537"/>
      <c r="SPQ200" s="537"/>
      <c r="SPR200" s="537"/>
      <c r="SPS200" s="537"/>
      <c r="SPT200" s="537"/>
      <c r="SPU200" s="537"/>
      <c r="SPV200" s="537"/>
      <c r="SPW200" s="537"/>
      <c r="SPX200" s="537"/>
      <c r="SPY200" s="537"/>
      <c r="SPZ200" s="537"/>
      <c r="SQA200" s="537"/>
      <c r="SQB200" s="537"/>
      <c r="SQC200" s="537"/>
      <c r="SQD200" s="537"/>
      <c r="SQE200" s="537"/>
      <c r="SQF200" s="537"/>
      <c r="SQG200" s="537"/>
      <c r="SQH200" s="537"/>
      <c r="SQI200" s="537"/>
      <c r="SQJ200" s="537"/>
      <c r="SQK200" s="537"/>
      <c r="SQL200" s="537"/>
      <c r="SQM200" s="537"/>
      <c r="SQN200" s="537"/>
      <c r="SQO200" s="537"/>
      <c r="SQP200" s="537"/>
      <c r="SQQ200" s="537"/>
      <c r="SQR200" s="537"/>
      <c r="SQS200" s="537"/>
      <c r="SQT200" s="537"/>
      <c r="SQU200" s="537"/>
      <c r="SQV200" s="537"/>
      <c r="SQW200" s="537"/>
      <c r="SQX200" s="537"/>
      <c r="SQY200" s="537"/>
      <c r="SQZ200" s="537"/>
      <c r="SRA200" s="537"/>
      <c r="SRB200" s="537"/>
      <c r="SRC200" s="537"/>
      <c r="SRD200" s="537"/>
      <c r="SRE200" s="537"/>
      <c r="SRF200" s="537"/>
      <c r="SRG200" s="537"/>
      <c r="SRH200" s="537"/>
      <c r="SRI200" s="537"/>
      <c r="SRJ200" s="537"/>
      <c r="SRK200" s="537"/>
      <c r="SRL200" s="537"/>
      <c r="SRM200" s="537"/>
      <c r="SRN200" s="537"/>
      <c r="SRO200" s="537"/>
      <c r="SRP200" s="537"/>
      <c r="SRQ200" s="537"/>
      <c r="SRR200" s="537"/>
      <c r="SRS200" s="537"/>
      <c r="SRT200" s="537"/>
      <c r="SRU200" s="537"/>
      <c r="SRV200" s="537"/>
      <c r="SRW200" s="537"/>
      <c r="SRX200" s="537"/>
      <c r="SRY200" s="537"/>
      <c r="SRZ200" s="537"/>
      <c r="SSA200" s="537"/>
      <c r="SSB200" s="537"/>
      <c r="SSC200" s="537"/>
      <c r="SSD200" s="537"/>
      <c r="SSE200" s="537"/>
      <c r="SSF200" s="537"/>
      <c r="SSG200" s="537"/>
      <c r="SSH200" s="537"/>
      <c r="SSI200" s="537"/>
      <c r="SSJ200" s="537"/>
      <c r="SSK200" s="537"/>
      <c r="SSL200" s="537"/>
      <c r="SSM200" s="537"/>
      <c r="SSN200" s="537"/>
      <c r="SSO200" s="537"/>
      <c r="SSP200" s="537"/>
      <c r="SSQ200" s="537"/>
      <c r="SSR200" s="537"/>
      <c r="SSS200" s="537"/>
      <c r="SST200" s="537"/>
      <c r="SSU200" s="537"/>
      <c r="SSV200" s="537"/>
      <c r="SSW200" s="537"/>
      <c r="SSX200" s="537"/>
      <c r="SSY200" s="537"/>
      <c r="SSZ200" s="537"/>
      <c r="STA200" s="537"/>
      <c r="STB200" s="537"/>
      <c r="STC200" s="537"/>
      <c r="STD200" s="537"/>
      <c r="STE200" s="537"/>
      <c r="STF200" s="537"/>
      <c r="STG200" s="537"/>
      <c r="STH200" s="537"/>
      <c r="STI200" s="537"/>
      <c r="STJ200" s="537"/>
      <c r="STK200" s="537"/>
      <c r="STL200" s="537"/>
      <c r="STM200" s="537"/>
      <c r="STN200" s="537"/>
      <c r="STO200" s="537"/>
      <c r="STP200" s="537"/>
      <c r="STQ200" s="537"/>
      <c r="STR200" s="537"/>
      <c r="STS200" s="537"/>
      <c r="STT200" s="537"/>
      <c r="STU200" s="537"/>
      <c r="STV200" s="537"/>
      <c r="STW200" s="537"/>
      <c r="STX200" s="537"/>
      <c r="STY200" s="537"/>
      <c r="STZ200" s="537"/>
      <c r="SUA200" s="537"/>
      <c r="SUB200" s="537"/>
      <c r="SUC200" s="537"/>
      <c r="SUD200" s="537"/>
      <c r="SUE200" s="537"/>
      <c r="SUF200" s="537"/>
      <c r="SUG200" s="537"/>
      <c r="SUH200" s="537"/>
      <c r="SUI200" s="537"/>
      <c r="SUJ200" s="537"/>
      <c r="SUK200" s="537"/>
      <c r="SUL200" s="537"/>
      <c r="SUM200" s="537"/>
      <c r="SUN200" s="537"/>
      <c r="SUO200" s="537"/>
      <c r="SUP200" s="537"/>
      <c r="SUQ200" s="537"/>
      <c r="SUR200" s="537"/>
      <c r="SUS200" s="537"/>
      <c r="SUT200" s="537"/>
      <c r="SUU200" s="537"/>
      <c r="SUV200" s="537"/>
      <c r="SUW200" s="537"/>
      <c r="SUX200" s="537"/>
      <c r="SUY200" s="537"/>
      <c r="SUZ200" s="537"/>
      <c r="SVA200" s="537"/>
      <c r="SVB200" s="537"/>
      <c r="SVC200" s="537"/>
      <c r="SVD200" s="537"/>
      <c r="SVE200" s="537"/>
      <c r="SVF200" s="537"/>
      <c r="SVG200" s="537"/>
      <c r="SVH200" s="537"/>
      <c r="SVI200" s="537"/>
      <c r="SVJ200" s="537"/>
      <c r="SVK200" s="537"/>
      <c r="SVL200" s="537"/>
      <c r="SVM200" s="537"/>
      <c r="SVN200" s="537"/>
      <c r="SVO200" s="537"/>
      <c r="SVP200" s="537"/>
      <c r="SVQ200" s="537"/>
      <c r="SVR200" s="537"/>
      <c r="SVS200" s="537"/>
      <c r="SVT200" s="537"/>
      <c r="SVU200" s="537"/>
      <c r="SVV200" s="537"/>
      <c r="SVW200" s="537"/>
      <c r="SVX200" s="537"/>
      <c r="SVY200" s="537"/>
      <c r="SVZ200" s="537"/>
      <c r="SWA200" s="537"/>
      <c r="SWB200" s="537"/>
      <c r="SWC200" s="537"/>
      <c r="SWD200" s="537"/>
      <c r="SWE200" s="537"/>
      <c r="SWF200" s="537"/>
      <c r="SWG200" s="537"/>
      <c r="SWH200" s="537"/>
      <c r="SWI200" s="537"/>
      <c r="SWJ200" s="537"/>
      <c r="SWK200" s="537"/>
      <c r="SWL200" s="537"/>
      <c r="SWM200" s="537"/>
      <c r="SWN200" s="537"/>
      <c r="SWO200" s="537"/>
      <c r="SWP200" s="537"/>
      <c r="SWQ200" s="537"/>
      <c r="SWR200" s="537"/>
      <c r="SWS200" s="537"/>
      <c r="SWT200" s="537"/>
      <c r="SWU200" s="537"/>
      <c r="SWV200" s="537"/>
      <c r="SWW200" s="537"/>
      <c r="SWX200" s="537"/>
      <c r="SWY200" s="537"/>
      <c r="SWZ200" s="537"/>
      <c r="SXA200" s="537"/>
      <c r="SXB200" s="537"/>
      <c r="SXC200" s="537"/>
      <c r="SXD200" s="537"/>
      <c r="SXE200" s="537"/>
      <c r="SXF200" s="537"/>
      <c r="SXG200" s="537"/>
      <c r="SXH200" s="537"/>
      <c r="SXI200" s="537"/>
      <c r="SXJ200" s="537"/>
      <c r="SXK200" s="537"/>
      <c r="SXL200" s="537"/>
      <c r="SXM200" s="537"/>
      <c r="SXN200" s="537"/>
      <c r="SXO200" s="537"/>
      <c r="SXP200" s="537"/>
      <c r="SXQ200" s="537"/>
      <c r="SXR200" s="537"/>
      <c r="SXS200" s="537"/>
      <c r="SXT200" s="537"/>
      <c r="SXU200" s="537"/>
      <c r="SXV200" s="537"/>
      <c r="SXW200" s="537"/>
      <c r="SXX200" s="537"/>
      <c r="SXY200" s="537"/>
      <c r="SXZ200" s="537"/>
      <c r="SYA200" s="537"/>
      <c r="SYB200" s="537"/>
      <c r="SYC200" s="537"/>
      <c r="SYD200" s="537"/>
      <c r="SYE200" s="537"/>
      <c r="SYF200" s="537"/>
      <c r="SYG200" s="537"/>
      <c r="SYH200" s="537"/>
      <c r="SYI200" s="537"/>
      <c r="SYJ200" s="537"/>
      <c r="SYK200" s="537"/>
      <c r="SYL200" s="537"/>
      <c r="SYM200" s="537"/>
      <c r="SYN200" s="537"/>
      <c r="SYO200" s="537"/>
      <c r="SYP200" s="537"/>
      <c r="SYQ200" s="537"/>
      <c r="SYR200" s="537"/>
      <c r="SYS200" s="537"/>
      <c r="SYT200" s="537"/>
      <c r="SYU200" s="537"/>
      <c r="SYV200" s="537"/>
      <c r="SYW200" s="537"/>
      <c r="SYX200" s="537"/>
      <c r="SYY200" s="537"/>
      <c r="SYZ200" s="537"/>
      <c r="SZA200" s="537"/>
      <c r="SZB200" s="537"/>
      <c r="SZC200" s="537"/>
      <c r="SZD200" s="537"/>
      <c r="SZE200" s="537"/>
      <c r="SZF200" s="537"/>
      <c r="SZG200" s="537"/>
      <c r="SZH200" s="537"/>
      <c r="SZI200" s="537"/>
      <c r="SZJ200" s="537"/>
      <c r="SZK200" s="537"/>
      <c r="SZL200" s="537"/>
      <c r="SZM200" s="537"/>
      <c r="SZN200" s="537"/>
      <c r="SZO200" s="537"/>
      <c r="SZP200" s="537"/>
      <c r="SZQ200" s="537"/>
      <c r="SZR200" s="537"/>
      <c r="SZS200" s="537"/>
      <c r="SZT200" s="537"/>
      <c r="SZU200" s="537"/>
      <c r="SZV200" s="537"/>
      <c r="SZW200" s="537"/>
      <c r="SZX200" s="537"/>
      <c r="SZY200" s="537"/>
      <c r="SZZ200" s="537"/>
      <c r="TAA200" s="537"/>
      <c r="TAB200" s="537"/>
      <c r="TAC200" s="537"/>
      <c r="TAD200" s="537"/>
      <c r="TAE200" s="537"/>
      <c r="TAF200" s="537"/>
      <c r="TAG200" s="537"/>
      <c r="TAH200" s="537"/>
      <c r="TAI200" s="537"/>
      <c r="TAJ200" s="537"/>
      <c r="TAK200" s="537"/>
      <c r="TAL200" s="537"/>
      <c r="TAM200" s="537"/>
      <c r="TAN200" s="537"/>
      <c r="TAO200" s="537"/>
      <c r="TAP200" s="537"/>
      <c r="TAQ200" s="537"/>
      <c r="TAR200" s="537"/>
      <c r="TAS200" s="537"/>
      <c r="TAT200" s="537"/>
      <c r="TAU200" s="537"/>
      <c r="TAV200" s="537"/>
      <c r="TAW200" s="537"/>
      <c r="TAX200" s="537"/>
      <c r="TAY200" s="537"/>
      <c r="TAZ200" s="537"/>
      <c r="TBA200" s="537"/>
      <c r="TBB200" s="537"/>
      <c r="TBC200" s="537"/>
      <c r="TBD200" s="537"/>
      <c r="TBE200" s="537"/>
      <c r="TBF200" s="537"/>
      <c r="TBG200" s="537"/>
      <c r="TBH200" s="537"/>
      <c r="TBI200" s="537"/>
      <c r="TBJ200" s="537"/>
      <c r="TBK200" s="537"/>
      <c r="TBL200" s="537"/>
      <c r="TBM200" s="537"/>
      <c r="TBN200" s="537"/>
      <c r="TBO200" s="537"/>
      <c r="TBP200" s="537"/>
      <c r="TBQ200" s="537"/>
      <c r="TBR200" s="537"/>
      <c r="TBS200" s="537"/>
      <c r="TBT200" s="537"/>
      <c r="TBU200" s="537"/>
      <c r="TBV200" s="537"/>
      <c r="TBW200" s="537"/>
      <c r="TBX200" s="537"/>
      <c r="TBY200" s="537"/>
      <c r="TBZ200" s="537"/>
      <c r="TCA200" s="537"/>
      <c r="TCB200" s="537"/>
      <c r="TCC200" s="537"/>
      <c r="TCD200" s="537"/>
      <c r="TCE200" s="537"/>
      <c r="TCF200" s="537"/>
      <c r="TCG200" s="537"/>
      <c r="TCH200" s="537"/>
      <c r="TCI200" s="537"/>
      <c r="TCJ200" s="537"/>
      <c r="TCK200" s="537"/>
      <c r="TCL200" s="537"/>
      <c r="TCM200" s="537"/>
      <c r="TCN200" s="537"/>
      <c r="TCO200" s="537"/>
      <c r="TCP200" s="537"/>
      <c r="TCQ200" s="537"/>
      <c r="TCR200" s="537"/>
      <c r="TCS200" s="537"/>
      <c r="TCT200" s="537"/>
      <c r="TCU200" s="537"/>
      <c r="TCV200" s="537"/>
      <c r="TCW200" s="537"/>
      <c r="TCX200" s="537"/>
      <c r="TCY200" s="537"/>
      <c r="TCZ200" s="537"/>
      <c r="TDA200" s="537"/>
      <c r="TDB200" s="537"/>
      <c r="TDC200" s="537"/>
      <c r="TDD200" s="537"/>
      <c r="TDE200" s="537"/>
      <c r="TDF200" s="537"/>
      <c r="TDG200" s="537"/>
      <c r="TDH200" s="537"/>
      <c r="TDI200" s="537"/>
      <c r="TDJ200" s="537"/>
      <c r="TDK200" s="537"/>
      <c r="TDL200" s="537"/>
      <c r="TDM200" s="537"/>
      <c r="TDN200" s="537"/>
      <c r="TDO200" s="537"/>
      <c r="TDP200" s="537"/>
      <c r="TDQ200" s="537"/>
      <c r="TDR200" s="537"/>
      <c r="TDS200" s="537"/>
      <c r="TDT200" s="537"/>
      <c r="TDU200" s="537"/>
      <c r="TDV200" s="537"/>
      <c r="TDW200" s="537"/>
      <c r="TDX200" s="537"/>
      <c r="TDY200" s="537"/>
      <c r="TDZ200" s="537"/>
      <c r="TEA200" s="537"/>
      <c r="TEB200" s="537"/>
      <c r="TEC200" s="537"/>
      <c r="TED200" s="537"/>
      <c r="TEE200" s="537"/>
      <c r="TEF200" s="537"/>
      <c r="TEG200" s="537"/>
      <c r="TEH200" s="537"/>
      <c r="TEI200" s="537"/>
      <c r="TEJ200" s="537"/>
      <c r="TEK200" s="537"/>
      <c r="TEL200" s="537"/>
      <c r="TEM200" s="537"/>
      <c r="TEN200" s="537"/>
      <c r="TEO200" s="537"/>
      <c r="TEP200" s="537"/>
      <c r="TEQ200" s="537"/>
      <c r="TER200" s="537"/>
      <c r="TES200" s="537"/>
      <c r="TET200" s="537"/>
      <c r="TEU200" s="537"/>
      <c r="TEV200" s="537"/>
      <c r="TEW200" s="537"/>
      <c r="TEX200" s="537"/>
      <c r="TEY200" s="537"/>
      <c r="TEZ200" s="537"/>
      <c r="TFA200" s="537"/>
      <c r="TFB200" s="537"/>
      <c r="TFC200" s="537"/>
      <c r="TFD200" s="537"/>
      <c r="TFE200" s="537"/>
      <c r="TFF200" s="537"/>
      <c r="TFG200" s="537"/>
      <c r="TFH200" s="537"/>
      <c r="TFI200" s="537"/>
      <c r="TFJ200" s="537"/>
      <c r="TFK200" s="537"/>
      <c r="TFL200" s="537"/>
      <c r="TFM200" s="537"/>
      <c r="TFN200" s="537"/>
      <c r="TFO200" s="537"/>
      <c r="TFP200" s="537"/>
      <c r="TFQ200" s="537"/>
      <c r="TFR200" s="537"/>
      <c r="TFS200" s="537"/>
      <c r="TFT200" s="537"/>
      <c r="TFU200" s="537"/>
      <c r="TFV200" s="537"/>
      <c r="TFW200" s="537"/>
      <c r="TFX200" s="537"/>
      <c r="TFY200" s="537"/>
      <c r="TFZ200" s="537"/>
      <c r="TGA200" s="537"/>
      <c r="TGB200" s="537"/>
      <c r="TGC200" s="537"/>
      <c r="TGD200" s="537"/>
      <c r="TGE200" s="537"/>
      <c r="TGF200" s="537"/>
      <c r="TGG200" s="537"/>
      <c r="TGH200" s="537"/>
      <c r="TGI200" s="537"/>
      <c r="TGJ200" s="537"/>
      <c r="TGK200" s="537"/>
      <c r="TGL200" s="537"/>
      <c r="TGM200" s="537"/>
      <c r="TGN200" s="537"/>
      <c r="TGO200" s="537"/>
      <c r="TGP200" s="537"/>
      <c r="TGQ200" s="537"/>
      <c r="TGR200" s="537"/>
      <c r="TGS200" s="537"/>
      <c r="TGT200" s="537"/>
      <c r="TGU200" s="537"/>
      <c r="TGV200" s="537"/>
      <c r="TGW200" s="537"/>
      <c r="TGX200" s="537"/>
      <c r="TGY200" s="537"/>
      <c r="TGZ200" s="537"/>
      <c r="THA200" s="537"/>
      <c r="THB200" s="537"/>
      <c r="THC200" s="537"/>
      <c r="THD200" s="537"/>
      <c r="THE200" s="537"/>
      <c r="THF200" s="537"/>
      <c r="THG200" s="537"/>
      <c r="THH200" s="537"/>
      <c r="THI200" s="537"/>
      <c r="THJ200" s="537"/>
      <c r="THK200" s="537"/>
      <c r="THL200" s="537"/>
      <c r="THM200" s="537"/>
      <c r="THN200" s="537"/>
      <c r="THO200" s="537"/>
      <c r="THP200" s="537"/>
      <c r="THQ200" s="537"/>
      <c r="THR200" s="537"/>
      <c r="THS200" s="537"/>
      <c r="THT200" s="537"/>
      <c r="THU200" s="537"/>
      <c r="THV200" s="537"/>
      <c r="THW200" s="537"/>
      <c r="THX200" s="537"/>
      <c r="THY200" s="537"/>
      <c r="THZ200" s="537"/>
      <c r="TIA200" s="537"/>
      <c r="TIB200" s="537"/>
      <c r="TIC200" s="537"/>
      <c r="TID200" s="537"/>
      <c r="TIE200" s="537"/>
      <c r="TIF200" s="537"/>
      <c r="TIG200" s="537"/>
      <c r="TIH200" s="537"/>
      <c r="TII200" s="537"/>
      <c r="TIJ200" s="537"/>
      <c r="TIK200" s="537"/>
      <c r="TIL200" s="537"/>
      <c r="TIM200" s="537"/>
      <c r="TIN200" s="537"/>
      <c r="TIO200" s="537"/>
      <c r="TIP200" s="537"/>
      <c r="TIQ200" s="537"/>
      <c r="TIR200" s="537"/>
      <c r="TIS200" s="537"/>
      <c r="TIT200" s="537"/>
      <c r="TIU200" s="537"/>
      <c r="TIV200" s="537"/>
      <c r="TIW200" s="537"/>
      <c r="TIX200" s="537"/>
      <c r="TIY200" s="537"/>
      <c r="TIZ200" s="537"/>
      <c r="TJA200" s="537"/>
      <c r="TJB200" s="537"/>
      <c r="TJC200" s="537"/>
      <c r="TJD200" s="537"/>
      <c r="TJE200" s="537"/>
      <c r="TJF200" s="537"/>
      <c r="TJG200" s="537"/>
      <c r="TJH200" s="537"/>
      <c r="TJI200" s="537"/>
      <c r="TJJ200" s="537"/>
      <c r="TJK200" s="537"/>
      <c r="TJL200" s="537"/>
      <c r="TJM200" s="537"/>
      <c r="TJN200" s="537"/>
      <c r="TJO200" s="537"/>
      <c r="TJP200" s="537"/>
      <c r="TJQ200" s="537"/>
      <c r="TJR200" s="537"/>
      <c r="TJS200" s="537"/>
      <c r="TJT200" s="537"/>
      <c r="TJU200" s="537"/>
      <c r="TJV200" s="537"/>
      <c r="TJW200" s="537"/>
      <c r="TJX200" s="537"/>
      <c r="TJY200" s="537"/>
      <c r="TJZ200" s="537"/>
      <c r="TKA200" s="537"/>
      <c r="TKB200" s="537"/>
      <c r="TKC200" s="537"/>
      <c r="TKD200" s="537"/>
      <c r="TKE200" s="537"/>
      <c r="TKF200" s="537"/>
      <c r="TKG200" s="537"/>
      <c r="TKH200" s="537"/>
      <c r="TKI200" s="537"/>
      <c r="TKJ200" s="537"/>
      <c r="TKK200" s="537"/>
      <c r="TKL200" s="537"/>
      <c r="TKM200" s="537"/>
      <c r="TKN200" s="537"/>
      <c r="TKO200" s="537"/>
      <c r="TKP200" s="537"/>
      <c r="TKQ200" s="537"/>
      <c r="TKR200" s="537"/>
      <c r="TKS200" s="537"/>
      <c r="TKT200" s="537"/>
      <c r="TKU200" s="537"/>
      <c r="TKV200" s="537"/>
      <c r="TKW200" s="537"/>
      <c r="TKX200" s="537"/>
      <c r="TKY200" s="537"/>
      <c r="TKZ200" s="537"/>
      <c r="TLA200" s="537"/>
      <c r="TLB200" s="537"/>
      <c r="TLC200" s="537"/>
      <c r="TLD200" s="537"/>
      <c r="TLE200" s="537"/>
      <c r="TLF200" s="537"/>
      <c r="TLG200" s="537"/>
      <c r="TLH200" s="537"/>
      <c r="TLI200" s="537"/>
      <c r="TLJ200" s="537"/>
      <c r="TLK200" s="537"/>
      <c r="TLL200" s="537"/>
      <c r="TLM200" s="537"/>
      <c r="TLN200" s="537"/>
      <c r="TLO200" s="537"/>
      <c r="TLP200" s="537"/>
      <c r="TLQ200" s="537"/>
      <c r="TLR200" s="537"/>
      <c r="TLS200" s="537"/>
      <c r="TLT200" s="537"/>
      <c r="TLU200" s="537"/>
      <c r="TLV200" s="537"/>
      <c r="TLW200" s="537"/>
      <c r="TLX200" s="537"/>
      <c r="TLY200" s="537"/>
      <c r="TLZ200" s="537"/>
      <c r="TMA200" s="537"/>
      <c r="TMB200" s="537"/>
      <c r="TMC200" s="537"/>
      <c r="TMD200" s="537"/>
      <c r="TME200" s="537"/>
      <c r="TMF200" s="537"/>
      <c r="TMG200" s="537"/>
      <c r="TMH200" s="537"/>
      <c r="TMI200" s="537"/>
      <c r="TMJ200" s="537"/>
      <c r="TMK200" s="537"/>
      <c r="TML200" s="537"/>
      <c r="TMM200" s="537"/>
      <c r="TMN200" s="537"/>
      <c r="TMO200" s="537"/>
      <c r="TMP200" s="537"/>
      <c r="TMQ200" s="537"/>
      <c r="TMR200" s="537"/>
      <c r="TMS200" s="537"/>
      <c r="TMT200" s="537"/>
      <c r="TMU200" s="537"/>
      <c r="TMV200" s="537"/>
      <c r="TMW200" s="537"/>
      <c r="TMX200" s="537"/>
      <c r="TMY200" s="537"/>
      <c r="TMZ200" s="537"/>
      <c r="TNA200" s="537"/>
      <c r="TNB200" s="537"/>
      <c r="TNC200" s="537"/>
      <c r="TND200" s="537"/>
      <c r="TNE200" s="537"/>
      <c r="TNF200" s="537"/>
      <c r="TNG200" s="537"/>
      <c r="TNH200" s="537"/>
      <c r="TNI200" s="537"/>
      <c r="TNJ200" s="537"/>
      <c r="TNK200" s="537"/>
      <c r="TNL200" s="537"/>
      <c r="TNM200" s="537"/>
      <c r="TNN200" s="537"/>
      <c r="TNO200" s="537"/>
      <c r="TNP200" s="537"/>
      <c r="TNQ200" s="537"/>
      <c r="TNR200" s="537"/>
      <c r="TNS200" s="537"/>
      <c r="TNT200" s="537"/>
      <c r="TNU200" s="537"/>
      <c r="TNV200" s="537"/>
      <c r="TNW200" s="537"/>
      <c r="TNX200" s="537"/>
      <c r="TNY200" s="537"/>
      <c r="TNZ200" s="537"/>
      <c r="TOA200" s="537"/>
      <c r="TOB200" s="537"/>
      <c r="TOC200" s="537"/>
      <c r="TOD200" s="537"/>
      <c r="TOE200" s="537"/>
      <c r="TOF200" s="537"/>
      <c r="TOG200" s="537"/>
      <c r="TOH200" s="537"/>
      <c r="TOI200" s="537"/>
      <c r="TOJ200" s="537"/>
      <c r="TOK200" s="537"/>
      <c r="TOL200" s="537"/>
      <c r="TOM200" s="537"/>
      <c r="TON200" s="537"/>
      <c r="TOO200" s="537"/>
      <c r="TOP200" s="537"/>
      <c r="TOQ200" s="537"/>
      <c r="TOR200" s="537"/>
      <c r="TOS200" s="537"/>
      <c r="TOT200" s="537"/>
      <c r="TOU200" s="537"/>
      <c r="TOV200" s="537"/>
      <c r="TOW200" s="537"/>
      <c r="TOX200" s="537"/>
      <c r="TOY200" s="537"/>
      <c r="TOZ200" s="537"/>
      <c r="TPA200" s="537"/>
      <c r="TPB200" s="537"/>
      <c r="TPC200" s="537"/>
      <c r="TPD200" s="537"/>
      <c r="TPE200" s="537"/>
      <c r="TPF200" s="537"/>
      <c r="TPG200" s="537"/>
      <c r="TPH200" s="537"/>
      <c r="TPI200" s="537"/>
      <c r="TPJ200" s="537"/>
      <c r="TPK200" s="537"/>
      <c r="TPL200" s="537"/>
      <c r="TPM200" s="537"/>
      <c r="TPN200" s="537"/>
      <c r="TPO200" s="537"/>
      <c r="TPP200" s="537"/>
      <c r="TPQ200" s="537"/>
      <c r="TPR200" s="537"/>
      <c r="TPS200" s="537"/>
      <c r="TPT200" s="537"/>
      <c r="TPU200" s="537"/>
      <c r="TPV200" s="537"/>
      <c r="TPW200" s="537"/>
      <c r="TPX200" s="537"/>
      <c r="TPY200" s="537"/>
      <c r="TPZ200" s="537"/>
      <c r="TQA200" s="537"/>
      <c r="TQB200" s="537"/>
      <c r="TQC200" s="537"/>
      <c r="TQD200" s="537"/>
      <c r="TQE200" s="537"/>
      <c r="TQF200" s="537"/>
      <c r="TQG200" s="537"/>
      <c r="TQH200" s="537"/>
      <c r="TQI200" s="537"/>
      <c r="TQJ200" s="537"/>
      <c r="TQK200" s="537"/>
      <c r="TQL200" s="537"/>
      <c r="TQM200" s="537"/>
      <c r="TQN200" s="537"/>
      <c r="TQO200" s="537"/>
      <c r="TQP200" s="537"/>
      <c r="TQQ200" s="537"/>
      <c r="TQR200" s="537"/>
      <c r="TQS200" s="537"/>
      <c r="TQT200" s="537"/>
      <c r="TQU200" s="537"/>
      <c r="TQV200" s="537"/>
      <c r="TQW200" s="537"/>
      <c r="TQX200" s="537"/>
      <c r="TQY200" s="537"/>
      <c r="TQZ200" s="537"/>
      <c r="TRA200" s="537"/>
      <c r="TRB200" s="537"/>
      <c r="TRC200" s="537"/>
      <c r="TRD200" s="537"/>
      <c r="TRE200" s="537"/>
      <c r="TRF200" s="537"/>
      <c r="TRG200" s="537"/>
      <c r="TRH200" s="537"/>
      <c r="TRI200" s="537"/>
      <c r="TRJ200" s="537"/>
      <c r="TRK200" s="537"/>
      <c r="TRL200" s="537"/>
      <c r="TRM200" s="537"/>
      <c r="TRN200" s="537"/>
      <c r="TRO200" s="537"/>
      <c r="TRP200" s="537"/>
      <c r="TRQ200" s="537"/>
      <c r="TRR200" s="537"/>
      <c r="TRS200" s="537"/>
      <c r="TRT200" s="537"/>
      <c r="TRU200" s="537"/>
      <c r="TRV200" s="537"/>
      <c r="TRW200" s="537"/>
      <c r="TRX200" s="537"/>
      <c r="TRY200" s="537"/>
      <c r="TRZ200" s="537"/>
      <c r="TSA200" s="537"/>
      <c r="TSB200" s="537"/>
      <c r="TSC200" s="537"/>
      <c r="TSD200" s="537"/>
      <c r="TSE200" s="537"/>
      <c r="TSF200" s="537"/>
      <c r="TSG200" s="537"/>
      <c r="TSH200" s="537"/>
      <c r="TSI200" s="537"/>
      <c r="TSJ200" s="537"/>
      <c r="TSK200" s="537"/>
      <c r="TSL200" s="537"/>
      <c r="TSM200" s="537"/>
      <c r="TSN200" s="537"/>
      <c r="TSO200" s="537"/>
      <c r="TSP200" s="537"/>
      <c r="TSQ200" s="537"/>
      <c r="TSR200" s="537"/>
      <c r="TSS200" s="537"/>
      <c r="TST200" s="537"/>
      <c r="TSU200" s="537"/>
      <c r="TSV200" s="537"/>
      <c r="TSW200" s="537"/>
      <c r="TSX200" s="537"/>
      <c r="TSY200" s="537"/>
      <c r="TSZ200" s="537"/>
      <c r="TTA200" s="537"/>
      <c r="TTB200" s="537"/>
      <c r="TTC200" s="537"/>
      <c r="TTD200" s="537"/>
      <c r="TTE200" s="537"/>
      <c r="TTF200" s="537"/>
      <c r="TTG200" s="537"/>
      <c r="TTH200" s="537"/>
      <c r="TTI200" s="537"/>
      <c r="TTJ200" s="537"/>
      <c r="TTK200" s="537"/>
      <c r="TTL200" s="537"/>
      <c r="TTM200" s="537"/>
      <c r="TTN200" s="537"/>
      <c r="TTO200" s="537"/>
      <c r="TTP200" s="537"/>
      <c r="TTQ200" s="537"/>
      <c r="TTR200" s="537"/>
      <c r="TTS200" s="537"/>
      <c r="TTT200" s="537"/>
      <c r="TTU200" s="537"/>
      <c r="TTV200" s="537"/>
      <c r="TTW200" s="537"/>
      <c r="TTX200" s="537"/>
      <c r="TTY200" s="537"/>
      <c r="TTZ200" s="537"/>
      <c r="TUA200" s="537"/>
      <c r="TUB200" s="537"/>
      <c r="TUC200" s="537"/>
      <c r="TUD200" s="537"/>
      <c r="TUE200" s="537"/>
      <c r="TUF200" s="537"/>
      <c r="TUG200" s="537"/>
      <c r="TUH200" s="537"/>
      <c r="TUI200" s="537"/>
      <c r="TUJ200" s="537"/>
      <c r="TUK200" s="537"/>
      <c r="TUL200" s="537"/>
      <c r="TUM200" s="537"/>
      <c r="TUN200" s="537"/>
      <c r="TUO200" s="537"/>
      <c r="TUP200" s="537"/>
      <c r="TUQ200" s="537"/>
      <c r="TUR200" s="537"/>
      <c r="TUS200" s="537"/>
      <c r="TUT200" s="537"/>
      <c r="TUU200" s="537"/>
      <c r="TUV200" s="537"/>
      <c r="TUW200" s="537"/>
      <c r="TUX200" s="537"/>
      <c r="TUY200" s="537"/>
      <c r="TUZ200" s="537"/>
      <c r="TVA200" s="537"/>
      <c r="TVB200" s="537"/>
      <c r="TVC200" s="537"/>
      <c r="TVD200" s="537"/>
      <c r="TVE200" s="537"/>
      <c r="TVF200" s="537"/>
      <c r="TVG200" s="537"/>
      <c r="TVH200" s="537"/>
      <c r="TVI200" s="537"/>
      <c r="TVJ200" s="537"/>
      <c r="TVK200" s="537"/>
      <c r="TVL200" s="537"/>
      <c r="TVM200" s="537"/>
      <c r="TVN200" s="537"/>
      <c r="TVO200" s="537"/>
      <c r="TVP200" s="537"/>
      <c r="TVQ200" s="537"/>
      <c r="TVR200" s="537"/>
      <c r="TVS200" s="537"/>
      <c r="TVT200" s="537"/>
      <c r="TVU200" s="537"/>
      <c r="TVV200" s="537"/>
      <c r="TVW200" s="537"/>
      <c r="TVX200" s="537"/>
      <c r="TVY200" s="537"/>
      <c r="TVZ200" s="537"/>
      <c r="TWA200" s="537"/>
      <c r="TWB200" s="537"/>
      <c r="TWC200" s="537"/>
      <c r="TWD200" s="537"/>
      <c r="TWE200" s="537"/>
      <c r="TWF200" s="537"/>
      <c r="TWG200" s="537"/>
      <c r="TWH200" s="537"/>
      <c r="TWI200" s="537"/>
      <c r="TWJ200" s="537"/>
      <c r="TWK200" s="537"/>
      <c r="TWL200" s="537"/>
      <c r="TWM200" s="537"/>
      <c r="TWN200" s="537"/>
      <c r="TWO200" s="537"/>
      <c r="TWP200" s="537"/>
      <c r="TWQ200" s="537"/>
      <c r="TWR200" s="537"/>
      <c r="TWS200" s="537"/>
      <c r="TWT200" s="537"/>
      <c r="TWU200" s="537"/>
      <c r="TWV200" s="537"/>
      <c r="TWW200" s="537"/>
      <c r="TWX200" s="537"/>
      <c r="TWY200" s="537"/>
      <c r="TWZ200" s="537"/>
      <c r="TXA200" s="537"/>
      <c r="TXB200" s="537"/>
      <c r="TXC200" s="537"/>
      <c r="TXD200" s="537"/>
      <c r="TXE200" s="537"/>
      <c r="TXF200" s="537"/>
      <c r="TXG200" s="537"/>
      <c r="TXH200" s="537"/>
      <c r="TXI200" s="537"/>
      <c r="TXJ200" s="537"/>
      <c r="TXK200" s="537"/>
      <c r="TXL200" s="537"/>
      <c r="TXM200" s="537"/>
      <c r="TXN200" s="537"/>
      <c r="TXO200" s="537"/>
      <c r="TXP200" s="537"/>
      <c r="TXQ200" s="537"/>
      <c r="TXR200" s="537"/>
      <c r="TXS200" s="537"/>
      <c r="TXT200" s="537"/>
      <c r="TXU200" s="537"/>
      <c r="TXV200" s="537"/>
      <c r="TXW200" s="537"/>
      <c r="TXX200" s="537"/>
      <c r="TXY200" s="537"/>
      <c r="TXZ200" s="537"/>
      <c r="TYA200" s="537"/>
      <c r="TYB200" s="537"/>
      <c r="TYC200" s="537"/>
      <c r="TYD200" s="537"/>
      <c r="TYE200" s="537"/>
      <c r="TYF200" s="537"/>
      <c r="TYG200" s="537"/>
      <c r="TYH200" s="537"/>
      <c r="TYI200" s="537"/>
      <c r="TYJ200" s="537"/>
      <c r="TYK200" s="537"/>
      <c r="TYL200" s="537"/>
      <c r="TYM200" s="537"/>
      <c r="TYN200" s="537"/>
      <c r="TYO200" s="537"/>
      <c r="TYP200" s="537"/>
      <c r="TYQ200" s="537"/>
      <c r="TYR200" s="537"/>
      <c r="TYS200" s="537"/>
      <c r="TYT200" s="537"/>
      <c r="TYU200" s="537"/>
      <c r="TYV200" s="537"/>
      <c r="TYW200" s="537"/>
      <c r="TYX200" s="537"/>
      <c r="TYY200" s="537"/>
      <c r="TYZ200" s="537"/>
      <c r="TZA200" s="537"/>
      <c r="TZB200" s="537"/>
      <c r="TZC200" s="537"/>
      <c r="TZD200" s="537"/>
      <c r="TZE200" s="537"/>
      <c r="TZF200" s="537"/>
      <c r="TZG200" s="537"/>
      <c r="TZH200" s="537"/>
      <c r="TZI200" s="537"/>
      <c r="TZJ200" s="537"/>
      <c r="TZK200" s="537"/>
      <c r="TZL200" s="537"/>
      <c r="TZM200" s="537"/>
      <c r="TZN200" s="537"/>
      <c r="TZO200" s="537"/>
      <c r="TZP200" s="537"/>
      <c r="TZQ200" s="537"/>
      <c r="TZR200" s="537"/>
      <c r="TZS200" s="537"/>
      <c r="TZT200" s="537"/>
      <c r="TZU200" s="537"/>
      <c r="TZV200" s="537"/>
      <c r="TZW200" s="537"/>
      <c r="TZX200" s="537"/>
      <c r="TZY200" s="537"/>
      <c r="TZZ200" s="537"/>
      <c r="UAA200" s="537"/>
      <c r="UAB200" s="537"/>
      <c r="UAC200" s="537"/>
      <c r="UAD200" s="537"/>
      <c r="UAE200" s="537"/>
      <c r="UAF200" s="537"/>
      <c r="UAG200" s="537"/>
      <c r="UAH200" s="537"/>
      <c r="UAI200" s="537"/>
      <c r="UAJ200" s="537"/>
      <c r="UAK200" s="537"/>
      <c r="UAL200" s="537"/>
      <c r="UAM200" s="537"/>
      <c r="UAN200" s="537"/>
      <c r="UAO200" s="537"/>
      <c r="UAP200" s="537"/>
      <c r="UAQ200" s="537"/>
      <c r="UAR200" s="537"/>
      <c r="UAS200" s="537"/>
      <c r="UAT200" s="537"/>
      <c r="UAU200" s="537"/>
      <c r="UAV200" s="537"/>
      <c r="UAW200" s="537"/>
      <c r="UAX200" s="537"/>
      <c r="UAY200" s="537"/>
      <c r="UAZ200" s="537"/>
      <c r="UBA200" s="537"/>
      <c r="UBB200" s="537"/>
      <c r="UBC200" s="537"/>
      <c r="UBD200" s="537"/>
      <c r="UBE200" s="537"/>
      <c r="UBF200" s="537"/>
      <c r="UBG200" s="537"/>
      <c r="UBH200" s="537"/>
      <c r="UBI200" s="537"/>
      <c r="UBJ200" s="537"/>
      <c r="UBK200" s="537"/>
      <c r="UBL200" s="537"/>
      <c r="UBM200" s="537"/>
      <c r="UBN200" s="537"/>
      <c r="UBO200" s="537"/>
      <c r="UBP200" s="537"/>
      <c r="UBQ200" s="537"/>
      <c r="UBR200" s="537"/>
      <c r="UBS200" s="537"/>
      <c r="UBT200" s="537"/>
      <c r="UBU200" s="537"/>
      <c r="UBV200" s="537"/>
      <c r="UBW200" s="537"/>
      <c r="UBX200" s="537"/>
      <c r="UBY200" s="537"/>
      <c r="UBZ200" s="537"/>
      <c r="UCA200" s="537"/>
      <c r="UCB200" s="537"/>
      <c r="UCC200" s="537"/>
      <c r="UCD200" s="537"/>
      <c r="UCE200" s="537"/>
      <c r="UCF200" s="537"/>
      <c r="UCG200" s="537"/>
      <c r="UCH200" s="537"/>
      <c r="UCI200" s="537"/>
      <c r="UCJ200" s="537"/>
      <c r="UCK200" s="537"/>
      <c r="UCL200" s="537"/>
      <c r="UCM200" s="537"/>
      <c r="UCN200" s="537"/>
      <c r="UCO200" s="537"/>
      <c r="UCP200" s="537"/>
      <c r="UCQ200" s="537"/>
      <c r="UCR200" s="537"/>
      <c r="UCS200" s="537"/>
      <c r="UCT200" s="537"/>
      <c r="UCU200" s="537"/>
      <c r="UCV200" s="537"/>
      <c r="UCW200" s="537"/>
      <c r="UCX200" s="537"/>
      <c r="UCY200" s="537"/>
      <c r="UCZ200" s="537"/>
      <c r="UDA200" s="537"/>
      <c r="UDB200" s="537"/>
      <c r="UDC200" s="537"/>
      <c r="UDD200" s="537"/>
      <c r="UDE200" s="537"/>
      <c r="UDF200" s="537"/>
      <c r="UDG200" s="537"/>
      <c r="UDH200" s="537"/>
      <c r="UDI200" s="537"/>
      <c r="UDJ200" s="537"/>
      <c r="UDK200" s="537"/>
      <c r="UDL200" s="537"/>
      <c r="UDM200" s="537"/>
      <c r="UDN200" s="537"/>
      <c r="UDO200" s="537"/>
      <c r="UDP200" s="537"/>
      <c r="UDQ200" s="537"/>
      <c r="UDR200" s="537"/>
      <c r="UDS200" s="537"/>
      <c r="UDT200" s="537"/>
      <c r="UDU200" s="537"/>
      <c r="UDV200" s="537"/>
      <c r="UDW200" s="537"/>
      <c r="UDX200" s="537"/>
      <c r="UDY200" s="537"/>
      <c r="UDZ200" s="537"/>
      <c r="UEA200" s="537"/>
      <c r="UEB200" s="537"/>
      <c r="UEC200" s="537"/>
      <c r="UED200" s="537"/>
      <c r="UEE200" s="537"/>
      <c r="UEF200" s="537"/>
      <c r="UEG200" s="537"/>
      <c r="UEH200" s="537"/>
      <c r="UEI200" s="537"/>
      <c r="UEJ200" s="537"/>
      <c r="UEK200" s="537"/>
      <c r="UEL200" s="537"/>
      <c r="UEM200" s="537"/>
      <c r="UEN200" s="537"/>
      <c r="UEO200" s="537"/>
      <c r="UEP200" s="537"/>
      <c r="UEQ200" s="537"/>
      <c r="UER200" s="537"/>
      <c r="UES200" s="537"/>
      <c r="UET200" s="537"/>
      <c r="UEU200" s="537"/>
      <c r="UEV200" s="537"/>
      <c r="UEW200" s="537"/>
      <c r="UEX200" s="537"/>
      <c r="UEY200" s="537"/>
      <c r="UEZ200" s="537"/>
      <c r="UFA200" s="537"/>
      <c r="UFB200" s="537"/>
      <c r="UFC200" s="537"/>
      <c r="UFD200" s="537"/>
      <c r="UFE200" s="537"/>
      <c r="UFF200" s="537"/>
      <c r="UFG200" s="537"/>
      <c r="UFH200" s="537"/>
      <c r="UFI200" s="537"/>
      <c r="UFJ200" s="537"/>
      <c r="UFK200" s="537"/>
      <c r="UFL200" s="537"/>
      <c r="UFM200" s="537"/>
      <c r="UFN200" s="537"/>
      <c r="UFO200" s="537"/>
      <c r="UFP200" s="537"/>
      <c r="UFQ200" s="537"/>
      <c r="UFR200" s="537"/>
      <c r="UFS200" s="537"/>
      <c r="UFT200" s="537"/>
      <c r="UFU200" s="537"/>
      <c r="UFV200" s="537"/>
      <c r="UFW200" s="537"/>
      <c r="UFX200" s="537"/>
      <c r="UFY200" s="537"/>
      <c r="UFZ200" s="537"/>
      <c r="UGA200" s="537"/>
      <c r="UGB200" s="537"/>
      <c r="UGC200" s="537"/>
      <c r="UGD200" s="537"/>
      <c r="UGE200" s="537"/>
      <c r="UGF200" s="537"/>
      <c r="UGG200" s="537"/>
      <c r="UGH200" s="537"/>
      <c r="UGI200" s="537"/>
      <c r="UGJ200" s="537"/>
      <c r="UGK200" s="537"/>
      <c r="UGL200" s="537"/>
      <c r="UGM200" s="537"/>
      <c r="UGN200" s="537"/>
      <c r="UGO200" s="537"/>
      <c r="UGP200" s="537"/>
      <c r="UGQ200" s="537"/>
      <c r="UGR200" s="537"/>
      <c r="UGS200" s="537"/>
      <c r="UGT200" s="537"/>
      <c r="UGU200" s="537"/>
      <c r="UGV200" s="537"/>
      <c r="UGW200" s="537"/>
      <c r="UGX200" s="537"/>
      <c r="UGY200" s="537"/>
      <c r="UGZ200" s="537"/>
      <c r="UHA200" s="537"/>
      <c r="UHB200" s="537"/>
      <c r="UHC200" s="537"/>
      <c r="UHD200" s="537"/>
      <c r="UHE200" s="537"/>
      <c r="UHF200" s="537"/>
      <c r="UHG200" s="537"/>
      <c r="UHH200" s="537"/>
      <c r="UHI200" s="537"/>
      <c r="UHJ200" s="537"/>
      <c r="UHK200" s="537"/>
      <c r="UHL200" s="537"/>
      <c r="UHM200" s="537"/>
      <c r="UHN200" s="537"/>
      <c r="UHO200" s="537"/>
      <c r="UHP200" s="537"/>
      <c r="UHQ200" s="537"/>
      <c r="UHR200" s="537"/>
      <c r="UHS200" s="537"/>
      <c r="UHT200" s="537"/>
      <c r="UHU200" s="537"/>
      <c r="UHV200" s="537"/>
      <c r="UHW200" s="537"/>
      <c r="UHX200" s="537"/>
      <c r="UHY200" s="537"/>
      <c r="UHZ200" s="537"/>
      <c r="UIA200" s="537"/>
      <c r="UIB200" s="537"/>
      <c r="UIC200" s="537"/>
      <c r="UID200" s="537"/>
      <c r="UIE200" s="537"/>
      <c r="UIF200" s="537"/>
      <c r="UIG200" s="537"/>
      <c r="UIH200" s="537"/>
      <c r="UII200" s="537"/>
      <c r="UIJ200" s="537"/>
      <c r="UIK200" s="537"/>
      <c r="UIL200" s="537"/>
      <c r="UIM200" s="537"/>
      <c r="UIN200" s="537"/>
      <c r="UIO200" s="537"/>
      <c r="UIP200" s="537"/>
      <c r="UIQ200" s="537"/>
      <c r="UIR200" s="537"/>
      <c r="UIS200" s="537"/>
      <c r="UIT200" s="537"/>
      <c r="UIU200" s="537"/>
      <c r="UIV200" s="537"/>
      <c r="UIW200" s="537"/>
      <c r="UIX200" s="537"/>
      <c r="UIY200" s="537"/>
      <c r="UIZ200" s="537"/>
      <c r="UJA200" s="537"/>
      <c r="UJB200" s="537"/>
      <c r="UJC200" s="537"/>
      <c r="UJD200" s="537"/>
      <c r="UJE200" s="537"/>
      <c r="UJF200" s="537"/>
      <c r="UJG200" s="537"/>
      <c r="UJH200" s="537"/>
      <c r="UJI200" s="537"/>
      <c r="UJJ200" s="537"/>
      <c r="UJK200" s="537"/>
      <c r="UJL200" s="537"/>
      <c r="UJM200" s="537"/>
      <c r="UJN200" s="537"/>
      <c r="UJO200" s="537"/>
      <c r="UJP200" s="537"/>
      <c r="UJQ200" s="537"/>
      <c r="UJR200" s="537"/>
      <c r="UJS200" s="537"/>
      <c r="UJT200" s="537"/>
      <c r="UJU200" s="537"/>
      <c r="UJV200" s="537"/>
      <c r="UJW200" s="537"/>
      <c r="UJX200" s="537"/>
      <c r="UJY200" s="537"/>
      <c r="UJZ200" s="537"/>
      <c r="UKA200" s="537"/>
      <c r="UKB200" s="537"/>
      <c r="UKC200" s="537"/>
      <c r="UKD200" s="537"/>
      <c r="UKE200" s="537"/>
      <c r="UKF200" s="537"/>
      <c r="UKG200" s="537"/>
      <c r="UKH200" s="537"/>
      <c r="UKI200" s="537"/>
      <c r="UKJ200" s="537"/>
      <c r="UKK200" s="537"/>
      <c r="UKL200" s="537"/>
      <c r="UKM200" s="537"/>
      <c r="UKN200" s="537"/>
      <c r="UKO200" s="537"/>
      <c r="UKP200" s="537"/>
      <c r="UKQ200" s="537"/>
      <c r="UKR200" s="537"/>
      <c r="UKS200" s="537"/>
      <c r="UKT200" s="537"/>
      <c r="UKU200" s="537"/>
      <c r="UKV200" s="537"/>
      <c r="UKW200" s="537"/>
      <c r="UKX200" s="537"/>
      <c r="UKY200" s="537"/>
      <c r="UKZ200" s="537"/>
      <c r="ULA200" s="537"/>
      <c r="ULB200" s="537"/>
      <c r="ULC200" s="537"/>
      <c r="ULD200" s="537"/>
      <c r="ULE200" s="537"/>
      <c r="ULF200" s="537"/>
      <c r="ULG200" s="537"/>
      <c r="ULH200" s="537"/>
      <c r="ULI200" s="537"/>
      <c r="ULJ200" s="537"/>
      <c r="ULK200" s="537"/>
      <c r="ULL200" s="537"/>
      <c r="ULM200" s="537"/>
      <c r="ULN200" s="537"/>
      <c r="ULO200" s="537"/>
      <c r="ULP200" s="537"/>
      <c r="ULQ200" s="537"/>
      <c r="ULR200" s="537"/>
      <c r="ULS200" s="537"/>
      <c r="ULT200" s="537"/>
      <c r="ULU200" s="537"/>
      <c r="ULV200" s="537"/>
      <c r="ULW200" s="537"/>
      <c r="ULX200" s="537"/>
      <c r="ULY200" s="537"/>
      <c r="ULZ200" s="537"/>
      <c r="UMA200" s="537"/>
      <c r="UMB200" s="537"/>
      <c r="UMC200" s="537"/>
      <c r="UMD200" s="537"/>
      <c r="UME200" s="537"/>
      <c r="UMF200" s="537"/>
      <c r="UMG200" s="537"/>
      <c r="UMH200" s="537"/>
      <c r="UMI200" s="537"/>
      <c r="UMJ200" s="537"/>
      <c r="UMK200" s="537"/>
      <c r="UML200" s="537"/>
      <c r="UMM200" s="537"/>
      <c r="UMN200" s="537"/>
      <c r="UMO200" s="537"/>
      <c r="UMP200" s="537"/>
      <c r="UMQ200" s="537"/>
      <c r="UMR200" s="537"/>
      <c r="UMS200" s="537"/>
      <c r="UMT200" s="537"/>
      <c r="UMU200" s="537"/>
      <c r="UMV200" s="537"/>
      <c r="UMW200" s="537"/>
      <c r="UMX200" s="537"/>
      <c r="UMY200" s="537"/>
      <c r="UMZ200" s="537"/>
      <c r="UNA200" s="537"/>
      <c r="UNB200" s="537"/>
      <c r="UNC200" s="537"/>
      <c r="UND200" s="537"/>
      <c r="UNE200" s="537"/>
      <c r="UNF200" s="537"/>
      <c r="UNG200" s="537"/>
      <c r="UNH200" s="537"/>
      <c r="UNI200" s="537"/>
      <c r="UNJ200" s="537"/>
      <c r="UNK200" s="537"/>
      <c r="UNL200" s="537"/>
      <c r="UNM200" s="537"/>
      <c r="UNN200" s="537"/>
      <c r="UNO200" s="537"/>
      <c r="UNP200" s="537"/>
      <c r="UNQ200" s="537"/>
      <c r="UNR200" s="537"/>
      <c r="UNS200" s="537"/>
      <c r="UNT200" s="537"/>
      <c r="UNU200" s="537"/>
      <c r="UNV200" s="537"/>
      <c r="UNW200" s="537"/>
      <c r="UNX200" s="537"/>
      <c r="UNY200" s="537"/>
      <c r="UNZ200" s="537"/>
      <c r="UOA200" s="537"/>
      <c r="UOB200" s="537"/>
      <c r="UOC200" s="537"/>
      <c r="UOD200" s="537"/>
      <c r="UOE200" s="537"/>
      <c r="UOF200" s="537"/>
      <c r="UOG200" s="537"/>
      <c r="UOH200" s="537"/>
      <c r="UOI200" s="537"/>
      <c r="UOJ200" s="537"/>
      <c r="UOK200" s="537"/>
      <c r="UOL200" s="537"/>
      <c r="UOM200" s="537"/>
      <c r="UON200" s="537"/>
      <c r="UOO200" s="537"/>
      <c r="UOP200" s="537"/>
      <c r="UOQ200" s="537"/>
      <c r="UOR200" s="537"/>
      <c r="UOS200" s="537"/>
      <c r="UOT200" s="537"/>
      <c r="UOU200" s="537"/>
      <c r="UOV200" s="537"/>
      <c r="UOW200" s="537"/>
      <c r="UOX200" s="537"/>
      <c r="UOY200" s="537"/>
      <c r="UOZ200" s="537"/>
      <c r="UPA200" s="537"/>
      <c r="UPB200" s="537"/>
      <c r="UPC200" s="537"/>
      <c r="UPD200" s="537"/>
      <c r="UPE200" s="537"/>
      <c r="UPF200" s="537"/>
      <c r="UPG200" s="537"/>
      <c r="UPH200" s="537"/>
      <c r="UPI200" s="537"/>
      <c r="UPJ200" s="537"/>
      <c r="UPK200" s="537"/>
      <c r="UPL200" s="537"/>
      <c r="UPM200" s="537"/>
      <c r="UPN200" s="537"/>
      <c r="UPO200" s="537"/>
      <c r="UPP200" s="537"/>
      <c r="UPQ200" s="537"/>
      <c r="UPR200" s="537"/>
      <c r="UPS200" s="537"/>
      <c r="UPT200" s="537"/>
      <c r="UPU200" s="537"/>
      <c r="UPV200" s="537"/>
      <c r="UPW200" s="537"/>
      <c r="UPX200" s="537"/>
      <c r="UPY200" s="537"/>
      <c r="UPZ200" s="537"/>
      <c r="UQA200" s="537"/>
      <c r="UQB200" s="537"/>
      <c r="UQC200" s="537"/>
      <c r="UQD200" s="537"/>
      <c r="UQE200" s="537"/>
      <c r="UQF200" s="537"/>
      <c r="UQG200" s="537"/>
      <c r="UQH200" s="537"/>
      <c r="UQI200" s="537"/>
      <c r="UQJ200" s="537"/>
      <c r="UQK200" s="537"/>
      <c r="UQL200" s="537"/>
      <c r="UQM200" s="537"/>
      <c r="UQN200" s="537"/>
      <c r="UQO200" s="537"/>
      <c r="UQP200" s="537"/>
      <c r="UQQ200" s="537"/>
      <c r="UQR200" s="537"/>
      <c r="UQS200" s="537"/>
      <c r="UQT200" s="537"/>
      <c r="UQU200" s="537"/>
      <c r="UQV200" s="537"/>
      <c r="UQW200" s="537"/>
      <c r="UQX200" s="537"/>
      <c r="UQY200" s="537"/>
      <c r="UQZ200" s="537"/>
      <c r="URA200" s="537"/>
      <c r="URB200" s="537"/>
      <c r="URC200" s="537"/>
      <c r="URD200" s="537"/>
      <c r="URE200" s="537"/>
      <c r="URF200" s="537"/>
      <c r="URG200" s="537"/>
      <c r="URH200" s="537"/>
      <c r="URI200" s="537"/>
      <c r="URJ200" s="537"/>
      <c r="URK200" s="537"/>
      <c r="URL200" s="537"/>
      <c r="URM200" s="537"/>
      <c r="URN200" s="537"/>
      <c r="URO200" s="537"/>
      <c r="URP200" s="537"/>
      <c r="URQ200" s="537"/>
      <c r="URR200" s="537"/>
      <c r="URS200" s="537"/>
      <c r="URT200" s="537"/>
      <c r="URU200" s="537"/>
      <c r="URV200" s="537"/>
      <c r="URW200" s="537"/>
      <c r="URX200" s="537"/>
      <c r="URY200" s="537"/>
      <c r="URZ200" s="537"/>
      <c r="USA200" s="537"/>
      <c r="USB200" s="537"/>
      <c r="USC200" s="537"/>
      <c r="USD200" s="537"/>
      <c r="USE200" s="537"/>
      <c r="USF200" s="537"/>
      <c r="USG200" s="537"/>
      <c r="USH200" s="537"/>
      <c r="USI200" s="537"/>
      <c r="USJ200" s="537"/>
      <c r="USK200" s="537"/>
      <c r="USL200" s="537"/>
      <c r="USM200" s="537"/>
      <c r="USN200" s="537"/>
      <c r="USO200" s="537"/>
      <c r="USP200" s="537"/>
      <c r="USQ200" s="537"/>
      <c r="USR200" s="537"/>
      <c r="USS200" s="537"/>
      <c r="UST200" s="537"/>
      <c r="USU200" s="537"/>
      <c r="USV200" s="537"/>
      <c r="USW200" s="537"/>
      <c r="USX200" s="537"/>
      <c r="USY200" s="537"/>
      <c r="USZ200" s="537"/>
      <c r="UTA200" s="537"/>
      <c r="UTB200" s="537"/>
      <c r="UTC200" s="537"/>
      <c r="UTD200" s="537"/>
      <c r="UTE200" s="537"/>
      <c r="UTF200" s="537"/>
      <c r="UTG200" s="537"/>
      <c r="UTH200" s="537"/>
      <c r="UTI200" s="537"/>
      <c r="UTJ200" s="537"/>
      <c r="UTK200" s="537"/>
      <c r="UTL200" s="537"/>
      <c r="UTM200" s="537"/>
      <c r="UTN200" s="537"/>
      <c r="UTO200" s="537"/>
      <c r="UTP200" s="537"/>
      <c r="UTQ200" s="537"/>
      <c r="UTR200" s="537"/>
      <c r="UTS200" s="537"/>
      <c r="UTT200" s="537"/>
      <c r="UTU200" s="537"/>
      <c r="UTV200" s="537"/>
      <c r="UTW200" s="537"/>
      <c r="UTX200" s="537"/>
      <c r="UTY200" s="537"/>
      <c r="UTZ200" s="537"/>
      <c r="UUA200" s="537"/>
      <c r="UUB200" s="537"/>
      <c r="UUC200" s="537"/>
      <c r="UUD200" s="537"/>
      <c r="UUE200" s="537"/>
      <c r="UUF200" s="537"/>
      <c r="UUG200" s="537"/>
      <c r="UUH200" s="537"/>
      <c r="UUI200" s="537"/>
      <c r="UUJ200" s="537"/>
      <c r="UUK200" s="537"/>
      <c r="UUL200" s="537"/>
      <c r="UUM200" s="537"/>
      <c r="UUN200" s="537"/>
      <c r="UUO200" s="537"/>
      <c r="UUP200" s="537"/>
      <c r="UUQ200" s="537"/>
      <c r="UUR200" s="537"/>
      <c r="UUS200" s="537"/>
      <c r="UUT200" s="537"/>
      <c r="UUU200" s="537"/>
      <c r="UUV200" s="537"/>
      <c r="UUW200" s="537"/>
      <c r="UUX200" s="537"/>
      <c r="UUY200" s="537"/>
      <c r="UUZ200" s="537"/>
      <c r="UVA200" s="537"/>
      <c r="UVB200" s="537"/>
      <c r="UVC200" s="537"/>
      <c r="UVD200" s="537"/>
      <c r="UVE200" s="537"/>
      <c r="UVF200" s="537"/>
      <c r="UVG200" s="537"/>
      <c r="UVH200" s="537"/>
      <c r="UVI200" s="537"/>
      <c r="UVJ200" s="537"/>
      <c r="UVK200" s="537"/>
      <c r="UVL200" s="537"/>
      <c r="UVM200" s="537"/>
      <c r="UVN200" s="537"/>
      <c r="UVO200" s="537"/>
      <c r="UVP200" s="537"/>
      <c r="UVQ200" s="537"/>
      <c r="UVR200" s="537"/>
      <c r="UVS200" s="537"/>
      <c r="UVT200" s="537"/>
      <c r="UVU200" s="537"/>
      <c r="UVV200" s="537"/>
      <c r="UVW200" s="537"/>
      <c r="UVX200" s="537"/>
      <c r="UVY200" s="537"/>
      <c r="UVZ200" s="537"/>
      <c r="UWA200" s="537"/>
      <c r="UWB200" s="537"/>
      <c r="UWC200" s="537"/>
      <c r="UWD200" s="537"/>
      <c r="UWE200" s="537"/>
      <c r="UWF200" s="537"/>
      <c r="UWG200" s="537"/>
      <c r="UWH200" s="537"/>
      <c r="UWI200" s="537"/>
      <c r="UWJ200" s="537"/>
      <c r="UWK200" s="537"/>
      <c r="UWL200" s="537"/>
      <c r="UWM200" s="537"/>
      <c r="UWN200" s="537"/>
      <c r="UWO200" s="537"/>
      <c r="UWP200" s="537"/>
      <c r="UWQ200" s="537"/>
      <c r="UWR200" s="537"/>
      <c r="UWS200" s="537"/>
      <c r="UWT200" s="537"/>
      <c r="UWU200" s="537"/>
      <c r="UWV200" s="537"/>
      <c r="UWW200" s="537"/>
      <c r="UWX200" s="537"/>
      <c r="UWY200" s="537"/>
      <c r="UWZ200" s="537"/>
      <c r="UXA200" s="537"/>
      <c r="UXB200" s="537"/>
      <c r="UXC200" s="537"/>
      <c r="UXD200" s="537"/>
      <c r="UXE200" s="537"/>
      <c r="UXF200" s="537"/>
      <c r="UXG200" s="537"/>
      <c r="UXH200" s="537"/>
      <c r="UXI200" s="537"/>
      <c r="UXJ200" s="537"/>
      <c r="UXK200" s="537"/>
      <c r="UXL200" s="537"/>
      <c r="UXM200" s="537"/>
      <c r="UXN200" s="537"/>
      <c r="UXO200" s="537"/>
      <c r="UXP200" s="537"/>
      <c r="UXQ200" s="537"/>
      <c r="UXR200" s="537"/>
      <c r="UXS200" s="537"/>
      <c r="UXT200" s="537"/>
      <c r="UXU200" s="537"/>
      <c r="UXV200" s="537"/>
      <c r="UXW200" s="537"/>
      <c r="UXX200" s="537"/>
      <c r="UXY200" s="537"/>
      <c r="UXZ200" s="537"/>
      <c r="UYA200" s="537"/>
      <c r="UYB200" s="537"/>
      <c r="UYC200" s="537"/>
      <c r="UYD200" s="537"/>
      <c r="UYE200" s="537"/>
      <c r="UYF200" s="537"/>
      <c r="UYG200" s="537"/>
      <c r="UYH200" s="537"/>
      <c r="UYI200" s="537"/>
      <c r="UYJ200" s="537"/>
      <c r="UYK200" s="537"/>
      <c r="UYL200" s="537"/>
      <c r="UYM200" s="537"/>
      <c r="UYN200" s="537"/>
      <c r="UYO200" s="537"/>
      <c r="UYP200" s="537"/>
      <c r="UYQ200" s="537"/>
      <c r="UYR200" s="537"/>
      <c r="UYS200" s="537"/>
      <c r="UYT200" s="537"/>
      <c r="UYU200" s="537"/>
      <c r="UYV200" s="537"/>
      <c r="UYW200" s="537"/>
      <c r="UYX200" s="537"/>
      <c r="UYY200" s="537"/>
      <c r="UYZ200" s="537"/>
      <c r="UZA200" s="537"/>
      <c r="UZB200" s="537"/>
      <c r="UZC200" s="537"/>
      <c r="UZD200" s="537"/>
      <c r="UZE200" s="537"/>
      <c r="UZF200" s="537"/>
      <c r="UZG200" s="537"/>
      <c r="UZH200" s="537"/>
      <c r="UZI200" s="537"/>
      <c r="UZJ200" s="537"/>
      <c r="UZK200" s="537"/>
      <c r="UZL200" s="537"/>
      <c r="UZM200" s="537"/>
      <c r="UZN200" s="537"/>
      <c r="UZO200" s="537"/>
      <c r="UZP200" s="537"/>
      <c r="UZQ200" s="537"/>
      <c r="UZR200" s="537"/>
      <c r="UZS200" s="537"/>
      <c r="UZT200" s="537"/>
      <c r="UZU200" s="537"/>
      <c r="UZV200" s="537"/>
      <c r="UZW200" s="537"/>
      <c r="UZX200" s="537"/>
      <c r="UZY200" s="537"/>
      <c r="UZZ200" s="537"/>
      <c r="VAA200" s="537"/>
      <c r="VAB200" s="537"/>
      <c r="VAC200" s="537"/>
      <c r="VAD200" s="537"/>
      <c r="VAE200" s="537"/>
      <c r="VAF200" s="537"/>
      <c r="VAG200" s="537"/>
      <c r="VAH200" s="537"/>
      <c r="VAI200" s="537"/>
      <c r="VAJ200" s="537"/>
      <c r="VAK200" s="537"/>
      <c r="VAL200" s="537"/>
      <c r="VAM200" s="537"/>
      <c r="VAN200" s="537"/>
      <c r="VAO200" s="537"/>
      <c r="VAP200" s="537"/>
      <c r="VAQ200" s="537"/>
      <c r="VAR200" s="537"/>
      <c r="VAS200" s="537"/>
      <c r="VAT200" s="537"/>
      <c r="VAU200" s="537"/>
      <c r="VAV200" s="537"/>
      <c r="VAW200" s="537"/>
      <c r="VAX200" s="537"/>
      <c r="VAY200" s="537"/>
      <c r="VAZ200" s="537"/>
      <c r="VBA200" s="537"/>
      <c r="VBB200" s="537"/>
      <c r="VBC200" s="537"/>
      <c r="VBD200" s="537"/>
      <c r="VBE200" s="537"/>
      <c r="VBF200" s="537"/>
      <c r="VBG200" s="537"/>
      <c r="VBH200" s="537"/>
      <c r="VBI200" s="537"/>
      <c r="VBJ200" s="537"/>
      <c r="VBK200" s="537"/>
      <c r="VBL200" s="537"/>
      <c r="VBM200" s="537"/>
      <c r="VBN200" s="537"/>
      <c r="VBO200" s="537"/>
      <c r="VBP200" s="537"/>
      <c r="VBQ200" s="537"/>
      <c r="VBR200" s="537"/>
      <c r="VBS200" s="537"/>
      <c r="VBT200" s="537"/>
      <c r="VBU200" s="537"/>
      <c r="VBV200" s="537"/>
      <c r="VBW200" s="537"/>
      <c r="VBX200" s="537"/>
      <c r="VBY200" s="537"/>
      <c r="VBZ200" s="537"/>
      <c r="VCA200" s="537"/>
      <c r="VCB200" s="537"/>
      <c r="VCC200" s="537"/>
      <c r="VCD200" s="537"/>
      <c r="VCE200" s="537"/>
      <c r="VCF200" s="537"/>
      <c r="VCG200" s="537"/>
      <c r="VCH200" s="537"/>
      <c r="VCI200" s="537"/>
      <c r="VCJ200" s="537"/>
      <c r="VCK200" s="537"/>
      <c r="VCL200" s="537"/>
      <c r="VCM200" s="537"/>
      <c r="VCN200" s="537"/>
      <c r="VCO200" s="537"/>
      <c r="VCP200" s="537"/>
      <c r="VCQ200" s="537"/>
      <c r="VCR200" s="537"/>
      <c r="VCS200" s="537"/>
      <c r="VCT200" s="537"/>
      <c r="VCU200" s="537"/>
      <c r="VCV200" s="537"/>
      <c r="VCW200" s="537"/>
      <c r="VCX200" s="537"/>
      <c r="VCY200" s="537"/>
      <c r="VCZ200" s="537"/>
      <c r="VDA200" s="537"/>
      <c r="VDB200" s="537"/>
      <c r="VDC200" s="537"/>
      <c r="VDD200" s="537"/>
      <c r="VDE200" s="537"/>
      <c r="VDF200" s="537"/>
      <c r="VDG200" s="537"/>
      <c r="VDH200" s="537"/>
      <c r="VDI200" s="537"/>
      <c r="VDJ200" s="537"/>
      <c r="VDK200" s="537"/>
      <c r="VDL200" s="537"/>
      <c r="VDM200" s="537"/>
      <c r="VDN200" s="537"/>
      <c r="VDO200" s="537"/>
      <c r="VDP200" s="537"/>
      <c r="VDQ200" s="537"/>
      <c r="VDR200" s="537"/>
      <c r="VDS200" s="537"/>
      <c r="VDT200" s="537"/>
      <c r="VDU200" s="537"/>
      <c r="VDV200" s="537"/>
      <c r="VDW200" s="537"/>
      <c r="VDX200" s="537"/>
      <c r="VDY200" s="537"/>
      <c r="VDZ200" s="537"/>
      <c r="VEA200" s="537"/>
      <c r="VEB200" s="537"/>
      <c r="VEC200" s="537"/>
      <c r="VED200" s="537"/>
      <c r="VEE200" s="537"/>
      <c r="VEF200" s="537"/>
      <c r="VEG200" s="537"/>
      <c r="VEH200" s="537"/>
      <c r="VEI200" s="537"/>
      <c r="VEJ200" s="537"/>
      <c r="VEK200" s="537"/>
      <c r="VEL200" s="537"/>
      <c r="VEM200" s="537"/>
      <c r="VEN200" s="537"/>
      <c r="VEO200" s="537"/>
      <c r="VEP200" s="537"/>
      <c r="VEQ200" s="537"/>
      <c r="VER200" s="537"/>
      <c r="VES200" s="537"/>
      <c r="VET200" s="537"/>
      <c r="VEU200" s="537"/>
      <c r="VEV200" s="537"/>
      <c r="VEW200" s="537"/>
      <c r="VEX200" s="537"/>
      <c r="VEY200" s="537"/>
      <c r="VEZ200" s="537"/>
      <c r="VFA200" s="537"/>
      <c r="VFB200" s="537"/>
      <c r="VFC200" s="537"/>
      <c r="VFD200" s="537"/>
      <c r="VFE200" s="537"/>
      <c r="VFF200" s="537"/>
      <c r="VFG200" s="537"/>
      <c r="VFH200" s="537"/>
      <c r="VFI200" s="537"/>
      <c r="VFJ200" s="537"/>
      <c r="VFK200" s="537"/>
      <c r="VFL200" s="537"/>
      <c r="VFM200" s="537"/>
      <c r="VFN200" s="537"/>
      <c r="VFO200" s="537"/>
      <c r="VFP200" s="537"/>
      <c r="VFQ200" s="537"/>
      <c r="VFR200" s="537"/>
      <c r="VFS200" s="537"/>
      <c r="VFT200" s="537"/>
      <c r="VFU200" s="537"/>
      <c r="VFV200" s="537"/>
      <c r="VFW200" s="537"/>
      <c r="VFX200" s="537"/>
      <c r="VFY200" s="537"/>
      <c r="VFZ200" s="537"/>
      <c r="VGA200" s="537"/>
      <c r="VGB200" s="537"/>
      <c r="VGC200" s="537"/>
      <c r="VGD200" s="537"/>
      <c r="VGE200" s="537"/>
      <c r="VGF200" s="537"/>
      <c r="VGG200" s="537"/>
      <c r="VGH200" s="537"/>
      <c r="VGI200" s="537"/>
      <c r="VGJ200" s="537"/>
      <c r="VGK200" s="537"/>
      <c r="VGL200" s="537"/>
      <c r="VGM200" s="537"/>
      <c r="VGN200" s="537"/>
      <c r="VGO200" s="537"/>
      <c r="VGP200" s="537"/>
      <c r="VGQ200" s="537"/>
      <c r="VGR200" s="537"/>
      <c r="VGS200" s="537"/>
      <c r="VGT200" s="537"/>
      <c r="VGU200" s="537"/>
      <c r="VGV200" s="537"/>
      <c r="VGW200" s="537"/>
      <c r="VGX200" s="537"/>
      <c r="VGY200" s="537"/>
      <c r="VGZ200" s="537"/>
      <c r="VHA200" s="537"/>
      <c r="VHB200" s="537"/>
      <c r="VHC200" s="537"/>
      <c r="VHD200" s="537"/>
      <c r="VHE200" s="537"/>
      <c r="VHF200" s="537"/>
      <c r="VHG200" s="537"/>
      <c r="VHH200" s="537"/>
      <c r="VHI200" s="537"/>
      <c r="VHJ200" s="537"/>
      <c r="VHK200" s="537"/>
      <c r="VHL200" s="537"/>
      <c r="VHM200" s="537"/>
      <c r="VHN200" s="537"/>
      <c r="VHO200" s="537"/>
      <c r="VHP200" s="537"/>
      <c r="VHQ200" s="537"/>
      <c r="VHR200" s="537"/>
      <c r="VHS200" s="537"/>
      <c r="VHT200" s="537"/>
      <c r="VHU200" s="537"/>
      <c r="VHV200" s="537"/>
      <c r="VHW200" s="537"/>
      <c r="VHX200" s="537"/>
      <c r="VHY200" s="537"/>
      <c r="VHZ200" s="537"/>
      <c r="VIA200" s="537"/>
      <c r="VIB200" s="537"/>
      <c r="VIC200" s="537"/>
      <c r="VID200" s="537"/>
      <c r="VIE200" s="537"/>
      <c r="VIF200" s="537"/>
      <c r="VIG200" s="537"/>
      <c r="VIH200" s="537"/>
      <c r="VII200" s="537"/>
      <c r="VIJ200" s="537"/>
      <c r="VIK200" s="537"/>
      <c r="VIL200" s="537"/>
      <c r="VIM200" s="537"/>
      <c r="VIN200" s="537"/>
      <c r="VIO200" s="537"/>
      <c r="VIP200" s="537"/>
      <c r="VIQ200" s="537"/>
      <c r="VIR200" s="537"/>
      <c r="VIS200" s="537"/>
      <c r="VIT200" s="537"/>
      <c r="VIU200" s="537"/>
      <c r="VIV200" s="537"/>
      <c r="VIW200" s="537"/>
      <c r="VIX200" s="537"/>
      <c r="VIY200" s="537"/>
      <c r="VIZ200" s="537"/>
      <c r="VJA200" s="537"/>
      <c r="VJB200" s="537"/>
      <c r="VJC200" s="537"/>
      <c r="VJD200" s="537"/>
      <c r="VJE200" s="537"/>
      <c r="VJF200" s="537"/>
      <c r="VJG200" s="537"/>
      <c r="VJH200" s="537"/>
      <c r="VJI200" s="537"/>
      <c r="VJJ200" s="537"/>
      <c r="VJK200" s="537"/>
      <c r="VJL200" s="537"/>
      <c r="VJM200" s="537"/>
      <c r="VJN200" s="537"/>
      <c r="VJO200" s="537"/>
      <c r="VJP200" s="537"/>
      <c r="VJQ200" s="537"/>
      <c r="VJR200" s="537"/>
      <c r="VJS200" s="537"/>
      <c r="VJT200" s="537"/>
      <c r="VJU200" s="537"/>
      <c r="VJV200" s="537"/>
      <c r="VJW200" s="537"/>
      <c r="VJX200" s="537"/>
      <c r="VJY200" s="537"/>
      <c r="VJZ200" s="537"/>
      <c r="VKA200" s="537"/>
      <c r="VKB200" s="537"/>
      <c r="VKC200" s="537"/>
      <c r="VKD200" s="537"/>
      <c r="VKE200" s="537"/>
      <c r="VKF200" s="537"/>
      <c r="VKG200" s="537"/>
      <c r="VKH200" s="537"/>
      <c r="VKI200" s="537"/>
      <c r="VKJ200" s="537"/>
      <c r="VKK200" s="537"/>
      <c r="VKL200" s="537"/>
      <c r="VKM200" s="537"/>
      <c r="VKN200" s="537"/>
      <c r="VKO200" s="537"/>
      <c r="VKP200" s="537"/>
      <c r="VKQ200" s="537"/>
      <c r="VKR200" s="537"/>
      <c r="VKS200" s="537"/>
      <c r="VKT200" s="537"/>
      <c r="VKU200" s="537"/>
      <c r="VKV200" s="537"/>
      <c r="VKW200" s="537"/>
      <c r="VKX200" s="537"/>
      <c r="VKY200" s="537"/>
      <c r="VKZ200" s="537"/>
      <c r="VLA200" s="537"/>
      <c r="VLB200" s="537"/>
      <c r="VLC200" s="537"/>
      <c r="VLD200" s="537"/>
      <c r="VLE200" s="537"/>
      <c r="VLF200" s="537"/>
      <c r="VLG200" s="537"/>
      <c r="VLH200" s="537"/>
      <c r="VLI200" s="537"/>
      <c r="VLJ200" s="537"/>
      <c r="VLK200" s="537"/>
      <c r="VLL200" s="537"/>
      <c r="VLM200" s="537"/>
      <c r="VLN200" s="537"/>
      <c r="VLO200" s="537"/>
      <c r="VLP200" s="537"/>
      <c r="VLQ200" s="537"/>
      <c r="VLR200" s="537"/>
      <c r="VLS200" s="537"/>
      <c r="VLT200" s="537"/>
      <c r="VLU200" s="537"/>
      <c r="VLV200" s="537"/>
      <c r="VLW200" s="537"/>
      <c r="VLX200" s="537"/>
      <c r="VLY200" s="537"/>
      <c r="VLZ200" s="537"/>
      <c r="VMA200" s="537"/>
      <c r="VMB200" s="537"/>
      <c r="VMC200" s="537"/>
      <c r="VMD200" s="537"/>
      <c r="VME200" s="537"/>
      <c r="VMF200" s="537"/>
      <c r="VMG200" s="537"/>
      <c r="VMH200" s="537"/>
      <c r="VMI200" s="537"/>
      <c r="VMJ200" s="537"/>
      <c r="VMK200" s="537"/>
      <c r="VML200" s="537"/>
      <c r="VMM200" s="537"/>
      <c r="VMN200" s="537"/>
      <c r="VMO200" s="537"/>
      <c r="VMP200" s="537"/>
      <c r="VMQ200" s="537"/>
      <c r="VMR200" s="537"/>
      <c r="VMS200" s="537"/>
      <c r="VMT200" s="537"/>
      <c r="VMU200" s="537"/>
      <c r="VMV200" s="537"/>
      <c r="VMW200" s="537"/>
      <c r="VMX200" s="537"/>
      <c r="VMY200" s="537"/>
      <c r="VMZ200" s="537"/>
      <c r="VNA200" s="537"/>
      <c r="VNB200" s="537"/>
      <c r="VNC200" s="537"/>
      <c r="VND200" s="537"/>
      <c r="VNE200" s="537"/>
      <c r="VNF200" s="537"/>
      <c r="VNG200" s="537"/>
      <c r="VNH200" s="537"/>
      <c r="VNI200" s="537"/>
      <c r="VNJ200" s="537"/>
      <c r="VNK200" s="537"/>
      <c r="VNL200" s="537"/>
      <c r="VNM200" s="537"/>
      <c r="VNN200" s="537"/>
      <c r="VNO200" s="537"/>
      <c r="VNP200" s="537"/>
      <c r="VNQ200" s="537"/>
      <c r="VNR200" s="537"/>
      <c r="VNS200" s="537"/>
      <c r="VNT200" s="537"/>
      <c r="VNU200" s="537"/>
      <c r="VNV200" s="537"/>
      <c r="VNW200" s="537"/>
      <c r="VNX200" s="537"/>
      <c r="VNY200" s="537"/>
      <c r="VNZ200" s="537"/>
      <c r="VOA200" s="537"/>
      <c r="VOB200" s="537"/>
      <c r="VOC200" s="537"/>
      <c r="VOD200" s="537"/>
      <c r="VOE200" s="537"/>
      <c r="VOF200" s="537"/>
      <c r="VOG200" s="537"/>
      <c r="VOH200" s="537"/>
      <c r="VOI200" s="537"/>
      <c r="VOJ200" s="537"/>
      <c r="VOK200" s="537"/>
      <c r="VOL200" s="537"/>
      <c r="VOM200" s="537"/>
      <c r="VON200" s="537"/>
      <c r="VOO200" s="537"/>
      <c r="VOP200" s="537"/>
      <c r="VOQ200" s="537"/>
      <c r="VOR200" s="537"/>
      <c r="VOS200" s="537"/>
      <c r="VOT200" s="537"/>
      <c r="VOU200" s="537"/>
      <c r="VOV200" s="537"/>
      <c r="VOW200" s="537"/>
      <c r="VOX200" s="537"/>
      <c r="VOY200" s="537"/>
      <c r="VOZ200" s="537"/>
      <c r="VPA200" s="537"/>
      <c r="VPB200" s="537"/>
      <c r="VPC200" s="537"/>
      <c r="VPD200" s="537"/>
      <c r="VPE200" s="537"/>
      <c r="VPF200" s="537"/>
      <c r="VPG200" s="537"/>
      <c r="VPH200" s="537"/>
      <c r="VPI200" s="537"/>
      <c r="VPJ200" s="537"/>
      <c r="VPK200" s="537"/>
      <c r="VPL200" s="537"/>
      <c r="VPM200" s="537"/>
      <c r="VPN200" s="537"/>
      <c r="VPO200" s="537"/>
      <c r="VPP200" s="537"/>
      <c r="VPQ200" s="537"/>
      <c r="VPR200" s="537"/>
      <c r="VPS200" s="537"/>
      <c r="VPT200" s="537"/>
      <c r="VPU200" s="537"/>
      <c r="VPV200" s="537"/>
      <c r="VPW200" s="537"/>
      <c r="VPX200" s="537"/>
      <c r="VPY200" s="537"/>
      <c r="VPZ200" s="537"/>
      <c r="VQA200" s="537"/>
      <c r="VQB200" s="537"/>
      <c r="VQC200" s="537"/>
      <c r="VQD200" s="537"/>
      <c r="VQE200" s="537"/>
      <c r="VQF200" s="537"/>
      <c r="VQG200" s="537"/>
      <c r="VQH200" s="537"/>
      <c r="VQI200" s="537"/>
      <c r="VQJ200" s="537"/>
      <c r="VQK200" s="537"/>
      <c r="VQL200" s="537"/>
      <c r="VQM200" s="537"/>
      <c r="VQN200" s="537"/>
      <c r="VQO200" s="537"/>
      <c r="VQP200" s="537"/>
      <c r="VQQ200" s="537"/>
      <c r="VQR200" s="537"/>
      <c r="VQS200" s="537"/>
      <c r="VQT200" s="537"/>
      <c r="VQU200" s="537"/>
      <c r="VQV200" s="537"/>
      <c r="VQW200" s="537"/>
      <c r="VQX200" s="537"/>
      <c r="VQY200" s="537"/>
      <c r="VQZ200" s="537"/>
      <c r="VRA200" s="537"/>
      <c r="VRB200" s="537"/>
      <c r="VRC200" s="537"/>
      <c r="VRD200" s="537"/>
      <c r="VRE200" s="537"/>
      <c r="VRF200" s="537"/>
      <c r="VRG200" s="537"/>
      <c r="VRH200" s="537"/>
      <c r="VRI200" s="537"/>
      <c r="VRJ200" s="537"/>
      <c r="VRK200" s="537"/>
      <c r="VRL200" s="537"/>
      <c r="VRM200" s="537"/>
      <c r="VRN200" s="537"/>
      <c r="VRO200" s="537"/>
      <c r="VRP200" s="537"/>
      <c r="VRQ200" s="537"/>
      <c r="VRR200" s="537"/>
      <c r="VRS200" s="537"/>
      <c r="VRT200" s="537"/>
      <c r="VRU200" s="537"/>
      <c r="VRV200" s="537"/>
      <c r="VRW200" s="537"/>
      <c r="VRX200" s="537"/>
      <c r="VRY200" s="537"/>
      <c r="VRZ200" s="537"/>
      <c r="VSA200" s="537"/>
      <c r="VSB200" s="537"/>
      <c r="VSC200" s="537"/>
      <c r="VSD200" s="537"/>
      <c r="VSE200" s="537"/>
      <c r="VSF200" s="537"/>
      <c r="VSG200" s="537"/>
      <c r="VSH200" s="537"/>
      <c r="VSI200" s="537"/>
      <c r="VSJ200" s="537"/>
      <c r="VSK200" s="537"/>
      <c r="VSL200" s="537"/>
      <c r="VSM200" s="537"/>
      <c r="VSN200" s="537"/>
      <c r="VSO200" s="537"/>
      <c r="VSP200" s="537"/>
      <c r="VSQ200" s="537"/>
      <c r="VSR200" s="537"/>
      <c r="VSS200" s="537"/>
      <c r="VST200" s="537"/>
      <c r="VSU200" s="537"/>
      <c r="VSV200" s="537"/>
      <c r="VSW200" s="537"/>
      <c r="VSX200" s="537"/>
      <c r="VSY200" s="537"/>
      <c r="VSZ200" s="537"/>
      <c r="VTA200" s="537"/>
      <c r="VTB200" s="537"/>
      <c r="VTC200" s="537"/>
      <c r="VTD200" s="537"/>
      <c r="VTE200" s="537"/>
      <c r="VTF200" s="537"/>
      <c r="VTG200" s="537"/>
      <c r="VTH200" s="537"/>
      <c r="VTI200" s="537"/>
      <c r="VTJ200" s="537"/>
      <c r="VTK200" s="537"/>
      <c r="VTL200" s="537"/>
      <c r="VTM200" s="537"/>
      <c r="VTN200" s="537"/>
      <c r="VTO200" s="537"/>
      <c r="VTP200" s="537"/>
      <c r="VTQ200" s="537"/>
      <c r="VTR200" s="537"/>
      <c r="VTS200" s="537"/>
      <c r="VTT200" s="537"/>
      <c r="VTU200" s="537"/>
      <c r="VTV200" s="537"/>
      <c r="VTW200" s="537"/>
      <c r="VTX200" s="537"/>
      <c r="VTY200" s="537"/>
      <c r="VTZ200" s="537"/>
      <c r="VUA200" s="537"/>
      <c r="VUB200" s="537"/>
      <c r="VUC200" s="537"/>
      <c r="VUD200" s="537"/>
      <c r="VUE200" s="537"/>
      <c r="VUF200" s="537"/>
      <c r="VUG200" s="537"/>
      <c r="VUH200" s="537"/>
      <c r="VUI200" s="537"/>
      <c r="VUJ200" s="537"/>
      <c r="VUK200" s="537"/>
      <c r="VUL200" s="537"/>
      <c r="VUM200" s="537"/>
      <c r="VUN200" s="537"/>
      <c r="VUO200" s="537"/>
      <c r="VUP200" s="537"/>
      <c r="VUQ200" s="537"/>
      <c r="VUR200" s="537"/>
      <c r="VUS200" s="537"/>
      <c r="VUT200" s="537"/>
      <c r="VUU200" s="537"/>
      <c r="VUV200" s="537"/>
      <c r="VUW200" s="537"/>
      <c r="VUX200" s="537"/>
      <c r="VUY200" s="537"/>
      <c r="VUZ200" s="537"/>
      <c r="VVA200" s="537"/>
      <c r="VVB200" s="537"/>
      <c r="VVC200" s="537"/>
      <c r="VVD200" s="537"/>
      <c r="VVE200" s="537"/>
      <c r="VVF200" s="537"/>
      <c r="VVG200" s="537"/>
      <c r="VVH200" s="537"/>
      <c r="VVI200" s="537"/>
      <c r="VVJ200" s="537"/>
      <c r="VVK200" s="537"/>
      <c r="VVL200" s="537"/>
      <c r="VVM200" s="537"/>
      <c r="VVN200" s="537"/>
      <c r="VVO200" s="537"/>
      <c r="VVP200" s="537"/>
      <c r="VVQ200" s="537"/>
      <c r="VVR200" s="537"/>
      <c r="VVS200" s="537"/>
      <c r="VVT200" s="537"/>
      <c r="VVU200" s="537"/>
      <c r="VVV200" s="537"/>
      <c r="VVW200" s="537"/>
      <c r="VVX200" s="537"/>
      <c r="VVY200" s="537"/>
      <c r="VVZ200" s="537"/>
      <c r="VWA200" s="537"/>
      <c r="VWB200" s="537"/>
      <c r="VWC200" s="537"/>
      <c r="VWD200" s="537"/>
      <c r="VWE200" s="537"/>
      <c r="VWF200" s="537"/>
      <c r="VWG200" s="537"/>
      <c r="VWH200" s="537"/>
      <c r="VWI200" s="537"/>
      <c r="VWJ200" s="537"/>
      <c r="VWK200" s="537"/>
      <c r="VWL200" s="537"/>
      <c r="VWM200" s="537"/>
      <c r="VWN200" s="537"/>
      <c r="VWO200" s="537"/>
      <c r="VWP200" s="537"/>
      <c r="VWQ200" s="537"/>
      <c r="VWR200" s="537"/>
      <c r="VWS200" s="537"/>
      <c r="VWT200" s="537"/>
      <c r="VWU200" s="537"/>
      <c r="VWV200" s="537"/>
      <c r="VWW200" s="537"/>
      <c r="VWX200" s="537"/>
      <c r="VWY200" s="537"/>
      <c r="VWZ200" s="537"/>
      <c r="VXA200" s="537"/>
      <c r="VXB200" s="537"/>
      <c r="VXC200" s="537"/>
      <c r="VXD200" s="537"/>
      <c r="VXE200" s="537"/>
      <c r="VXF200" s="537"/>
      <c r="VXG200" s="537"/>
      <c r="VXH200" s="537"/>
      <c r="VXI200" s="537"/>
      <c r="VXJ200" s="537"/>
      <c r="VXK200" s="537"/>
      <c r="VXL200" s="537"/>
      <c r="VXM200" s="537"/>
      <c r="VXN200" s="537"/>
      <c r="VXO200" s="537"/>
      <c r="VXP200" s="537"/>
      <c r="VXQ200" s="537"/>
      <c r="VXR200" s="537"/>
      <c r="VXS200" s="537"/>
      <c r="VXT200" s="537"/>
      <c r="VXU200" s="537"/>
      <c r="VXV200" s="537"/>
      <c r="VXW200" s="537"/>
      <c r="VXX200" s="537"/>
      <c r="VXY200" s="537"/>
      <c r="VXZ200" s="537"/>
      <c r="VYA200" s="537"/>
      <c r="VYB200" s="537"/>
      <c r="VYC200" s="537"/>
      <c r="VYD200" s="537"/>
      <c r="VYE200" s="537"/>
      <c r="VYF200" s="537"/>
      <c r="VYG200" s="537"/>
      <c r="VYH200" s="537"/>
      <c r="VYI200" s="537"/>
      <c r="VYJ200" s="537"/>
      <c r="VYK200" s="537"/>
      <c r="VYL200" s="537"/>
      <c r="VYM200" s="537"/>
      <c r="VYN200" s="537"/>
      <c r="VYO200" s="537"/>
      <c r="VYP200" s="537"/>
      <c r="VYQ200" s="537"/>
      <c r="VYR200" s="537"/>
      <c r="VYS200" s="537"/>
      <c r="VYT200" s="537"/>
      <c r="VYU200" s="537"/>
      <c r="VYV200" s="537"/>
      <c r="VYW200" s="537"/>
      <c r="VYX200" s="537"/>
      <c r="VYY200" s="537"/>
      <c r="VYZ200" s="537"/>
      <c r="VZA200" s="537"/>
      <c r="VZB200" s="537"/>
      <c r="VZC200" s="537"/>
      <c r="VZD200" s="537"/>
      <c r="VZE200" s="537"/>
      <c r="VZF200" s="537"/>
      <c r="VZG200" s="537"/>
      <c r="VZH200" s="537"/>
      <c r="VZI200" s="537"/>
      <c r="VZJ200" s="537"/>
      <c r="VZK200" s="537"/>
      <c r="VZL200" s="537"/>
      <c r="VZM200" s="537"/>
      <c r="VZN200" s="537"/>
      <c r="VZO200" s="537"/>
      <c r="VZP200" s="537"/>
      <c r="VZQ200" s="537"/>
      <c r="VZR200" s="537"/>
      <c r="VZS200" s="537"/>
      <c r="VZT200" s="537"/>
      <c r="VZU200" s="537"/>
      <c r="VZV200" s="537"/>
      <c r="VZW200" s="537"/>
      <c r="VZX200" s="537"/>
      <c r="VZY200" s="537"/>
      <c r="VZZ200" s="537"/>
      <c r="WAA200" s="537"/>
      <c r="WAB200" s="537"/>
      <c r="WAC200" s="537"/>
      <c r="WAD200" s="537"/>
      <c r="WAE200" s="537"/>
      <c r="WAF200" s="537"/>
      <c r="WAG200" s="537"/>
      <c r="WAH200" s="537"/>
      <c r="WAI200" s="537"/>
      <c r="WAJ200" s="537"/>
      <c r="WAK200" s="537"/>
      <c r="WAL200" s="537"/>
      <c r="WAM200" s="537"/>
      <c r="WAN200" s="537"/>
      <c r="WAO200" s="537"/>
      <c r="WAP200" s="537"/>
      <c r="WAQ200" s="537"/>
      <c r="WAR200" s="537"/>
      <c r="WAS200" s="537"/>
      <c r="WAT200" s="537"/>
      <c r="WAU200" s="537"/>
      <c r="WAV200" s="537"/>
      <c r="WAW200" s="537"/>
      <c r="WAX200" s="537"/>
      <c r="WAY200" s="537"/>
      <c r="WAZ200" s="537"/>
      <c r="WBA200" s="537"/>
      <c r="WBB200" s="537"/>
      <c r="WBC200" s="537"/>
      <c r="WBD200" s="537"/>
      <c r="WBE200" s="537"/>
      <c r="WBF200" s="537"/>
      <c r="WBG200" s="537"/>
      <c r="WBH200" s="537"/>
      <c r="WBI200" s="537"/>
      <c r="WBJ200" s="537"/>
      <c r="WBK200" s="537"/>
      <c r="WBL200" s="537"/>
      <c r="WBM200" s="537"/>
      <c r="WBN200" s="537"/>
      <c r="WBO200" s="537"/>
      <c r="WBP200" s="537"/>
      <c r="WBQ200" s="537"/>
      <c r="WBR200" s="537"/>
      <c r="WBS200" s="537"/>
      <c r="WBT200" s="537"/>
      <c r="WBU200" s="537"/>
      <c r="WBV200" s="537"/>
      <c r="WBW200" s="537"/>
      <c r="WBX200" s="537"/>
      <c r="WBY200" s="537"/>
      <c r="WBZ200" s="537"/>
      <c r="WCA200" s="537"/>
      <c r="WCB200" s="537"/>
      <c r="WCC200" s="537"/>
      <c r="WCD200" s="537"/>
      <c r="WCE200" s="537"/>
      <c r="WCF200" s="537"/>
      <c r="WCG200" s="537"/>
      <c r="WCH200" s="537"/>
      <c r="WCI200" s="537"/>
      <c r="WCJ200" s="537"/>
      <c r="WCK200" s="537"/>
      <c r="WCL200" s="537"/>
      <c r="WCM200" s="537"/>
      <c r="WCN200" s="537"/>
      <c r="WCO200" s="537"/>
      <c r="WCP200" s="537"/>
      <c r="WCQ200" s="537"/>
      <c r="WCR200" s="537"/>
      <c r="WCS200" s="537"/>
      <c r="WCT200" s="537"/>
      <c r="WCU200" s="537"/>
      <c r="WCV200" s="537"/>
      <c r="WCW200" s="537"/>
      <c r="WCX200" s="537"/>
      <c r="WCY200" s="537"/>
      <c r="WCZ200" s="537"/>
      <c r="WDA200" s="537"/>
      <c r="WDB200" s="537"/>
      <c r="WDC200" s="537"/>
      <c r="WDD200" s="537"/>
      <c r="WDE200" s="537"/>
      <c r="WDF200" s="537"/>
      <c r="WDG200" s="537"/>
      <c r="WDH200" s="537"/>
      <c r="WDI200" s="537"/>
      <c r="WDJ200" s="537"/>
      <c r="WDK200" s="537"/>
      <c r="WDL200" s="537"/>
      <c r="WDM200" s="537"/>
      <c r="WDN200" s="537"/>
      <c r="WDO200" s="537"/>
      <c r="WDP200" s="537"/>
      <c r="WDQ200" s="537"/>
      <c r="WDR200" s="537"/>
      <c r="WDS200" s="537"/>
      <c r="WDT200" s="537"/>
      <c r="WDU200" s="537"/>
      <c r="WDV200" s="537"/>
      <c r="WDW200" s="537"/>
      <c r="WDX200" s="537"/>
      <c r="WDY200" s="537"/>
      <c r="WDZ200" s="537"/>
      <c r="WEA200" s="537"/>
      <c r="WEB200" s="537"/>
      <c r="WEC200" s="537"/>
      <c r="WED200" s="537"/>
      <c r="WEE200" s="537"/>
      <c r="WEF200" s="537"/>
      <c r="WEG200" s="537"/>
      <c r="WEH200" s="537"/>
      <c r="WEI200" s="537"/>
      <c r="WEJ200" s="537"/>
      <c r="WEK200" s="537"/>
      <c r="WEL200" s="537"/>
      <c r="WEM200" s="537"/>
      <c r="WEN200" s="537"/>
      <c r="WEO200" s="537"/>
      <c r="WEP200" s="537"/>
      <c r="WEQ200" s="537"/>
      <c r="WER200" s="537"/>
      <c r="WES200" s="537"/>
      <c r="WET200" s="537"/>
      <c r="WEU200" s="537"/>
      <c r="WEV200" s="537"/>
      <c r="WEW200" s="537"/>
      <c r="WEX200" s="537"/>
      <c r="WEY200" s="537"/>
      <c r="WEZ200" s="537"/>
      <c r="WFA200" s="537"/>
      <c r="WFB200" s="537"/>
      <c r="WFC200" s="537"/>
      <c r="WFD200" s="537"/>
      <c r="WFE200" s="537"/>
      <c r="WFF200" s="537"/>
      <c r="WFG200" s="537"/>
      <c r="WFH200" s="537"/>
      <c r="WFI200" s="537"/>
      <c r="WFJ200" s="537"/>
      <c r="WFK200" s="537"/>
      <c r="WFL200" s="537"/>
      <c r="WFM200" s="537"/>
      <c r="WFN200" s="537"/>
      <c r="WFO200" s="537"/>
      <c r="WFP200" s="537"/>
      <c r="WFQ200" s="537"/>
      <c r="WFR200" s="537"/>
      <c r="WFS200" s="537"/>
      <c r="WFT200" s="537"/>
      <c r="WFU200" s="537"/>
      <c r="WFV200" s="537"/>
      <c r="WFW200" s="537"/>
      <c r="WFX200" s="537"/>
      <c r="WFY200" s="537"/>
      <c r="WFZ200" s="537"/>
      <c r="WGA200" s="537"/>
      <c r="WGB200" s="537"/>
      <c r="WGC200" s="537"/>
      <c r="WGD200" s="537"/>
      <c r="WGE200" s="537"/>
      <c r="WGF200" s="537"/>
      <c r="WGG200" s="537"/>
      <c r="WGH200" s="537"/>
      <c r="WGI200" s="537"/>
      <c r="WGJ200" s="537"/>
      <c r="WGK200" s="537"/>
      <c r="WGL200" s="537"/>
      <c r="WGM200" s="537"/>
      <c r="WGN200" s="537"/>
      <c r="WGO200" s="537"/>
      <c r="WGP200" s="537"/>
      <c r="WGQ200" s="537"/>
      <c r="WGR200" s="537"/>
      <c r="WGS200" s="537"/>
      <c r="WGT200" s="537"/>
      <c r="WGU200" s="537"/>
      <c r="WGV200" s="537"/>
      <c r="WGW200" s="537"/>
      <c r="WGX200" s="537"/>
      <c r="WGY200" s="537"/>
      <c r="WGZ200" s="537"/>
      <c r="WHA200" s="537"/>
      <c r="WHB200" s="537"/>
      <c r="WHC200" s="537"/>
      <c r="WHD200" s="537"/>
      <c r="WHE200" s="537"/>
      <c r="WHF200" s="537"/>
      <c r="WHG200" s="537"/>
      <c r="WHH200" s="537"/>
      <c r="WHI200" s="537"/>
      <c r="WHJ200" s="537"/>
      <c r="WHK200" s="537"/>
      <c r="WHL200" s="537"/>
      <c r="WHM200" s="537"/>
      <c r="WHN200" s="537"/>
      <c r="WHO200" s="537"/>
      <c r="WHP200" s="537"/>
      <c r="WHQ200" s="537"/>
      <c r="WHR200" s="537"/>
      <c r="WHS200" s="537"/>
      <c r="WHT200" s="537"/>
      <c r="WHU200" s="537"/>
      <c r="WHV200" s="537"/>
      <c r="WHW200" s="537"/>
      <c r="WHX200" s="537"/>
      <c r="WHY200" s="537"/>
      <c r="WHZ200" s="537"/>
      <c r="WIA200" s="537"/>
      <c r="WIB200" s="537"/>
      <c r="WIC200" s="537"/>
      <c r="WID200" s="537"/>
      <c r="WIE200" s="537"/>
      <c r="WIF200" s="537"/>
      <c r="WIG200" s="537"/>
      <c r="WIH200" s="537"/>
      <c r="WII200" s="537"/>
      <c r="WIJ200" s="537"/>
      <c r="WIK200" s="537"/>
      <c r="WIL200" s="537"/>
      <c r="WIM200" s="537"/>
      <c r="WIN200" s="537"/>
      <c r="WIO200" s="537"/>
      <c r="WIP200" s="537"/>
      <c r="WIQ200" s="537"/>
      <c r="WIR200" s="537"/>
      <c r="WIS200" s="537"/>
      <c r="WIT200" s="537"/>
      <c r="WIU200" s="537"/>
      <c r="WIV200" s="537"/>
      <c r="WIW200" s="537"/>
      <c r="WIX200" s="537"/>
      <c r="WIY200" s="537"/>
      <c r="WIZ200" s="537"/>
      <c r="WJA200" s="537"/>
      <c r="WJB200" s="537"/>
      <c r="WJC200" s="537"/>
      <c r="WJD200" s="537"/>
      <c r="WJE200" s="537"/>
      <c r="WJF200" s="537"/>
      <c r="WJG200" s="537"/>
      <c r="WJH200" s="537"/>
      <c r="WJI200" s="537"/>
      <c r="WJJ200" s="537"/>
      <c r="WJK200" s="537"/>
      <c r="WJL200" s="537"/>
      <c r="WJM200" s="537"/>
      <c r="WJN200" s="537"/>
      <c r="WJO200" s="537"/>
      <c r="WJP200" s="537"/>
      <c r="WJQ200" s="537"/>
      <c r="WJR200" s="537"/>
      <c r="WJS200" s="537"/>
      <c r="WJT200" s="537"/>
      <c r="WJU200" s="537"/>
      <c r="WJV200" s="537"/>
      <c r="WJW200" s="537"/>
      <c r="WJX200" s="537"/>
      <c r="WJY200" s="537"/>
      <c r="WJZ200" s="537"/>
      <c r="WKA200" s="537"/>
      <c r="WKB200" s="537"/>
      <c r="WKC200" s="537"/>
      <c r="WKD200" s="537"/>
      <c r="WKE200" s="537"/>
      <c r="WKF200" s="537"/>
      <c r="WKG200" s="537"/>
      <c r="WKH200" s="537"/>
      <c r="WKI200" s="537"/>
      <c r="WKJ200" s="537"/>
      <c r="WKK200" s="537"/>
      <c r="WKL200" s="537"/>
      <c r="WKM200" s="537"/>
      <c r="WKN200" s="537"/>
      <c r="WKO200" s="537"/>
      <c r="WKP200" s="537"/>
      <c r="WKQ200" s="537"/>
      <c r="WKR200" s="537"/>
      <c r="WKS200" s="537"/>
      <c r="WKT200" s="537"/>
      <c r="WKU200" s="537"/>
      <c r="WKV200" s="537"/>
      <c r="WKW200" s="537"/>
      <c r="WKX200" s="537"/>
      <c r="WKY200" s="537"/>
      <c r="WKZ200" s="537"/>
      <c r="WLA200" s="537"/>
      <c r="WLB200" s="537"/>
      <c r="WLC200" s="537"/>
      <c r="WLD200" s="537"/>
      <c r="WLE200" s="537"/>
      <c r="WLF200" s="537"/>
      <c r="WLG200" s="537"/>
      <c r="WLH200" s="537"/>
      <c r="WLI200" s="537"/>
      <c r="WLJ200" s="537"/>
      <c r="WLK200" s="537"/>
      <c r="WLL200" s="537"/>
      <c r="WLM200" s="537"/>
      <c r="WLN200" s="537"/>
      <c r="WLO200" s="537"/>
      <c r="WLP200" s="537"/>
      <c r="WLQ200" s="537"/>
      <c r="WLR200" s="537"/>
      <c r="WLS200" s="537"/>
      <c r="WLT200" s="537"/>
      <c r="WLU200" s="537"/>
      <c r="WLV200" s="537"/>
      <c r="WLW200" s="537"/>
      <c r="WLX200" s="537"/>
      <c r="WLY200" s="537"/>
      <c r="WLZ200" s="537"/>
      <c r="WMA200" s="537"/>
      <c r="WMB200" s="537"/>
      <c r="WMC200" s="537"/>
      <c r="WMD200" s="537"/>
      <c r="WME200" s="537"/>
      <c r="WMF200" s="537"/>
      <c r="WMG200" s="537"/>
      <c r="WMH200" s="537"/>
      <c r="WMI200" s="537"/>
      <c r="WMJ200" s="537"/>
      <c r="WMK200" s="537"/>
      <c r="WML200" s="537"/>
      <c r="WMM200" s="537"/>
      <c r="WMN200" s="537"/>
      <c r="WMO200" s="537"/>
      <c r="WMP200" s="537"/>
      <c r="WMQ200" s="537"/>
      <c r="WMR200" s="537"/>
      <c r="WMS200" s="537"/>
      <c r="WMT200" s="537"/>
      <c r="WMU200" s="537"/>
      <c r="WMV200" s="537"/>
      <c r="WMW200" s="537"/>
      <c r="WMX200" s="537"/>
      <c r="WMY200" s="537"/>
      <c r="WMZ200" s="537"/>
      <c r="WNA200" s="537"/>
      <c r="WNB200" s="537"/>
      <c r="WNC200" s="537"/>
      <c r="WND200" s="537"/>
      <c r="WNE200" s="537"/>
      <c r="WNF200" s="537"/>
      <c r="WNG200" s="537"/>
      <c r="WNH200" s="537"/>
      <c r="WNI200" s="537"/>
      <c r="WNJ200" s="537"/>
      <c r="WNK200" s="537"/>
      <c r="WNL200" s="537"/>
      <c r="WNM200" s="537"/>
      <c r="WNN200" s="537"/>
      <c r="WNO200" s="537"/>
      <c r="WNP200" s="537"/>
      <c r="WNQ200" s="537"/>
      <c r="WNR200" s="537"/>
      <c r="WNS200" s="537"/>
      <c r="WNT200" s="537"/>
      <c r="WNU200" s="537"/>
      <c r="WNV200" s="537"/>
      <c r="WNW200" s="537"/>
      <c r="WNX200" s="537"/>
      <c r="WNY200" s="537"/>
      <c r="WNZ200" s="537"/>
      <c r="WOA200" s="537"/>
      <c r="WOB200" s="537"/>
      <c r="WOC200" s="537"/>
      <c r="WOD200" s="537"/>
      <c r="WOE200" s="537"/>
      <c r="WOF200" s="537"/>
      <c r="WOG200" s="537"/>
      <c r="WOH200" s="537"/>
      <c r="WOI200" s="537"/>
      <c r="WOJ200" s="537"/>
      <c r="WOK200" s="537"/>
      <c r="WOL200" s="537"/>
      <c r="WOM200" s="537"/>
      <c r="WON200" s="537"/>
      <c r="WOO200" s="537"/>
      <c r="WOP200" s="537"/>
      <c r="WOQ200" s="537"/>
      <c r="WOR200" s="537"/>
      <c r="WOS200" s="537"/>
      <c r="WOT200" s="537"/>
      <c r="WOU200" s="537"/>
      <c r="WOV200" s="537"/>
      <c r="WOW200" s="537"/>
      <c r="WOX200" s="537"/>
      <c r="WOY200" s="537"/>
      <c r="WOZ200" s="537"/>
      <c r="WPA200" s="537"/>
      <c r="WPB200" s="537"/>
      <c r="WPC200" s="537"/>
      <c r="WPD200" s="537"/>
      <c r="WPE200" s="537"/>
      <c r="WPF200" s="537"/>
      <c r="WPG200" s="537"/>
      <c r="WPH200" s="537"/>
      <c r="WPI200" s="537"/>
      <c r="WPJ200" s="537"/>
      <c r="WPK200" s="537"/>
      <c r="WPL200" s="537"/>
      <c r="WPM200" s="537"/>
      <c r="WPN200" s="537"/>
      <c r="WPO200" s="537"/>
      <c r="WPP200" s="537"/>
      <c r="WPQ200" s="537"/>
      <c r="WPR200" s="537"/>
      <c r="WPS200" s="537"/>
      <c r="WPT200" s="537"/>
      <c r="WPU200" s="537"/>
      <c r="WPV200" s="537"/>
      <c r="WPW200" s="537"/>
      <c r="WPX200" s="537"/>
      <c r="WPY200" s="537"/>
      <c r="WPZ200" s="537"/>
      <c r="WQA200" s="537"/>
      <c r="WQB200" s="537"/>
      <c r="WQC200" s="537"/>
      <c r="WQD200" s="537"/>
      <c r="WQE200" s="537"/>
      <c r="WQF200" s="537"/>
      <c r="WQG200" s="537"/>
      <c r="WQH200" s="537"/>
      <c r="WQI200" s="537"/>
      <c r="WQJ200" s="537"/>
      <c r="WQK200" s="537"/>
      <c r="WQL200" s="537"/>
      <c r="WQM200" s="537"/>
      <c r="WQN200" s="537"/>
      <c r="WQO200" s="537"/>
      <c r="WQP200" s="537"/>
      <c r="WQQ200" s="537"/>
      <c r="WQR200" s="537"/>
      <c r="WQS200" s="537"/>
      <c r="WQT200" s="537"/>
      <c r="WQU200" s="537"/>
      <c r="WQV200" s="537"/>
      <c r="WQW200" s="537"/>
      <c r="WQX200" s="537"/>
      <c r="WQY200" s="537"/>
      <c r="WQZ200" s="537"/>
      <c r="WRA200" s="537"/>
      <c r="WRB200" s="537"/>
      <c r="WRC200" s="537"/>
      <c r="WRD200" s="537"/>
      <c r="WRE200" s="537"/>
      <c r="WRF200" s="537"/>
      <c r="WRG200" s="537"/>
      <c r="WRH200" s="537"/>
      <c r="WRI200" s="537"/>
      <c r="WRJ200" s="537"/>
      <c r="WRK200" s="537"/>
      <c r="WRL200" s="537"/>
      <c r="WRM200" s="537"/>
      <c r="WRN200" s="537"/>
      <c r="WRO200" s="537"/>
      <c r="WRP200" s="537"/>
      <c r="WRQ200" s="537"/>
      <c r="WRR200" s="537"/>
      <c r="WRS200" s="537"/>
      <c r="WRT200" s="537"/>
      <c r="WRU200" s="537"/>
      <c r="WRV200" s="537"/>
      <c r="WRW200" s="537"/>
      <c r="WRX200" s="537"/>
      <c r="WRY200" s="537"/>
      <c r="WRZ200" s="537"/>
      <c r="WSA200" s="537"/>
      <c r="WSB200" s="537"/>
      <c r="WSC200" s="537"/>
      <c r="WSD200" s="537"/>
      <c r="WSE200" s="537"/>
      <c r="WSF200" s="537"/>
      <c r="WSG200" s="537"/>
      <c r="WSH200" s="537"/>
      <c r="WSI200" s="537"/>
      <c r="WSJ200" s="537"/>
      <c r="WSK200" s="537"/>
      <c r="WSL200" s="537"/>
      <c r="WSM200" s="537"/>
      <c r="WSN200" s="537"/>
      <c r="WSO200" s="537"/>
      <c r="WSP200" s="537"/>
      <c r="WSQ200" s="537"/>
      <c r="WSR200" s="537"/>
      <c r="WSS200" s="537"/>
      <c r="WST200" s="537"/>
      <c r="WSU200" s="537"/>
      <c r="WSV200" s="537"/>
      <c r="WSW200" s="537"/>
      <c r="WSX200" s="537"/>
      <c r="WSY200" s="537"/>
      <c r="WSZ200" s="537"/>
      <c r="WTA200" s="537"/>
      <c r="WTB200" s="537"/>
      <c r="WTC200" s="537"/>
      <c r="WTD200" s="537"/>
      <c r="WTE200" s="537"/>
      <c r="WTF200" s="537"/>
      <c r="WTG200" s="537"/>
      <c r="WTH200" s="537"/>
      <c r="WTI200" s="537"/>
      <c r="WTJ200" s="537"/>
      <c r="WTK200" s="537"/>
      <c r="WTL200" s="537"/>
      <c r="WTM200" s="537"/>
      <c r="WTN200" s="537"/>
      <c r="WTO200" s="537"/>
      <c r="WTP200" s="537"/>
      <c r="WTQ200" s="537"/>
      <c r="WTR200" s="537"/>
      <c r="WTS200" s="537"/>
      <c r="WTT200" s="537"/>
      <c r="WTU200" s="537"/>
      <c r="WTV200" s="537"/>
      <c r="WTW200" s="537"/>
      <c r="WTX200" s="537"/>
      <c r="WTY200" s="537"/>
      <c r="WTZ200" s="537"/>
      <c r="WUA200" s="537"/>
      <c r="WUB200" s="537"/>
      <c r="WUC200" s="537"/>
      <c r="WUD200" s="537"/>
      <c r="WUE200" s="537"/>
      <c r="WUF200" s="537"/>
      <c r="WUG200" s="537"/>
      <c r="WUH200" s="537"/>
      <c r="WUI200" s="537"/>
      <c r="WUJ200" s="537"/>
      <c r="WUK200" s="537"/>
      <c r="WUL200" s="537"/>
      <c r="WUM200" s="537"/>
      <c r="WUN200" s="537"/>
      <c r="WUO200" s="537"/>
      <c r="WUP200" s="537"/>
      <c r="WUQ200" s="537"/>
      <c r="WUR200" s="537"/>
      <c r="WUS200" s="537"/>
      <c r="WUT200" s="537"/>
      <c r="WUU200" s="537"/>
      <c r="WUV200" s="537"/>
      <c r="WUW200" s="537"/>
      <c r="WUX200" s="537"/>
      <c r="WUY200" s="537"/>
      <c r="WUZ200" s="537"/>
      <c r="WVA200" s="537"/>
      <c r="WVB200" s="537"/>
      <c r="WVC200" s="537"/>
      <c r="WVD200" s="537"/>
      <c r="WVE200" s="537"/>
      <c r="WVF200" s="537"/>
      <c r="WVG200" s="537"/>
      <c r="WVH200" s="537"/>
      <c r="WVI200" s="537"/>
      <c r="WVJ200" s="537"/>
      <c r="WVK200" s="537"/>
      <c r="WVL200" s="537"/>
      <c r="WVM200" s="537"/>
      <c r="WVN200" s="537"/>
      <c r="WVO200" s="537"/>
      <c r="WVP200" s="537"/>
      <c r="WVQ200" s="537"/>
      <c r="WVR200" s="537"/>
      <c r="WVS200" s="537"/>
      <c r="WVT200" s="537"/>
      <c r="WVU200" s="537"/>
      <c r="WVV200" s="537"/>
      <c r="WVW200" s="537"/>
      <c r="WVX200" s="537"/>
      <c r="WVY200" s="537"/>
      <c r="WVZ200" s="537"/>
      <c r="WWA200" s="537"/>
      <c r="WWB200" s="537"/>
      <c r="WWC200" s="537"/>
      <c r="WWD200" s="537"/>
      <c r="WWE200" s="537"/>
      <c r="WWF200" s="537"/>
      <c r="WWG200" s="537"/>
      <c r="WWH200" s="537"/>
      <c r="WWI200" s="537"/>
      <c r="WWJ200" s="537"/>
      <c r="WWK200" s="537"/>
      <c r="WWL200" s="537"/>
      <c r="WWM200" s="537"/>
      <c r="WWN200" s="537"/>
      <c r="WWO200" s="537"/>
      <c r="WWP200" s="537"/>
      <c r="WWQ200" s="537"/>
      <c r="WWR200" s="537"/>
      <c r="WWS200" s="537"/>
      <c r="WWT200" s="537"/>
      <c r="WWU200" s="537"/>
      <c r="WWV200" s="537"/>
      <c r="WWW200" s="537"/>
      <c r="WWX200" s="537"/>
      <c r="WWY200" s="537"/>
      <c r="WWZ200" s="537"/>
      <c r="WXA200" s="537"/>
      <c r="WXB200" s="537"/>
      <c r="WXC200" s="537"/>
      <c r="WXD200" s="537"/>
      <c r="WXE200" s="537"/>
      <c r="WXF200" s="537"/>
      <c r="WXG200" s="537"/>
      <c r="WXH200" s="537"/>
      <c r="WXI200" s="537"/>
      <c r="WXJ200" s="537"/>
      <c r="WXK200" s="537"/>
      <c r="WXL200" s="537"/>
      <c r="WXM200" s="537"/>
      <c r="WXN200" s="537"/>
      <c r="WXO200" s="537"/>
      <c r="WXP200" s="537"/>
      <c r="WXQ200" s="537"/>
      <c r="WXR200" s="537"/>
      <c r="WXS200" s="537"/>
      <c r="WXT200" s="537"/>
      <c r="WXU200" s="537"/>
      <c r="WXV200" s="537"/>
      <c r="WXW200" s="537"/>
      <c r="WXX200" s="537"/>
      <c r="WXY200" s="537"/>
      <c r="WXZ200" s="537"/>
      <c r="WYA200" s="537"/>
      <c r="WYB200" s="537"/>
      <c r="WYC200" s="537"/>
      <c r="WYD200" s="537"/>
      <c r="WYE200" s="537"/>
      <c r="WYF200" s="537"/>
      <c r="WYG200" s="537"/>
      <c r="WYH200" s="537"/>
      <c r="WYI200" s="537"/>
      <c r="WYJ200" s="537"/>
      <c r="WYK200" s="537"/>
      <c r="WYL200" s="537"/>
      <c r="WYM200" s="537"/>
      <c r="WYN200" s="537"/>
      <c r="WYO200" s="537"/>
      <c r="WYP200" s="537"/>
      <c r="WYQ200" s="537"/>
      <c r="WYR200" s="537"/>
      <c r="WYS200" s="537"/>
      <c r="WYT200" s="537"/>
      <c r="WYU200" s="537"/>
      <c r="WYV200" s="537"/>
      <c r="WYW200" s="537"/>
      <c r="WYX200" s="537"/>
      <c r="WYY200" s="537"/>
      <c r="WYZ200" s="537"/>
      <c r="WZA200" s="537"/>
      <c r="WZB200" s="537"/>
      <c r="WZC200" s="537"/>
      <c r="WZD200" s="537"/>
      <c r="WZE200" s="537"/>
      <c r="WZF200" s="537"/>
      <c r="WZG200" s="537"/>
      <c r="WZH200" s="537"/>
      <c r="WZI200" s="537"/>
      <c r="WZJ200" s="537"/>
      <c r="WZK200" s="537"/>
      <c r="WZL200" s="537"/>
      <c r="WZM200" s="537"/>
      <c r="WZN200" s="537"/>
      <c r="WZO200" s="537"/>
      <c r="WZP200" s="537"/>
      <c r="WZQ200" s="537"/>
      <c r="WZR200" s="537"/>
      <c r="WZS200" s="537"/>
      <c r="WZT200" s="537"/>
      <c r="WZU200" s="537"/>
      <c r="WZV200" s="537"/>
      <c r="WZW200" s="537"/>
      <c r="WZX200" s="537"/>
      <c r="WZY200" s="537"/>
      <c r="WZZ200" s="537"/>
      <c r="XAA200" s="537"/>
      <c r="XAB200" s="537"/>
      <c r="XAC200" s="537"/>
      <c r="XAD200" s="537"/>
      <c r="XAE200" s="537"/>
      <c r="XAF200" s="537"/>
      <c r="XAG200" s="537"/>
      <c r="XAH200" s="537"/>
      <c r="XAI200" s="537"/>
      <c r="XAJ200" s="537"/>
      <c r="XAK200" s="537"/>
      <c r="XAL200" s="537"/>
      <c r="XAM200" s="537"/>
      <c r="XAN200" s="537"/>
      <c r="XAO200" s="537"/>
      <c r="XAP200" s="537"/>
      <c r="XAQ200" s="537"/>
      <c r="XAR200" s="537"/>
      <c r="XAS200" s="537"/>
      <c r="XAT200" s="537"/>
      <c r="XAU200" s="537"/>
      <c r="XAV200" s="537"/>
      <c r="XAW200" s="537"/>
      <c r="XAX200" s="537"/>
      <c r="XAY200" s="537"/>
      <c r="XAZ200" s="537"/>
      <c r="XBA200" s="537"/>
      <c r="XBB200" s="537"/>
      <c r="XBC200" s="537"/>
      <c r="XBD200" s="537"/>
      <c r="XBE200" s="537"/>
      <c r="XBF200" s="537"/>
      <c r="XBG200" s="537"/>
      <c r="XBH200" s="537"/>
      <c r="XBI200" s="537"/>
      <c r="XBJ200" s="537"/>
      <c r="XBK200" s="537"/>
      <c r="XBL200" s="537"/>
      <c r="XBM200" s="537"/>
      <c r="XBN200" s="537"/>
      <c r="XBO200" s="537"/>
      <c r="XBP200" s="537"/>
      <c r="XBQ200" s="537"/>
      <c r="XBR200" s="537"/>
      <c r="XBS200" s="537"/>
      <c r="XBT200" s="537"/>
      <c r="XBU200" s="537"/>
      <c r="XBV200" s="537"/>
      <c r="XBW200" s="537"/>
      <c r="XBX200" s="537"/>
      <c r="XBY200" s="537"/>
      <c r="XBZ200" s="537"/>
      <c r="XCA200" s="537"/>
      <c r="XCB200" s="537"/>
      <c r="XCC200" s="537"/>
      <c r="XCD200" s="537"/>
      <c r="XCE200" s="537"/>
      <c r="XCF200" s="537"/>
      <c r="XCG200" s="537"/>
      <c r="XCH200" s="537"/>
      <c r="XCI200" s="537"/>
      <c r="XCJ200" s="537"/>
      <c r="XCK200" s="537"/>
      <c r="XCL200" s="537"/>
      <c r="XCM200" s="537"/>
      <c r="XCN200" s="537"/>
      <c r="XCO200" s="537"/>
      <c r="XCP200" s="537"/>
      <c r="XCQ200" s="537"/>
      <c r="XCR200" s="537"/>
      <c r="XCS200" s="537"/>
      <c r="XCT200" s="537"/>
      <c r="XCU200" s="537"/>
      <c r="XCV200" s="537"/>
      <c r="XCW200" s="537"/>
      <c r="XCX200" s="537"/>
      <c r="XCY200" s="537"/>
      <c r="XCZ200" s="537"/>
      <c r="XDA200" s="537"/>
      <c r="XDB200" s="537"/>
      <c r="XDC200" s="537"/>
      <c r="XDD200" s="537"/>
      <c r="XDE200" s="537"/>
      <c r="XDF200" s="537"/>
      <c r="XDG200" s="537"/>
      <c r="XDH200" s="537"/>
      <c r="XDI200" s="537"/>
      <c r="XDJ200" s="537"/>
      <c r="XDK200" s="537"/>
      <c r="XDL200" s="537"/>
      <c r="XDM200" s="537"/>
      <c r="XDN200" s="537"/>
      <c r="XDO200" s="537"/>
      <c r="XDP200" s="537"/>
      <c r="XDQ200" s="537"/>
      <c r="XDR200" s="537"/>
      <c r="XDS200" s="537"/>
      <c r="XDT200" s="537"/>
      <c r="XDU200" s="537"/>
      <c r="XDV200" s="537"/>
      <c r="XDW200" s="537"/>
      <c r="XDX200" s="537"/>
      <c r="XDY200" s="537"/>
      <c r="XDZ200" s="537"/>
      <c r="XEA200" s="537"/>
      <c r="XEB200" s="537"/>
      <c r="XEC200" s="537"/>
      <c r="XED200" s="537"/>
      <c r="XEE200" s="537"/>
      <c r="XEF200" s="537"/>
      <c r="XEG200" s="537"/>
      <c r="XEH200" s="537"/>
      <c r="XEI200" s="537"/>
      <c r="XEJ200" s="537"/>
      <c r="XEK200" s="537"/>
      <c r="XEL200" s="537"/>
      <c r="XEM200" s="537"/>
      <c r="XEN200" s="537"/>
      <c r="XEO200" s="537"/>
      <c r="XEP200" s="537"/>
      <c r="XEQ200" s="537"/>
      <c r="XER200" s="537"/>
      <c r="XES200" s="537"/>
      <c r="XET200" s="537"/>
      <c r="XEU200" s="537"/>
      <c r="XEV200" s="537"/>
      <c r="XEW200" s="537"/>
      <c r="XEX200" s="537"/>
      <c r="XEY200" s="537"/>
      <c r="XEZ200" s="537"/>
      <c r="XFA200" s="537"/>
      <c r="XFB200" s="537"/>
      <c r="XFC200" s="537"/>
      <c r="XFD200" s="537"/>
    </row>
    <row r="201" spans="1:16384">
      <c r="A201" s="279">
        <v>43831</v>
      </c>
      <c r="B201" s="26">
        <v>19.016999999999999</v>
      </c>
      <c r="C201" s="26">
        <v>5.7131999999999996</v>
      </c>
      <c r="D201" s="26">
        <v>53.018999999999998</v>
      </c>
      <c r="E201" s="26">
        <v>147.94</v>
      </c>
      <c r="F201" s="26">
        <v>69.210999999999999</v>
      </c>
      <c r="G201" s="26">
        <v>20.686</v>
      </c>
      <c r="H201" s="26">
        <v>1.5723</v>
      </c>
      <c r="I201" s="26">
        <v>67.986000000000004</v>
      </c>
      <c r="J201" s="26">
        <v>5.8064999999999998</v>
      </c>
      <c r="K201" s="26">
        <v>8.8244000000000007</v>
      </c>
      <c r="L201" s="26">
        <v>4.5772000000000004</v>
      </c>
      <c r="M201" s="26">
        <v>4.3339999999999996</v>
      </c>
      <c r="N201" s="26">
        <v>8.7673000000000005</v>
      </c>
      <c r="O201" s="26">
        <v>43.320999999999998</v>
      </c>
      <c r="P201" s="26">
        <v>48.728999999999999</v>
      </c>
      <c r="Q201" s="26">
        <v>8.8486999999999991</v>
      </c>
      <c r="R201" s="26">
        <v>5.7854000000000001</v>
      </c>
      <c r="S201" s="26">
        <v>136.91999999999999</v>
      </c>
      <c r="T201" s="26">
        <v>4.3764000000000003</v>
      </c>
      <c r="U201" s="26">
        <v>55.478000000000002</v>
      </c>
      <c r="V201" s="26">
        <v>4.3536000000000001</v>
      </c>
      <c r="W201" s="26">
        <v>19.117999999999999</v>
      </c>
      <c r="X201" s="26">
        <v>148</v>
      </c>
      <c r="Y201" s="26">
        <v>48.9</v>
      </c>
      <c r="Z201" s="26">
        <v>13.432</v>
      </c>
      <c r="AA201" s="26">
        <v>42.667000000000002</v>
      </c>
      <c r="AB201" s="26">
        <v>4.3746</v>
      </c>
      <c r="AC201" s="26">
        <v>42.667000000000002</v>
      </c>
      <c r="AD201" s="26">
        <v>5.7659000000000002</v>
      </c>
      <c r="AE201" s="26">
        <v>5.3876999999999997</v>
      </c>
      <c r="AF201" s="26">
        <v>43.396000000000001</v>
      </c>
      <c r="AG201" s="26">
        <v>49.078000000000003</v>
      </c>
      <c r="AH201" s="26">
        <v>5.6657000000000002</v>
      </c>
      <c r="AI201" s="26">
        <v>42.750999999999998</v>
      </c>
      <c r="AJ201" s="26">
        <v>67.706000000000003</v>
      </c>
      <c r="AK201" s="26">
        <v>4.8266999999999998</v>
      </c>
      <c r="AL201" s="26">
        <v>0.98219999999999996</v>
      </c>
      <c r="AM201" s="26">
        <v>5.6712999999999996</v>
      </c>
      <c r="AN201" s="26">
        <v>4.9884000000000004</v>
      </c>
      <c r="AO201" s="26">
        <v>73.942999999999998</v>
      </c>
      <c r="AP201" s="26">
        <v>4.0731000000000002</v>
      </c>
      <c r="AQ201" s="26">
        <v>0.55593999999999999</v>
      </c>
      <c r="AR201" s="26">
        <v>0.98267000000000004</v>
      </c>
      <c r="AS201" s="26">
        <v>29.132999999999999</v>
      </c>
      <c r="AT201" s="26">
        <v>48.447000000000003</v>
      </c>
      <c r="AU201" s="26">
        <v>2.8851</v>
      </c>
      <c r="AV201" s="26">
        <v>5.0045999999999999</v>
      </c>
      <c r="AW201" s="26">
        <v>41.704000000000001</v>
      </c>
      <c r="AX201" s="26">
        <v>5.6502999999999997</v>
      </c>
      <c r="AY201" s="26">
        <v>67.701999999999998</v>
      </c>
      <c r="AZ201" s="26">
        <v>35.81</v>
      </c>
      <c r="BA201" s="26">
        <v>60.7</v>
      </c>
      <c r="BB201" s="26">
        <v>41.869</v>
      </c>
      <c r="BC201" s="26">
        <v>43.420999999999999</v>
      </c>
      <c r="BD201" s="26">
        <v>8.8864999999999998</v>
      </c>
      <c r="BE201" s="26">
        <v>5.819</v>
      </c>
      <c r="BF201" s="26">
        <v>73.820999999999998</v>
      </c>
      <c r="BG201" s="26">
        <v>42.067999999999998</v>
      </c>
      <c r="BH201" s="26">
        <v>5.7461000000000002</v>
      </c>
      <c r="BI201" s="26">
        <v>4.6344000000000003</v>
      </c>
      <c r="BJ201" s="26">
        <v>4.8337000000000003</v>
      </c>
      <c r="BK201" s="26">
        <v>48.426000000000002</v>
      </c>
      <c r="BL201" s="26">
        <v>69.444000000000003</v>
      </c>
      <c r="BM201" s="26">
        <v>68.39</v>
      </c>
      <c r="BN201" s="26">
        <v>2.0249000000000001</v>
      </c>
      <c r="BO201" s="26">
        <v>0.67367999999999995</v>
      </c>
      <c r="BP201" s="26">
        <v>73.942999999999998</v>
      </c>
      <c r="BQ201" s="26">
        <v>69.665000000000006</v>
      </c>
      <c r="BR201" s="26">
        <v>4.3399000000000001</v>
      </c>
      <c r="BS201" s="26">
        <v>5.1642000000000001</v>
      </c>
      <c r="BT201" s="26">
        <v>37.396999999999998</v>
      </c>
      <c r="BU201" s="26">
        <v>48.709000000000003</v>
      </c>
      <c r="BV201" s="26">
        <v>67.488</v>
      </c>
      <c r="BW201" s="26">
        <v>49.261000000000003</v>
      </c>
      <c r="BX201" s="26">
        <v>4.6056999999999997</v>
      </c>
      <c r="BY201" s="26">
        <v>30.012</v>
      </c>
      <c r="BZ201" s="26">
        <v>2.4487999999999999</v>
      </c>
      <c r="CA201" s="26">
        <v>3.9931000000000001</v>
      </c>
      <c r="CB201" s="26">
        <v>19.23</v>
      </c>
      <c r="CC201" s="26">
        <v>146.22</v>
      </c>
      <c r="CD201" s="26">
        <v>0.93435000000000001</v>
      </c>
      <c r="CE201" s="26">
        <v>34.226999999999997</v>
      </c>
      <c r="CF201" s="26">
        <v>2.8148</v>
      </c>
      <c r="CG201" s="26">
        <v>2.0215999999999998</v>
      </c>
      <c r="CH201" s="26">
        <v>49.128</v>
      </c>
      <c r="CI201" s="26">
        <v>73.942999999999998</v>
      </c>
      <c r="CJ201" s="26">
        <v>42.683999999999997</v>
      </c>
      <c r="CK201" s="26">
        <v>69.665000000000006</v>
      </c>
      <c r="CL201" s="26">
        <v>5.4001000000000001</v>
      </c>
      <c r="CM201" s="26">
        <v>0.94488000000000005</v>
      </c>
      <c r="CN201" s="26">
        <v>2.8121</v>
      </c>
      <c r="CO201" s="26">
        <v>0.40199000000000001</v>
      </c>
      <c r="CP201" s="26">
        <v>8.5825999999999993</v>
      </c>
      <c r="CQ201" s="26">
        <v>1.9845999999999999</v>
      </c>
      <c r="CR201" s="26">
        <v>0.92813999999999997</v>
      </c>
      <c r="CS201" s="26">
        <v>16.306999999999999</v>
      </c>
      <c r="CT201" s="26">
        <v>0.98653999999999997</v>
      </c>
      <c r="CU201" s="26">
        <v>6.2657999999999996</v>
      </c>
      <c r="CV201" s="26">
        <v>4.4626999999999999</v>
      </c>
      <c r="CW201" s="26">
        <v>0.37373000000000001</v>
      </c>
      <c r="CX201" s="26">
        <v>33.777999999999999</v>
      </c>
      <c r="CY201" s="61"/>
      <c r="CZ201" s="537"/>
      <c r="DA201" s="61"/>
    </row>
    <row r="202" spans="1:16384">
      <c r="A202" s="279">
        <v>43862</v>
      </c>
      <c r="B202" s="26">
        <v>40.415999999999997</v>
      </c>
      <c r="C202" s="26">
        <v>6.6651999999999996</v>
      </c>
      <c r="D202" s="26">
        <v>63.674999999999997</v>
      </c>
      <c r="E202" s="26">
        <v>150.69</v>
      </c>
      <c r="F202" s="26">
        <v>70.903000000000006</v>
      </c>
      <c r="G202" s="26">
        <v>61.353999999999999</v>
      </c>
      <c r="H202" s="26">
        <v>2.8433999999999999</v>
      </c>
      <c r="I202" s="26">
        <v>74.787000000000006</v>
      </c>
      <c r="J202" s="26">
        <v>7.6710000000000003</v>
      </c>
      <c r="K202" s="26">
        <v>55.478000000000002</v>
      </c>
      <c r="L202" s="26">
        <v>3.9371999999999998</v>
      </c>
      <c r="M202" s="26">
        <v>2.3666</v>
      </c>
      <c r="N202" s="26">
        <v>8.1010000000000009</v>
      </c>
      <c r="O202" s="26">
        <v>62.424999999999997</v>
      </c>
      <c r="P202" s="26">
        <v>70.903000000000006</v>
      </c>
      <c r="Q202" s="26">
        <v>9.1907999999999994</v>
      </c>
      <c r="R202" s="26">
        <v>7.5077999999999996</v>
      </c>
      <c r="S202" s="26">
        <v>152.24</v>
      </c>
      <c r="T202" s="26">
        <v>3.0926999999999998</v>
      </c>
      <c r="U202" s="26">
        <v>68.682000000000002</v>
      </c>
      <c r="V202" s="26">
        <v>4.7725999999999997</v>
      </c>
      <c r="W202" s="26">
        <v>48.622</v>
      </c>
      <c r="X202" s="26">
        <v>151.1</v>
      </c>
      <c r="Y202" s="26">
        <v>59.073</v>
      </c>
      <c r="Z202" s="26">
        <v>27.922999999999998</v>
      </c>
      <c r="AA202" s="26">
        <v>61.353999999999999</v>
      </c>
      <c r="AB202" s="26">
        <v>5.7606999999999999</v>
      </c>
      <c r="AC202" s="26">
        <v>43.320999999999998</v>
      </c>
      <c r="AD202" s="26">
        <v>8.6621000000000006</v>
      </c>
      <c r="AE202" s="26">
        <v>40.621000000000002</v>
      </c>
      <c r="AF202" s="26">
        <v>62.424999999999997</v>
      </c>
      <c r="AG202" s="26">
        <v>55.478000000000002</v>
      </c>
      <c r="AH202" s="26">
        <v>4.6092000000000004</v>
      </c>
      <c r="AI202" s="26">
        <v>60.578000000000003</v>
      </c>
      <c r="AJ202" s="26">
        <v>73.659000000000006</v>
      </c>
      <c r="AK202" s="26">
        <v>25.635999999999999</v>
      </c>
      <c r="AL202" s="26">
        <v>1.9311</v>
      </c>
      <c r="AM202" s="26">
        <v>4.5875000000000004</v>
      </c>
      <c r="AN202" s="26">
        <v>40.335000000000001</v>
      </c>
      <c r="AO202" s="26">
        <v>149.76</v>
      </c>
      <c r="AP202" s="26">
        <v>4.2248000000000001</v>
      </c>
      <c r="AQ202" s="26">
        <v>2.3744000000000001</v>
      </c>
      <c r="AR202" s="26">
        <v>0.97136999999999996</v>
      </c>
      <c r="AS202" s="26">
        <v>42.667000000000002</v>
      </c>
      <c r="AT202" s="26">
        <v>62.424999999999997</v>
      </c>
      <c r="AU202" s="26">
        <v>5.3606999999999996</v>
      </c>
      <c r="AV202" s="26">
        <v>38.003</v>
      </c>
      <c r="AW202" s="26">
        <v>7.9588999999999999</v>
      </c>
      <c r="AX202" s="26">
        <v>7.8777999999999997</v>
      </c>
      <c r="AY202" s="26">
        <v>64.150000000000006</v>
      </c>
      <c r="AZ202" s="26">
        <v>47.813000000000002</v>
      </c>
      <c r="BA202" s="26">
        <v>63.283999999999999</v>
      </c>
      <c r="BB202" s="26">
        <v>57.694000000000003</v>
      </c>
      <c r="BC202" s="26">
        <v>55.122999999999998</v>
      </c>
      <c r="BD202" s="26">
        <v>16.655000000000001</v>
      </c>
      <c r="BE202" s="26">
        <v>43.396000000000001</v>
      </c>
      <c r="BF202" s="26">
        <v>75.287999999999997</v>
      </c>
      <c r="BG202" s="26">
        <v>65.802000000000007</v>
      </c>
      <c r="BH202" s="26">
        <v>6.7397999999999998</v>
      </c>
      <c r="BI202" s="26">
        <v>1.9748000000000001</v>
      </c>
      <c r="BJ202" s="26">
        <v>7.5994999999999999</v>
      </c>
      <c r="BK202" s="26">
        <v>70.903000000000006</v>
      </c>
      <c r="BL202" s="26">
        <v>75.287999999999997</v>
      </c>
      <c r="BM202" s="26">
        <v>75.287999999999997</v>
      </c>
      <c r="BN202" s="26">
        <v>7.0350999999999999</v>
      </c>
      <c r="BO202" s="26">
        <v>0.64237999999999995</v>
      </c>
      <c r="BP202" s="26">
        <v>102.99</v>
      </c>
      <c r="BQ202" s="26">
        <v>70.903000000000006</v>
      </c>
      <c r="BR202" s="26">
        <v>6.7666000000000004</v>
      </c>
      <c r="BS202" s="26">
        <v>42.667000000000002</v>
      </c>
      <c r="BT202" s="26">
        <v>42.765000000000001</v>
      </c>
      <c r="BU202" s="26">
        <v>55.478000000000002</v>
      </c>
      <c r="BV202" s="26">
        <v>58.180999999999997</v>
      </c>
      <c r="BW202" s="26">
        <v>66.209999999999994</v>
      </c>
      <c r="BX202" s="26">
        <v>3.0082</v>
      </c>
      <c r="BY202" s="26">
        <v>43.396000000000001</v>
      </c>
      <c r="BZ202" s="26">
        <v>6.6806000000000001</v>
      </c>
      <c r="CA202" s="26">
        <v>6.6931000000000003</v>
      </c>
      <c r="CB202" s="26">
        <v>37.247</v>
      </c>
      <c r="CC202" s="26">
        <v>150.69999999999999</v>
      </c>
      <c r="CD202" s="26">
        <v>1.5315000000000001</v>
      </c>
      <c r="CE202" s="26">
        <v>52.923000000000002</v>
      </c>
      <c r="CF202" s="26">
        <v>4.5701999999999998</v>
      </c>
      <c r="CG202" s="26">
        <v>3.7896999999999998</v>
      </c>
      <c r="CH202" s="26">
        <v>67.427000000000007</v>
      </c>
      <c r="CI202" s="26">
        <v>124.92</v>
      </c>
      <c r="CJ202" s="26">
        <v>62.917999999999999</v>
      </c>
      <c r="CK202" s="26">
        <v>75.287999999999997</v>
      </c>
      <c r="CL202" s="26">
        <v>7.1957000000000004</v>
      </c>
      <c r="CM202" s="26">
        <v>1.5484</v>
      </c>
      <c r="CN202" s="26">
        <v>4.8963000000000001</v>
      </c>
      <c r="CO202" s="26">
        <v>0.28847</v>
      </c>
      <c r="CP202" s="26">
        <v>12.848000000000001</v>
      </c>
      <c r="CQ202" s="26">
        <v>2.8285999999999998</v>
      </c>
      <c r="CR202" s="26">
        <v>0.61687000000000003</v>
      </c>
      <c r="CS202" s="26">
        <v>2.1246</v>
      </c>
      <c r="CT202" s="26">
        <v>0.97428000000000003</v>
      </c>
      <c r="CU202" s="26">
        <v>43.396000000000001</v>
      </c>
      <c r="CV202" s="26">
        <v>7.0037000000000003</v>
      </c>
      <c r="CW202" s="26">
        <v>4.1820999999999997E-2</v>
      </c>
      <c r="CX202" s="26">
        <v>44.811999999999998</v>
      </c>
      <c r="CY202" s="61"/>
      <c r="CZ202" s="537"/>
      <c r="DA202" s="61"/>
    </row>
    <row r="203" spans="1:16384">
      <c r="A203" s="279">
        <v>43891</v>
      </c>
      <c r="B203" s="26">
        <v>11.824</v>
      </c>
      <c r="C203" s="26">
        <v>5.1425999999999998</v>
      </c>
      <c r="D203" s="26">
        <v>42.667000000000002</v>
      </c>
      <c r="E203" s="26">
        <v>70.081999999999994</v>
      </c>
      <c r="F203" s="26">
        <v>62.2</v>
      </c>
      <c r="G203" s="26">
        <v>63.576999999999998</v>
      </c>
      <c r="H203" s="26">
        <v>5.7103999999999999</v>
      </c>
      <c r="I203" s="26">
        <v>57.189</v>
      </c>
      <c r="J203" s="26">
        <v>43.396000000000001</v>
      </c>
      <c r="K203" s="26">
        <v>62.2</v>
      </c>
      <c r="L203" s="26">
        <v>2.3239999999999998</v>
      </c>
      <c r="M203" s="26">
        <v>1.4245000000000001</v>
      </c>
      <c r="N203" s="26">
        <v>5.2380000000000004</v>
      </c>
      <c r="O203" s="26">
        <v>49.51</v>
      </c>
      <c r="P203" s="26">
        <v>63.674999999999997</v>
      </c>
      <c r="Q203" s="26">
        <v>4.8956</v>
      </c>
      <c r="R203" s="26">
        <v>42.667000000000002</v>
      </c>
      <c r="S203" s="26">
        <v>67.174999999999997</v>
      </c>
      <c r="T203" s="26">
        <v>6.3140999999999998</v>
      </c>
      <c r="U203" s="26">
        <v>67.061000000000007</v>
      </c>
      <c r="V203" s="26">
        <v>2.5966</v>
      </c>
      <c r="W203" s="26">
        <v>61.124000000000002</v>
      </c>
      <c r="X203" s="26">
        <v>62.683</v>
      </c>
      <c r="Y203" s="26">
        <v>60.834000000000003</v>
      </c>
      <c r="Z203" s="26">
        <v>35.966999999999999</v>
      </c>
      <c r="AA203" s="26">
        <v>45.915999999999997</v>
      </c>
      <c r="AB203" s="26">
        <v>4.9160000000000004</v>
      </c>
      <c r="AC203" s="26">
        <v>62.2</v>
      </c>
      <c r="AD203" s="26">
        <v>16.515999999999998</v>
      </c>
      <c r="AE203" s="26">
        <v>42.667000000000002</v>
      </c>
      <c r="AF203" s="26">
        <v>66.397000000000006</v>
      </c>
      <c r="AG203" s="26">
        <v>13.577999999999999</v>
      </c>
      <c r="AH203" s="26">
        <v>7.2226999999999997</v>
      </c>
      <c r="AI203" s="26">
        <v>63.283999999999999</v>
      </c>
      <c r="AJ203" s="26">
        <v>61.011000000000003</v>
      </c>
      <c r="AK203" s="26">
        <v>42.668999999999997</v>
      </c>
      <c r="AL203" s="26">
        <v>0.66595000000000004</v>
      </c>
      <c r="AM203" s="26">
        <v>3.3902999999999999</v>
      </c>
      <c r="AN203" s="26">
        <v>40.335000000000001</v>
      </c>
      <c r="AO203" s="26">
        <v>51.482999999999997</v>
      </c>
      <c r="AP203" s="26">
        <v>4.8414999999999999</v>
      </c>
      <c r="AQ203" s="26">
        <v>3.5386000000000002</v>
      </c>
      <c r="AR203" s="26">
        <v>0.13744000000000001</v>
      </c>
      <c r="AS203" s="26">
        <v>62.2</v>
      </c>
      <c r="AT203" s="26">
        <v>70.748999999999995</v>
      </c>
      <c r="AU203" s="26">
        <v>42.667000000000002</v>
      </c>
      <c r="AV203" s="26">
        <v>43.323</v>
      </c>
      <c r="AW203" s="26">
        <v>3.8403</v>
      </c>
      <c r="AX203" s="26">
        <v>9.8186999999999998</v>
      </c>
      <c r="AY203" s="26">
        <v>62.2</v>
      </c>
      <c r="AZ203" s="26">
        <v>62.2</v>
      </c>
      <c r="BA203" s="26">
        <v>70.748999999999995</v>
      </c>
      <c r="BB203" s="26">
        <v>60.331000000000003</v>
      </c>
      <c r="BC203" s="26">
        <v>22.794</v>
      </c>
      <c r="BD203" s="26">
        <v>22.794</v>
      </c>
      <c r="BE203" s="26">
        <v>43.396000000000001</v>
      </c>
      <c r="BF203" s="26">
        <v>61.353999999999999</v>
      </c>
      <c r="BG203" s="26">
        <v>62.683</v>
      </c>
      <c r="BH203" s="26">
        <v>3.7869000000000002</v>
      </c>
      <c r="BI203" s="26">
        <v>3.3780000000000001</v>
      </c>
      <c r="BJ203" s="26">
        <v>47.607999999999997</v>
      </c>
      <c r="BK203" s="26">
        <v>70.385999999999996</v>
      </c>
      <c r="BL203" s="26">
        <v>61.353999999999999</v>
      </c>
      <c r="BM203" s="26">
        <v>70.748999999999995</v>
      </c>
      <c r="BN203" s="26">
        <v>9.0100999999999996</v>
      </c>
      <c r="BO203" s="26">
        <v>1.3382000000000001</v>
      </c>
      <c r="BP203" s="26">
        <v>69.771000000000001</v>
      </c>
      <c r="BQ203" s="26">
        <v>69.326999999999998</v>
      </c>
      <c r="BR203" s="26">
        <v>8.4838000000000005</v>
      </c>
      <c r="BS203" s="26">
        <v>48.070999999999998</v>
      </c>
      <c r="BT203" s="26">
        <v>48.423000000000002</v>
      </c>
      <c r="BU203" s="26">
        <v>42.765000000000001</v>
      </c>
      <c r="BV203" s="26">
        <v>61.353999999999999</v>
      </c>
      <c r="BW203" s="26">
        <v>49.51</v>
      </c>
      <c r="BX203" s="26">
        <v>2.5834999999999999</v>
      </c>
      <c r="BY203" s="26">
        <v>49.51</v>
      </c>
      <c r="BZ203" s="26">
        <v>9.9229000000000003</v>
      </c>
      <c r="CA203" s="26">
        <v>4.5473999999999997</v>
      </c>
      <c r="CB203" s="26">
        <v>42.667000000000002</v>
      </c>
      <c r="CC203" s="26">
        <v>61.353999999999999</v>
      </c>
      <c r="CD203" s="26">
        <v>0.76332</v>
      </c>
      <c r="CE203" s="26">
        <v>63.561999999999998</v>
      </c>
      <c r="CF203" s="26">
        <v>12.231999999999999</v>
      </c>
      <c r="CG203" s="26">
        <v>5.0589000000000004</v>
      </c>
      <c r="CH203" s="26">
        <v>67.174999999999997</v>
      </c>
      <c r="CI203" s="26">
        <v>59.69</v>
      </c>
      <c r="CJ203" s="26">
        <v>67.174999999999997</v>
      </c>
      <c r="CK203" s="26">
        <v>67.174999999999997</v>
      </c>
      <c r="CL203" s="26">
        <v>22.794</v>
      </c>
      <c r="CM203" s="26">
        <v>2.9289000000000001</v>
      </c>
      <c r="CN203" s="26">
        <v>1.1205000000000001</v>
      </c>
      <c r="CO203" s="26">
        <v>3.3417999999999998E-3</v>
      </c>
      <c r="CP203" s="26">
        <v>12.377000000000001</v>
      </c>
      <c r="CQ203" s="26">
        <v>3.7444999999999999</v>
      </c>
      <c r="CR203" s="26">
        <v>0.33116000000000001</v>
      </c>
      <c r="CS203" s="26">
        <v>0.15293999999999999</v>
      </c>
      <c r="CT203" s="26">
        <v>3.4165000000000001</v>
      </c>
      <c r="CU203" s="26">
        <v>43.320999999999998</v>
      </c>
      <c r="CV203" s="26">
        <v>8.2103000000000002</v>
      </c>
      <c r="CW203" s="26">
        <v>7.6322999999999998E-3</v>
      </c>
      <c r="CX203" s="26">
        <v>38.326000000000001</v>
      </c>
      <c r="CY203" s="61"/>
      <c r="CZ203" s="537"/>
      <c r="DA203" s="61"/>
    </row>
    <row r="204" spans="1:16384">
      <c r="A204" s="279">
        <v>43922</v>
      </c>
      <c r="B204" s="26">
        <v>40.277000000000001</v>
      </c>
      <c r="C204" s="26">
        <v>8.3026999999999997</v>
      </c>
      <c r="D204" s="26">
        <v>43.457000000000001</v>
      </c>
      <c r="E204" s="26">
        <v>52.923000000000002</v>
      </c>
      <c r="F204" s="26">
        <v>56.616</v>
      </c>
      <c r="G204" s="26">
        <v>23.733000000000001</v>
      </c>
      <c r="H204" s="26">
        <v>35.97</v>
      </c>
      <c r="I204" s="26">
        <v>35.168999999999997</v>
      </c>
      <c r="J204" s="26">
        <v>42.685000000000002</v>
      </c>
      <c r="K204" s="26">
        <v>25.82</v>
      </c>
      <c r="L204" s="26">
        <v>1.6137999999999999</v>
      </c>
      <c r="M204" s="26">
        <v>1.5731999999999999</v>
      </c>
      <c r="N204" s="26">
        <v>7.6645000000000003</v>
      </c>
      <c r="O204" s="26">
        <v>55.478000000000002</v>
      </c>
      <c r="P204" s="26">
        <v>37.932000000000002</v>
      </c>
      <c r="Q204" s="26">
        <v>7.1750999999999996</v>
      </c>
      <c r="R204" s="26">
        <v>42.78</v>
      </c>
      <c r="S204" s="26">
        <v>61.353999999999999</v>
      </c>
      <c r="T204" s="26">
        <v>4.5254000000000003</v>
      </c>
      <c r="U204" s="26">
        <v>49.51</v>
      </c>
      <c r="V204" s="26">
        <v>2.0788000000000002</v>
      </c>
      <c r="W204" s="26">
        <v>22.795999999999999</v>
      </c>
      <c r="X204" s="26">
        <v>52.923000000000002</v>
      </c>
      <c r="Y204" s="26">
        <v>27.513999999999999</v>
      </c>
      <c r="Z204" s="26">
        <v>48.423000000000002</v>
      </c>
      <c r="AA204" s="26">
        <v>18.388000000000002</v>
      </c>
      <c r="AB204" s="26">
        <v>22.300999999999998</v>
      </c>
      <c r="AC204" s="26">
        <v>61.353999999999999</v>
      </c>
      <c r="AD204" s="26">
        <v>13.319000000000001</v>
      </c>
      <c r="AE204" s="26">
        <v>6.6249000000000002</v>
      </c>
      <c r="AF204" s="26">
        <v>36.087000000000003</v>
      </c>
      <c r="AG204" s="26">
        <v>26.09</v>
      </c>
      <c r="AH204" s="26">
        <v>22.126000000000001</v>
      </c>
      <c r="AI204" s="26">
        <v>42.798000000000002</v>
      </c>
      <c r="AJ204" s="26">
        <v>42.841000000000001</v>
      </c>
      <c r="AK204" s="26">
        <v>18.149999999999999</v>
      </c>
      <c r="AL204" s="26">
        <v>6.6411999999999999E-2</v>
      </c>
      <c r="AM204" s="26">
        <v>6.3954000000000004</v>
      </c>
      <c r="AN204" s="26">
        <v>8.5923999999999996</v>
      </c>
      <c r="AO204" s="26">
        <v>26.478000000000002</v>
      </c>
      <c r="AP204" s="26">
        <v>5.7065000000000001</v>
      </c>
      <c r="AQ204" s="26">
        <v>1.905</v>
      </c>
      <c r="AR204" s="26">
        <v>1.5573999999999999</v>
      </c>
      <c r="AS204" s="26">
        <v>63.674999999999997</v>
      </c>
      <c r="AT204" s="26">
        <v>62.8</v>
      </c>
      <c r="AU204" s="26">
        <v>35.601999999999997</v>
      </c>
      <c r="AV204" s="26">
        <v>11.494</v>
      </c>
      <c r="AW204" s="26">
        <v>1.1107</v>
      </c>
      <c r="AX204" s="26">
        <v>11.205</v>
      </c>
      <c r="AY204" s="26">
        <v>62.8</v>
      </c>
      <c r="AZ204" s="26">
        <v>18.231999999999999</v>
      </c>
      <c r="BA204" s="26">
        <v>61.353999999999999</v>
      </c>
      <c r="BB204" s="26">
        <v>12.83</v>
      </c>
      <c r="BC204" s="26">
        <v>12.38</v>
      </c>
      <c r="BD204" s="26">
        <v>26.416</v>
      </c>
      <c r="BE204" s="26">
        <v>43.396000000000001</v>
      </c>
      <c r="BF204" s="26">
        <v>13.824</v>
      </c>
      <c r="BG204" s="26">
        <v>8.4632000000000005</v>
      </c>
      <c r="BH204" s="26">
        <v>4.2279</v>
      </c>
      <c r="BI204" s="26">
        <v>4.9733000000000001</v>
      </c>
      <c r="BJ204" s="26">
        <v>42.685000000000002</v>
      </c>
      <c r="BK204" s="26">
        <v>61.353999999999999</v>
      </c>
      <c r="BL204" s="26">
        <v>31.309000000000001</v>
      </c>
      <c r="BM204" s="26">
        <v>71.135000000000005</v>
      </c>
      <c r="BN204" s="26">
        <v>3.7949999999999999</v>
      </c>
      <c r="BO204" s="26">
        <v>4.4389000000000003</v>
      </c>
      <c r="BP204" s="26">
        <v>49.593000000000004</v>
      </c>
      <c r="BQ204" s="26">
        <v>42.902000000000001</v>
      </c>
      <c r="BR204" s="26">
        <v>6.4207000000000001</v>
      </c>
      <c r="BS204" s="26">
        <v>22.812000000000001</v>
      </c>
      <c r="BT204" s="26">
        <v>20.913</v>
      </c>
      <c r="BU204" s="26">
        <v>45.976999999999997</v>
      </c>
      <c r="BV204" s="26">
        <v>62.8</v>
      </c>
      <c r="BW204" s="26">
        <v>12.93</v>
      </c>
      <c r="BX204" s="26">
        <v>4.5503999999999998</v>
      </c>
      <c r="BY204" s="26">
        <v>42.668999999999997</v>
      </c>
      <c r="BZ204" s="26">
        <v>8.0092999999999996</v>
      </c>
      <c r="CA204" s="26">
        <v>5.7281000000000004</v>
      </c>
      <c r="CB204" s="26">
        <v>42.765000000000001</v>
      </c>
      <c r="CC204" s="26">
        <v>20.869</v>
      </c>
      <c r="CD204" s="26">
        <v>1.8698999999999999</v>
      </c>
      <c r="CE204" s="26">
        <v>45.915999999999997</v>
      </c>
      <c r="CF204" s="26">
        <v>13.204000000000001</v>
      </c>
      <c r="CG204" s="26">
        <v>8.1577999999999999</v>
      </c>
      <c r="CH204" s="26">
        <v>33.402000000000001</v>
      </c>
      <c r="CI204" s="26">
        <v>27.588999999999999</v>
      </c>
      <c r="CJ204" s="26">
        <v>71.135000000000005</v>
      </c>
      <c r="CK204" s="26">
        <v>67.846000000000004</v>
      </c>
      <c r="CL204" s="26">
        <v>8.7796000000000003</v>
      </c>
      <c r="CM204" s="26">
        <v>2.8853</v>
      </c>
      <c r="CN204" s="26">
        <v>4.0065999999999997</v>
      </c>
      <c r="CO204" s="26">
        <v>1.0348999999999999</v>
      </c>
      <c r="CP204" s="26">
        <v>11.378</v>
      </c>
      <c r="CQ204" s="26">
        <v>22.795999999999999</v>
      </c>
      <c r="CR204" s="26">
        <v>1.3911</v>
      </c>
      <c r="CS204" s="26">
        <v>1.7141</v>
      </c>
      <c r="CT204" s="26">
        <v>1.5898000000000001</v>
      </c>
      <c r="CU204" s="26">
        <v>27.498000000000001</v>
      </c>
      <c r="CV204" s="26">
        <v>16.977</v>
      </c>
      <c r="CW204" s="26">
        <v>5.4989000000000003E-2</v>
      </c>
      <c r="CX204" s="26">
        <v>32.664000000000001</v>
      </c>
      <c r="CY204" s="61"/>
      <c r="CZ204" s="537"/>
      <c r="DA204" s="61"/>
    </row>
    <row r="205" spans="1:16384">
      <c r="A205" s="279">
        <v>43952</v>
      </c>
      <c r="B205" s="26">
        <v>36.097999999999999</v>
      </c>
      <c r="C205" s="26">
        <v>9.2281999999999993</v>
      </c>
      <c r="D205" s="26">
        <v>8.4640000000000004</v>
      </c>
      <c r="E205" s="26">
        <v>56.683999999999997</v>
      </c>
      <c r="F205" s="26">
        <v>22.872</v>
      </c>
      <c r="G205" s="26">
        <v>18.649999999999999</v>
      </c>
      <c r="H205" s="26">
        <v>19.129000000000001</v>
      </c>
      <c r="I205" s="26">
        <v>42.798000000000002</v>
      </c>
      <c r="J205" s="26">
        <v>16.966000000000001</v>
      </c>
      <c r="K205" s="26">
        <v>24.812000000000001</v>
      </c>
      <c r="L205" s="26">
        <v>3.3429000000000002</v>
      </c>
      <c r="M205" s="26">
        <v>0.95794999999999997</v>
      </c>
      <c r="N205" s="26">
        <v>9.2133000000000003</v>
      </c>
      <c r="O205" s="26">
        <v>42.841000000000001</v>
      </c>
      <c r="P205" s="26">
        <v>35.950000000000003</v>
      </c>
      <c r="Q205" s="26">
        <v>10.911</v>
      </c>
      <c r="R205" s="26">
        <v>11.988</v>
      </c>
      <c r="S205" s="26">
        <v>70.516000000000005</v>
      </c>
      <c r="T205" s="26">
        <v>1.5502</v>
      </c>
      <c r="U205" s="26">
        <v>20.318999999999999</v>
      </c>
      <c r="V205" s="26">
        <v>3.2206999999999999</v>
      </c>
      <c r="W205" s="26">
        <v>18.443000000000001</v>
      </c>
      <c r="X205" s="26">
        <v>8.2325999999999997</v>
      </c>
      <c r="Y205" s="26">
        <v>22.812000000000001</v>
      </c>
      <c r="Z205" s="26">
        <v>28.332000000000001</v>
      </c>
      <c r="AA205" s="26">
        <v>10.041</v>
      </c>
      <c r="AB205" s="26">
        <v>14.885999999999999</v>
      </c>
      <c r="AC205" s="26">
        <v>42.902000000000001</v>
      </c>
      <c r="AD205" s="26">
        <v>22.388999999999999</v>
      </c>
      <c r="AE205" s="26">
        <v>3.4512999999999998</v>
      </c>
      <c r="AF205" s="26">
        <v>43.075000000000003</v>
      </c>
      <c r="AG205" s="26">
        <v>20.452000000000002</v>
      </c>
      <c r="AH205" s="26">
        <v>12.448</v>
      </c>
      <c r="AI205" s="26">
        <v>21.437999999999999</v>
      </c>
      <c r="AJ205" s="26">
        <v>53.142000000000003</v>
      </c>
      <c r="AK205" s="26">
        <v>12.627000000000001</v>
      </c>
      <c r="AL205" s="26">
        <v>1.0326</v>
      </c>
      <c r="AM205" s="26">
        <v>9.0714000000000006</v>
      </c>
      <c r="AN205" s="26">
        <v>0.92391000000000001</v>
      </c>
      <c r="AO205" s="26">
        <v>19.12</v>
      </c>
      <c r="AP205" s="26">
        <v>9.2495999999999992</v>
      </c>
      <c r="AQ205" s="26">
        <v>0</v>
      </c>
      <c r="AR205" s="26">
        <v>6.2624000000000004</v>
      </c>
      <c r="AS205" s="26">
        <v>42.798000000000002</v>
      </c>
      <c r="AT205" s="26">
        <v>36.997999999999998</v>
      </c>
      <c r="AU205" s="26">
        <v>4.8781999999999996</v>
      </c>
      <c r="AV205" s="26">
        <v>7.4074999999999998</v>
      </c>
      <c r="AW205" s="26">
        <v>0.84892000000000001</v>
      </c>
      <c r="AX205" s="26">
        <v>11.99</v>
      </c>
      <c r="AY205" s="26">
        <v>61.975000000000001</v>
      </c>
      <c r="AZ205" s="26">
        <v>19.425000000000001</v>
      </c>
      <c r="BA205" s="26">
        <v>11.337999999999999</v>
      </c>
      <c r="BB205" s="26">
        <v>27.209</v>
      </c>
      <c r="BC205" s="26">
        <v>9.9153000000000002</v>
      </c>
      <c r="BD205" s="26">
        <v>20.94</v>
      </c>
      <c r="BE205" s="26">
        <v>13.798999999999999</v>
      </c>
      <c r="BF205" s="26">
        <v>17.640999999999998</v>
      </c>
      <c r="BG205" s="26">
        <v>9.7440999999999995</v>
      </c>
      <c r="BH205" s="26">
        <v>1.0081</v>
      </c>
      <c r="BI205" s="26">
        <v>3.5346000000000002</v>
      </c>
      <c r="BJ205" s="26">
        <v>25.734999999999999</v>
      </c>
      <c r="BK205" s="26">
        <v>40.161999999999999</v>
      </c>
      <c r="BL205" s="26">
        <v>13.798999999999999</v>
      </c>
      <c r="BM205" s="26">
        <v>54.326000000000001</v>
      </c>
      <c r="BN205" s="26">
        <v>5.5411999999999999</v>
      </c>
      <c r="BO205" s="26">
        <v>6.5800999999999998</v>
      </c>
      <c r="BP205" s="26">
        <v>36.893000000000001</v>
      </c>
      <c r="BQ205" s="26">
        <v>5.3691000000000004</v>
      </c>
      <c r="BR205" s="26">
        <v>6.5883000000000003</v>
      </c>
      <c r="BS205" s="26">
        <v>42.746000000000002</v>
      </c>
      <c r="BT205" s="26">
        <v>9.5183999999999997</v>
      </c>
      <c r="BU205" s="26">
        <v>42.746000000000002</v>
      </c>
      <c r="BV205" s="26">
        <v>43.518000000000001</v>
      </c>
      <c r="BW205" s="26">
        <v>8.9193999999999996</v>
      </c>
      <c r="BX205" s="26">
        <v>5.7634999999999996</v>
      </c>
      <c r="BY205" s="26">
        <v>10.983000000000001</v>
      </c>
      <c r="BZ205" s="26">
        <v>6.835</v>
      </c>
      <c r="CA205" s="26">
        <v>11.228</v>
      </c>
      <c r="CB205" s="26">
        <v>9.407</v>
      </c>
      <c r="CC205" s="26">
        <v>0.76202000000000003</v>
      </c>
      <c r="CD205" s="26">
        <v>3.3976999999999999</v>
      </c>
      <c r="CE205" s="26">
        <v>25.190999999999999</v>
      </c>
      <c r="CF205" s="26">
        <v>6.8110999999999997</v>
      </c>
      <c r="CG205" s="26">
        <v>10.984</v>
      </c>
      <c r="CH205" s="26">
        <v>11.499000000000001</v>
      </c>
      <c r="CI205" s="26">
        <v>1.7690999999999999</v>
      </c>
      <c r="CJ205" s="26">
        <v>20.89</v>
      </c>
      <c r="CK205" s="26">
        <v>42.841000000000001</v>
      </c>
      <c r="CL205" s="26">
        <v>3.6191</v>
      </c>
      <c r="CM205" s="26">
        <v>5.8003999999999998</v>
      </c>
      <c r="CN205" s="26">
        <v>2.6837</v>
      </c>
      <c r="CO205" s="26">
        <v>0</v>
      </c>
      <c r="CP205" s="26">
        <v>6.3612000000000002</v>
      </c>
      <c r="CQ205" s="26">
        <v>16.085000000000001</v>
      </c>
      <c r="CR205" s="26">
        <v>0</v>
      </c>
      <c r="CS205" s="26">
        <v>0.8669</v>
      </c>
      <c r="CT205" s="26">
        <v>1.0793999999999999</v>
      </c>
      <c r="CU205" s="26">
        <v>12.855</v>
      </c>
      <c r="CV205" s="26">
        <v>10.446</v>
      </c>
      <c r="CW205" s="26">
        <v>2.6295000000000002</v>
      </c>
      <c r="CX205" s="26">
        <v>25.248999999999999</v>
      </c>
      <c r="CY205" s="61"/>
      <c r="CZ205" s="537"/>
      <c r="DA205" s="61"/>
    </row>
    <row r="206" spans="1:16384">
      <c r="A206" s="279">
        <v>43983</v>
      </c>
      <c r="B206" s="26">
        <v>28.143999999999998</v>
      </c>
      <c r="C206" s="26">
        <v>4.9006999999999996</v>
      </c>
      <c r="D206" s="26">
        <v>10.78</v>
      </c>
      <c r="E206" s="26">
        <v>23.994</v>
      </c>
      <c r="F206" s="26">
        <v>9.6830999999999996</v>
      </c>
      <c r="G206" s="26">
        <v>3.0369000000000002</v>
      </c>
      <c r="H206" s="26">
        <v>19.646999999999998</v>
      </c>
      <c r="I206" s="26">
        <v>48.076999999999998</v>
      </c>
      <c r="J206" s="26">
        <v>22.376999999999999</v>
      </c>
      <c r="K206" s="26">
        <v>27.52</v>
      </c>
      <c r="L206" s="26">
        <v>1.2595000000000001</v>
      </c>
      <c r="M206" s="26">
        <v>0</v>
      </c>
      <c r="N206" s="26">
        <v>7.5716000000000001</v>
      </c>
      <c r="O206" s="26">
        <v>42.777999999999999</v>
      </c>
      <c r="P206" s="26">
        <v>5.3333000000000004</v>
      </c>
      <c r="Q206" s="26">
        <v>18.861000000000001</v>
      </c>
      <c r="R206" s="26">
        <v>12.288</v>
      </c>
      <c r="S206" s="26">
        <v>71.212999999999994</v>
      </c>
      <c r="T206" s="26">
        <v>0.12947</v>
      </c>
      <c r="U206" s="26">
        <v>1.3214999999999999</v>
      </c>
      <c r="V206" s="26">
        <v>6.1569000000000003</v>
      </c>
      <c r="W206" s="26">
        <v>21.363</v>
      </c>
      <c r="X206" s="26">
        <v>18.782</v>
      </c>
      <c r="Y206" s="26">
        <v>9.1978000000000009</v>
      </c>
      <c r="Z206" s="26">
        <v>41.878</v>
      </c>
      <c r="AA206" s="26">
        <v>12.273999999999999</v>
      </c>
      <c r="AB206" s="26">
        <v>22.366</v>
      </c>
      <c r="AC206" s="26">
        <v>47.85</v>
      </c>
      <c r="AD206" s="26">
        <v>30.02</v>
      </c>
      <c r="AE206" s="26">
        <v>4.9813999999999998</v>
      </c>
      <c r="AF206" s="26">
        <v>31.138000000000002</v>
      </c>
      <c r="AG206" s="26">
        <v>27.329000000000001</v>
      </c>
      <c r="AH206" s="26">
        <v>10.79</v>
      </c>
      <c r="AI206" s="26">
        <v>27.047999999999998</v>
      </c>
      <c r="AJ206" s="26">
        <v>43.215000000000003</v>
      </c>
      <c r="AK206" s="26">
        <v>18.728000000000002</v>
      </c>
      <c r="AL206" s="26">
        <v>0.76770000000000005</v>
      </c>
      <c r="AM206" s="26">
        <v>7.5965999999999996</v>
      </c>
      <c r="AN206" s="26">
        <v>4.4370000000000003</v>
      </c>
      <c r="AO206" s="26">
        <v>26.751999999999999</v>
      </c>
      <c r="AP206" s="26">
        <v>9.0900999999999996</v>
      </c>
      <c r="AQ206" s="26">
        <v>0.88676999999999995</v>
      </c>
      <c r="AR206" s="26">
        <v>7.4107000000000003</v>
      </c>
      <c r="AS206" s="26">
        <v>39.944000000000003</v>
      </c>
      <c r="AT206" s="26">
        <v>56.616</v>
      </c>
      <c r="AU206" s="26">
        <v>1.371</v>
      </c>
      <c r="AV206" s="26">
        <v>12.192</v>
      </c>
      <c r="AW206" s="26">
        <v>1.2289000000000001</v>
      </c>
      <c r="AX206" s="26">
        <v>7.8977000000000004</v>
      </c>
      <c r="AY206" s="26">
        <v>67.179000000000002</v>
      </c>
      <c r="AZ206" s="26">
        <v>29.414999999999999</v>
      </c>
      <c r="BA206" s="26">
        <v>10.214</v>
      </c>
      <c r="BB206" s="26">
        <v>49.51</v>
      </c>
      <c r="BC206" s="26">
        <v>18.727</v>
      </c>
      <c r="BD206" s="26">
        <v>19.93</v>
      </c>
      <c r="BE206" s="26">
        <v>19.734999999999999</v>
      </c>
      <c r="BF206" s="26">
        <v>12.577999999999999</v>
      </c>
      <c r="BG206" s="26">
        <v>0.14938000000000001</v>
      </c>
      <c r="BH206" s="26">
        <v>0.12833</v>
      </c>
      <c r="BI206" s="26">
        <v>5.0289999999999999</v>
      </c>
      <c r="BJ206" s="26">
        <v>35.982999999999997</v>
      </c>
      <c r="BK206" s="26">
        <v>49.51</v>
      </c>
      <c r="BL206" s="26">
        <v>19.331</v>
      </c>
      <c r="BM206" s="26">
        <v>34.003</v>
      </c>
      <c r="BN206" s="26">
        <v>1.2797000000000001</v>
      </c>
      <c r="BO206" s="26">
        <v>1.9280999999999999</v>
      </c>
      <c r="BP206" s="26">
        <v>51.076999999999998</v>
      </c>
      <c r="BQ206" s="26">
        <v>3.5148000000000001</v>
      </c>
      <c r="BR206" s="26">
        <v>18.196999999999999</v>
      </c>
      <c r="BS206" s="26">
        <v>43.497999999999998</v>
      </c>
      <c r="BT206" s="26">
        <v>7.649</v>
      </c>
      <c r="BU206" s="26">
        <v>22.795999999999999</v>
      </c>
      <c r="BV206" s="26">
        <v>42.685000000000002</v>
      </c>
      <c r="BW206" s="26">
        <v>11.678000000000001</v>
      </c>
      <c r="BX206" s="26">
        <v>14.776</v>
      </c>
      <c r="BY206" s="26">
        <v>1.0743</v>
      </c>
      <c r="BZ206" s="26">
        <v>0.10403999999999999</v>
      </c>
      <c r="CA206" s="26">
        <v>12.686999999999999</v>
      </c>
      <c r="CB206" s="26">
        <v>12.343</v>
      </c>
      <c r="CC206" s="26">
        <v>1.7553000000000001</v>
      </c>
      <c r="CD206" s="26">
        <v>4.6314000000000002</v>
      </c>
      <c r="CE206" s="26">
        <v>42.597000000000001</v>
      </c>
      <c r="CF206" s="26">
        <v>8.3770000000000007</v>
      </c>
      <c r="CG206" s="26">
        <v>18.422000000000001</v>
      </c>
      <c r="CH206" s="26">
        <v>3.0760999999999998</v>
      </c>
      <c r="CI206" s="26">
        <v>22.872</v>
      </c>
      <c r="CJ206" s="26">
        <v>7.2571000000000003</v>
      </c>
      <c r="CK206" s="26">
        <v>9.3960000000000008</v>
      </c>
      <c r="CL206" s="26">
        <v>3.2637</v>
      </c>
      <c r="CM206" s="26">
        <v>1.1619999999999999</v>
      </c>
      <c r="CN206" s="26">
        <v>4.1642000000000001</v>
      </c>
      <c r="CO206" s="26">
        <v>0.22708</v>
      </c>
      <c r="CP206" s="26">
        <v>11.725</v>
      </c>
      <c r="CQ206" s="26">
        <v>20.635999999999999</v>
      </c>
      <c r="CR206" s="26">
        <v>0</v>
      </c>
      <c r="CS206" s="26">
        <v>3.1659999999999999</v>
      </c>
      <c r="CT206" s="26">
        <v>0</v>
      </c>
      <c r="CU206" s="26">
        <v>5.3887999999999998</v>
      </c>
      <c r="CV206" s="26">
        <v>12.712999999999999</v>
      </c>
      <c r="CW206" s="26">
        <v>8.5512999999999995</v>
      </c>
      <c r="CX206" s="26">
        <v>24.527000000000001</v>
      </c>
      <c r="CY206" s="61"/>
      <c r="CZ206" s="537"/>
      <c r="DA206" s="61"/>
    </row>
    <row r="207" spans="1:16384">
      <c r="A207" s="279">
        <v>44013</v>
      </c>
      <c r="B207" s="26">
        <v>26.074999999999999</v>
      </c>
      <c r="C207" s="26">
        <v>6.0566000000000004</v>
      </c>
      <c r="D207" s="26">
        <v>7.7165999999999997</v>
      </c>
      <c r="E207" s="26">
        <v>30.812999999999999</v>
      </c>
      <c r="F207" s="26">
        <v>19.608000000000001</v>
      </c>
      <c r="G207" s="26">
        <v>4.3144999999999998</v>
      </c>
      <c r="H207" s="26">
        <v>21.952000000000002</v>
      </c>
      <c r="I207" s="26">
        <v>63.283999999999999</v>
      </c>
      <c r="J207" s="26">
        <v>31.832999999999998</v>
      </c>
      <c r="K207" s="26">
        <v>24.001000000000001</v>
      </c>
      <c r="L207" s="26">
        <v>6.1755000000000004</v>
      </c>
      <c r="M207" s="26">
        <v>0</v>
      </c>
      <c r="N207" s="26">
        <v>9.7324000000000002</v>
      </c>
      <c r="O207" s="26">
        <v>35.209000000000003</v>
      </c>
      <c r="P207" s="26">
        <v>0</v>
      </c>
      <c r="Q207" s="26">
        <v>16.684999999999999</v>
      </c>
      <c r="R207" s="26">
        <v>18.887</v>
      </c>
      <c r="S207" s="26">
        <v>63.283999999999999</v>
      </c>
      <c r="T207" s="26">
        <v>0</v>
      </c>
      <c r="U207" s="26">
        <v>0</v>
      </c>
      <c r="V207" s="26">
        <v>19.434999999999999</v>
      </c>
      <c r="W207" s="26">
        <v>10.154</v>
      </c>
      <c r="X207" s="26">
        <v>52.923000000000002</v>
      </c>
      <c r="Y207" s="26">
        <v>21.024999999999999</v>
      </c>
      <c r="Z207" s="26">
        <v>38.238999999999997</v>
      </c>
      <c r="AA207" s="26">
        <v>9.8955000000000002</v>
      </c>
      <c r="AB207" s="26">
        <v>31.885000000000002</v>
      </c>
      <c r="AC207" s="26">
        <v>12.048999999999999</v>
      </c>
      <c r="AD207" s="26">
        <v>19.608000000000001</v>
      </c>
      <c r="AE207" s="26">
        <v>4.4436</v>
      </c>
      <c r="AF207" s="26">
        <v>26.263999999999999</v>
      </c>
      <c r="AG207" s="26">
        <v>33.845999999999997</v>
      </c>
      <c r="AH207" s="26">
        <v>22.414000000000001</v>
      </c>
      <c r="AI207" s="26">
        <v>30.934999999999999</v>
      </c>
      <c r="AJ207" s="26">
        <v>27.88</v>
      </c>
      <c r="AK207" s="26">
        <v>23.132999999999999</v>
      </c>
      <c r="AL207" s="26">
        <v>0.14143</v>
      </c>
      <c r="AM207" s="26">
        <v>6.3754</v>
      </c>
      <c r="AN207" s="26">
        <v>3.9373</v>
      </c>
      <c r="AO207" s="26">
        <v>26.050999999999998</v>
      </c>
      <c r="AP207" s="26">
        <v>25.591999999999999</v>
      </c>
      <c r="AQ207" s="26">
        <v>0.59648000000000001</v>
      </c>
      <c r="AR207" s="26">
        <v>12.755000000000001</v>
      </c>
      <c r="AS207" s="26">
        <v>20</v>
      </c>
      <c r="AT207" s="26">
        <v>45.405000000000001</v>
      </c>
      <c r="AU207" s="26">
        <v>1.254</v>
      </c>
      <c r="AV207" s="26">
        <v>10.244</v>
      </c>
      <c r="AW207" s="26">
        <v>7.3800000000000004E-2</v>
      </c>
      <c r="AX207" s="26">
        <v>18.495999999999999</v>
      </c>
      <c r="AY207" s="26">
        <v>42.685000000000002</v>
      </c>
      <c r="AZ207" s="26">
        <v>31.016999999999999</v>
      </c>
      <c r="BA207" s="26">
        <v>13.423</v>
      </c>
      <c r="BB207" s="26">
        <v>43.296999999999997</v>
      </c>
      <c r="BC207" s="26">
        <v>21.635999999999999</v>
      </c>
      <c r="BD207" s="26">
        <v>25.155000000000001</v>
      </c>
      <c r="BE207" s="26">
        <v>10.388999999999999</v>
      </c>
      <c r="BF207" s="26">
        <v>12.587</v>
      </c>
      <c r="BG207" s="26">
        <v>0</v>
      </c>
      <c r="BH207" s="26">
        <v>0.94635999999999998</v>
      </c>
      <c r="BI207" s="26">
        <v>7.0399000000000003</v>
      </c>
      <c r="BJ207" s="26">
        <v>45.335000000000001</v>
      </c>
      <c r="BK207" s="26">
        <v>63.1</v>
      </c>
      <c r="BL207" s="26">
        <v>18.741</v>
      </c>
      <c r="BM207" s="26">
        <v>45.335999999999999</v>
      </c>
      <c r="BN207" s="26">
        <v>0.89880000000000004</v>
      </c>
      <c r="BO207" s="26">
        <v>0</v>
      </c>
      <c r="BP207" s="26">
        <v>19.989000000000001</v>
      </c>
      <c r="BQ207" s="26">
        <v>4.4607999999999999</v>
      </c>
      <c r="BR207" s="26">
        <v>24.901</v>
      </c>
      <c r="BS207" s="26">
        <v>40.125</v>
      </c>
      <c r="BT207" s="26">
        <v>1.3343</v>
      </c>
      <c r="BU207" s="26">
        <v>18.193000000000001</v>
      </c>
      <c r="BV207" s="26">
        <v>40.066000000000003</v>
      </c>
      <c r="BW207" s="26">
        <v>7.11</v>
      </c>
      <c r="BX207" s="26">
        <v>10.359</v>
      </c>
      <c r="BY207" s="26">
        <v>0</v>
      </c>
      <c r="BZ207" s="26">
        <v>0.10782</v>
      </c>
      <c r="CA207" s="26">
        <v>9.7737999999999996</v>
      </c>
      <c r="CB207" s="26">
        <v>13.581</v>
      </c>
      <c r="CC207" s="26">
        <v>42.78</v>
      </c>
      <c r="CD207" s="26">
        <v>5.0987</v>
      </c>
      <c r="CE207" s="26">
        <v>19.468</v>
      </c>
      <c r="CF207" s="26">
        <v>4.5448000000000004</v>
      </c>
      <c r="CG207" s="26">
        <v>17.408000000000001</v>
      </c>
      <c r="CH207" s="26">
        <v>0.75582000000000005</v>
      </c>
      <c r="CI207" s="26">
        <v>22.736000000000001</v>
      </c>
      <c r="CJ207" s="26">
        <v>33.941000000000003</v>
      </c>
      <c r="CK207" s="26">
        <v>1.4657</v>
      </c>
      <c r="CL207" s="26">
        <v>4.4911000000000003</v>
      </c>
      <c r="CM207" s="26">
        <v>0.18937999999999999</v>
      </c>
      <c r="CN207" s="26">
        <v>1.4538</v>
      </c>
      <c r="CO207" s="26">
        <v>0.18848000000000001</v>
      </c>
      <c r="CP207" s="26">
        <v>24.315000000000001</v>
      </c>
      <c r="CQ207" s="26">
        <v>34.872</v>
      </c>
      <c r="CR207" s="26">
        <v>1.1115999999999999E-2</v>
      </c>
      <c r="CS207" s="26">
        <v>0.74834000000000001</v>
      </c>
      <c r="CT207" s="26">
        <v>1.8332999999999999E-3</v>
      </c>
      <c r="CU207" s="26">
        <v>0</v>
      </c>
      <c r="CV207" s="26">
        <v>10.095000000000001</v>
      </c>
      <c r="CW207" s="26">
        <v>9.1548999999999996</v>
      </c>
      <c r="CX207" s="26">
        <v>25.379000000000001</v>
      </c>
      <c r="CY207" s="61"/>
      <c r="CZ207" s="537"/>
      <c r="DA207" s="61"/>
    </row>
    <row r="208" spans="1:16384">
      <c r="A208" s="279">
        <v>44044</v>
      </c>
      <c r="B208" s="26">
        <v>27.042000000000002</v>
      </c>
      <c r="C208" s="26">
        <v>6.8048000000000002</v>
      </c>
      <c r="D208" s="26">
        <v>15.500999999999999</v>
      </c>
      <c r="E208" s="26">
        <v>43.463000000000001</v>
      </c>
      <c r="F208" s="26">
        <v>22.324000000000002</v>
      </c>
      <c r="G208" s="26">
        <v>6.6322999999999999</v>
      </c>
      <c r="H208" s="26">
        <v>20.288</v>
      </c>
      <c r="I208" s="26">
        <v>45.753</v>
      </c>
      <c r="J208" s="26">
        <v>48.652000000000001</v>
      </c>
      <c r="K208" s="26">
        <v>27.324999999999999</v>
      </c>
      <c r="L208" s="26">
        <v>19.794</v>
      </c>
      <c r="M208" s="26">
        <v>2.5654E-2</v>
      </c>
      <c r="N208" s="26">
        <v>19.414000000000001</v>
      </c>
      <c r="O208" s="26">
        <v>26.666</v>
      </c>
      <c r="P208" s="26">
        <v>1.8657E-2</v>
      </c>
      <c r="Q208" s="26">
        <v>5.1355000000000004</v>
      </c>
      <c r="R208" s="26">
        <v>19.5</v>
      </c>
      <c r="S208" s="26">
        <v>65.278999999999996</v>
      </c>
      <c r="T208" s="26">
        <v>2.6175E-2</v>
      </c>
      <c r="U208" s="26">
        <v>0</v>
      </c>
      <c r="V208" s="26">
        <v>16.745000000000001</v>
      </c>
      <c r="W208" s="26">
        <v>6.8110999999999997</v>
      </c>
      <c r="X208" s="26">
        <v>45.915999999999997</v>
      </c>
      <c r="Y208" s="26">
        <v>15.071999999999999</v>
      </c>
      <c r="Z208" s="26">
        <v>31.347999999999999</v>
      </c>
      <c r="AA208" s="26">
        <v>26.536000000000001</v>
      </c>
      <c r="AB208" s="26">
        <v>30.917999999999999</v>
      </c>
      <c r="AC208" s="26">
        <v>15.24</v>
      </c>
      <c r="AD208" s="26">
        <v>14.68</v>
      </c>
      <c r="AE208" s="26">
        <v>1.5</v>
      </c>
      <c r="AF208" s="26">
        <v>26.042999999999999</v>
      </c>
      <c r="AG208" s="26">
        <v>29.48</v>
      </c>
      <c r="AH208" s="26">
        <v>27.483000000000001</v>
      </c>
      <c r="AI208" s="26">
        <v>42.777999999999999</v>
      </c>
      <c r="AJ208" s="26">
        <v>23.218</v>
      </c>
      <c r="AK208" s="26">
        <v>26.562999999999999</v>
      </c>
      <c r="AL208" s="26">
        <v>0</v>
      </c>
      <c r="AM208" s="26">
        <v>0</v>
      </c>
      <c r="AN208" s="26">
        <v>17.829000000000001</v>
      </c>
      <c r="AO208" s="26">
        <v>14.292999999999999</v>
      </c>
      <c r="AP208" s="26">
        <v>43.152000000000001</v>
      </c>
      <c r="AQ208" s="26">
        <v>1.0313000000000001</v>
      </c>
      <c r="AR208" s="26">
        <v>24.97</v>
      </c>
      <c r="AS208" s="26">
        <v>27.178000000000001</v>
      </c>
      <c r="AT208" s="26">
        <v>56.616</v>
      </c>
      <c r="AU208" s="26">
        <v>0.5534</v>
      </c>
      <c r="AV208" s="26">
        <v>14.057</v>
      </c>
      <c r="AW208" s="26">
        <v>0.47583999999999999</v>
      </c>
      <c r="AX208" s="26">
        <v>14.497</v>
      </c>
      <c r="AY208" s="26">
        <v>61.353999999999999</v>
      </c>
      <c r="AZ208" s="26">
        <v>21.504999999999999</v>
      </c>
      <c r="BA208" s="26">
        <v>20.059999999999999</v>
      </c>
      <c r="BB208" s="26">
        <v>55.478000000000002</v>
      </c>
      <c r="BC208" s="26">
        <v>26.423999999999999</v>
      </c>
      <c r="BD208" s="26">
        <v>25.861999999999998</v>
      </c>
      <c r="BE208" s="26">
        <v>20.16</v>
      </c>
      <c r="BF208" s="26">
        <v>0.49320000000000003</v>
      </c>
      <c r="BG208" s="26">
        <v>1.9173E-3</v>
      </c>
      <c r="BH208" s="26">
        <v>0.1482</v>
      </c>
      <c r="BI208" s="26">
        <v>6.3772000000000002</v>
      </c>
      <c r="BJ208" s="26">
        <v>51.853000000000002</v>
      </c>
      <c r="BK208" s="26">
        <v>65.278999999999996</v>
      </c>
      <c r="BL208" s="26">
        <v>26.254000000000001</v>
      </c>
      <c r="BM208" s="26">
        <v>44.027999999999999</v>
      </c>
      <c r="BN208" s="26">
        <v>0.49481999999999998</v>
      </c>
      <c r="BO208" s="26">
        <v>0</v>
      </c>
      <c r="BP208" s="26">
        <v>20.204999999999998</v>
      </c>
      <c r="BQ208" s="26">
        <v>7.7980999999999998</v>
      </c>
      <c r="BR208" s="26">
        <v>40.752000000000002</v>
      </c>
      <c r="BS208" s="26">
        <v>41.761000000000003</v>
      </c>
      <c r="BT208" s="26">
        <v>8.0618999999999995E-5</v>
      </c>
      <c r="BU208" s="26">
        <v>21.378</v>
      </c>
      <c r="BV208" s="26">
        <v>27.596</v>
      </c>
      <c r="BW208" s="26">
        <v>0.49389</v>
      </c>
      <c r="BX208" s="26">
        <v>22.312000000000001</v>
      </c>
      <c r="BY208" s="26">
        <v>0</v>
      </c>
      <c r="BZ208" s="26">
        <v>2.4479000000000001E-2</v>
      </c>
      <c r="CA208" s="26">
        <v>14.714</v>
      </c>
      <c r="CB208" s="26">
        <v>26.768999999999998</v>
      </c>
      <c r="CC208" s="26">
        <v>46.027000000000001</v>
      </c>
      <c r="CD208" s="26">
        <v>2.7204000000000002</v>
      </c>
      <c r="CE208" s="26">
        <v>20.667999999999999</v>
      </c>
      <c r="CF208" s="26">
        <v>0.49963999999999997</v>
      </c>
      <c r="CG208" s="26">
        <v>18.154</v>
      </c>
      <c r="CH208" s="26">
        <v>0</v>
      </c>
      <c r="CI208" s="26">
        <v>4.3979999999999997</v>
      </c>
      <c r="CJ208" s="26">
        <v>42.667000000000002</v>
      </c>
      <c r="CK208" s="26">
        <v>0.51280000000000003</v>
      </c>
      <c r="CL208" s="26">
        <v>5.9819000000000004</v>
      </c>
      <c r="CM208" s="26">
        <v>0.50468999999999997</v>
      </c>
      <c r="CN208" s="26">
        <v>2.859</v>
      </c>
      <c r="CO208" s="26">
        <v>5.9283999999999997E-4</v>
      </c>
      <c r="CP208" s="26">
        <v>27.741</v>
      </c>
      <c r="CQ208" s="26">
        <v>23.774000000000001</v>
      </c>
      <c r="CR208" s="26">
        <v>0</v>
      </c>
      <c r="CS208" s="26">
        <v>0.51576999999999995</v>
      </c>
      <c r="CT208" s="26">
        <v>2.5506000000000001E-2</v>
      </c>
      <c r="CU208" s="26">
        <v>0.50041999999999998</v>
      </c>
      <c r="CV208" s="26">
        <v>5.1196000000000002</v>
      </c>
      <c r="CW208" s="26">
        <v>6.5452000000000004</v>
      </c>
      <c r="CX208" s="26">
        <v>27.55</v>
      </c>
      <c r="CY208" s="61"/>
      <c r="CZ208" s="537"/>
      <c r="DA208" s="61"/>
    </row>
    <row r="209" spans="1:16384">
      <c r="A209" s="279">
        <v>44075</v>
      </c>
      <c r="B209" s="26">
        <v>30.792999999999999</v>
      </c>
      <c r="C209" s="26">
        <v>3.8906999999999998</v>
      </c>
      <c r="D209" s="26">
        <v>21.27</v>
      </c>
      <c r="E209" s="26">
        <v>43.058</v>
      </c>
      <c r="F209" s="26">
        <v>42.765000000000001</v>
      </c>
      <c r="G209" s="26">
        <v>22.295000000000002</v>
      </c>
      <c r="H209" s="26">
        <v>25.706</v>
      </c>
      <c r="I209" s="26">
        <v>64.674999999999997</v>
      </c>
      <c r="J209" s="26">
        <v>56.616</v>
      </c>
      <c r="K209" s="26">
        <v>35.496000000000002</v>
      </c>
      <c r="L209" s="26">
        <v>22.317</v>
      </c>
      <c r="M209" s="26">
        <v>0</v>
      </c>
      <c r="N209" s="26">
        <v>31.574000000000002</v>
      </c>
      <c r="O209" s="26">
        <v>31.683</v>
      </c>
      <c r="P209" s="26">
        <v>1.917E-2</v>
      </c>
      <c r="Q209" s="26">
        <v>0</v>
      </c>
      <c r="R209" s="26">
        <v>22.088999999999999</v>
      </c>
      <c r="S209" s="26">
        <v>56.616</v>
      </c>
      <c r="T209" s="26">
        <v>0</v>
      </c>
      <c r="U209" s="26">
        <v>0</v>
      </c>
      <c r="V209" s="26">
        <v>18.675000000000001</v>
      </c>
      <c r="W209" s="26">
        <v>16.038</v>
      </c>
      <c r="X209" s="26">
        <v>43.438000000000002</v>
      </c>
      <c r="Y209" s="26">
        <v>43.168999999999997</v>
      </c>
      <c r="Z209" s="26">
        <v>59.043999999999997</v>
      </c>
      <c r="AA209" s="26">
        <v>29.922000000000001</v>
      </c>
      <c r="AB209" s="26">
        <v>36.183</v>
      </c>
      <c r="AC209" s="26">
        <v>22.7</v>
      </c>
      <c r="AD209" s="26">
        <v>7.9922000000000004</v>
      </c>
      <c r="AE209" s="26">
        <v>0</v>
      </c>
      <c r="AF209" s="26">
        <v>30.390999999999998</v>
      </c>
      <c r="AG209" s="26">
        <v>43.436</v>
      </c>
      <c r="AH209" s="26">
        <v>29.741</v>
      </c>
      <c r="AI209" s="26">
        <v>56.616</v>
      </c>
      <c r="AJ209" s="26">
        <v>0</v>
      </c>
      <c r="AK209" s="26">
        <v>30.59</v>
      </c>
      <c r="AL209" s="26">
        <v>0</v>
      </c>
      <c r="AM209" s="26">
        <v>0</v>
      </c>
      <c r="AN209" s="26">
        <v>0.74987999999999999</v>
      </c>
      <c r="AO209" s="26">
        <v>16.818000000000001</v>
      </c>
      <c r="AP209" s="26">
        <v>53.265000000000001</v>
      </c>
      <c r="AQ209" s="26">
        <v>5.7446000000000002</v>
      </c>
      <c r="AR209" s="26">
        <v>30.294</v>
      </c>
      <c r="AS209" s="26">
        <v>41.207999999999998</v>
      </c>
      <c r="AT209" s="26">
        <v>63.283999999999999</v>
      </c>
      <c r="AU209" s="26">
        <v>0.37021999999999999</v>
      </c>
      <c r="AV209" s="26">
        <v>6.3769999999999993E-2</v>
      </c>
      <c r="AW209" s="26">
        <v>1.5401E-3</v>
      </c>
      <c r="AX209" s="26">
        <v>5.9097999999999998E-2</v>
      </c>
      <c r="AY209" s="26">
        <v>72.605999999999995</v>
      </c>
      <c r="AZ209" s="26">
        <v>22.596</v>
      </c>
      <c r="BA209" s="26">
        <v>21.939</v>
      </c>
      <c r="BB209" s="26">
        <v>55.387999999999998</v>
      </c>
      <c r="BC209" s="26">
        <v>38.805</v>
      </c>
      <c r="BD209" s="26">
        <v>30.459</v>
      </c>
      <c r="BE209" s="26">
        <v>8.1151999999999997</v>
      </c>
      <c r="BF209" s="26">
        <v>5.6879999999999997</v>
      </c>
      <c r="BG209" s="26">
        <v>0</v>
      </c>
      <c r="BH209" s="26">
        <v>5.3288000000000002E-2</v>
      </c>
      <c r="BI209" s="26">
        <v>17.606000000000002</v>
      </c>
      <c r="BJ209" s="26">
        <v>69.941000000000003</v>
      </c>
      <c r="BK209" s="26">
        <v>69.941000000000003</v>
      </c>
      <c r="BL209" s="26">
        <v>25.978999999999999</v>
      </c>
      <c r="BM209" s="26">
        <v>49.875999999999998</v>
      </c>
      <c r="BN209" s="26">
        <v>7.0582000000000006E-2</v>
      </c>
      <c r="BO209" s="26">
        <v>7.5325000000000001E-3</v>
      </c>
      <c r="BP209" s="26">
        <v>8.1353000000000009</v>
      </c>
      <c r="BQ209" s="26">
        <v>16.643999999999998</v>
      </c>
      <c r="BR209" s="26">
        <v>42.685000000000002</v>
      </c>
      <c r="BS209" s="26">
        <v>43.137999999999998</v>
      </c>
      <c r="BT209" s="26">
        <v>0</v>
      </c>
      <c r="BU209" s="26">
        <v>7.2983000000000002</v>
      </c>
      <c r="BV209" s="26">
        <v>30.545000000000002</v>
      </c>
      <c r="BW209" s="26">
        <v>6.4428000000000001</v>
      </c>
      <c r="BX209" s="26">
        <v>21.763000000000002</v>
      </c>
      <c r="BY209" s="26">
        <v>1.4342000000000001E-2</v>
      </c>
      <c r="BZ209" s="26">
        <v>0</v>
      </c>
      <c r="CA209" s="26">
        <v>22.523</v>
      </c>
      <c r="CB209" s="26">
        <v>31.111000000000001</v>
      </c>
      <c r="CC209" s="26">
        <v>55.478000000000002</v>
      </c>
      <c r="CD209" s="26">
        <v>2.2218</v>
      </c>
      <c r="CE209" s="26">
        <v>42.78</v>
      </c>
      <c r="CF209" s="26">
        <v>0</v>
      </c>
      <c r="CG209" s="26">
        <v>26.088000000000001</v>
      </c>
      <c r="CH209" s="26">
        <v>0.63053000000000003</v>
      </c>
      <c r="CI209" s="26">
        <v>42.668999999999997</v>
      </c>
      <c r="CJ209" s="26">
        <v>44.857999999999997</v>
      </c>
      <c r="CK209" s="26">
        <v>0</v>
      </c>
      <c r="CL209" s="26">
        <v>17.462</v>
      </c>
      <c r="CM209" s="26">
        <v>2.2400000000000002</v>
      </c>
      <c r="CN209" s="26">
        <v>3.0266000000000002</v>
      </c>
      <c r="CO209" s="26">
        <v>5.2054999999999997E-2</v>
      </c>
      <c r="CP209" s="26">
        <v>17.876000000000001</v>
      </c>
      <c r="CQ209" s="26">
        <v>26.846</v>
      </c>
      <c r="CR209" s="26">
        <v>0</v>
      </c>
      <c r="CS209" s="26">
        <v>5.3911000000000001E-2</v>
      </c>
      <c r="CT209" s="26">
        <v>0</v>
      </c>
      <c r="CU209" s="26">
        <v>7.1494</v>
      </c>
      <c r="CV209" s="26">
        <v>18.195</v>
      </c>
      <c r="CW209" s="26">
        <v>10.478999999999999</v>
      </c>
      <c r="CX209" s="26">
        <v>30.213999999999999</v>
      </c>
      <c r="CY209" s="61"/>
      <c r="CZ209" s="537"/>
      <c r="DA209" s="61"/>
    </row>
    <row r="210" spans="1:16384">
      <c r="A210" s="279">
        <v>44105</v>
      </c>
      <c r="B210" s="26">
        <v>42.927999999999997</v>
      </c>
      <c r="C210" s="26">
        <v>9.0127000000000006</v>
      </c>
      <c r="D210" s="26">
        <v>17.559999999999999</v>
      </c>
      <c r="E210" s="26">
        <v>44.094000000000001</v>
      </c>
      <c r="F210" s="26">
        <v>45.936999999999998</v>
      </c>
      <c r="G210" s="26">
        <v>8.0556999999999999</v>
      </c>
      <c r="H210" s="26">
        <v>42.683</v>
      </c>
      <c r="I210" s="26">
        <v>57.694000000000003</v>
      </c>
      <c r="J210" s="26">
        <v>49.078000000000003</v>
      </c>
      <c r="K210" s="26">
        <v>45.4</v>
      </c>
      <c r="L210" s="26">
        <v>28.942</v>
      </c>
      <c r="M210" s="26">
        <v>0</v>
      </c>
      <c r="N210" s="26">
        <v>40.738</v>
      </c>
      <c r="O210" s="26">
        <v>42.683</v>
      </c>
      <c r="P210" s="26">
        <v>6.2361999999999999E-3</v>
      </c>
      <c r="Q210" s="26">
        <v>2.2353000000000001</v>
      </c>
      <c r="R210" s="26">
        <v>19.849</v>
      </c>
      <c r="S210" s="26">
        <v>44.917000000000002</v>
      </c>
      <c r="T210" s="26">
        <v>0</v>
      </c>
      <c r="U210" s="26">
        <v>0.42832999999999999</v>
      </c>
      <c r="V210" s="26">
        <v>34.945999999999998</v>
      </c>
      <c r="W210" s="26">
        <v>8.0533000000000001</v>
      </c>
      <c r="X210" s="26">
        <v>18.202999999999999</v>
      </c>
      <c r="Y210" s="26">
        <v>64.956999999999994</v>
      </c>
      <c r="Z210" s="26">
        <v>54.984000000000002</v>
      </c>
      <c r="AA210" s="26">
        <v>9.4471000000000007</v>
      </c>
      <c r="AB210" s="26">
        <v>9.7741000000000007</v>
      </c>
      <c r="AC210" s="26">
        <v>29.129000000000001</v>
      </c>
      <c r="AD210" s="26">
        <v>9.1689000000000007</v>
      </c>
      <c r="AE210" s="26">
        <v>0</v>
      </c>
      <c r="AF210" s="26">
        <v>41.713999999999999</v>
      </c>
      <c r="AG210" s="26">
        <v>45.695999999999998</v>
      </c>
      <c r="AH210" s="26">
        <v>22.58</v>
      </c>
      <c r="AI210" s="26">
        <v>43.182000000000002</v>
      </c>
      <c r="AJ210" s="26">
        <v>1.4148000000000001</v>
      </c>
      <c r="AK210" s="26">
        <v>42.820999999999998</v>
      </c>
      <c r="AL210" s="26">
        <v>0</v>
      </c>
      <c r="AM210" s="26">
        <v>0</v>
      </c>
      <c r="AN210" s="26">
        <v>0.27067999999999998</v>
      </c>
      <c r="AO210" s="26">
        <v>22.413</v>
      </c>
      <c r="AP210" s="26">
        <v>50.720999999999997</v>
      </c>
      <c r="AQ210" s="26">
        <v>6.6680999999999999</v>
      </c>
      <c r="AR210" s="26">
        <v>40.389000000000003</v>
      </c>
      <c r="AS210" s="26">
        <v>43.86</v>
      </c>
      <c r="AT210" s="26">
        <v>49.192999999999998</v>
      </c>
      <c r="AU210" s="26">
        <v>0.79427999999999999</v>
      </c>
      <c r="AV210" s="26">
        <v>2.2852000000000001</v>
      </c>
      <c r="AW210" s="26">
        <v>0</v>
      </c>
      <c r="AX210" s="26">
        <v>0.1331</v>
      </c>
      <c r="AY210" s="26">
        <v>75.959999999999994</v>
      </c>
      <c r="AZ210" s="26">
        <v>29.358000000000001</v>
      </c>
      <c r="BA210" s="26">
        <v>21.914000000000001</v>
      </c>
      <c r="BB210" s="26">
        <v>68.516000000000005</v>
      </c>
      <c r="BC210" s="26">
        <v>39.113999999999997</v>
      </c>
      <c r="BD210" s="26">
        <v>26.856999999999999</v>
      </c>
      <c r="BE210" s="26">
        <v>16.073</v>
      </c>
      <c r="BF210" s="26">
        <v>8.8832000000000004</v>
      </c>
      <c r="BG210" s="26">
        <v>0</v>
      </c>
      <c r="BH210" s="26">
        <v>2.0832999999999999</v>
      </c>
      <c r="BI210" s="26">
        <v>28.218</v>
      </c>
      <c r="BJ210" s="26">
        <v>45.792999999999999</v>
      </c>
      <c r="BK210" s="26">
        <v>58.021999999999998</v>
      </c>
      <c r="BL210" s="26">
        <v>41.304000000000002</v>
      </c>
      <c r="BM210" s="26">
        <v>44.366999999999997</v>
      </c>
      <c r="BN210" s="26">
        <v>0.1331</v>
      </c>
      <c r="BO210" s="26">
        <v>7.2595999999999997E-3</v>
      </c>
      <c r="BP210" s="26">
        <v>9.3416999999999994</v>
      </c>
      <c r="BQ210" s="26">
        <v>25.018999999999998</v>
      </c>
      <c r="BR210" s="26">
        <v>39.945999999999998</v>
      </c>
      <c r="BS210" s="26">
        <v>34.143000000000001</v>
      </c>
      <c r="BT210" s="26">
        <v>0.24970000000000001</v>
      </c>
      <c r="BU210" s="26">
        <v>2.3997999999999999</v>
      </c>
      <c r="BV210" s="26">
        <v>20.559000000000001</v>
      </c>
      <c r="BW210" s="26">
        <v>8.2325999999999997</v>
      </c>
      <c r="BX210" s="26">
        <v>24.181000000000001</v>
      </c>
      <c r="BY210" s="26">
        <v>0</v>
      </c>
      <c r="BZ210" s="26">
        <v>0</v>
      </c>
      <c r="CA210" s="26">
        <v>29.167999999999999</v>
      </c>
      <c r="CB210" s="26">
        <v>41.052</v>
      </c>
      <c r="CC210" s="26">
        <v>64.641000000000005</v>
      </c>
      <c r="CD210" s="26">
        <v>4.2187999999999999</v>
      </c>
      <c r="CE210" s="26">
        <v>43.280999999999999</v>
      </c>
      <c r="CF210" s="26">
        <v>0</v>
      </c>
      <c r="CG210" s="26">
        <v>21.125</v>
      </c>
      <c r="CH210" s="26">
        <v>5.1025</v>
      </c>
      <c r="CI210" s="26">
        <v>18.077000000000002</v>
      </c>
      <c r="CJ210" s="26">
        <v>43.831000000000003</v>
      </c>
      <c r="CK210" s="26">
        <v>1.4550000000000001</v>
      </c>
      <c r="CL210" s="26">
        <v>22.155999999999999</v>
      </c>
      <c r="CM210" s="26">
        <v>1.0346</v>
      </c>
      <c r="CN210" s="26">
        <v>8.5498999999999992</v>
      </c>
      <c r="CO210" s="26">
        <v>0</v>
      </c>
      <c r="CP210" s="26">
        <v>28.376999999999999</v>
      </c>
      <c r="CQ210" s="26">
        <v>20.696000000000002</v>
      </c>
      <c r="CR210" s="26">
        <v>0</v>
      </c>
      <c r="CS210" s="26">
        <v>2.4026999999999998</v>
      </c>
      <c r="CT210" s="26">
        <v>0</v>
      </c>
      <c r="CU210" s="26">
        <v>14.821</v>
      </c>
      <c r="CV210" s="26">
        <v>0.1331</v>
      </c>
      <c r="CW210" s="26">
        <v>24.077000000000002</v>
      </c>
      <c r="CX210" s="26">
        <v>29.263000000000002</v>
      </c>
      <c r="CY210" s="61"/>
      <c r="CZ210" s="537"/>
      <c r="DA210" s="61"/>
    </row>
    <row r="211" spans="1:16384">
      <c r="A211" s="279">
        <v>44136</v>
      </c>
      <c r="B211" s="26">
        <v>22.306999999999999</v>
      </c>
      <c r="C211" s="26">
        <v>13.073</v>
      </c>
      <c r="D211" s="26">
        <v>36.915999999999997</v>
      </c>
      <c r="E211" s="26">
        <v>48.881999999999998</v>
      </c>
      <c r="F211" s="26">
        <v>49.499000000000002</v>
      </c>
      <c r="G211" s="26">
        <v>22.579000000000001</v>
      </c>
      <c r="H211" s="26">
        <v>42.78</v>
      </c>
      <c r="I211" s="26">
        <v>52.62</v>
      </c>
      <c r="J211" s="26">
        <v>49.499000000000002</v>
      </c>
      <c r="K211" s="26">
        <v>48.929000000000002</v>
      </c>
      <c r="L211" s="26">
        <v>44.622999999999998</v>
      </c>
      <c r="M211" s="26">
        <v>0</v>
      </c>
      <c r="N211" s="26">
        <v>44.628</v>
      </c>
      <c r="O211" s="26">
        <v>39.039000000000001</v>
      </c>
      <c r="P211" s="26">
        <v>0</v>
      </c>
      <c r="Q211" s="26">
        <v>4.1817000000000002</v>
      </c>
      <c r="R211" s="26">
        <v>15.452</v>
      </c>
      <c r="S211" s="26">
        <v>47.884</v>
      </c>
      <c r="T211" s="26">
        <v>0</v>
      </c>
      <c r="U211" s="26">
        <v>4.2091000000000003</v>
      </c>
      <c r="V211" s="26">
        <v>39.555999999999997</v>
      </c>
      <c r="W211" s="26">
        <v>4.7881</v>
      </c>
      <c r="X211" s="26">
        <v>34.427999999999997</v>
      </c>
      <c r="Y211" s="26">
        <v>48.929000000000002</v>
      </c>
      <c r="Z211" s="26">
        <v>62.725000000000001</v>
      </c>
      <c r="AA211" s="26">
        <v>23.544</v>
      </c>
      <c r="AB211" s="26">
        <v>7.1398999999999999</v>
      </c>
      <c r="AC211" s="26">
        <v>43.027000000000001</v>
      </c>
      <c r="AD211" s="26">
        <v>13.375999999999999</v>
      </c>
      <c r="AE211" s="26">
        <v>0</v>
      </c>
      <c r="AF211" s="26">
        <v>43.951000000000001</v>
      </c>
      <c r="AG211" s="26">
        <v>48.942</v>
      </c>
      <c r="AH211" s="26">
        <v>25.79</v>
      </c>
      <c r="AI211" s="26">
        <v>48.085999999999999</v>
      </c>
      <c r="AJ211" s="26">
        <v>2.9942000000000002</v>
      </c>
      <c r="AK211" s="26">
        <v>49.09</v>
      </c>
      <c r="AL211" s="26">
        <v>0</v>
      </c>
      <c r="AM211" s="26">
        <v>0</v>
      </c>
      <c r="AN211" s="26">
        <v>4.5867000000000004</v>
      </c>
      <c r="AO211" s="26">
        <v>22.689</v>
      </c>
      <c r="AP211" s="26">
        <v>51.682000000000002</v>
      </c>
      <c r="AQ211" s="26">
        <v>24.026</v>
      </c>
      <c r="AR211" s="26">
        <v>44.890999999999998</v>
      </c>
      <c r="AS211" s="26">
        <v>17.408999999999999</v>
      </c>
      <c r="AT211" s="26">
        <v>48.744999999999997</v>
      </c>
      <c r="AU211" s="26">
        <v>3.6943000000000001</v>
      </c>
      <c r="AV211" s="26">
        <v>2.8612000000000002</v>
      </c>
      <c r="AW211" s="26">
        <v>0</v>
      </c>
      <c r="AX211" s="26">
        <v>2.8565</v>
      </c>
      <c r="AY211" s="26">
        <v>52.62</v>
      </c>
      <c r="AZ211" s="26">
        <v>24.678999999999998</v>
      </c>
      <c r="BA211" s="26">
        <v>22.486999999999998</v>
      </c>
      <c r="BB211" s="26">
        <v>48.203000000000003</v>
      </c>
      <c r="BC211" s="26">
        <v>44.058999999999997</v>
      </c>
      <c r="BD211" s="26">
        <v>39.718000000000004</v>
      </c>
      <c r="BE211" s="26">
        <v>13.456</v>
      </c>
      <c r="BF211" s="26">
        <v>15.15</v>
      </c>
      <c r="BG211" s="26">
        <v>1.2579999999999999E-2</v>
      </c>
      <c r="BH211" s="26">
        <v>8.1753</v>
      </c>
      <c r="BI211" s="26">
        <v>34.956000000000003</v>
      </c>
      <c r="BJ211" s="26">
        <v>49.598999999999997</v>
      </c>
      <c r="BK211" s="26">
        <v>54.44</v>
      </c>
      <c r="BL211" s="26">
        <v>23.149000000000001</v>
      </c>
      <c r="BM211" s="26">
        <v>48.97</v>
      </c>
      <c r="BN211" s="26">
        <v>4.8528000000000002</v>
      </c>
      <c r="BO211" s="26">
        <v>0</v>
      </c>
      <c r="BP211" s="26">
        <v>16.2</v>
      </c>
      <c r="BQ211" s="26">
        <v>15.868</v>
      </c>
      <c r="BR211" s="26">
        <v>48.031999999999996</v>
      </c>
      <c r="BS211" s="26">
        <v>35.976999999999997</v>
      </c>
      <c r="BT211" s="26">
        <v>0</v>
      </c>
      <c r="BU211" s="26">
        <v>7.0153999999999996</v>
      </c>
      <c r="BV211" s="26">
        <v>35.665999999999997</v>
      </c>
      <c r="BW211" s="26">
        <v>15.711</v>
      </c>
      <c r="BX211" s="26">
        <v>37.322000000000003</v>
      </c>
      <c r="BY211" s="26">
        <v>3.2176</v>
      </c>
      <c r="BZ211" s="26">
        <v>4.1866E-2</v>
      </c>
      <c r="CA211" s="26">
        <v>36.957999999999998</v>
      </c>
      <c r="CB211" s="26">
        <v>36.161000000000001</v>
      </c>
      <c r="CC211" s="26">
        <v>48.194000000000003</v>
      </c>
      <c r="CD211" s="26">
        <v>5.3396999999999997</v>
      </c>
      <c r="CE211" s="26">
        <v>48.451999999999998</v>
      </c>
      <c r="CF211" s="26">
        <v>0</v>
      </c>
      <c r="CG211" s="26">
        <v>16.523</v>
      </c>
      <c r="CH211" s="26">
        <v>7.0525000000000002</v>
      </c>
      <c r="CI211" s="26">
        <v>49.598999999999997</v>
      </c>
      <c r="CJ211" s="26">
        <v>48.692</v>
      </c>
      <c r="CK211" s="26">
        <v>5.3695E-2</v>
      </c>
      <c r="CL211" s="26">
        <v>22.263999999999999</v>
      </c>
      <c r="CM211" s="26">
        <v>4.9123000000000001</v>
      </c>
      <c r="CN211" s="26">
        <v>7.6433</v>
      </c>
      <c r="CO211" s="26">
        <v>2.4003999999999999</v>
      </c>
      <c r="CP211" s="26">
        <v>37.906999999999996</v>
      </c>
      <c r="CQ211" s="26">
        <v>23.437000000000001</v>
      </c>
      <c r="CR211" s="26">
        <v>6.7542</v>
      </c>
      <c r="CS211" s="26">
        <v>12.912000000000001</v>
      </c>
      <c r="CT211" s="26">
        <v>7.2465999999999999</v>
      </c>
      <c r="CU211" s="26">
        <v>8.7396999999999991</v>
      </c>
      <c r="CV211" s="26">
        <v>9.2270000000000003</v>
      </c>
      <c r="CW211" s="26">
        <v>35.173000000000002</v>
      </c>
      <c r="CX211" s="26">
        <v>33.250999999999998</v>
      </c>
      <c r="CY211" s="61"/>
      <c r="CZ211" s="537"/>
      <c r="DA211" s="61"/>
    </row>
    <row r="212" spans="1:16384">
      <c r="A212" s="279">
        <v>44166</v>
      </c>
      <c r="B212" s="26">
        <v>49.51</v>
      </c>
      <c r="C212" s="26">
        <v>18.364999999999998</v>
      </c>
      <c r="D212" s="26">
        <v>42.698999999999998</v>
      </c>
      <c r="E212" s="26">
        <v>55.81</v>
      </c>
      <c r="F212" s="26">
        <v>55.84</v>
      </c>
      <c r="G212" s="26">
        <v>36.462000000000003</v>
      </c>
      <c r="H212" s="26">
        <v>41.966999999999999</v>
      </c>
      <c r="I212" s="26">
        <v>56.328000000000003</v>
      </c>
      <c r="J212" s="26">
        <v>55.976999999999997</v>
      </c>
      <c r="K212" s="26">
        <v>58.411999999999999</v>
      </c>
      <c r="L212" s="26">
        <v>42.192999999999998</v>
      </c>
      <c r="M212" s="26">
        <v>0</v>
      </c>
      <c r="N212" s="26">
        <v>10.593</v>
      </c>
      <c r="O212" s="26">
        <v>43.569000000000003</v>
      </c>
      <c r="P212" s="26">
        <v>0</v>
      </c>
      <c r="Q212" s="26">
        <v>4.1959</v>
      </c>
      <c r="R212" s="26">
        <v>9.1054999999999993</v>
      </c>
      <c r="S212" s="26">
        <v>50.753</v>
      </c>
      <c r="T212" s="26">
        <v>2.3454000000000002</v>
      </c>
      <c r="U212" s="26">
        <v>2.6318000000000001</v>
      </c>
      <c r="V212" s="26">
        <v>48.04</v>
      </c>
      <c r="W212" s="26">
        <v>6.4057000000000004</v>
      </c>
      <c r="X212" s="26">
        <v>39.14</v>
      </c>
      <c r="Y212" s="26">
        <v>63.384999999999998</v>
      </c>
      <c r="Z212" s="26">
        <v>71.754999999999995</v>
      </c>
      <c r="AA212" s="26">
        <v>22.7</v>
      </c>
      <c r="AB212" s="26">
        <v>8.2620000000000005</v>
      </c>
      <c r="AC212" s="26">
        <v>43.529000000000003</v>
      </c>
      <c r="AD212" s="26">
        <v>37.204999999999998</v>
      </c>
      <c r="AE212" s="26">
        <v>0</v>
      </c>
      <c r="AF212" s="26">
        <v>37.075000000000003</v>
      </c>
      <c r="AG212" s="26">
        <v>51.497</v>
      </c>
      <c r="AH212" s="26">
        <v>39.707000000000001</v>
      </c>
      <c r="AI212" s="26">
        <v>55.298000000000002</v>
      </c>
      <c r="AJ212" s="26">
        <v>10.183</v>
      </c>
      <c r="AK212" s="26">
        <v>55.814999999999998</v>
      </c>
      <c r="AL212" s="26">
        <v>0</v>
      </c>
      <c r="AM212" s="26">
        <v>0</v>
      </c>
      <c r="AN212" s="26">
        <v>3.9161999999999999</v>
      </c>
      <c r="AO212" s="26">
        <v>42.039000000000001</v>
      </c>
      <c r="AP212" s="26">
        <v>57.13</v>
      </c>
      <c r="AQ212" s="26">
        <v>35.469000000000001</v>
      </c>
      <c r="AR212" s="26">
        <v>45.473999999999997</v>
      </c>
      <c r="AS212" s="26">
        <v>40.432000000000002</v>
      </c>
      <c r="AT212" s="26">
        <v>51.564</v>
      </c>
      <c r="AU212" s="26">
        <v>2.3592</v>
      </c>
      <c r="AV212" s="26">
        <v>6.5160999999999998</v>
      </c>
      <c r="AW212" s="26">
        <v>2.504</v>
      </c>
      <c r="AX212" s="26">
        <v>3.4308000000000001</v>
      </c>
      <c r="AY212" s="26">
        <v>56.146999999999998</v>
      </c>
      <c r="AZ212" s="26">
        <v>10.004</v>
      </c>
      <c r="BA212" s="26">
        <v>23.766999999999999</v>
      </c>
      <c r="BB212" s="26">
        <v>55.545000000000002</v>
      </c>
      <c r="BC212" s="26">
        <v>40.200000000000003</v>
      </c>
      <c r="BD212" s="26">
        <v>51.331000000000003</v>
      </c>
      <c r="BE212" s="26">
        <v>22.803999999999998</v>
      </c>
      <c r="BF212" s="26">
        <v>10.465999999999999</v>
      </c>
      <c r="BG212" s="26">
        <v>0.27656999999999998</v>
      </c>
      <c r="BH212" s="26">
        <v>6.3423999999999996</v>
      </c>
      <c r="BI212" s="26">
        <v>37.463000000000001</v>
      </c>
      <c r="BJ212" s="26">
        <v>61.000999999999998</v>
      </c>
      <c r="BK212" s="26">
        <v>68.850999999999999</v>
      </c>
      <c r="BL212" s="26">
        <v>37.409999999999997</v>
      </c>
      <c r="BM212" s="26">
        <v>56.981999999999999</v>
      </c>
      <c r="BN212" s="26">
        <v>6.4522000000000004</v>
      </c>
      <c r="BO212" s="26">
        <v>2.0181</v>
      </c>
      <c r="BP212" s="26">
        <v>38.186</v>
      </c>
      <c r="BQ212" s="26">
        <v>24.236999999999998</v>
      </c>
      <c r="BR212" s="26">
        <v>50.395000000000003</v>
      </c>
      <c r="BS212" s="26">
        <v>48.075000000000003</v>
      </c>
      <c r="BT212" s="26">
        <v>6.3212999999999999</v>
      </c>
      <c r="BU212" s="26">
        <v>18.675999999999998</v>
      </c>
      <c r="BV212" s="26">
        <v>42.77</v>
      </c>
      <c r="BW212" s="26">
        <v>43.408999999999999</v>
      </c>
      <c r="BX212" s="26">
        <v>39.405000000000001</v>
      </c>
      <c r="BY212" s="26">
        <v>2.3641000000000001</v>
      </c>
      <c r="BZ212" s="26">
        <v>4.2777000000000001E-5</v>
      </c>
      <c r="CA212" s="26">
        <v>46.161999999999999</v>
      </c>
      <c r="CB212" s="26">
        <v>22.718</v>
      </c>
      <c r="CC212" s="26">
        <v>55.002000000000002</v>
      </c>
      <c r="CD212" s="26">
        <v>3.9201000000000001</v>
      </c>
      <c r="CE212" s="26">
        <v>50.058</v>
      </c>
      <c r="CF212" s="26">
        <v>2.3437000000000001</v>
      </c>
      <c r="CG212" s="26">
        <v>23.521000000000001</v>
      </c>
      <c r="CH212" s="26">
        <v>18.324999999999999</v>
      </c>
      <c r="CI212" s="26">
        <v>56.563000000000002</v>
      </c>
      <c r="CJ212" s="26">
        <v>63.7</v>
      </c>
      <c r="CK212" s="26">
        <v>0</v>
      </c>
      <c r="CL212" s="26">
        <v>23.666</v>
      </c>
      <c r="CM212" s="26">
        <v>8.4390000000000001</v>
      </c>
      <c r="CN212" s="26">
        <v>9.9731000000000005</v>
      </c>
      <c r="CO212" s="26">
        <v>2.3471000000000002</v>
      </c>
      <c r="CP212" s="26">
        <v>36.994</v>
      </c>
      <c r="CQ212" s="26">
        <v>24.099</v>
      </c>
      <c r="CR212" s="26">
        <v>10.170999999999999</v>
      </c>
      <c r="CS212" s="26">
        <v>22.428000000000001</v>
      </c>
      <c r="CT212" s="26">
        <v>6.6676000000000002</v>
      </c>
      <c r="CU212" s="26">
        <v>8.3323999999999998</v>
      </c>
      <c r="CV212" s="26">
        <v>6.5298999999999996</v>
      </c>
      <c r="CW212" s="26">
        <v>42.78</v>
      </c>
      <c r="CX212" s="26">
        <v>38.335000000000001</v>
      </c>
      <c r="CY212" s="61"/>
      <c r="CZ212" s="537"/>
      <c r="DA212" s="61"/>
    </row>
    <row r="213" spans="1:16384" s="540" customFormat="1">
      <c r="A213" s="538" t="s">
        <v>126</v>
      </c>
      <c r="B213" s="539">
        <f t="shared" ref="B213:AG213" si="25">AVERAGE(B201:B212)</f>
        <v>31.202583333333333</v>
      </c>
      <c r="C213" s="539">
        <f t="shared" si="25"/>
        <v>8.0962833333333339</v>
      </c>
      <c r="D213" s="539">
        <f t="shared" si="25"/>
        <v>30.310383333333334</v>
      </c>
      <c r="E213" s="539">
        <f t="shared" si="25"/>
        <v>64.036083333333337</v>
      </c>
      <c r="F213" s="539">
        <f t="shared" si="25"/>
        <v>43.954841666666674</v>
      </c>
      <c r="G213" s="539">
        <f t="shared" si="25"/>
        <v>24.281283333333334</v>
      </c>
      <c r="H213" s="539">
        <f t="shared" si="25"/>
        <v>23.354008333333329</v>
      </c>
      <c r="I213" s="539">
        <f t="shared" si="25"/>
        <v>55.53</v>
      </c>
      <c r="J213" s="539">
        <f t="shared" si="25"/>
        <v>35.879708333333333</v>
      </c>
      <c r="K213" s="539">
        <f t="shared" si="25"/>
        <v>37.018116666666664</v>
      </c>
      <c r="L213" s="539">
        <f t="shared" si="25"/>
        <v>15.091591666666668</v>
      </c>
      <c r="M213" s="539">
        <f t="shared" si="25"/>
        <v>0.89015866666666665</v>
      </c>
      <c r="N213" s="539">
        <f t="shared" si="25"/>
        <v>16.936258333333331</v>
      </c>
      <c r="O213" s="539">
        <f t="shared" si="25"/>
        <v>42.933500000000002</v>
      </c>
      <c r="P213" s="539">
        <f t="shared" si="25"/>
        <v>21.880530266666668</v>
      </c>
      <c r="Q213" s="539">
        <f t="shared" si="25"/>
        <v>7.6929666666666661</v>
      </c>
      <c r="R213" s="539">
        <f t="shared" si="25"/>
        <v>18.991558333333334</v>
      </c>
      <c r="S213" s="539">
        <f t="shared" si="25"/>
        <v>74.012583333333339</v>
      </c>
      <c r="T213" s="539">
        <f t="shared" si="25"/>
        <v>1.863320416666667</v>
      </c>
      <c r="U213" s="539">
        <f t="shared" si="25"/>
        <v>22.470060833333335</v>
      </c>
      <c r="V213" s="539">
        <f t="shared" si="25"/>
        <v>16.714683333333333</v>
      </c>
      <c r="W213" s="539">
        <f t="shared" si="25"/>
        <v>20.309683333333336</v>
      </c>
      <c r="X213" s="539">
        <f t="shared" si="25"/>
        <v>56.314050000000002</v>
      </c>
      <c r="Y213" s="539">
        <f t="shared" si="25"/>
        <v>40.405650000000001</v>
      </c>
      <c r="Z213" s="539">
        <f t="shared" si="25"/>
        <v>42.837499999999999</v>
      </c>
      <c r="AA213" s="539">
        <f t="shared" si="25"/>
        <v>26.05705</v>
      </c>
      <c r="AB213" s="539">
        <f t="shared" si="25"/>
        <v>16.563858333333332</v>
      </c>
      <c r="AC213" s="539">
        <f t="shared" si="25"/>
        <v>38.830666666666666</v>
      </c>
      <c r="AD213" s="539">
        <f t="shared" si="25"/>
        <v>16.558508333333336</v>
      </c>
      <c r="AE213" s="539">
        <f t="shared" si="25"/>
        <v>9.1397416666666675</v>
      </c>
      <c r="AF213" s="539">
        <f t="shared" si="25"/>
        <v>40.663000000000004</v>
      </c>
      <c r="AG213" s="539">
        <f t="shared" si="25"/>
        <v>37.075166666666668</v>
      </c>
      <c r="AH213" s="539">
        <f t="shared" ref="AH213:BM213" si="26">AVERAGE(AH201:AH212)</f>
        <v>19.214716666666664</v>
      </c>
      <c r="AI213" s="539">
        <f t="shared" si="26"/>
        <v>44.566000000000003</v>
      </c>
      <c r="AJ213" s="539">
        <f t="shared" si="26"/>
        <v>33.93866666666667</v>
      </c>
      <c r="AK213" s="539">
        <f t="shared" si="26"/>
        <v>29.220725000000002</v>
      </c>
      <c r="AL213" s="539">
        <f t="shared" si="26"/>
        <v>0.46561599999999997</v>
      </c>
      <c r="AM213" s="539">
        <f t="shared" si="26"/>
        <v>3.5906583333333333</v>
      </c>
      <c r="AN213" s="539">
        <f t="shared" si="26"/>
        <v>10.908455833333333</v>
      </c>
      <c r="AO213" s="539">
        <f t="shared" si="26"/>
        <v>40.986583333333336</v>
      </c>
      <c r="AP213" s="539">
        <f t="shared" si="26"/>
        <v>26.560633333333332</v>
      </c>
      <c r="AQ213" s="539">
        <f t="shared" si="26"/>
        <v>6.8996824999999999</v>
      </c>
      <c r="AR213" s="539">
        <f t="shared" si="26"/>
        <v>18.007915000000001</v>
      </c>
      <c r="AS213" s="539">
        <f t="shared" si="26"/>
        <v>39.208666666666666</v>
      </c>
      <c r="AT213" s="539">
        <f t="shared" si="26"/>
        <v>54.403499999999987</v>
      </c>
      <c r="AU213" s="539">
        <f t="shared" si="26"/>
        <v>8.48245</v>
      </c>
      <c r="AV213" s="539">
        <f t="shared" si="26"/>
        <v>12.787614166666666</v>
      </c>
      <c r="AW213" s="539">
        <f t="shared" si="26"/>
        <v>4.9789083416666662</v>
      </c>
      <c r="AX213" s="539">
        <f t="shared" si="26"/>
        <v>7.8259998333333343</v>
      </c>
      <c r="AY213" s="539">
        <f t="shared" si="26"/>
        <v>62.281500000000015</v>
      </c>
      <c r="AZ213" s="539">
        <f t="shared" si="26"/>
        <v>29.337833333333336</v>
      </c>
      <c r="BA213" s="539">
        <f t="shared" si="26"/>
        <v>33.435750000000006</v>
      </c>
      <c r="BB213" s="539">
        <f t="shared" si="26"/>
        <v>47.989166666666669</v>
      </c>
      <c r="BC213" s="539">
        <f t="shared" si="26"/>
        <v>31.049858333333329</v>
      </c>
      <c r="BD213" s="539">
        <f t="shared" si="26"/>
        <v>26.250291666666669</v>
      </c>
      <c r="BE213" s="539">
        <f t="shared" si="26"/>
        <v>21.711516666666665</v>
      </c>
      <c r="BF213" s="539">
        <f t="shared" si="26"/>
        <v>25.647783333333326</v>
      </c>
      <c r="BG213" s="539">
        <f t="shared" si="26"/>
        <v>15.766728941666669</v>
      </c>
      <c r="BH213" s="539">
        <f t="shared" si="26"/>
        <v>3.2821648333333329</v>
      </c>
      <c r="BI213" s="539">
        <f t="shared" si="26"/>
        <v>12.932016666666668</v>
      </c>
      <c r="BJ213" s="539">
        <f t="shared" si="26"/>
        <v>40.663850000000004</v>
      </c>
      <c r="BK213" s="539">
        <f t="shared" si="26"/>
        <v>60.031166666666678</v>
      </c>
      <c r="BL213" s="539">
        <f t="shared" si="26"/>
        <v>36.946833333333331</v>
      </c>
      <c r="BM213" s="539">
        <f t="shared" si="26"/>
        <v>55.287500000000001</v>
      </c>
      <c r="BN213" s="539">
        <f t="shared" ref="BN213:CS213" si="27">AVERAGE(BN201:BN212)</f>
        <v>3.4656918333333331</v>
      </c>
      <c r="BO213" s="539">
        <f t="shared" si="27"/>
        <v>1.4695210083333332</v>
      </c>
      <c r="BP213" s="539">
        <f t="shared" si="27"/>
        <v>41.360333333333337</v>
      </c>
      <c r="BQ213" s="539">
        <f t="shared" si="27"/>
        <v>29.64231666666667</v>
      </c>
      <c r="BR213" s="539">
        <f t="shared" si="27"/>
        <v>24.792275</v>
      </c>
      <c r="BS213" s="539">
        <f t="shared" si="27"/>
        <v>37.348099999999995</v>
      </c>
      <c r="BT213" s="539">
        <f t="shared" si="27"/>
        <v>14.547565051583335</v>
      </c>
      <c r="BU213" s="539">
        <f t="shared" si="27"/>
        <v>27.78595833333333</v>
      </c>
      <c r="BV213" s="539">
        <f t="shared" si="27"/>
        <v>44.43566666666667</v>
      </c>
      <c r="BW213" s="539">
        <f t="shared" si="27"/>
        <v>23.325640833333335</v>
      </c>
      <c r="BX213" s="539">
        <f t="shared" si="27"/>
        <v>15.885775000000002</v>
      </c>
      <c r="BY213" s="539">
        <f t="shared" si="27"/>
        <v>15.2700285</v>
      </c>
      <c r="BZ213" s="539">
        <f t="shared" si="27"/>
        <v>2.8479039814166658</v>
      </c>
      <c r="CA213" s="539">
        <f t="shared" si="27"/>
        <v>17.014624999999999</v>
      </c>
      <c r="CB213" s="539">
        <f t="shared" si="27"/>
        <v>27.920916666666667</v>
      </c>
      <c r="CC213" s="539">
        <f t="shared" si="27"/>
        <v>57.815193333333319</v>
      </c>
      <c r="CD213" s="539">
        <f t="shared" si="27"/>
        <v>3.0539725000000004</v>
      </c>
      <c r="CE213" s="539">
        <f t="shared" si="27"/>
        <v>40.760249999999999</v>
      </c>
      <c r="CF213" s="539">
        <f t="shared" si="27"/>
        <v>4.6164366666666661</v>
      </c>
      <c r="CG213" s="539">
        <f t="shared" si="27"/>
        <v>14.271083333333332</v>
      </c>
      <c r="CH213" s="539">
        <f t="shared" si="27"/>
        <v>21.964454166666666</v>
      </c>
      <c r="CI213" s="539">
        <f t="shared" si="27"/>
        <v>42.068758333333328</v>
      </c>
      <c r="CJ213" s="539">
        <f t="shared" si="27"/>
        <v>45.812341666666669</v>
      </c>
      <c r="CK213" s="539">
        <f t="shared" si="27"/>
        <v>27.974849583333338</v>
      </c>
      <c r="CL213" s="539">
        <f t="shared" si="27"/>
        <v>12.256100000000002</v>
      </c>
      <c r="CM213" s="539">
        <f t="shared" si="27"/>
        <v>2.7158208333333334</v>
      </c>
      <c r="CN213" s="539">
        <f t="shared" si="27"/>
        <v>4.4324250000000012</v>
      </c>
      <c r="CO213" s="539">
        <f t="shared" si="27"/>
        <v>0.5787008033333334</v>
      </c>
      <c r="CP213" s="539">
        <f t="shared" si="27"/>
        <v>19.706816666666665</v>
      </c>
      <c r="CQ213" s="539">
        <f t="shared" si="27"/>
        <v>18.483225000000001</v>
      </c>
      <c r="CR213" s="539">
        <f t="shared" si="27"/>
        <v>1.6836321666666667</v>
      </c>
      <c r="CS213" s="539">
        <f t="shared" si="27"/>
        <v>5.2826884166666668</v>
      </c>
      <c r="CT213" s="539">
        <f>AVERAGE(CT201:CT212)</f>
        <v>1.8323382749999999</v>
      </c>
      <c r="CU213" s="539">
        <f>AVERAGE(CU201:CU212)</f>
        <v>14.855626666666666</v>
      </c>
      <c r="CV213" s="539">
        <f>AVERAGE(CV201:CV212)</f>
        <v>9.0926916666666688</v>
      </c>
      <c r="CW213" s="539">
        <f>AVERAGE(CW201:CW212)</f>
        <v>11.655672691666666</v>
      </c>
      <c r="CX213" s="539">
        <f>AVERAGE(CX201:CX212)</f>
        <v>31.945666666666664</v>
      </c>
      <c r="CY213" s="61"/>
      <c r="CZ213" s="537"/>
      <c r="DA213" s="537"/>
      <c r="DB213" s="537"/>
      <c r="DC213" s="537"/>
      <c r="DD213" s="537"/>
      <c r="DE213" s="537"/>
      <c r="DF213" s="537"/>
      <c r="DG213" s="537"/>
      <c r="DH213" s="537"/>
      <c r="DI213" s="537"/>
      <c r="DJ213" s="537"/>
      <c r="DK213" s="537"/>
      <c r="DL213" s="537"/>
      <c r="DM213" s="537"/>
      <c r="DN213" s="537"/>
      <c r="DO213" s="537"/>
      <c r="DP213" s="537"/>
      <c r="DQ213" s="537"/>
      <c r="DR213" s="537"/>
      <c r="DS213" s="537"/>
      <c r="DT213" s="537"/>
      <c r="DU213" s="537"/>
      <c r="DV213" s="537"/>
      <c r="DW213" s="537"/>
      <c r="DX213" s="537"/>
      <c r="DY213" s="537"/>
      <c r="DZ213" s="537"/>
      <c r="EA213" s="537"/>
      <c r="EB213" s="537"/>
      <c r="EC213" s="537"/>
      <c r="ED213" s="537"/>
      <c r="EE213" s="537"/>
      <c r="EF213" s="537"/>
      <c r="EG213" s="537"/>
      <c r="EH213" s="537"/>
      <c r="EI213" s="537"/>
      <c r="EJ213" s="537"/>
      <c r="EK213" s="537"/>
      <c r="EL213" s="537"/>
      <c r="EM213" s="537"/>
      <c r="EN213" s="537"/>
      <c r="EO213" s="537"/>
      <c r="EP213" s="537"/>
      <c r="EQ213" s="537"/>
      <c r="ER213" s="537"/>
      <c r="ES213" s="537"/>
      <c r="ET213" s="537"/>
      <c r="EU213" s="537"/>
      <c r="EV213" s="537"/>
      <c r="EW213" s="537"/>
      <c r="EX213" s="537"/>
      <c r="EY213" s="537"/>
      <c r="EZ213" s="537"/>
      <c r="FA213" s="537"/>
      <c r="FB213" s="537"/>
      <c r="FC213" s="537"/>
      <c r="FD213" s="537"/>
      <c r="FE213" s="537"/>
      <c r="FF213" s="537"/>
      <c r="FG213" s="537"/>
      <c r="FH213" s="537"/>
      <c r="FI213" s="537"/>
      <c r="FJ213" s="537"/>
      <c r="FK213" s="537"/>
      <c r="FL213" s="537"/>
      <c r="FM213" s="537"/>
      <c r="FN213" s="537"/>
      <c r="FO213" s="537"/>
      <c r="FP213" s="537"/>
      <c r="FQ213" s="537"/>
      <c r="FR213" s="537"/>
      <c r="FS213" s="537"/>
      <c r="FT213" s="537"/>
      <c r="FU213" s="537"/>
      <c r="FV213" s="537"/>
      <c r="FW213" s="537"/>
      <c r="FX213" s="537"/>
      <c r="FY213" s="537"/>
      <c r="FZ213" s="537"/>
      <c r="GA213" s="537"/>
      <c r="GB213" s="537"/>
      <c r="GC213" s="537"/>
      <c r="GD213" s="537"/>
      <c r="GE213" s="537"/>
      <c r="GF213" s="537"/>
      <c r="GG213" s="537"/>
      <c r="GH213" s="537"/>
      <c r="GI213" s="537"/>
      <c r="GJ213" s="537"/>
      <c r="GK213" s="537"/>
      <c r="GL213" s="537"/>
      <c r="GM213" s="537"/>
      <c r="GN213" s="537"/>
      <c r="GO213" s="537"/>
      <c r="GP213" s="537"/>
      <c r="GQ213" s="537"/>
      <c r="GR213" s="537"/>
      <c r="GS213" s="537"/>
      <c r="GT213" s="537"/>
      <c r="GU213" s="537"/>
      <c r="GV213" s="537"/>
      <c r="GW213" s="537"/>
      <c r="GX213" s="537"/>
      <c r="GY213" s="537"/>
      <c r="GZ213" s="537"/>
      <c r="HA213" s="537"/>
      <c r="HB213" s="537"/>
      <c r="HC213" s="537"/>
      <c r="HD213" s="537"/>
      <c r="HE213" s="537"/>
      <c r="HF213" s="537"/>
      <c r="HG213" s="537"/>
      <c r="HH213" s="537"/>
      <c r="HI213" s="537"/>
      <c r="HJ213" s="537"/>
      <c r="HK213" s="537"/>
      <c r="HL213" s="537"/>
      <c r="HM213" s="537"/>
      <c r="HN213" s="537"/>
      <c r="HO213" s="537"/>
      <c r="HP213" s="537"/>
      <c r="HQ213" s="537"/>
      <c r="HR213" s="537"/>
      <c r="HS213" s="537"/>
      <c r="HT213" s="537"/>
      <c r="HU213" s="537"/>
      <c r="HV213" s="537"/>
      <c r="HW213" s="537"/>
      <c r="HX213" s="537"/>
      <c r="HY213" s="537"/>
      <c r="HZ213" s="537"/>
      <c r="IA213" s="537"/>
      <c r="IB213" s="537"/>
      <c r="IC213" s="537"/>
      <c r="ID213" s="537"/>
      <c r="IE213" s="537"/>
      <c r="IF213" s="537"/>
      <c r="IG213" s="537"/>
      <c r="IH213" s="537"/>
      <c r="II213" s="537"/>
      <c r="IJ213" s="537"/>
      <c r="IK213" s="537"/>
      <c r="IL213" s="537"/>
      <c r="IM213" s="537"/>
      <c r="IN213" s="537"/>
      <c r="IO213" s="537"/>
      <c r="IP213" s="537"/>
      <c r="IQ213" s="537"/>
      <c r="IR213" s="537"/>
      <c r="IS213" s="537"/>
      <c r="IT213" s="537"/>
      <c r="IU213" s="537"/>
      <c r="IV213" s="537"/>
      <c r="IW213" s="537"/>
      <c r="IX213" s="537"/>
      <c r="IY213" s="537"/>
      <c r="IZ213" s="537"/>
      <c r="JA213" s="537"/>
      <c r="JB213" s="537"/>
      <c r="JC213" s="537"/>
      <c r="JD213" s="537"/>
      <c r="JE213" s="537"/>
      <c r="JF213" s="537"/>
      <c r="JG213" s="537"/>
      <c r="JH213" s="537"/>
      <c r="JI213" s="537"/>
      <c r="JJ213" s="537"/>
      <c r="JK213" s="537"/>
      <c r="JL213" s="537"/>
      <c r="JM213" s="537"/>
      <c r="JN213" s="537"/>
      <c r="JO213" s="537"/>
      <c r="JP213" s="537"/>
      <c r="JQ213" s="537"/>
      <c r="JR213" s="537"/>
      <c r="JS213" s="537"/>
      <c r="JT213" s="537"/>
      <c r="JU213" s="537"/>
      <c r="JV213" s="537"/>
      <c r="JW213" s="537"/>
      <c r="JX213" s="537"/>
      <c r="JY213" s="537"/>
      <c r="JZ213" s="537"/>
      <c r="KA213" s="537"/>
      <c r="KB213" s="537"/>
      <c r="KC213" s="537"/>
      <c r="KD213" s="537"/>
      <c r="KE213" s="537"/>
      <c r="KF213" s="537"/>
      <c r="KG213" s="537"/>
      <c r="KH213" s="537"/>
      <c r="KI213" s="537"/>
      <c r="KJ213" s="537"/>
      <c r="KK213" s="537"/>
      <c r="KL213" s="537"/>
      <c r="KM213" s="537"/>
      <c r="KN213" s="537"/>
      <c r="KO213" s="537"/>
      <c r="KP213" s="537"/>
      <c r="KQ213" s="537"/>
      <c r="KR213" s="537"/>
      <c r="KS213" s="537"/>
      <c r="KT213" s="537"/>
      <c r="KU213" s="537"/>
      <c r="KV213" s="537"/>
      <c r="KW213" s="537"/>
      <c r="KX213" s="537"/>
      <c r="KY213" s="537"/>
      <c r="KZ213" s="537"/>
      <c r="LA213" s="537"/>
      <c r="LB213" s="537"/>
      <c r="LC213" s="537"/>
      <c r="LD213" s="537"/>
      <c r="LE213" s="537"/>
      <c r="LF213" s="537"/>
      <c r="LG213" s="537"/>
      <c r="LH213" s="537"/>
      <c r="LI213" s="537"/>
      <c r="LJ213" s="537"/>
      <c r="LK213" s="537"/>
      <c r="LL213" s="537"/>
      <c r="LM213" s="537"/>
      <c r="LN213" s="537"/>
      <c r="LO213" s="537"/>
      <c r="LP213" s="537"/>
      <c r="LQ213" s="537"/>
      <c r="LR213" s="537"/>
      <c r="LS213" s="537"/>
      <c r="LT213" s="537"/>
      <c r="LU213" s="537"/>
      <c r="LV213" s="537"/>
      <c r="LW213" s="537"/>
      <c r="LX213" s="537"/>
      <c r="LY213" s="537"/>
      <c r="LZ213" s="537"/>
      <c r="MA213" s="537"/>
      <c r="MB213" s="537"/>
      <c r="MC213" s="537"/>
      <c r="MD213" s="537"/>
      <c r="ME213" s="537"/>
      <c r="MF213" s="537"/>
      <c r="MG213" s="537"/>
      <c r="MH213" s="537"/>
      <c r="MI213" s="537"/>
      <c r="MJ213" s="537"/>
      <c r="MK213" s="537"/>
      <c r="ML213" s="537"/>
      <c r="MM213" s="537"/>
      <c r="MN213" s="537"/>
      <c r="MO213" s="537"/>
      <c r="MP213" s="537"/>
      <c r="MQ213" s="537"/>
      <c r="MR213" s="537"/>
      <c r="MS213" s="537"/>
      <c r="MT213" s="537"/>
      <c r="MU213" s="537"/>
      <c r="MV213" s="537"/>
      <c r="MW213" s="537"/>
      <c r="MX213" s="537"/>
      <c r="MY213" s="537"/>
      <c r="MZ213" s="537"/>
      <c r="NA213" s="537"/>
      <c r="NB213" s="537"/>
      <c r="NC213" s="537"/>
      <c r="ND213" s="537"/>
      <c r="NE213" s="537"/>
      <c r="NF213" s="537"/>
      <c r="NG213" s="537"/>
      <c r="NH213" s="537"/>
      <c r="NI213" s="537"/>
      <c r="NJ213" s="537"/>
      <c r="NK213" s="537"/>
      <c r="NL213" s="537"/>
      <c r="NM213" s="537"/>
      <c r="NN213" s="537"/>
      <c r="NO213" s="537"/>
      <c r="NP213" s="537"/>
      <c r="NQ213" s="537"/>
      <c r="NR213" s="537"/>
      <c r="NS213" s="537"/>
      <c r="NT213" s="537"/>
      <c r="NU213" s="537"/>
      <c r="NV213" s="537"/>
      <c r="NW213" s="537"/>
      <c r="NX213" s="537"/>
      <c r="NY213" s="537"/>
      <c r="NZ213" s="537"/>
      <c r="OA213" s="537"/>
      <c r="OB213" s="537"/>
      <c r="OC213" s="537"/>
      <c r="OD213" s="537"/>
      <c r="OE213" s="537"/>
      <c r="OF213" s="537"/>
      <c r="OG213" s="537"/>
      <c r="OH213" s="537"/>
      <c r="OI213" s="537"/>
      <c r="OJ213" s="537"/>
      <c r="OK213" s="537"/>
      <c r="OL213" s="537"/>
      <c r="OM213" s="537"/>
      <c r="ON213" s="537"/>
      <c r="OO213" s="537"/>
      <c r="OP213" s="537"/>
      <c r="OQ213" s="537"/>
      <c r="OR213" s="537"/>
      <c r="OS213" s="537"/>
      <c r="OT213" s="537"/>
      <c r="OU213" s="537"/>
      <c r="OV213" s="537"/>
      <c r="OW213" s="537"/>
      <c r="OX213" s="537"/>
      <c r="OY213" s="537"/>
      <c r="OZ213" s="537"/>
      <c r="PA213" s="537"/>
      <c r="PB213" s="537"/>
      <c r="PC213" s="537"/>
      <c r="PD213" s="537"/>
      <c r="PE213" s="537"/>
      <c r="PF213" s="537"/>
      <c r="PG213" s="537"/>
      <c r="PH213" s="537"/>
      <c r="PI213" s="537"/>
      <c r="PJ213" s="537"/>
      <c r="PK213" s="537"/>
      <c r="PL213" s="537"/>
      <c r="PM213" s="537"/>
      <c r="PN213" s="537"/>
      <c r="PO213" s="537"/>
      <c r="PP213" s="537"/>
      <c r="PQ213" s="537"/>
      <c r="PR213" s="537"/>
      <c r="PS213" s="537"/>
      <c r="PT213" s="537"/>
      <c r="PU213" s="537"/>
      <c r="PV213" s="537"/>
      <c r="PW213" s="537"/>
      <c r="PX213" s="537"/>
      <c r="PY213" s="537"/>
      <c r="PZ213" s="537"/>
      <c r="QA213" s="537"/>
      <c r="QB213" s="537"/>
      <c r="QC213" s="537"/>
      <c r="QD213" s="537"/>
      <c r="QE213" s="537"/>
      <c r="QF213" s="537"/>
      <c r="QG213" s="537"/>
      <c r="QH213" s="537"/>
      <c r="QI213" s="537"/>
      <c r="QJ213" s="537"/>
      <c r="QK213" s="537"/>
      <c r="QL213" s="537"/>
      <c r="QM213" s="537"/>
      <c r="QN213" s="537"/>
      <c r="QO213" s="537"/>
      <c r="QP213" s="537"/>
      <c r="QQ213" s="537"/>
      <c r="QR213" s="537"/>
      <c r="QS213" s="537"/>
      <c r="QT213" s="537"/>
      <c r="QU213" s="537"/>
      <c r="QV213" s="537"/>
      <c r="QW213" s="537"/>
      <c r="QX213" s="537"/>
      <c r="QY213" s="537"/>
      <c r="QZ213" s="537"/>
      <c r="RA213" s="537"/>
      <c r="RB213" s="537"/>
      <c r="RC213" s="537"/>
      <c r="RD213" s="537"/>
      <c r="RE213" s="537"/>
      <c r="RF213" s="537"/>
      <c r="RG213" s="537"/>
      <c r="RH213" s="537"/>
      <c r="RI213" s="537"/>
      <c r="RJ213" s="537"/>
      <c r="RK213" s="537"/>
      <c r="RL213" s="537"/>
      <c r="RM213" s="537"/>
      <c r="RN213" s="537"/>
      <c r="RO213" s="537"/>
      <c r="RP213" s="537"/>
      <c r="RQ213" s="537"/>
      <c r="RR213" s="537"/>
      <c r="RS213" s="537"/>
      <c r="RT213" s="537"/>
      <c r="RU213" s="537"/>
      <c r="RV213" s="537"/>
      <c r="RW213" s="537"/>
      <c r="RX213" s="537"/>
      <c r="RY213" s="537"/>
      <c r="RZ213" s="537"/>
      <c r="SA213" s="537"/>
      <c r="SB213" s="537"/>
      <c r="SC213" s="537"/>
      <c r="SD213" s="537"/>
      <c r="SE213" s="537"/>
      <c r="SF213" s="537"/>
      <c r="SG213" s="537"/>
      <c r="SH213" s="537"/>
      <c r="SI213" s="537"/>
      <c r="SJ213" s="537"/>
      <c r="SK213" s="537"/>
      <c r="SL213" s="537"/>
      <c r="SM213" s="537"/>
      <c r="SN213" s="537"/>
      <c r="SO213" s="537"/>
      <c r="SP213" s="537"/>
      <c r="SQ213" s="537"/>
      <c r="SR213" s="537"/>
      <c r="SS213" s="537"/>
      <c r="ST213" s="537"/>
      <c r="SU213" s="537"/>
      <c r="SV213" s="537"/>
      <c r="SW213" s="537"/>
      <c r="SX213" s="537"/>
      <c r="SY213" s="537"/>
      <c r="SZ213" s="537"/>
      <c r="TA213" s="537"/>
      <c r="TB213" s="537"/>
      <c r="TC213" s="537"/>
      <c r="TD213" s="537"/>
      <c r="TE213" s="537"/>
      <c r="TF213" s="537"/>
      <c r="TG213" s="537"/>
      <c r="TH213" s="537"/>
      <c r="TI213" s="537"/>
      <c r="TJ213" s="537"/>
      <c r="TK213" s="537"/>
      <c r="TL213" s="537"/>
      <c r="TM213" s="537"/>
      <c r="TN213" s="537"/>
      <c r="TO213" s="537"/>
      <c r="TP213" s="537"/>
      <c r="TQ213" s="537"/>
      <c r="TR213" s="537"/>
      <c r="TS213" s="537"/>
      <c r="TT213" s="537"/>
      <c r="TU213" s="537"/>
      <c r="TV213" s="537"/>
      <c r="TW213" s="537"/>
      <c r="TX213" s="537"/>
      <c r="TY213" s="537"/>
      <c r="TZ213" s="537"/>
      <c r="UA213" s="537"/>
      <c r="UB213" s="537"/>
      <c r="UC213" s="537"/>
      <c r="UD213" s="537"/>
      <c r="UE213" s="537"/>
      <c r="UF213" s="537"/>
      <c r="UG213" s="537"/>
      <c r="UH213" s="537"/>
      <c r="UI213" s="537"/>
      <c r="UJ213" s="537"/>
      <c r="UK213" s="537"/>
      <c r="UL213" s="537"/>
      <c r="UM213" s="537"/>
      <c r="UN213" s="537"/>
      <c r="UO213" s="537"/>
      <c r="UP213" s="537"/>
      <c r="UQ213" s="537"/>
      <c r="UR213" s="537"/>
      <c r="US213" s="537"/>
      <c r="UT213" s="537"/>
      <c r="UU213" s="537"/>
      <c r="UV213" s="537"/>
      <c r="UW213" s="537"/>
      <c r="UX213" s="537"/>
      <c r="UY213" s="537"/>
      <c r="UZ213" s="537"/>
      <c r="VA213" s="537"/>
      <c r="VB213" s="537"/>
      <c r="VC213" s="537"/>
      <c r="VD213" s="537"/>
      <c r="VE213" s="537"/>
      <c r="VF213" s="537"/>
      <c r="VG213" s="537"/>
      <c r="VH213" s="537"/>
      <c r="VI213" s="537"/>
      <c r="VJ213" s="537"/>
      <c r="VK213" s="537"/>
      <c r="VL213" s="537"/>
      <c r="VM213" s="537"/>
      <c r="VN213" s="537"/>
      <c r="VO213" s="537"/>
      <c r="VP213" s="537"/>
      <c r="VQ213" s="537"/>
      <c r="VR213" s="537"/>
      <c r="VS213" s="537"/>
      <c r="VT213" s="537"/>
      <c r="VU213" s="537"/>
      <c r="VV213" s="537"/>
      <c r="VW213" s="537"/>
      <c r="VX213" s="537"/>
      <c r="VY213" s="537"/>
      <c r="VZ213" s="537"/>
      <c r="WA213" s="537"/>
      <c r="WB213" s="537"/>
      <c r="WC213" s="537"/>
      <c r="WD213" s="537"/>
      <c r="WE213" s="537"/>
      <c r="WF213" s="537"/>
      <c r="WG213" s="537"/>
      <c r="WH213" s="537"/>
      <c r="WI213" s="537"/>
      <c r="WJ213" s="537"/>
      <c r="WK213" s="537"/>
      <c r="WL213" s="537"/>
      <c r="WM213" s="537"/>
      <c r="WN213" s="537"/>
      <c r="WO213" s="537"/>
      <c r="WP213" s="537"/>
      <c r="WQ213" s="537"/>
      <c r="WR213" s="537"/>
      <c r="WS213" s="537"/>
      <c r="WT213" s="537"/>
      <c r="WU213" s="537"/>
      <c r="WV213" s="537"/>
      <c r="WW213" s="537"/>
      <c r="WX213" s="537"/>
      <c r="WY213" s="537"/>
      <c r="WZ213" s="537"/>
      <c r="XA213" s="537"/>
      <c r="XB213" s="537"/>
      <c r="XC213" s="537"/>
      <c r="XD213" s="537"/>
      <c r="XE213" s="537"/>
      <c r="XF213" s="537"/>
      <c r="XG213" s="537"/>
      <c r="XH213" s="537"/>
      <c r="XI213" s="537"/>
      <c r="XJ213" s="537"/>
      <c r="XK213" s="537"/>
      <c r="XL213" s="537"/>
      <c r="XM213" s="537"/>
      <c r="XN213" s="537"/>
      <c r="XO213" s="537"/>
      <c r="XP213" s="537"/>
      <c r="XQ213" s="537"/>
      <c r="XR213" s="537"/>
      <c r="XS213" s="537"/>
      <c r="XT213" s="537"/>
      <c r="XU213" s="537"/>
      <c r="XV213" s="537"/>
      <c r="XW213" s="537"/>
      <c r="XX213" s="537"/>
      <c r="XY213" s="537"/>
      <c r="XZ213" s="537"/>
      <c r="YA213" s="537"/>
      <c r="YB213" s="537"/>
      <c r="YC213" s="537"/>
      <c r="YD213" s="537"/>
      <c r="YE213" s="537"/>
      <c r="YF213" s="537"/>
      <c r="YG213" s="537"/>
      <c r="YH213" s="537"/>
      <c r="YI213" s="537"/>
      <c r="YJ213" s="537"/>
      <c r="YK213" s="537"/>
      <c r="YL213" s="537"/>
      <c r="YM213" s="537"/>
      <c r="YN213" s="537"/>
      <c r="YO213" s="537"/>
      <c r="YP213" s="537"/>
      <c r="YQ213" s="537"/>
      <c r="YR213" s="537"/>
      <c r="YS213" s="537"/>
      <c r="YT213" s="537"/>
      <c r="YU213" s="537"/>
      <c r="YV213" s="537"/>
      <c r="YW213" s="537"/>
      <c r="YX213" s="537"/>
      <c r="YY213" s="537"/>
      <c r="YZ213" s="537"/>
      <c r="ZA213" s="537"/>
      <c r="ZB213" s="537"/>
      <c r="ZC213" s="537"/>
      <c r="ZD213" s="537"/>
      <c r="ZE213" s="537"/>
      <c r="ZF213" s="537"/>
      <c r="ZG213" s="537"/>
      <c r="ZH213" s="537"/>
      <c r="ZI213" s="537"/>
      <c r="ZJ213" s="537"/>
      <c r="ZK213" s="537"/>
      <c r="ZL213" s="537"/>
      <c r="ZM213" s="537"/>
      <c r="ZN213" s="537"/>
      <c r="ZO213" s="537"/>
      <c r="ZP213" s="537"/>
      <c r="ZQ213" s="537"/>
      <c r="ZR213" s="537"/>
      <c r="ZS213" s="537"/>
      <c r="ZT213" s="537"/>
      <c r="ZU213" s="537"/>
      <c r="ZV213" s="537"/>
      <c r="ZW213" s="537"/>
      <c r="ZX213" s="537"/>
      <c r="ZY213" s="537"/>
      <c r="ZZ213" s="537"/>
      <c r="AAA213" s="537"/>
      <c r="AAB213" s="537"/>
      <c r="AAC213" s="537"/>
      <c r="AAD213" s="537"/>
      <c r="AAE213" s="537"/>
      <c r="AAF213" s="537"/>
      <c r="AAG213" s="537"/>
      <c r="AAH213" s="537"/>
      <c r="AAI213" s="537"/>
      <c r="AAJ213" s="537"/>
      <c r="AAK213" s="537"/>
      <c r="AAL213" s="537"/>
      <c r="AAM213" s="537"/>
      <c r="AAN213" s="537"/>
      <c r="AAO213" s="537"/>
      <c r="AAP213" s="537"/>
      <c r="AAQ213" s="537"/>
      <c r="AAR213" s="537"/>
      <c r="AAS213" s="537"/>
      <c r="AAT213" s="537"/>
      <c r="AAU213" s="537"/>
      <c r="AAV213" s="537"/>
      <c r="AAW213" s="537"/>
      <c r="AAX213" s="537"/>
      <c r="AAY213" s="537"/>
      <c r="AAZ213" s="537"/>
      <c r="ABA213" s="537"/>
      <c r="ABB213" s="537"/>
      <c r="ABC213" s="537"/>
      <c r="ABD213" s="537"/>
      <c r="ABE213" s="537"/>
      <c r="ABF213" s="537"/>
      <c r="ABG213" s="537"/>
      <c r="ABH213" s="537"/>
      <c r="ABI213" s="537"/>
      <c r="ABJ213" s="537"/>
      <c r="ABK213" s="537"/>
      <c r="ABL213" s="537"/>
      <c r="ABM213" s="537"/>
      <c r="ABN213" s="537"/>
      <c r="ABO213" s="537"/>
      <c r="ABP213" s="537"/>
      <c r="ABQ213" s="537"/>
      <c r="ABR213" s="537"/>
      <c r="ABS213" s="537"/>
      <c r="ABT213" s="537"/>
      <c r="ABU213" s="537"/>
      <c r="ABV213" s="537"/>
      <c r="ABW213" s="537"/>
      <c r="ABX213" s="537"/>
      <c r="ABY213" s="537"/>
      <c r="ABZ213" s="537"/>
      <c r="ACA213" s="537"/>
      <c r="ACB213" s="537"/>
      <c r="ACC213" s="537"/>
      <c r="ACD213" s="537"/>
      <c r="ACE213" s="537"/>
      <c r="ACF213" s="537"/>
      <c r="ACG213" s="537"/>
      <c r="ACH213" s="537"/>
      <c r="ACI213" s="537"/>
      <c r="ACJ213" s="537"/>
      <c r="ACK213" s="537"/>
      <c r="ACL213" s="537"/>
      <c r="ACM213" s="537"/>
      <c r="ACN213" s="537"/>
      <c r="ACO213" s="537"/>
      <c r="ACP213" s="537"/>
      <c r="ACQ213" s="537"/>
      <c r="ACR213" s="537"/>
      <c r="ACS213" s="537"/>
      <c r="ACT213" s="537"/>
      <c r="ACU213" s="537"/>
      <c r="ACV213" s="537"/>
      <c r="ACW213" s="537"/>
      <c r="ACX213" s="537"/>
      <c r="ACY213" s="537"/>
      <c r="ACZ213" s="537"/>
      <c r="ADA213" s="537"/>
      <c r="ADB213" s="537"/>
      <c r="ADC213" s="537"/>
      <c r="ADD213" s="537"/>
      <c r="ADE213" s="537"/>
      <c r="ADF213" s="537"/>
      <c r="ADG213" s="537"/>
      <c r="ADH213" s="537"/>
      <c r="ADI213" s="537"/>
      <c r="ADJ213" s="537"/>
      <c r="ADK213" s="537"/>
      <c r="ADL213" s="537"/>
      <c r="ADM213" s="537"/>
      <c r="ADN213" s="537"/>
      <c r="ADO213" s="537"/>
      <c r="ADP213" s="537"/>
      <c r="ADQ213" s="537"/>
      <c r="ADR213" s="537"/>
      <c r="ADS213" s="537"/>
      <c r="ADT213" s="537"/>
      <c r="ADU213" s="537"/>
      <c r="ADV213" s="537"/>
      <c r="ADW213" s="537"/>
      <c r="ADX213" s="537"/>
      <c r="ADY213" s="537"/>
      <c r="ADZ213" s="537"/>
      <c r="AEA213" s="537"/>
      <c r="AEB213" s="537"/>
      <c r="AEC213" s="537"/>
      <c r="AED213" s="537"/>
      <c r="AEE213" s="537"/>
      <c r="AEF213" s="537"/>
      <c r="AEG213" s="537"/>
      <c r="AEH213" s="537"/>
      <c r="AEI213" s="537"/>
      <c r="AEJ213" s="537"/>
      <c r="AEK213" s="537"/>
      <c r="AEL213" s="537"/>
      <c r="AEM213" s="537"/>
      <c r="AEN213" s="537"/>
      <c r="AEO213" s="537"/>
      <c r="AEP213" s="537"/>
      <c r="AEQ213" s="537"/>
      <c r="AER213" s="537"/>
      <c r="AES213" s="537"/>
      <c r="AET213" s="537"/>
      <c r="AEU213" s="537"/>
      <c r="AEV213" s="537"/>
      <c r="AEW213" s="537"/>
      <c r="AEX213" s="537"/>
      <c r="AEY213" s="537"/>
      <c r="AEZ213" s="537"/>
      <c r="AFA213" s="537"/>
      <c r="AFB213" s="537"/>
      <c r="AFC213" s="537"/>
      <c r="AFD213" s="537"/>
      <c r="AFE213" s="537"/>
      <c r="AFF213" s="537"/>
      <c r="AFG213" s="537"/>
      <c r="AFH213" s="537"/>
      <c r="AFI213" s="537"/>
      <c r="AFJ213" s="537"/>
      <c r="AFK213" s="537"/>
      <c r="AFL213" s="537"/>
      <c r="AFM213" s="537"/>
      <c r="AFN213" s="537"/>
      <c r="AFO213" s="537"/>
      <c r="AFP213" s="537"/>
      <c r="AFQ213" s="537"/>
      <c r="AFR213" s="537"/>
      <c r="AFS213" s="537"/>
      <c r="AFT213" s="537"/>
      <c r="AFU213" s="537"/>
      <c r="AFV213" s="537"/>
      <c r="AFW213" s="537"/>
      <c r="AFX213" s="537"/>
      <c r="AFY213" s="537"/>
      <c r="AFZ213" s="537"/>
      <c r="AGA213" s="537"/>
      <c r="AGB213" s="537"/>
      <c r="AGC213" s="537"/>
      <c r="AGD213" s="537"/>
      <c r="AGE213" s="537"/>
      <c r="AGF213" s="537"/>
      <c r="AGG213" s="537"/>
      <c r="AGH213" s="537"/>
      <c r="AGI213" s="537"/>
      <c r="AGJ213" s="537"/>
      <c r="AGK213" s="537"/>
      <c r="AGL213" s="537"/>
      <c r="AGM213" s="537"/>
      <c r="AGN213" s="537"/>
      <c r="AGO213" s="537"/>
      <c r="AGP213" s="537"/>
      <c r="AGQ213" s="537"/>
      <c r="AGR213" s="537"/>
      <c r="AGS213" s="537"/>
      <c r="AGT213" s="537"/>
      <c r="AGU213" s="537"/>
      <c r="AGV213" s="537"/>
      <c r="AGW213" s="537"/>
      <c r="AGX213" s="537"/>
      <c r="AGY213" s="537"/>
      <c r="AGZ213" s="537"/>
      <c r="AHA213" s="537"/>
      <c r="AHB213" s="537"/>
      <c r="AHC213" s="537"/>
      <c r="AHD213" s="537"/>
      <c r="AHE213" s="537"/>
      <c r="AHF213" s="537"/>
      <c r="AHG213" s="537"/>
      <c r="AHH213" s="537"/>
      <c r="AHI213" s="537"/>
      <c r="AHJ213" s="537"/>
      <c r="AHK213" s="537"/>
      <c r="AHL213" s="537"/>
      <c r="AHM213" s="537"/>
      <c r="AHN213" s="537"/>
      <c r="AHO213" s="537"/>
      <c r="AHP213" s="537"/>
      <c r="AHQ213" s="537"/>
      <c r="AHR213" s="537"/>
      <c r="AHS213" s="537"/>
      <c r="AHT213" s="537"/>
      <c r="AHU213" s="537"/>
      <c r="AHV213" s="537"/>
      <c r="AHW213" s="537"/>
      <c r="AHX213" s="537"/>
      <c r="AHY213" s="537"/>
      <c r="AHZ213" s="537"/>
      <c r="AIA213" s="537"/>
      <c r="AIB213" s="537"/>
      <c r="AIC213" s="537"/>
      <c r="AID213" s="537"/>
      <c r="AIE213" s="537"/>
      <c r="AIF213" s="537"/>
      <c r="AIG213" s="537"/>
      <c r="AIH213" s="537"/>
      <c r="AII213" s="537"/>
      <c r="AIJ213" s="537"/>
      <c r="AIK213" s="537"/>
      <c r="AIL213" s="537"/>
      <c r="AIM213" s="537"/>
      <c r="AIN213" s="537"/>
      <c r="AIO213" s="537"/>
      <c r="AIP213" s="537"/>
      <c r="AIQ213" s="537"/>
      <c r="AIR213" s="537"/>
      <c r="AIS213" s="537"/>
      <c r="AIT213" s="537"/>
      <c r="AIU213" s="537"/>
      <c r="AIV213" s="537"/>
      <c r="AIW213" s="537"/>
      <c r="AIX213" s="537"/>
      <c r="AIY213" s="537"/>
      <c r="AIZ213" s="537"/>
      <c r="AJA213" s="537"/>
      <c r="AJB213" s="537"/>
      <c r="AJC213" s="537"/>
      <c r="AJD213" s="537"/>
      <c r="AJE213" s="537"/>
      <c r="AJF213" s="537"/>
      <c r="AJG213" s="537"/>
      <c r="AJH213" s="537"/>
      <c r="AJI213" s="537"/>
      <c r="AJJ213" s="537"/>
      <c r="AJK213" s="537"/>
      <c r="AJL213" s="537"/>
      <c r="AJM213" s="537"/>
      <c r="AJN213" s="537"/>
      <c r="AJO213" s="537"/>
      <c r="AJP213" s="537"/>
      <c r="AJQ213" s="537"/>
      <c r="AJR213" s="537"/>
      <c r="AJS213" s="537"/>
      <c r="AJT213" s="537"/>
      <c r="AJU213" s="537"/>
      <c r="AJV213" s="537"/>
      <c r="AJW213" s="537"/>
      <c r="AJX213" s="537"/>
      <c r="AJY213" s="537"/>
      <c r="AJZ213" s="537"/>
      <c r="AKA213" s="537"/>
      <c r="AKB213" s="537"/>
      <c r="AKC213" s="537"/>
      <c r="AKD213" s="537"/>
      <c r="AKE213" s="537"/>
      <c r="AKF213" s="537"/>
      <c r="AKG213" s="537"/>
      <c r="AKH213" s="537"/>
      <c r="AKI213" s="537"/>
      <c r="AKJ213" s="537"/>
      <c r="AKK213" s="537"/>
      <c r="AKL213" s="537"/>
      <c r="AKM213" s="537"/>
      <c r="AKN213" s="537"/>
      <c r="AKO213" s="537"/>
      <c r="AKP213" s="537"/>
      <c r="AKQ213" s="537"/>
      <c r="AKR213" s="537"/>
      <c r="AKS213" s="537"/>
      <c r="AKT213" s="537"/>
      <c r="AKU213" s="537"/>
      <c r="AKV213" s="537"/>
      <c r="AKW213" s="537"/>
      <c r="AKX213" s="537"/>
      <c r="AKY213" s="537"/>
      <c r="AKZ213" s="537"/>
      <c r="ALA213" s="537"/>
      <c r="ALB213" s="537"/>
      <c r="ALC213" s="537"/>
      <c r="ALD213" s="537"/>
      <c r="ALE213" s="537"/>
      <c r="ALF213" s="537"/>
      <c r="ALG213" s="537"/>
      <c r="ALH213" s="537"/>
      <c r="ALI213" s="537"/>
      <c r="ALJ213" s="537"/>
      <c r="ALK213" s="537"/>
      <c r="ALL213" s="537"/>
      <c r="ALM213" s="537"/>
      <c r="ALN213" s="537"/>
      <c r="ALO213" s="537"/>
      <c r="ALP213" s="537"/>
      <c r="ALQ213" s="537"/>
      <c r="ALR213" s="537"/>
      <c r="ALS213" s="537"/>
      <c r="ALT213" s="537"/>
      <c r="ALU213" s="537"/>
      <c r="ALV213" s="537"/>
      <c r="ALW213" s="537"/>
      <c r="ALX213" s="537"/>
      <c r="ALY213" s="537"/>
      <c r="ALZ213" s="537"/>
      <c r="AMA213" s="537"/>
      <c r="AMB213" s="537"/>
      <c r="AMC213" s="537"/>
      <c r="AMD213" s="537"/>
      <c r="AME213" s="537"/>
      <c r="AMF213" s="537"/>
      <c r="AMG213" s="537"/>
      <c r="AMH213" s="537"/>
      <c r="AMI213" s="537"/>
      <c r="AMJ213" s="537"/>
      <c r="AMK213" s="537"/>
      <c r="AML213" s="537"/>
      <c r="AMM213" s="537"/>
      <c r="AMN213" s="537"/>
      <c r="AMO213" s="537"/>
      <c r="AMP213" s="537"/>
      <c r="AMQ213" s="537"/>
      <c r="AMR213" s="537"/>
      <c r="AMS213" s="537"/>
      <c r="AMT213" s="537"/>
      <c r="AMU213" s="537"/>
      <c r="AMV213" s="537"/>
      <c r="AMW213" s="537"/>
      <c r="AMX213" s="537"/>
      <c r="AMY213" s="537"/>
      <c r="AMZ213" s="537"/>
      <c r="ANA213" s="537"/>
      <c r="ANB213" s="537"/>
      <c r="ANC213" s="537"/>
      <c r="AND213" s="537"/>
      <c r="ANE213" s="537"/>
      <c r="ANF213" s="537"/>
      <c r="ANG213" s="537"/>
      <c r="ANH213" s="537"/>
      <c r="ANI213" s="537"/>
      <c r="ANJ213" s="537"/>
      <c r="ANK213" s="537"/>
      <c r="ANL213" s="537"/>
      <c r="ANM213" s="537"/>
      <c r="ANN213" s="537"/>
      <c r="ANO213" s="537"/>
      <c r="ANP213" s="537"/>
      <c r="ANQ213" s="537"/>
      <c r="ANR213" s="537"/>
      <c r="ANS213" s="537"/>
      <c r="ANT213" s="537"/>
      <c r="ANU213" s="537"/>
      <c r="ANV213" s="537"/>
      <c r="ANW213" s="537"/>
      <c r="ANX213" s="537"/>
      <c r="ANY213" s="537"/>
      <c r="ANZ213" s="537"/>
      <c r="AOA213" s="537"/>
      <c r="AOB213" s="537"/>
      <c r="AOC213" s="537"/>
      <c r="AOD213" s="537"/>
      <c r="AOE213" s="537"/>
      <c r="AOF213" s="537"/>
      <c r="AOG213" s="537"/>
      <c r="AOH213" s="537"/>
      <c r="AOI213" s="537"/>
      <c r="AOJ213" s="537"/>
      <c r="AOK213" s="537"/>
      <c r="AOL213" s="537"/>
      <c r="AOM213" s="537"/>
      <c r="AON213" s="537"/>
      <c r="AOO213" s="537"/>
      <c r="AOP213" s="537"/>
      <c r="AOQ213" s="537"/>
      <c r="AOR213" s="537"/>
      <c r="AOS213" s="537"/>
      <c r="AOT213" s="537"/>
      <c r="AOU213" s="537"/>
      <c r="AOV213" s="537"/>
      <c r="AOW213" s="537"/>
      <c r="AOX213" s="537"/>
      <c r="AOY213" s="537"/>
      <c r="AOZ213" s="537"/>
      <c r="APA213" s="537"/>
      <c r="APB213" s="537"/>
      <c r="APC213" s="537"/>
      <c r="APD213" s="537"/>
      <c r="APE213" s="537"/>
      <c r="APF213" s="537"/>
      <c r="APG213" s="537"/>
      <c r="APH213" s="537"/>
      <c r="API213" s="537"/>
      <c r="APJ213" s="537"/>
      <c r="APK213" s="537"/>
      <c r="APL213" s="537"/>
      <c r="APM213" s="537"/>
      <c r="APN213" s="537"/>
      <c r="APO213" s="537"/>
      <c r="APP213" s="537"/>
      <c r="APQ213" s="537"/>
      <c r="APR213" s="537"/>
      <c r="APS213" s="537"/>
      <c r="APT213" s="537"/>
      <c r="APU213" s="537"/>
      <c r="APV213" s="537"/>
      <c r="APW213" s="537"/>
      <c r="APX213" s="537"/>
      <c r="APY213" s="537"/>
      <c r="APZ213" s="537"/>
      <c r="AQA213" s="537"/>
      <c r="AQB213" s="537"/>
      <c r="AQC213" s="537"/>
      <c r="AQD213" s="537"/>
      <c r="AQE213" s="537"/>
      <c r="AQF213" s="537"/>
      <c r="AQG213" s="537"/>
      <c r="AQH213" s="537"/>
      <c r="AQI213" s="537"/>
      <c r="AQJ213" s="537"/>
      <c r="AQK213" s="537"/>
      <c r="AQL213" s="537"/>
      <c r="AQM213" s="537"/>
      <c r="AQN213" s="537"/>
      <c r="AQO213" s="537"/>
      <c r="AQP213" s="537"/>
      <c r="AQQ213" s="537"/>
      <c r="AQR213" s="537"/>
      <c r="AQS213" s="537"/>
      <c r="AQT213" s="537"/>
      <c r="AQU213" s="537"/>
      <c r="AQV213" s="537"/>
      <c r="AQW213" s="537"/>
      <c r="AQX213" s="537"/>
      <c r="AQY213" s="537"/>
      <c r="AQZ213" s="537"/>
      <c r="ARA213" s="537"/>
      <c r="ARB213" s="537"/>
      <c r="ARC213" s="537"/>
      <c r="ARD213" s="537"/>
      <c r="ARE213" s="537"/>
      <c r="ARF213" s="537"/>
      <c r="ARG213" s="537"/>
      <c r="ARH213" s="537"/>
      <c r="ARI213" s="537"/>
      <c r="ARJ213" s="537"/>
      <c r="ARK213" s="537"/>
      <c r="ARL213" s="537"/>
      <c r="ARM213" s="537"/>
      <c r="ARN213" s="537"/>
      <c r="ARO213" s="537"/>
      <c r="ARP213" s="537"/>
      <c r="ARQ213" s="537"/>
      <c r="ARR213" s="537"/>
      <c r="ARS213" s="537"/>
      <c r="ART213" s="537"/>
      <c r="ARU213" s="537"/>
      <c r="ARV213" s="537"/>
      <c r="ARW213" s="537"/>
      <c r="ARX213" s="537"/>
      <c r="ARY213" s="537"/>
      <c r="ARZ213" s="537"/>
      <c r="ASA213" s="537"/>
      <c r="ASB213" s="537"/>
      <c r="ASC213" s="537"/>
      <c r="ASD213" s="537"/>
      <c r="ASE213" s="537"/>
      <c r="ASF213" s="537"/>
      <c r="ASG213" s="537"/>
      <c r="ASH213" s="537"/>
      <c r="ASI213" s="537"/>
      <c r="ASJ213" s="537"/>
      <c r="ASK213" s="537"/>
      <c r="ASL213" s="537"/>
      <c r="ASM213" s="537"/>
      <c r="ASN213" s="537"/>
      <c r="ASO213" s="537"/>
      <c r="ASP213" s="537"/>
      <c r="ASQ213" s="537"/>
      <c r="ASR213" s="537"/>
      <c r="ASS213" s="537"/>
      <c r="AST213" s="537"/>
      <c r="ASU213" s="537"/>
      <c r="ASV213" s="537"/>
      <c r="ASW213" s="537"/>
      <c r="ASX213" s="537"/>
      <c r="ASY213" s="537"/>
      <c r="ASZ213" s="537"/>
      <c r="ATA213" s="537"/>
      <c r="ATB213" s="537"/>
      <c r="ATC213" s="537"/>
      <c r="ATD213" s="537"/>
      <c r="ATE213" s="537"/>
      <c r="ATF213" s="537"/>
      <c r="ATG213" s="537"/>
      <c r="ATH213" s="537"/>
      <c r="ATI213" s="537"/>
      <c r="ATJ213" s="537"/>
      <c r="ATK213" s="537"/>
      <c r="ATL213" s="537"/>
      <c r="ATM213" s="537"/>
      <c r="ATN213" s="537"/>
      <c r="ATO213" s="537"/>
      <c r="ATP213" s="537"/>
      <c r="ATQ213" s="537"/>
      <c r="ATR213" s="537"/>
      <c r="ATS213" s="537"/>
      <c r="ATT213" s="537"/>
      <c r="ATU213" s="537"/>
      <c r="ATV213" s="537"/>
      <c r="ATW213" s="537"/>
      <c r="ATX213" s="537"/>
      <c r="ATY213" s="537"/>
      <c r="ATZ213" s="537"/>
      <c r="AUA213" s="537"/>
      <c r="AUB213" s="537"/>
      <c r="AUC213" s="537"/>
      <c r="AUD213" s="537"/>
      <c r="AUE213" s="537"/>
      <c r="AUF213" s="537"/>
      <c r="AUG213" s="537"/>
      <c r="AUH213" s="537"/>
      <c r="AUI213" s="537"/>
      <c r="AUJ213" s="537"/>
      <c r="AUK213" s="537"/>
      <c r="AUL213" s="537"/>
      <c r="AUM213" s="537"/>
      <c r="AUN213" s="537"/>
      <c r="AUO213" s="537"/>
      <c r="AUP213" s="537"/>
      <c r="AUQ213" s="537"/>
      <c r="AUR213" s="537"/>
      <c r="AUS213" s="537"/>
      <c r="AUT213" s="537"/>
      <c r="AUU213" s="537"/>
      <c r="AUV213" s="537"/>
      <c r="AUW213" s="537"/>
      <c r="AUX213" s="537"/>
      <c r="AUY213" s="537"/>
      <c r="AUZ213" s="537"/>
      <c r="AVA213" s="537"/>
      <c r="AVB213" s="537"/>
      <c r="AVC213" s="537"/>
      <c r="AVD213" s="537"/>
      <c r="AVE213" s="537"/>
      <c r="AVF213" s="537"/>
      <c r="AVG213" s="537"/>
      <c r="AVH213" s="537"/>
      <c r="AVI213" s="537"/>
      <c r="AVJ213" s="537"/>
      <c r="AVK213" s="537"/>
      <c r="AVL213" s="537"/>
      <c r="AVM213" s="537"/>
      <c r="AVN213" s="537"/>
      <c r="AVO213" s="537"/>
      <c r="AVP213" s="537"/>
      <c r="AVQ213" s="537"/>
      <c r="AVR213" s="537"/>
      <c r="AVS213" s="537"/>
      <c r="AVT213" s="537"/>
      <c r="AVU213" s="537"/>
      <c r="AVV213" s="537"/>
      <c r="AVW213" s="537"/>
      <c r="AVX213" s="537"/>
      <c r="AVY213" s="537"/>
      <c r="AVZ213" s="537"/>
      <c r="AWA213" s="537"/>
      <c r="AWB213" s="537"/>
      <c r="AWC213" s="537"/>
      <c r="AWD213" s="537"/>
      <c r="AWE213" s="537"/>
      <c r="AWF213" s="537"/>
      <c r="AWG213" s="537"/>
      <c r="AWH213" s="537"/>
      <c r="AWI213" s="537"/>
      <c r="AWJ213" s="537"/>
      <c r="AWK213" s="537"/>
      <c r="AWL213" s="537"/>
      <c r="AWM213" s="537"/>
      <c r="AWN213" s="537"/>
      <c r="AWO213" s="537"/>
      <c r="AWP213" s="537"/>
      <c r="AWQ213" s="537"/>
      <c r="AWR213" s="537"/>
      <c r="AWS213" s="537"/>
      <c r="AWT213" s="537"/>
      <c r="AWU213" s="537"/>
      <c r="AWV213" s="537"/>
      <c r="AWW213" s="537"/>
      <c r="AWX213" s="537"/>
      <c r="AWY213" s="537"/>
      <c r="AWZ213" s="537"/>
      <c r="AXA213" s="537"/>
      <c r="AXB213" s="537"/>
      <c r="AXC213" s="537"/>
      <c r="AXD213" s="537"/>
      <c r="AXE213" s="537"/>
      <c r="AXF213" s="537"/>
      <c r="AXG213" s="537"/>
      <c r="AXH213" s="537"/>
      <c r="AXI213" s="537"/>
      <c r="AXJ213" s="537"/>
      <c r="AXK213" s="537"/>
      <c r="AXL213" s="537"/>
      <c r="AXM213" s="537"/>
      <c r="AXN213" s="537"/>
      <c r="AXO213" s="537"/>
      <c r="AXP213" s="537"/>
      <c r="AXQ213" s="537"/>
      <c r="AXR213" s="537"/>
      <c r="AXS213" s="537"/>
      <c r="AXT213" s="537"/>
      <c r="AXU213" s="537"/>
      <c r="AXV213" s="537"/>
      <c r="AXW213" s="537"/>
      <c r="AXX213" s="537"/>
      <c r="AXY213" s="537"/>
      <c r="AXZ213" s="537"/>
      <c r="AYA213" s="537"/>
      <c r="AYB213" s="537"/>
      <c r="AYC213" s="537"/>
      <c r="AYD213" s="537"/>
      <c r="AYE213" s="537"/>
      <c r="AYF213" s="537"/>
      <c r="AYG213" s="537"/>
      <c r="AYH213" s="537"/>
      <c r="AYI213" s="537"/>
      <c r="AYJ213" s="537"/>
      <c r="AYK213" s="537"/>
      <c r="AYL213" s="537"/>
      <c r="AYM213" s="537"/>
      <c r="AYN213" s="537"/>
      <c r="AYO213" s="537"/>
      <c r="AYP213" s="537"/>
      <c r="AYQ213" s="537"/>
      <c r="AYR213" s="537"/>
      <c r="AYS213" s="537"/>
      <c r="AYT213" s="537"/>
      <c r="AYU213" s="537"/>
      <c r="AYV213" s="537"/>
      <c r="AYW213" s="537"/>
      <c r="AYX213" s="537"/>
      <c r="AYY213" s="537"/>
      <c r="AYZ213" s="537"/>
      <c r="AZA213" s="537"/>
      <c r="AZB213" s="537"/>
      <c r="AZC213" s="537"/>
      <c r="AZD213" s="537"/>
      <c r="AZE213" s="537"/>
      <c r="AZF213" s="537"/>
      <c r="AZG213" s="537"/>
      <c r="AZH213" s="537"/>
      <c r="AZI213" s="537"/>
      <c r="AZJ213" s="537"/>
      <c r="AZK213" s="537"/>
      <c r="AZL213" s="537"/>
      <c r="AZM213" s="537"/>
      <c r="AZN213" s="537"/>
      <c r="AZO213" s="537"/>
      <c r="AZP213" s="537"/>
      <c r="AZQ213" s="537"/>
      <c r="AZR213" s="537"/>
      <c r="AZS213" s="537"/>
      <c r="AZT213" s="537"/>
      <c r="AZU213" s="537"/>
      <c r="AZV213" s="537"/>
      <c r="AZW213" s="537"/>
      <c r="AZX213" s="537"/>
      <c r="AZY213" s="537"/>
      <c r="AZZ213" s="537"/>
      <c r="BAA213" s="537"/>
      <c r="BAB213" s="537"/>
      <c r="BAC213" s="537"/>
      <c r="BAD213" s="537"/>
      <c r="BAE213" s="537"/>
      <c r="BAF213" s="537"/>
      <c r="BAG213" s="537"/>
      <c r="BAH213" s="537"/>
      <c r="BAI213" s="537"/>
      <c r="BAJ213" s="537"/>
      <c r="BAK213" s="537"/>
      <c r="BAL213" s="537"/>
      <c r="BAM213" s="537"/>
      <c r="BAN213" s="537"/>
      <c r="BAO213" s="537"/>
      <c r="BAP213" s="537"/>
      <c r="BAQ213" s="537"/>
      <c r="BAR213" s="537"/>
      <c r="BAS213" s="537"/>
      <c r="BAT213" s="537"/>
      <c r="BAU213" s="537"/>
      <c r="BAV213" s="537"/>
      <c r="BAW213" s="537"/>
      <c r="BAX213" s="537"/>
      <c r="BAY213" s="537"/>
      <c r="BAZ213" s="537"/>
      <c r="BBA213" s="537"/>
      <c r="BBB213" s="537"/>
      <c r="BBC213" s="537"/>
      <c r="BBD213" s="537"/>
      <c r="BBE213" s="537"/>
      <c r="BBF213" s="537"/>
      <c r="BBG213" s="537"/>
      <c r="BBH213" s="537"/>
      <c r="BBI213" s="537"/>
      <c r="BBJ213" s="537"/>
      <c r="BBK213" s="537"/>
      <c r="BBL213" s="537"/>
      <c r="BBM213" s="537"/>
      <c r="BBN213" s="537"/>
      <c r="BBO213" s="537"/>
      <c r="BBP213" s="537"/>
      <c r="BBQ213" s="537"/>
      <c r="BBR213" s="537"/>
      <c r="BBS213" s="537"/>
      <c r="BBT213" s="537"/>
      <c r="BBU213" s="537"/>
      <c r="BBV213" s="537"/>
      <c r="BBW213" s="537"/>
      <c r="BBX213" s="537"/>
      <c r="BBY213" s="537"/>
      <c r="BBZ213" s="537"/>
      <c r="BCA213" s="537"/>
      <c r="BCB213" s="537"/>
      <c r="BCC213" s="537"/>
      <c r="BCD213" s="537"/>
      <c r="BCE213" s="537"/>
      <c r="BCF213" s="537"/>
      <c r="BCG213" s="537"/>
      <c r="BCH213" s="537"/>
      <c r="BCI213" s="537"/>
      <c r="BCJ213" s="537"/>
      <c r="BCK213" s="537"/>
      <c r="BCL213" s="537"/>
      <c r="BCM213" s="537"/>
      <c r="BCN213" s="537"/>
      <c r="BCO213" s="537"/>
      <c r="BCP213" s="537"/>
      <c r="BCQ213" s="537"/>
      <c r="BCR213" s="537"/>
      <c r="BCS213" s="537"/>
      <c r="BCT213" s="537"/>
      <c r="BCU213" s="537"/>
      <c r="BCV213" s="537"/>
      <c r="BCW213" s="537"/>
      <c r="BCX213" s="537"/>
      <c r="BCY213" s="537"/>
      <c r="BCZ213" s="537"/>
      <c r="BDA213" s="537"/>
      <c r="BDB213" s="537"/>
      <c r="BDC213" s="537"/>
      <c r="BDD213" s="537"/>
      <c r="BDE213" s="537"/>
      <c r="BDF213" s="537"/>
      <c r="BDG213" s="537"/>
      <c r="BDH213" s="537"/>
      <c r="BDI213" s="537"/>
      <c r="BDJ213" s="537"/>
      <c r="BDK213" s="537"/>
      <c r="BDL213" s="537"/>
      <c r="BDM213" s="537"/>
      <c r="BDN213" s="537"/>
      <c r="BDO213" s="537"/>
      <c r="BDP213" s="537"/>
      <c r="BDQ213" s="537"/>
      <c r="BDR213" s="537"/>
      <c r="BDS213" s="537"/>
      <c r="BDT213" s="537"/>
      <c r="BDU213" s="537"/>
      <c r="BDV213" s="537"/>
      <c r="BDW213" s="537"/>
      <c r="BDX213" s="537"/>
      <c r="BDY213" s="537"/>
      <c r="BDZ213" s="537"/>
      <c r="BEA213" s="537"/>
      <c r="BEB213" s="537"/>
      <c r="BEC213" s="537"/>
      <c r="BED213" s="537"/>
      <c r="BEE213" s="537"/>
      <c r="BEF213" s="537"/>
      <c r="BEG213" s="537"/>
      <c r="BEH213" s="537"/>
      <c r="BEI213" s="537"/>
      <c r="BEJ213" s="537"/>
      <c r="BEK213" s="537"/>
      <c r="BEL213" s="537"/>
      <c r="BEM213" s="537"/>
      <c r="BEN213" s="537"/>
      <c r="BEO213" s="537"/>
      <c r="BEP213" s="537"/>
      <c r="BEQ213" s="537"/>
      <c r="BER213" s="537"/>
      <c r="BES213" s="537"/>
      <c r="BET213" s="537"/>
      <c r="BEU213" s="537"/>
      <c r="BEV213" s="537"/>
      <c r="BEW213" s="537"/>
      <c r="BEX213" s="537"/>
      <c r="BEY213" s="537"/>
      <c r="BEZ213" s="537"/>
      <c r="BFA213" s="537"/>
      <c r="BFB213" s="537"/>
      <c r="BFC213" s="537"/>
      <c r="BFD213" s="537"/>
      <c r="BFE213" s="537"/>
      <c r="BFF213" s="537"/>
      <c r="BFG213" s="537"/>
      <c r="BFH213" s="537"/>
      <c r="BFI213" s="537"/>
      <c r="BFJ213" s="537"/>
      <c r="BFK213" s="537"/>
      <c r="BFL213" s="537"/>
      <c r="BFM213" s="537"/>
      <c r="BFN213" s="537"/>
      <c r="BFO213" s="537"/>
      <c r="BFP213" s="537"/>
      <c r="BFQ213" s="537"/>
      <c r="BFR213" s="537"/>
      <c r="BFS213" s="537"/>
      <c r="BFT213" s="537"/>
      <c r="BFU213" s="537"/>
      <c r="BFV213" s="537"/>
      <c r="BFW213" s="537"/>
      <c r="BFX213" s="537"/>
      <c r="BFY213" s="537"/>
      <c r="BFZ213" s="537"/>
      <c r="BGA213" s="537"/>
      <c r="BGB213" s="537"/>
      <c r="BGC213" s="537"/>
      <c r="BGD213" s="537"/>
      <c r="BGE213" s="537"/>
      <c r="BGF213" s="537"/>
      <c r="BGG213" s="537"/>
      <c r="BGH213" s="537"/>
      <c r="BGI213" s="537"/>
      <c r="BGJ213" s="537"/>
      <c r="BGK213" s="537"/>
      <c r="BGL213" s="537"/>
      <c r="BGM213" s="537"/>
      <c r="BGN213" s="537"/>
      <c r="BGO213" s="537"/>
      <c r="BGP213" s="537"/>
      <c r="BGQ213" s="537"/>
      <c r="BGR213" s="537"/>
      <c r="BGS213" s="537"/>
      <c r="BGT213" s="537"/>
      <c r="BGU213" s="537"/>
      <c r="BGV213" s="537"/>
      <c r="BGW213" s="537"/>
      <c r="BGX213" s="537"/>
      <c r="BGY213" s="537"/>
      <c r="BGZ213" s="537"/>
      <c r="BHA213" s="537"/>
      <c r="BHB213" s="537"/>
      <c r="BHC213" s="537"/>
      <c r="BHD213" s="537"/>
      <c r="BHE213" s="537"/>
      <c r="BHF213" s="537"/>
      <c r="BHG213" s="537"/>
      <c r="BHH213" s="537"/>
      <c r="BHI213" s="537"/>
      <c r="BHJ213" s="537"/>
      <c r="BHK213" s="537"/>
      <c r="BHL213" s="537"/>
      <c r="BHM213" s="537"/>
      <c r="BHN213" s="537"/>
      <c r="BHO213" s="537"/>
      <c r="BHP213" s="537"/>
      <c r="BHQ213" s="537"/>
      <c r="BHR213" s="537"/>
      <c r="BHS213" s="537"/>
      <c r="BHT213" s="537"/>
      <c r="BHU213" s="537"/>
      <c r="BHV213" s="537"/>
      <c r="BHW213" s="537"/>
      <c r="BHX213" s="537"/>
      <c r="BHY213" s="537"/>
      <c r="BHZ213" s="537"/>
      <c r="BIA213" s="537"/>
      <c r="BIB213" s="537"/>
      <c r="BIC213" s="537"/>
      <c r="BID213" s="537"/>
      <c r="BIE213" s="537"/>
      <c r="BIF213" s="537"/>
      <c r="BIG213" s="537"/>
      <c r="BIH213" s="537"/>
      <c r="BII213" s="537"/>
      <c r="BIJ213" s="537"/>
      <c r="BIK213" s="537"/>
      <c r="BIL213" s="537"/>
      <c r="BIM213" s="537"/>
      <c r="BIN213" s="537"/>
      <c r="BIO213" s="537"/>
      <c r="BIP213" s="537"/>
      <c r="BIQ213" s="537"/>
      <c r="BIR213" s="537"/>
      <c r="BIS213" s="537"/>
      <c r="BIT213" s="537"/>
      <c r="BIU213" s="537"/>
      <c r="BIV213" s="537"/>
      <c r="BIW213" s="537"/>
      <c r="BIX213" s="537"/>
      <c r="BIY213" s="537"/>
      <c r="BIZ213" s="537"/>
      <c r="BJA213" s="537"/>
      <c r="BJB213" s="537"/>
      <c r="BJC213" s="537"/>
      <c r="BJD213" s="537"/>
      <c r="BJE213" s="537"/>
      <c r="BJF213" s="537"/>
      <c r="BJG213" s="537"/>
      <c r="BJH213" s="537"/>
      <c r="BJI213" s="537"/>
      <c r="BJJ213" s="537"/>
      <c r="BJK213" s="537"/>
      <c r="BJL213" s="537"/>
      <c r="BJM213" s="537"/>
      <c r="BJN213" s="537"/>
      <c r="BJO213" s="537"/>
      <c r="BJP213" s="537"/>
      <c r="BJQ213" s="537"/>
      <c r="BJR213" s="537"/>
      <c r="BJS213" s="537"/>
      <c r="BJT213" s="537"/>
      <c r="BJU213" s="537"/>
      <c r="BJV213" s="537"/>
      <c r="BJW213" s="537"/>
      <c r="BJX213" s="537"/>
      <c r="BJY213" s="537"/>
      <c r="BJZ213" s="537"/>
      <c r="BKA213" s="537"/>
      <c r="BKB213" s="537"/>
      <c r="BKC213" s="537"/>
      <c r="BKD213" s="537"/>
      <c r="BKE213" s="537"/>
      <c r="BKF213" s="537"/>
      <c r="BKG213" s="537"/>
      <c r="BKH213" s="537"/>
      <c r="BKI213" s="537"/>
      <c r="BKJ213" s="537"/>
      <c r="BKK213" s="537"/>
      <c r="BKL213" s="537"/>
      <c r="BKM213" s="537"/>
      <c r="BKN213" s="537"/>
      <c r="BKO213" s="537"/>
      <c r="BKP213" s="537"/>
      <c r="BKQ213" s="537"/>
      <c r="BKR213" s="537"/>
      <c r="BKS213" s="537"/>
      <c r="BKT213" s="537"/>
      <c r="BKU213" s="537"/>
      <c r="BKV213" s="537"/>
      <c r="BKW213" s="537"/>
      <c r="BKX213" s="537"/>
      <c r="BKY213" s="537"/>
      <c r="BKZ213" s="537"/>
      <c r="BLA213" s="537"/>
      <c r="BLB213" s="537"/>
      <c r="BLC213" s="537"/>
      <c r="BLD213" s="537"/>
      <c r="BLE213" s="537"/>
      <c r="BLF213" s="537"/>
      <c r="BLG213" s="537"/>
      <c r="BLH213" s="537"/>
      <c r="BLI213" s="537"/>
      <c r="BLJ213" s="537"/>
      <c r="BLK213" s="537"/>
      <c r="BLL213" s="537"/>
      <c r="BLM213" s="537"/>
      <c r="BLN213" s="537"/>
      <c r="BLO213" s="537"/>
      <c r="BLP213" s="537"/>
      <c r="BLQ213" s="537"/>
      <c r="BLR213" s="537"/>
      <c r="BLS213" s="537"/>
      <c r="BLT213" s="537"/>
      <c r="BLU213" s="537"/>
      <c r="BLV213" s="537"/>
      <c r="BLW213" s="537"/>
      <c r="BLX213" s="537"/>
      <c r="BLY213" s="537"/>
      <c r="BLZ213" s="537"/>
      <c r="BMA213" s="537"/>
      <c r="BMB213" s="537"/>
      <c r="BMC213" s="537"/>
      <c r="BMD213" s="537"/>
      <c r="BME213" s="537"/>
      <c r="BMF213" s="537"/>
      <c r="BMG213" s="537"/>
      <c r="BMH213" s="537"/>
      <c r="BMI213" s="537"/>
      <c r="BMJ213" s="537"/>
      <c r="BMK213" s="537"/>
      <c r="BML213" s="537"/>
      <c r="BMM213" s="537"/>
      <c r="BMN213" s="537"/>
      <c r="BMO213" s="537"/>
      <c r="BMP213" s="537"/>
      <c r="BMQ213" s="537"/>
      <c r="BMR213" s="537"/>
      <c r="BMS213" s="537"/>
      <c r="BMT213" s="537"/>
      <c r="BMU213" s="537"/>
      <c r="BMV213" s="537"/>
      <c r="BMW213" s="537"/>
      <c r="BMX213" s="537"/>
      <c r="BMY213" s="537"/>
      <c r="BMZ213" s="537"/>
      <c r="BNA213" s="537"/>
      <c r="BNB213" s="537"/>
      <c r="BNC213" s="537"/>
      <c r="BND213" s="537"/>
      <c r="BNE213" s="537"/>
      <c r="BNF213" s="537"/>
      <c r="BNG213" s="537"/>
      <c r="BNH213" s="537"/>
      <c r="BNI213" s="537"/>
      <c r="BNJ213" s="537"/>
      <c r="BNK213" s="537"/>
      <c r="BNL213" s="537"/>
      <c r="BNM213" s="537"/>
      <c r="BNN213" s="537"/>
      <c r="BNO213" s="537"/>
      <c r="BNP213" s="537"/>
      <c r="BNQ213" s="537"/>
      <c r="BNR213" s="537"/>
      <c r="BNS213" s="537"/>
      <c r="BNT213" s="537"/>
      <c r="BNU213" s="537"/>
      <c r="BNV213" s="537"/>
      <c r="BNW213" s="537"/>
      <c r="BNX213" s="537"/>
      <c r="BNY213" s="537"/>
      <c r="BNZ213" s="537"/>
      <c r="BOA213" s="537"/>
      <c r="BOB213" s="537"/>
      <c r="BOC213" s="537"/>
      <c r="BOD213" s="537"/>
      <c r="BOE213" s="537"/>
      <c r="BOF213" s="537"/>
      <c r="BOG213" s="537"/>
      <c r="BOH213" s="537"/>
      <c r="BOI213" s="537"/>
      <c r="BOJ213" s="537"/>
      <c r="BOK213" s="537"/>
      <c r="BOL213" s="537"/>
      <c r="BOM213" s="537"/>
      <c r="BON213" s="537"/>
      <c r="BOO213" s="537"/>
      <c r="BOP213" s="537"/>
      <c r="BOQ213" s="537"/>
      <c r="BOR213" s="537"/>
      <c r="BOS213" s="537"/>
      <c r="BOT213" s="537"/>
      <c r="BOU213" s="537"/>
      <c r="BOV213" s="537"/>
      <c r="BOW213" s="537"/>
      <c r="BOX213" s="537"/>
      <c r="BOY213" s="537"/>
      <c r="BOZ213" s="537"/>
      <c r="BPA213" s="537"/>
      <c r="BPB213" s="537"/>
      <c r="BPC213" s="537"/>
      <c r="BPD213" s="537"/>
      <c r="BPE213" s="537"/>
      <c r="BPF213" s="537"/>
      <c r="BPG213" s="537"/>
      <c r="BPH213" s="537"/>
      <c r="BPI213" s="537"/>
      <c r="BPJ213" s="537"/>
      <c r="BPK213" s="537"/>
      <c r="BPL213" s="537"/>
      <c r="BPM213" s="537"/>
      <c r="BPN213" s="537"/>
      <c r="BPO213" s="537"/>
      <c r="BPP213" s="537"/>
      <c r="BPQ213" s="537"/>
      <c r="BPR213" s="537"/>
      <c r="BPS213" s="537"/>
      <c r="BPT213" s="537"/>
      <c r="BPU213" s="537"/>
      <c r="BPV213" s="537"/>
      <c r="BPW213" s="537"/>
      <c r="BPX213" s="537"/>
      <c r="BPY213" s="537"/>
      <c r="BPZ213" s="537"/>
      <c r="BQA213" s="537"/>
      <c r="BQB213" s="537"/>
      <c r="BQC213" s="537"/>
      <c r="BQD213" s="537"/>
      <c r="BQE213" s="537"/>
      <c r="BQF213" s="537"/>
      <c r="BQG213" s="537"/>
      <c r="BQH213" s="537"/>
      <c r="BQI213" s="537"/>
      <c r="BQJ213" s="537"/>
      <c r="BQK213" s="537"/>
      <c r="BQL213" s="537"/>
      <c r="BQM213" s="537"/>
      <c r="BQN213" s="537"/>
      <c r="BQO213" s="537"/>
      <c r="BQP213" s="537"/>
      <c r="BQQ213" s="537"/>
      <c r="BQR213" s="537"/>
      <c r="BQS213" s="537"/>
      <c r="BQT213" s="537"/>
      <c r="BQU213" s="537"/>
      <c r="BQV213" s="537"/>
      <c r="BQW213" s="537"/>
      <c r="BQX213" s="537"/>
      <c r="BQY213" s="537"/>
      <c r="BQZ213" s="537"/>
      <c r="BRA213" s="537"/>
      <c r="BRB213" s="537"/>
      <c r="BRC213" s="537"/>
      <c r="BRD213" s="537"/>
      <c r="BRE213" s="537"/>
      <c r="BRF213" s="537"/>
      <c r="BRG213" s="537"/>
      <c r="BRH213" s="537"/>
      <c r="BRI213" s="537"/>
      <c r="BRJ213" s="537"/>
      <c r="BRK213" s="537"/>
      <c r="BRL213" s="537"/>
      <c r="BRM213" s="537"/>
      <c r="BRN213" s="537"/>
      <c r="BRO213" s="537"/>
      <c r="BRP213" s="537"/>
      <c r="BRQ213" s="537"/>
      <c r="BRR213" s="537"/>
      <c r="BRS213" s="537"/>
      <c r="BRT213" s="537"/>
      <c r="BRU213" s="537"/>
      <c r="BRV213" s="537"/>
      <c r="BRW213" s="537"/>
      <c r="BRX213" s="537"/>
      <c r="BRY213" s="537"/>
      <c r="BRZ213" s="537"/>
      <c r="BSA213" s="537"/>
      <c r="BSB213" s="537"/>
      <c r="BSC213" s="537"/>
      <c r="BSD213" s="537"/>
      <c r="BSE213" s="537"/>
      <c r="BSF213" s="537"/>
      <c r="BSG213" s="537"/>
      <c r="BSH213" s="537"/>
      <c r="BSI213" s="537"/>
      <c r="BSJ213" s="537"/>
      <c r="BSK213" s="537"/>
      <c r="BSL213" s="537"/>
      <c r="BSM213" s="537"/>
      <c r="BSN213" s="537"/>
      <c r="BSO213" s="537"/>
      <c r="BSP213" s="537"/>
      <c r="BSQ213" s="537"/>
      <c r="BSR213" s="537"/>
      <c r="BSS213" s="537"/>
      <c r="BST213" s="537"/>
      <c r="BSU213" s="537"/>
      <c r="BSV213" s="537"/>
      <c r="BSW213" s="537"/>
      <c r="BSX213" s="537"/>
      <c r="BSY213" s="537"/>
      <c r="BSZ213" s="537"/>
      <c r="BTA213" s="537"/>
      <c r="BTB213" s="537"/>
      <c r="BTC213" s="537"/>
      <c r="BTD213" s="537"/>
      <c r="BTE213" s="537"/>
      <c r="BTF213" s="537"/>
      <c r="BTG213" s="537"/>
      <c r="BTH213" s="537"/>
      <c r="BTI213" s="537"/>
      <c r="BTJ213" s="537"/>
      <c r="BTK213" s="537"/>
      <c r="BTL213" s="537"/>
      <c r="BTM213" s="537"/>
      <c r="BTN213" s="537"/>
      <c r="BTO213" s="537"/>
      <c r="BTP213" s="537"/>
      <c r="BTQ213" s="537"/>
      <c r="BTR213" s="537"/>
      <c r="BTS213" s="537"/>
      <c r="BTT213" s="537"/>
      <c r="BTU213" s="537"/>
      <c r="BTV213" s="537"/>
      <c r="BTW213" s="537"/>
      <c r="BTX213" s="537"/>
      <c r="BTY213" s="537"/>
      <c r="BTZ213" s="537"/>
      <c r="BUA213" s="537"/>
      <c r="BUB213" s="537"/>
      <c r="BUC213" s="537"/>
      <c r="BUD213" s="537"/>
      <c r="BUE213" s="537"/>
      <c r="BUF213" s="537"/>
      <c r="BUG213" s="537"/>
      <c r="BUH213" s="537"/>
      <c r="BUI213" s="537"/>
      <c r="BUJ213" s="537"/>
      <c r="BUK213" s="537"/>
      <c r="BUL213" s="537"/>
      <c r="BUM213" s="537"/>
      <c r="BUN213" s="537"/>
      <c r="BUO213" s="537"/>
      <c r="BUP213" s="537"/>
      <c r="BUQ213" s="537"/>
      <c r="BUR213" s="537"/>
      <c r="BUS213" s="537"/>
      <c r="BUT213" s="537"/>
      <c r="BUU213" s="537"/>
      <c r="BUV213" s="537"/>
      <c r="BUW213" s="537"/>
      <c r="BUX213" s="537"/>
      <c r="BUY213" s="537"/>
      <c r="BUZ213" s="537"/>
      <c r="BVA213" s="537"/>
      <c r="BVB213" s="537"/>
      <c r="BVC213" s="537"/>
      <c r="BVD213" s="537"/>
      <c r="BVE213" s="537"/>
      <c r="BVF213" s="537"/>
      <c r="BVG213" s="537"/>
      <c r="BVH213" s="537"/>
      <c r="BVI213" s="537"/>
      <c r="BVJ213" s="537"/>
      <c r="BVK213" s="537"/>
      <c r="BVL213" s="537"/>
      <c r="BVM213" s="537"/>
      <c r="BVN213" s="537"/>
      <c r="BVO213" s="537"/>
      <c r="BVP213" s="537"/>
      <c r="BVQ213" s="537"/>
      <c r="BVR213" s="537"/>
      <c r="BVS213" s="537"/>
      <c r="BVT213" s="537"/>
      <c r="BVU213" s="537"/>
      <c r="BVV213" s="537"/>
      <c r="BVW213" s="537"/>
      <c r="BVX213" s="537"/>
      <c r="BVY213" s="537"/>
      <c r="BVZ213" s="537"/>
      <c r="BWA213" s="537"/>
      <c r="BWB213" s="537"/>
      <c r="BWC213" s="537"/>
      <c r="BWD213" s="537"/>
      <c r="BWE213" s="537"/>
      <c r="BWF213" s="537"/>
      <c r="BWG213" s="537"/>
      <c r="BWH213" s="537"/>
      <c r="BWI213" s="537"/>
      <c r="BWJ213" s="537"/>
      <c r="BWK213" s="537"/>
      <c r="BWL213" s="537"/>
      <c r="BWM213" s="537"/>
      <c r="BWN213" s="537"/>
      <c r="BWO213" s="537"/>
      <c r="BWP213" s="537"/>
      <c r="BWQ213" s="537"/>
      <c r="BWR213" s="537"/>
      <c r="BWS213" s="537"/>
      <c r="BWT213" s="537"/>
      <c r="BWU213" s="537"/>
      <c r="BWV213" s="537"/>
      <c r="BWW213" s="537"/>
      <c r="BWX213" s="537"/>
      <c r="BWY213" s="537"/>
      <c r="BWZ213" s="537"/>
      <c r="BXA213" s="537"/>
      <c r="BXB213" s="537"/>
      <c r="BXC213" s="537"/>
      <c r="BXD213" s="537"/>
      <c r="BXE213" s="537"/>
      <c r="BXF213" s="537"/>
      <c r="BXG213" s="537"/>
      <c r="BXH213" s="537"/>
      <c r="BXI213" s="537"/>
      <c r="BXJ213" s="537"/>
      <c r="BXK213" s="537"/>
      <c r="BXL213" s="537"/>
      <c r="BXM213" s="537"/>
      <c r="BXN213" s="537"/>
      <c r="BXO213" s="537"/>
      <c r="BXP213" s="537"/>
      <c r="BXQ213" s="537"/>
      <c r="BXR213" s="537"/>
      <c r="BXS213" s="537"/>
      <c r="BXT213" s="537"/>
      <c r="BXU213" s="537"/>
      <c r="BXV213" s="537"/>
      <c r="BXW213" s="537"/>
      <c r="BXX213" s="537"/>
      <c r="BXY213" s="537"/>
      <c r="BXZ213" s="537"/>
      <c r="BYA213" s="537"/>
      <c r="BYB213" s="537"/>
      <c r="BYC213" s="537"/>
      <c r="BYD213" s="537"/>
      <c r="BYE213" s="537"/>
      <c r="BYF213" s="537"/>
      <c r="BYG213" s="537"/>
      <c r="BYH213" s="537"/>
      <c r="BYI213" s="537"/>
      <c r="BYJ213" s="537"/>
      <c r="BYK213" s="537"/>
      <c r="BYL213" s="537"/>
      <c r="BYM213" s="537"/>
      <c r="BYN213" s="537"/>
      <c r="BYO213" s="537"/>
      <c r="BYP213" s="537"/>
      <c r="BYQ213" s="537"/>
      <c r="BYR213" s="537"/>
      <c r="BYS213" s="537"/>
      <c r="BYT213" s="537"/>
      <c r="BYU213" s="537"/>
      <c r="BYV213" s="537"/>
      <c r="BYW213" s="537"/>
      <c r="BYX213" s="537"/>
      <c r="BYY213" s="537"/>
      <c r="BYZ213" s="537"/>
      <c r="BZA213" s="537"/>
      <c r="BZB213" s="537"/>
      <c r="BZC213" s="537"/>
      <c r="BZD213" s="537"/>
      <c r="BZE213" s="537"/>
      <c r="BZF213" s="537"/>
      <c r="BZG213" s="537"/>
      <c r="BZH213" s="537"/>
      <c r="BZI213" s="537"/>
      <c r="BZJ213" s="537"/>
      <c r="BZK213" s="537"/>
      <c r="BZL213" s="537"/>
      <c r="BZM213" s="537"/>
      <c r="BZN213" s="537"/>
      <c r="BZO213" s="537"/>
      <c r="BZP213" s="537"/>
      <c r="BZQ213" s="537"/>
      <c r="BZR213" s="537"/>
      <c r="BZS213" s="537"/>
      <c r="BZT213" s="537"/>
      <c r="BZU213" s="537"/>
      <c r="BZV213" s="537"/>
      <c r="BZW213" s="537"/>
      <c r="BZX213" s="537"/>
      <c r="BZY213" s="537"/>
      <c r="BZZ213" s="537"/>
      <c r="CAA213" s="537"/>
      <c r="CAB213" s="537"/>
      <c r="CAC213" s="537"/>
      <c r="CAD213" s="537"/>
      <c r="CAE213" s="537"/>
      <c r="CAF213" s="537"/>
      <c r="CAG213" s="537"/>
      <c r="CAH213" s="537"/>
      <c r="CAI213" s="537"/>
      <c r="CAJ213" s="537"/>
      <c r="CAK213" s="537"/>
      <c r="CAL213" s="537"/>
      <c r="CAM213" s="537"/>
      <c r="CAN213" s="537"/>
      <c r="CAO213" s="537"/>
      <c r="CAP213" s="537"/>
      <c r="CAQ213" s="537"/>
      <c r="CAR213" s="537"/>
      <c r="CAS213" s="537"/>
      <c r="CAT213" s="537"/>
      <c r="CAU213" s="537"/>
      <c r="CAV213" s="537"/>
      <c r="CAW213" s="537"/>
      <c r="CAX213" s="537"/>
      <c r="CAY213" s="537"/>
      <c r="CAZ213" s="537"/>
      <c r="CBA213" s="537"/>
      <c r="CBB213" s="537"/>
      <c r="CBC213" s="537"/>
      <c r="CBD213" s="537"/>
      <c r="CBE213" s="537"/>
      <c r="CBF213" s="537"/>
      <c r="CBG213" s="537"/>
      <c r="CBH213" s="537"/>
      <c r="CBI213" s="537"/>
      <c r="CBJ213" s="537"/>
      <c r="CBK213" s="537"/>
      <c r="CBL213" s="537"/>
      <c r="CBM213" s="537"/>
      <c r="CBN213" s="537"/>
      <c r="CBO213" s="537"/>
      <c r="CBP213" s="537"/>
      <c r="CBQ213" s="537"/>
      <c r="CBR213" s="537"/>
      <c r="CBS213" s="537"/>
      <c r="CBT213" s="537"/>
      <c r="CBU213" s="537"/>
      <c r="CBV213" s="537"/>
      <c r="CBW213" s="537"/>
      <c r="CBX213" s="537"/>
      <c r="CBY213" s="537"/>
      <c r="CBZ213" s="537"/>
      <c r="CCA213" s="537"/>
      <c r="CCB213" s="537"/>
      <c r="CCC213" s="537"/>
      <c r="CCD213" s="537"/>
      <c r="CCE213" s="537"/>
      <c r="CCF213" s="537"/>
      <c r="CCG213" s="537"/>
      <c r="CCH213" s="537"/>
      <c r="CCI213" s="537"/>
      <c r="CCJ213" s="537"/>
      <c r="CCK213" s="537"/>
      <c r="CCL213" s="537"/>
      <c r="CCM213" s="537"/>
      <c r="CCN213" s="537"/>
      <c r="CCO213" s="537"/>
      <c r="CCP213" s="537"/>
      <c r="CCQ213" s="537"/>
      <c r="CCR213" s="537"/>
      <c r="CCS213" s="537"/>
      <c r="CCT213" s="537"/>
      <c r="CCU213" s="537"/>
      <c r="CCV213" s="537"/>
      <c r="CCW213" s="537"/>
      <c r="CCX213" s="537"/>
      <c r="CCY213" s="537"/>
      <c r="CCZ213" s="537"/>
      <c r="CDA213" s="537"/>
      <c r="CDB213" s="537"/>
      <c r="CDC213" s="537"/>
      <c r="CDD213" s="537"/>
      <c r="CDE213" s="537"/>
      <c r="CDF213" s="537"/>
      <c r="CDG213" s="537"/>
      <c r="CDH213" s="537"/>
      <c r="CDI213" s="537"/>
      <c r="CDJ213" s="537"/>
      <c r="CDK213" s="537"/>
      <c r="CDL213" s="537"/>
      <c r="CDM213" s="537"/>
      <c r="CDN213" s="537"/>
      <c r="CDO213" s="537"/>
      <c r="CDP213" s="537"/>
      <c r="CDQ213" s="537"/>
      <c r="CDR213" s="537"/>
      <c r="CDS213" s="537"/>
      <c r="CDT213" s="537"/>
      <c r="CDU213" s="537"/>
      <c r="CDV213" s="537"/>
      <c r="CDW213" s="537"/>
      <c r="CDX213" s="537"/>
      <c r="CDY213" s="537"/>
      <c r="CDZ213" s="537"/>
      <c r="CEA213" s="537"/>
      <c r="CEB213" s="537"/>
      <c r="CEC213" s="537"/>
      <c r="CED213" s="537"/>
      <c r="CEE213" s="537"/>
      <c r="CEF213" s="537"/>
      <c r="CEG213" s="537"/>
      <c r="CEH213" s="537"/>
      <c r="CEI213" s="537"/>
      <c r="CEJ213" s="537"/>
      <c r="CEK213" s="537"/>
      <c r="CEL213" s="537"/>
      <c r="CEM213" s="537"/>
      <c r="CEN213" s="537"/>
      <c r="CEO213" s="537"/>
      <c r="CEP213" s="537"/>
      <c r="CEQ213" s="537"/>
      <c r="CER213" s="537"/>
      <c r="CES213" s="537"/>
      <c r="CET213" s="537"/>
      <c r="CEU213" s="537"/>
      <c r="CEV213" s="537"/>
      <c r="CEW213" s="537"/>
      <c r="CEX213" s="537"/>
      <c r="CEY213" s="537"/>
      <c r="CEZ213" s="537"/>
      <c r="CFA213" s="537"/>
      <c r="CFB213" s="537"/>
      <c r="CFC213" s="537"/>
      <c r="CFD213" s="537"/>
      <c r="CFE213" s="537"/>
      <c r="CFF213" s="537"/>
      <c r="CFG213" s="537"/>
      <c r="CFH213" s="537"/>
      <c r="CFI213" s="537"/>
      <c r="CFJ213" s="537"/>
      <c r="CFK213" s="537"/>
      <c r="CFL213" s="537"/>
      <c r="CFM213" s="537"/>
      <c r="CFN213" s="537"/>
      <c r="CFO213" s="537"/>
      <c r="CFP213" s="537"/>
      <c r="CFQ213" s="537"/>
      <c r="CFR213" s="537"/>
      <c r="CFS213" s="537"/>
      <c r="CFT213" s="537"/>
      <c r="CFU213" s="537"/>
      <c r="CFV213" s="537"/>
      <c r="CFW213" s="537"/>
      <c r="CFX213" s="537"/>
      <c r="CFY213" s="537"/>
      <c r="CFZ213" s="537"/>
      <c r="CGA213" s="537"/>
      <c r="CGB213" s="537"/>
      <c r="CGC213" s="537"/>
      <c r="CGD213" s="537"/>
      <c r="CGE213" s="537"/>
      <c r="CGF213" s="537"/>
      <c r="CGG213" s="537"/>
      <c r="CGH213" s="537"/>
      <c r="CGI213" s="537"/>
      <c r="CGJ213" s="537"/>
      <c r="CGK213" s="537"/>
      <c r="CGL213" s="537"/>
      <c r="CGM213" s="537"/>
      <c r="CGN213" s="537"/>
      <c r="CGO213" s="537"/>
      <c r="CGP213" s="537"/>
      <c r="CGQ213" s="537"/>
      <c r="CGR213" s="537"/>
      <c r="CGS213" s="537"/>
      <c r="CGT213" s="537"/>
      <c r="CGU213" s="537"/>
      <c r="CGV213" s="537"/>
      <c r="CGW213" s="537"/>
      <c r="CGX213" s="537"/>
      <c r="CGY213" s="537"/>
      <c r="CGZ213" s="537"/>
      <c r="CHA213" s="537"/>
      <c r="CHB213" s="537"/>
      <c r="CHC213" s="537"/>
      <c r="CHD213" s="537"/>
      <c r="CHE213" s="537"/>
      <c r="CHF213" s="537"/>
      <c r="CHG213" s="537"/>
      <c r="CHH213" s="537"/>
      <c r="CHI213" s="537"/>
      <c r="CHJ213" s="537"/>
      <c r="CHK213" s="537"/>
      <c r="CHL213" s="537"/>
      <c r="CHM213" s="537"/>
      <c r="CHN213" s="537"/>
      <c r="CHO213" s="537"/>
      <c r="CHP213" s="537"/>
      <c r="CHQ213" s="537"/>
      <c r="CHR213" s="537"/>
      <c r="CHS213" s="537"/>
      <c r="CHT213" s="537"/>
      <c r="CHU213" s="537"/>
      <c r="CHV213" s="537"/>
      <c r="CHW213" s="537"/>
      <c r="CHX213" s="537"/>
      <c r="CHY213" s="537"/>
      <c r="CHZ213" s="537"/>
      <c r="CIA213" s="537"/>
      <c r="CIB213" s="537"/>
      <c r="CIC213" s="537"/>
      <c r="CID213" s="537"/>
      <c r="CIE213" s="537"/>
      <c r="CIF213" s="537"/>
      <c r="CIG213" s="537"/>
      <c r="CIH213" s="537"/>
      <c r="CII213" s="537"/>
      <c r="CIJ213" s="537"/>
      <c r="CIK213" s="537"/>
      <c r="CIL213" s="537"/>
      <c r="CIM213" s="537"/>
      <c r="CIN213" s="537"/>
      <c r="CIO213" s="537"/>
      <c r="CIP213" s="537"/>
      <c r="CIQ213" s="537"/>
      <c r="CIR213" s="537"/>
      <c r="CIS213" s="537"/>
      <c r="CIT213" s="537"/>
      <c r="CIU213" s="537"/>
      <c r="CIV213" s="537"/>
      <c r="CIW213" s="537"/>
      <c r="CIX213" s="537"/>
      <c r="CIY213" s="537"/>
      <c r="CIZ213" s="537"/>
      <c r="CJA213" s="537"/>
      <c r="CJB213" s="537"/>
      <c r="CJC213" s="537"/>
      <c r="CJD213" s="537"/>
      <c r="CJE213" s="537"/>
      <c r="CJF213" s="537"/>
      <c r="CJG213" s="537"/>
      <c r="CJH213" s="537"/>
      <c r="CJI213" s="537"/>
      <c r="CJJ213" s="537"/>
      <c r="CJK213" s="537"/>
      <c r="CJL213" s="537"/>
      <c r="CJM213" s="537"/>
      <c r="CJN213" s="537"/>
      <c r="CJO213" s="537"/>
      <c r="CJP213" s="537"/>
      <c r="CJQ213" s="537"/>
      <c r="CJR213" s="537"/>
      <c r="CJS213" s="537"/>
      <c r="CJT213" s="537"/>
      <c r="CJU213" s="537"/>
      <c r="CJV213" s="537"/>
      <c r="CJW213" s="537"/>
      <c r="CJX213" s="537"/>
      <c r="CJY213" s="537"/>
      <c r="CJZ213" s="537"/>
      <c r="CKA213" s="537"/>
      <c r="CKB213" s="537"/>
      <c r="CKC213" s="537"/>
      <c r="CKD213" s="537"/>
      <c r="CKE213" s="537"/>
      <c r="CKF213" s="537"/>
      <c r="CKG213" s="537"/>
      <c r="CKH213" s="537"/>
      <c r="CKI213" s="537"/>
      <c r="CKJ213" s="537"/>
      <c r="CKK213" s="537"/>
      <c r="CKL213" s="537"/>
      <c r="CKM213" s="537"/>
      <c r="CKN213" s="537"/>
      <c r="CKO213" s="537"/>
      <c r="CKP213" s="537"/>
      <c r="CKQ213" s="537"/>
      <c r="CKR213" s="537"/>
      <c r="CKS213" s="537"/>
      <c r="CKT213" s="537"/>
      <c r="CKU213" s="537"/>
      <c r="CKV213" s="537"/>
      <c r="CKW213" s="537"/>
      <c r="CKX213" s="537"/>
      <c r="CKY213" s="537"/>
      <c r="CKZ213" s="537"/>
      <c r="CLA213" s="537"/>
      <c r="CLB213" s="537"/>
      <c r="CLC213" s="537"/>
      <c r="CLD213" s="537"/>
      <c r="CLE213" s="537"/>
      <c r="CLF213" s="537"/>
      <c r="CLG213" s="537"/>
      <c r="CLH213" s="537"/>
      <c r="CLI213" s="537"/>
      <c r="CLJ213" s="537"/>
      <c r="CLK213" s="537"/>
      <c r="CLL213" s="537"/>
      <c r="CLM213" s="537"/>
      <c r="CLN213" s="537"/>
      <c r="CLO213" s="537"/>
      <c r="CLP213" s="537"/>
      <c r="CLQ213" s="537"/>
      <c r="CLR213" s="537"/>
      <c r="CLS213" s="537"/>
      <c r="CLT213" s="537"/>
      <c r="CLU213" s="537"/>
      <c r="CLV213" s="537"/>
      <c r="CLW213" s="537"/>
      <c r="CLX213" s="537"/>
      <c r="CLY213" s="537"/>
      <c r="CLZ213" s="537"/>
      <c r="CMA213" s="537"/>
      <c r="CMB213" s="537"/>
      <c r="CMC213" s="537"/>
      <c r="CMD213" s="537"/>
      <c r="CME213" s="537"/>
      <c r="CMF213" s="537"/>
      <c r="CMG213" s="537"/>
      <c r="CMH213" s="537"/>
      <c r="CMI213" s="537"/>
      <c r="CMJ213" s="537"/>
      <c r="CMK213" s="537"/>
      <c r="CML213" s="537"/>
      <c r="CMM213" s="537"/>
      <c r="CMN213" s="537"/>
      <c r="CMO213" s="537"/>
      <c r="CMP213" s="537"/>
      <c r="CMQ213" s="537"/>
      <c r="CMR213" s="537"/>
      <c r="CMS213" s="537"/>
      <c r="CMT213" s="537"/>
      <c r="CMU213" s="537"/>
      <c r="CMV213" s="537"/>
      <c r="CMW213" s="537"/>
      <c r="CMX213" s="537"/>
      <c r="CMY213" s="537"/>
      <c r="CMZ213" s="537"/>
      <c r="CNA213" s="537"/>
      <c r="CNB213" s="537"/>
      <c r="CNC213" s="537"/>
      <c r="CND213" s="537"/>
      <c r="CNE213" s="537"/>
      <c r="CNF213" s="537"/>
      <c r="CNG213" s="537"/>
      <c r="CNH213" s="537"/>
      <c r="CNI213" s="537"/>
      <c r="CNJ213" s="537"/>
      <c r="CNK213" s="537"/>
      <c r="CNL213" s="537"/>
      <c r="CNM213" s="537"/>
      <c r="CNN213" s="537"/>
      <c r="CNO213" s="537"/>
      <c r="CNP213" s="537"/>
      <c r="CNQ213" s="537"/>
      <c r="CNR213" s="537"/>
      <c r="CNS213" s="537"/>
      <c r="CNT213" s="537"/>
      <c r="CNU213" s="537"/>
      <c r="CNV213" s="537"/>
      <c r="CNW213" s="537"/>
      <c r="CNX213" s="537"/>
      <c r="CNY213" s="537"/>
      <c r="CNZ213" s="537"/>
      <c r="COA213" s="537"/>
      <c r="COB213" s="537"/>
      <c r="COC213" s="537"/>
      <c r="COD213" s="537"/>
      <c r="COE213" s="537"/>
      <c r="COF213" s="537"/>
      <c r="COG213" s="537"/>
      <c r="COH213" s="537"/>
      <c r="COI213" s="537"/>
      <c r="COJ213" s="537"/>
      <c r="COK213" s="537"/>
      <c r="COL213" s="537"/>
      <c r="COM213" s="537"/>
      <c r="CON213" s="537"/>
      <c r="COO213" s="537"/>
      <c r="COP213" s="537"/>
      <c r="COQ213" s="537"/>
      <c r="COR213" s="537"/>
      <c r="COS213" s="537"/>
      <c r="COT213" s="537"/>
      <c r="COU213" s="537"/>
      <c r="COV213" s="537"/>
      <c r="COW213" s="537"/>
      <c r="COX213" s="537"/>
      <c r="COY213" s="537"/>
      <c r="COZ213" s="537"/>
      <c r="CPA213" s="537"/>
      <c r="CPB213" s="537"/>
      <c r="CPC213" s="537"/>
      <c r="CPD213" s="537"/>
      <c r="CPE213" s="537"/>
      <c r="CPF213" s="537"/>
      <c r="CPG213" s="537"/>
      <c r="CPH213" s="537"/>
      <c r="CPI213" s="537"/>
      <c r="CPJ213" s="537"/>
      <c r="CPK213" s="537"/>
      <c r="CPL213" s="537"/>
      <c r="CPM213" s="537"/>
      <c r="CPN213" s="537"/>
      <c r="CPO213" s="537"/>
      <c r="CPP213" s="537"/>
      <c r="CPQ213" s="537"/>
      <c r="CPR213" s="537"/>
      <c r="CPS213" s="537"/>
      <c r="CPT213" s="537"/>
      <c r="CPU213" s="537"/>
      <c r="CPV213" s="537"/>
      <c r="CPW213" s="537"/>
      <c r="CPX213" s="537"/>
      <c r="CPY213" s="537"/>
      <c r="CPZ213" s="537"/>
      <c r="CQA213" s="537"/>
      <c r="CQB213" s="537"/>
      <c r="CQC213" s="537"/>
      <c r="CQD213" s="537"/>
      <c r="CQE213" s="537"/>
      <c r="CQF213" s="537"/>
      <c r="CQG213" s="537"/>
      <c r="CQH213" s="537"/>
      <c r="CQI213" s="537"/>
      <c r="CQJ213" s="537"/>
      <c r="CQK213" s="537"/>
      <c r="CQL213" s="537"/>
      <c r="CQM213" s="537"/>
      <c r="CQN213" s="537"/>
      <c r="CQO213" s="537"/>
      <c r="CQP213" s="537"/>
      <c r="CQQ213" s="537"/>
      <c r="CQR213" s="537"/>
      <c r="CQS213" s="537"/>
      <c r="CQT213" s="537"/>
      <c r="CQU213" s="537"/>
      <c r="CQV213" s="537"/>
      <c r="CQW213" s="537"/>
      <c r="CQX213" s="537"/>
      <c r="CQY213" s="537"/>
      <c r="CQZ213" s="537"/>
      <c r="CRA213" s="537"/>
      <c r="CRB213" s="537"/>
      <c r="CRC213" s="537"/>
      <c r="CRD213" s="537"/>
      <c r="CRE213" s="537"/>
      <c r="CRF213" s="537"/>
      <c r="CRG213" s="537"/>
      <c r="CRH213" s="537"/>
      <c r="CRI213" s="537"/>
      <c r="CRJ213" s="537"/>
      <c r="CRK213" s="537"/>
      <c r="CRL213" s="537"/>
      <c r="CRM213" s="537"/>
      <c r="CRN213" s="537"/>
      <c r="CRO213" s="537"/>
      <c r="CRP213" s="537"/>
      <c r="CRQ213" s="537"/>
      <c r="CRR213" s="537"/>
      <c r="CRS213" s="537"/>
      <c r="CRT213" s="537"/>
      <c r="CRU213" s="537"/>
      <c r="CRV213" s="537"/>
      <c r="CRW213" s="537"/>
      <c r="CRX213" s="537"/>
      <c r="CRY213" s="537"/>
      <c r="CRZ213" s="537"/>
      <c r="CSA213" s="537"/>
      <c r="CSB213" s="537"/>
      <c r="CSC213" s="537"/>
      <c r="CSD213" s="537"/>
      <c r="CSE213" s="537"/>
      <c r="CSF213" s="537"/>
      <c r="CSG213" s="537"/>
      <c r="CSH213" s="537"/>
      <c r="CSI213" s="537"/>
      <c r="CSJ213" s="537"/>
      <c r="CSK213" s="537"/>
      <c r="CSL213" s="537"/>
      <c r="CSM213" s="537"/>
      <c r="CSN213" s="537"/>
      <c r="CSO213" s="537"/>
      <c r="CSP213" s="537"/>
      <c r="CSQ213" s="537"/>
      <c r="CSR213" s="537"/>
      <c r="CSS213" s="537"/>
      <c r="CST213" s="537"/>
      <c r="CSU213" s="537"/>
      <c r="CSV213" s="537"/>
      <c r="CSW213" s="537"/>
      <c r="CSX213" s="537"/>
      <c r="CSY213" s="537"/>
      <c r="CSZ213" s="537"/>
      <c r="CTA213" s="537"/>
      <c r="CTB213" s="537"/>
      <c r="CTC213" s="537"/>
      <c r="CTD213" s="537"/>
      <c r="CTE213" s="537"/>
      <c r="CTF213" s="537"/>
      <c r="CTG213" s="537"/>
      <c r="CTH213" s="537"/>
      <c r="CTI213" s="537"/>
      <c r="CTJ213" s="537"/>
      <c r="CTK213" s="537"/>
      <c r="CTL213" s="537"/>
      <c r="CTM213" s="537"/>
      <c r="CTN213" s="537"/>
      <c r="CTO213" s="537"/>
      <c r="CTP213" s="537"/>
      <c r="CTQ213" s="537"/>
      <c r="CTR213" s="537"/>
      <c r="CTS213" s="537"/>
      <c r="CTT213" s="537"/>
      <c r="CTU213" s="537"/>
      <c r="CTV213" s="537"/>
      <c r="CTW213" s="537"/>
      <c r="CTX213" s="537"/>
      <c r="CTY213" s="537"/>
      <c r="CTZ213" s="537"/>
      <c r="CUA213" s="537"/>
      <c r="CUB213" s="537"/>
      <c r="CUC213" s="537"/>
      <c r="CUD213" s="537"/>
      <c r="CUE213" s="537"/>
      <c r="CUF213" s="537"/>
      <c r="CUG213" s="537"/>
      <c r="CUH213" s="537"/>
      <c r="CUI213" s="537"/>
      <c r="CUJ213" s="537"/>
      <c r="CUK213" s="537"/>
      <c r="CUL213" s="537"/>
      <c r="CUM213" s="537"/>
      <c r="CUN213" s="537"/>
      <c r="CUO213" s="537"/>
      <c r="CUP213" s="537"/>
      <c r="CUQ213" s="537"/>
      <c r="CUR213" s="537"/>
      <c r="CUS213" s="537"/>
      <c r="CUT213" s="537"/>
      <c r="CUU213" s="537"/>
      <c r="CUV213" s="537"/>
      <c r="CUW213" s="537"/>
      <c r="CUX213" s="537"/>
      <c r="CUY213" s="537"/>
      <c r="CUZ213" s="537"/>
      <c r="CVA213" s="537"/>
      <c r="CVB213" s="537"/>
      <c r="CVC213" s="537"/>
      <c r="CVD213" s="537"/>
      <c r="CVE213" s="537"/>
      <c r="CVF213" s="537"/>
      <c r="CVG213" s="537"/>
      <c r="CVH213" s="537"/>
      <c r="CVI213" s="537"/>
      <c r="CVJ213" s="537"/>
      <c r="CVK213" s="537"/>
      <c r="CVL213" s="537"/>
      <c r="CVM213" s="537"/>
      <c r="CVN213" s="537"/>
      <c r="CVO213" s="537"/>
      <c r="CVP213" s="537"/>
      <c r="CVQ213" s="537"/>
      <c r="CVR213" s="537"/>
      <c r="CVS213" s="537"/>
      <c r="CVT213" s="537"/>
      <c r="CVU213" s="537"/>
      <c r="CVV213" s="537"/>
      <c r="CVW213" s="537"/>
      <c r="CVX213" s="537"/>
      <c r="CVY213" s="537"/>
      <c r="CVZ213" s="537"/>
      <c r="CWA213" s="537"/>
      <c r="CWB213" s="537"/>
      <c r="CWC213" s="537"/>
      <c r="CWD213" s="537"/>
      <c r="CWE213" s="537"/>
      <c r="CWF213" s="537"/>
      <c r="CWG213" s="537"/>
      <c r="CWH213" s="537"/>
      <c r="CWI213" s="537"/>
      <c r="CWJ213" s="537"/>
      <c r="CWK213" s="537"/>
      <c r="CWL213" s="537"/>
      <c r="CWM213" s="537"/>
      <c r="CWN213" s="537"/>
      <c r="CWO213" s="537"/>
      <c r="CWP213" s="537"/>
      <c r="CWQ213" s="537"/>
      <c r="CWR213" s="537"/>
      <c r="CWS213" s="537"/>
      <c r="CWT213" s="537"/>
      <c r="CWU213" s="537"/>
      <c r="CWV213" s="537"/>
      <c r="CWW213" s="537"/>
      <c r="CWX213" s="537"/>
      <c r="CWY213" s="537"/>
      <c r="CWZ213" s="537"/>
      <c r="CXA213" s="537"/>
      <c r="CXB213" s="537"/>
      <c r="CXC213" s="537"/>
      <c r="CXD213" s="537"/>
      <c r="CXE213" s="537"/>
      <c r="CXF213" s="537"/>
      <c r="CXG213" s="537"/>
      <c r="CXH213" s="537"/>
      <c r="CXI213" s="537"/>
      <c r="CXJ213" s="537"/>
      <c r="CXK213" s="537"/>
      <c r="CXL213" s="537"/>
      <c r="CXM213" s="537"/>
      <c r="CXN213" s="537"/>
      <c r="CXO213" s="537"/>
      <c r="CXP213" s="537"/>
      <c r="CXQ213" s="537"/>
      <c r="CXR213" s="537"/>
      <c r="CXS213" s="537"/>
      <c r="CXT213" s="537"/>
      <c r="CXU213" s="537"/>
      <c r="CXV213" s="537"/>
      <c r="CXW213" s="537"/>
      <c r="CXX213" s="537"/>
      <c r="CXY213" s="537"/>
      <c r="CXZ213" s="537"/>
      <c r="CYA213" s="537"/>
      <c r="CYB213" s="537"/>
      <c r="CYC213" s="537"/>
      <c r="CYD213" s="537"/>
      <c r="CYE213" s="537"/>
      <c r="CYF213" s="537"/>
      <c r="CYG213" s="537"/>
      <c r="CYH213" s="537"/>
      <c r="CYI213" s="537"/>
      <c r="CYJ213" s="537"/>
      <c r="CYK213" s="537"/>
      <c r="CYL213" s="537"/>
      <c r="CYM213" s="537"/>
      <c r="CYN213" s="537"/>
      <c r="CYO213" s="537"/>
      <c r="CYP213" s="537"/>
      <c r="CYQ213" s="537"/>
      <c r="CYR213" s="537"/>
      <c r="CYS213" s="537"/>
      <c r="CYT213" s="537"/>
      <c r="CYU213" s="537"/>
      <c r="CYV213" s="537"/>
      <c r="CYW213" s="537"/>
      <c r="CYX213" s="537"/>
      <c r="CYY213" s="537"/>
      <c r="CYZ213" s="537"/>
      <c r="CZA213" s="537"/>
      <c r="CZB213" s="537"/>
      <c r="CZC213" s="537"/>
      <c r="CZD213" s="537"/>
      <c r="CZE213" s="537"/>
      <c r="CZF213" s="537"/>
      <c r="CZG213" s="537"/>
      <c r="CZH213" s="537"/>
      <c r="CZI213" s="537"/>
      <c r="CZJ213" s="537"/>
      <c r="CZK213" s="537"/>
      <c r="CZL213" s="537"/>
      <c r="CZM213" s="537"/>
      <c r="CZN213" s="537"/>
      <c r="CZO213" s="537"/>
      <c r="CZP213" s="537"/>
      <c r="CZQ213" s="537"/>
      <c r="CZR213" s="537"/>
      <c r="CZS213" s="537"/>
      <c r="CZT213" s="537"/>
      <c r="CZU213" s="537"/>
      <c r="CZV213" s="537"/>
      <c r="CZW213" s="537"/>
      <c r="CZX213" s="537"/>
      <c r="CZY213" s="537"/>
      <c r="CZZ213" s="537"/>
      <c r="DAA213" s="537"/>
      <c r="DAB213" s="537"/>
      <c r="DAC213" s="537"/>
      <c r="DAD213" s="537"/>
      <c r="DAE213" s="537"/>
      <c r="DAF213" s="537"/>
      <c r="DAG213" s="537"/>
      <c r="DAH213" s="537"/>
      <c r="DAI213" s="537"/>
      <c r="DAJ213" s="537"/>
      <c r="DAK213" s="537"/>
      <c r="DAL213" s="537"/>
      <c r="DAM213" s="537"/>
      <c r="DAN213" s="537"/>
      <c r="DAO213" s="537"/>
      <c r="DAP213" s="537"/>
      <c r="DAQ213" s="537"/>
      <c r="DAR213" s="537"/>
      <c r="DAS213" s="537"/>
      <c r="DAT213" s="537"/>
      <c r="DAU213" s="537"/>
      <c r="DAV213" s="537"/>
      <c r="DAW213" s="537"/>
      <c r="DAX213" s="537"/>
      <c r="DAY213" s="537"/>
      <c r="DAZ213" s="537"/>
      <c r="DBA213" s="537"/>
      <c r="DBB213" s="537"/>
      <c r="DBC213" s="537"/>
      <c r="DBD213" s="537"/>
      <c r="DBE213" s="537"/>
      <c r="DBF213" s="537"/>
      <c r="DBG213" s="537"/>
      <c r="DBH213" s="537"/>
      <c r="DBI213" s="537"/>
      <c r="DBJ213" s="537"/>
      <c r="DBK213" s="537"/>
      <c r="DBL213" s="537"/>
      <c r="DBM213" s="537"/>
      <c r="DBN213" s="537"/>
      <c r="DBO213" s="537"/>
      <c r="DBP213" s="537"/>
      <c r="DBQ213" s="537"/>
      <c r="DBR213" s="537"/>
      <c r="DBS213" s="537"/>
      <c r="DBT213" s="537"/>
      <c r="DBU213" s="537"/>
      <c r="DBV213" s="537"/>
      <c r="DBW213" s="537"/>
      <c r="DBX213" s="537"/>
      <c r="DBY213" s="537"/>
      <c r="DBZ213" s="537"/>
      <c r="DCA213" s="537"/>
      <c r="DCB213" s="537"/>
      <c r="DCC213" s="537"/>
      <c r="DCD213" s="537"/>
      <c r="DCE213" s="537"/>
      <c r="DCF213" s="537"/>
      <c r="DCG213" s="537"/>
      <c r="DCH213" s="537"/>
      <c r="DCI213" s="537"/>
      <c r="DCJ213" s="537"/>
      <c r="DCK213" s="537"/>
      <c r="DCL213" s="537"/>
      <c r="DCM213" s="537"/>
      <c r="DCN213" s="537"/>
      <c r="DCO213" s="537"/>
      <c r="DCP213" s="537"/>
      <c r="DCQ213" s="537"/>
      <c r="DCR213" s="537"/>
      <c r="DCS213" s="537"/>
      <c r="DCT213" s="537"/>
      <c r="DCU213" s="537"/>
      <c r="DCV213" s="537"/>
      <c r="DCW213" s="537"/>
      <c r="DCX213" s="537"/>
      <c r="DCY213" s="537"/>
      <c r="DCZ213" s="537"/>
      <c r="DDA213" s="537"/>
      <c r="DDB213" s="537"/>
      <c r="DDC213" s="537"/>
      <c r="DDD213" s="537"/>
      <c r="DDE213" s="537"/>
      <c r="DDF213" s="537"/>
      <c r="DDG213" s="537"/>
      <c r="DDH213" s="537"/>
      <c r="DDI213" s="537"/>
      <c r="DDJ213" s="537"/>
      <c r="DDK213" s="537"/>
      <c r="DDL213" s="537"/>
      <c r="DDM213" s="537"/>
      <c r="DDN213" s="537"/>
      <c r="DDO213" s="537"/>
      <c r="DDP213" s="537"/>
      <c r="DDQ213" s="537"/>
      <c r="DDR213" s="537"/>
      <c r="DDS213" s="537"/>
      <c r="DDT213" s="537"/>
      <c r="DDU213" s="537"/>
      <c r="DDV213" s="537"/>
      <c r="DDW213" s="537"/>
      <c r="DDX213" s="537"/>
      <c r="DDY213" s="537"/>
      <c r="DDZ213" s="537"/>
      <c r="DEA213" s="537"/>
      <c r="DEB213" s="537"/>
      <c r="DEC213" s="537"/>
      <c r="DED213" s="537"/>
      <c r="DEE213" s="537"/>
      <c r="DEF213" s="537"/>
      <c r="DEG213" s="537"/>
      <c r="DEH213" s="537"/>
      <c r="DEI213" s="537"/>
      <c r="DEJ213" s="537"/>
      <c r="DEK213" s="537"/>
      <c r="DEL213" s="537"/>
      <c r="DEM213" s="537"/>
      <c r="DEN213" s="537"/>
      <c r="DEO213" s="537"/>
      <c r="DEP213" s="537"/>
      <c r="DEQ213" s="537"/>
      <c r="DER213" s="537"/>
      <c r="DES213" s="537"/>
      <c r="DET213" s="537"/>
      <c r="DEU213" s="537"/>
      <c r="DEV213" s="537"/>
      <c r="DEW213" s="537"/>
      <c r="DEX213" s="537"/>
      <c r="DEY213" s="537"/>
      <c r="DEZ213" s="537"/>
      <c r="DFA213" s="537"/>
      <c r="DFB213" s="537"/>
      <c r="DFC213" s="537"/>
      <c r="DFD213" s="537"/>
      <c r="DFE213" s="537"/>
      <c r="DFF213" s="537"/>
      <c r="DFG213" s="537"/>
      <c r="DFH213" s="537"/>
      <c r="DFI213" s="537"/>
      <c r="DFJ213" s="537"/>
      <c r="DFK213" s="537"/>
      <c r="DFL213" s="537"/>
      <c r="DFM213" s="537"/>
      <c r="DFN213" s="537"/>
      <c r="DFO213" s="537"/>
      <c r="DFP213" s="537"/>
      <c r="DFQ213" s="537"/>
      <c r="DFR213" s="537"/>
      <c r="DFS213" s="537"/>
      <c r="DFT213" s="537"/>
      <c r="DFU213" s="537"/>
      <c r="DFV213" s="537"/>
      <c r="DFW213" s="537"/>
      <c r="DFX213" s="537"/>
      <c r="DFY213" s="537"/>
      <c r="DFZ213" s="537"/>
      <c r="DGA213" s="537"/>
      <c r="DGB213" s="537"/>
      <c r="DGC213" s="537"/>
      <c r="DGD213" s="537"/>
      <c r="DGE213" s="537"/>
      <c r="DGF213" s="537"/>
      <c r="DGG213" s="537"/>
      <c r="DGH213" s="537"/>
      <c r="DGI213" s="537"/>
      <c r="DGJ213" s="537"/>
      <c r="DGK213" s="537"/>
      <c r="DGL213" s="537"/>
      <c r="DGM213" s="537"/>
      <c r="DGN213" s="537"/>
      <c r="DGO213" s="537"/>
      <c r="DGP213" s="537"/>
      <c r="DGQ213" s="537"/>
      <c r="DGR213" s="537"/>
      <c r="DGS213" s="537"/>
      <c r="DGT213" s="537"/>
      <c r="DGU213" s="537"/>
      <c r="DGV213" s="537"/>
      <c r="DGW213" s="537"/>
      <c r="DGX213" s="537"/>
      <c r="DGY213" s="537"/>
      <c r="DGZ213" s="537"/>
      <c r="DHA213" s="537"/>
      <c r="DHB213" s="537"/>
      <c r="DHC213" s="537"/>
      <c r="DHD213" s="537"/>
      <c r="DHE213" s="537"/>
      <c r="DHF213" s="537"/>
      <c r="DHG213" s="537"/>
      <c r="DHH213" s="537"/>
      <c r="DHI213" s="537"/>
      <c r="DHJ213" s="537"/>
      <c r="DHK213" s="537"/>
      <c r="DHL213" s="537"/>
      <c r="DHM213" s="537"/>
      <c r="DHN213" s="537"/>
      <c r="DHO213" s="537"/>
      <c r="DHP213" s="537"/>
      <c r="DHQ213" s="537"/>
      <c r="DHR213" s="537"/>
      <c r="DHS213" s="537"/>
      <c r="DHT213" s="537"/>
      <c r="DHU213" s="537"/>
      <c r="DHV213" s="537"/>
      <c r="DHW213" s="537"/>
      <c r="DHX213" s="537"/>
      <c r="DHY213" s="537"/>
      <c r="DHZ213" s="537"/>
      <c r="DIA213" s="537"/>
      <c r="DIB213" s="537"/>
      <c r="DIC213" s="537"/>
      <c r="DID213" s="537"/>
      <c r="DIE213" s="537"/>
      <c r="DIF213" s="537"/>
      <c r="DIG213" s="537"/>
      <c r="DIH213" s="537"/>
      <c r="DII213" s="537"/>
      <c r="DIJ213" s="537"/>
      <c r="DIK213" s="537"/>
      <c r="DIL213" s="537"/>
      <c r="DIM213" s="537"/>
      <c r="DIN213" s="537"/>
      <c r="DIO213" s="537"/>
      <c r="DIP213" s="537"/>
      <c r="DIQ213" s="537"/>
      <c r="DIR213" s="537"/>
      <c r="DIS213" s="537"/>
      <c r="DIT213" s="537"/>
      <c r="DIU213" s="537"/>
      <c r="DIV213" s="537"/>
      <c r="DIW213" s="537"/>
      <c r="DIX213" s="537"/>
      <c r="DIY213" s="537"/>
      <c r="DIZ213" s="537"/>
      <c r="DJA213" s="537"/>
      <c r="DJB213" s="537"/>
      <c r="DJC213" s="537"/>
      <c r="DJD213" s="537"/>
      <c r="DJE213" s="537"/>
      <c r="DJF213" s="537"/>
      <c r="DJG213" s="537"/>
      <c r="DJH213" s="537"/>
      <c r="DJI213" s="537"/>
      <c r="DJJ213" s="537"/>
      <c r="DJK213" s="537"/>
      <c r="DJL213" s="537"/>
      <c r="DJM213" s="537"/>
      <c r="DJN213" s="537"/>
      <c r="DJO213" s="537"/>
      <c r="DJP213" s="537"/>
      <c r="DJQ213" s="537"/>
      <c r="DJR213" s="537"/>
      <c r="DJS213" s="537"/>
      <c r="DJT213" s="537"/>
      <c r="DJU213" s="537"/>
      <c r="DJV213" s="537"/>
      <c r="DJW213" s="537"/>
      <c r="DJX213" s="537"/>
      <c r="DJY213" s="537"/>
      <c r="DJZ213" s="537"/>
      <c r="DKA213" s="537"/>
      <c r="DKB213" s="537"/>
      <c r="DKC213" s="537"/>
      <c r="DKD213" s="537"/>
      <c r="DKE213" s="537"/>
      <c r="DKF213" s="537"/>
      <c r="DKG213" s="537"/>
      <c r="DKH213" s="537"/>
      <c r="DKI213" s="537"/>
      <c r="DKJ213" s="537"/>
      <c r="DKK213" s="537"/>
      <c r="DKL213" s="537"/>
      <c r="DKM213" s="537"/>
      <c r="DKN213" s="537"/>
      <c r="DKO213" s="537"/>
      <c r="DKP213" s="537"/>
      <c r="DKQ213" s="537"/>
      <c r="DKR213" s="537"/>
      <c r="DKS213" s="537"/>
      <c r="DKT213" s="537"/>
      <c r="DKU213" s="537"/>
      <c r="DKV213" s="537"/>
      <c r="DKW213" s="537"/>
      <c r="DKX213" s="537"/>
      <c r="DKY213" s="537"/>
      <c r="DKZ213" s="537"/>
      <c r="DLA213" s="537"/>
      <c r="DLB213" s="537"/>
      <c r="DLC213" s="537"/>
      <c r="DLD213" s="537"/>
      <c r="DLE213" s="537"/>
      <c r="DLF213" s="537"/>
      <c r="DLG213" s="537"/>
      <c r="DLH213" s="537"/>
      <c r="DLI213" s="537"/>
      <c r="DLJ213" s="537"/>
      <c r="DLK213" s="537"/>
      <c r="DLL213" s="537"/>
      <c r="DLM213" s="537"/>
      <c r="DLN213" s="537"/>
      <c r="DLO213" s="537"/>
      <c r="DLP213" s="537"/>
      <c r="DLQ213" s="537"/>
      <c r="DLR213" s="537"/>
      <c r="DLS213" s="537"/>
      <c r="DLT213" s="537"/>
      <c r="DLU213" s="537"/>
      <c r="DLV213" s="537"/>
      <c r="DLW213" s="537"/>
      <c r="DLX213" s="537"/>
      <c r="DLY213" s="537"/>
      <c r="DLZ213" s="537"/>
      <c r="DMA213" s="537"/>
      <c r="DMB213" s="537"/>
      <c r="DMC213" s="537"/>
      <c r="DMD213" s="537"/>
      <c r="DME213" s="537"/>
      <c r="DMF213" s="537"/>
      <c r="DMG213" s="537"/>
      <c r="DMH213" s="537"/>
      <c r="DMI213" s="537"/>
      <c r="DMJ213" s="537"/>
      <c r="DMK213" s="537"/>
      <c r="DML213" s="537"/>
      <c r="DMM213" s="537"/>
      <c r="DMN213" s="537"/>
      <c r="DMO213" s="537"/>
      <c r="DMP213" s="537"/>
      <c r="DMQ213" s="537"/>
      <c r="DMR213" s="537"/>
      <c r="DMS213" s="537"/>
      <c r="DMT213" s="537"/>
      <c r="DMU213" s="537"/>
      <c r="DMV213" s="537"/>
      <c r="DMW213" s="537"/>
      <c r="DMX213" s="537"/>
      <c r="DMY213" s="537"/>
      <c r="DMZ213" s="537"/>
      <c r="DNA213" s="537"/>
      <c r="DNB213" s="537"/>
      <c r="DNC213" s="537"/>
      <c r="DND213" s="537"/>
      <c r="DNE213" s="537"/>
      <c r="DNF213" s="537"/>
      <c r="DNG213" s="537"/>
      <c r="DNH213" s="537"/>
      <c r="DNI213" s="537"/>
      <c r="DNJ213" s="537"/>
      <c r="DNK213" s="537"/>
      <c r="DNL213" s="537"/>
      <c r="DNM213" s="537"/>
      <c r="DNN213" s="537"/>
      <c r="DNO213" s="537"/>
      <c r="DNP213" s="537"/>
      <c r="DNQ213" s="537"/>
      <c r="DNR213" s="537"/>
      <c r="DNS213" s="537"/>
      <c r="DNT213" s="537"/>
      <c r="DNU213" s="537"/>
      <c r="DNV213" s="537"/>
      <c r="DNW213" s="537"/>
      <c r="DNX213" s="537"/>
      <c r="DNY213" s="537"/>
      <c r="DNZ213" s="537"/>
      <c r="DOA213" s="537"/>
      <c r="DOB213" s="537"/>
      <c r="DOC213" s="537"/>
      <c r="DOD213" s="537"/>
      <c r="DOE213" s="537"/>
      <c r="DOF213" s="537"/>
      <c r="DOG213" s="537"/>
      <c r="DOH213" s="537"/>
      <c r="DOI213" s="537"/>
      <c r="DOJ213" s="537"/>
      <c r="DOK213" s="537"/>
      <c r="DOL213" s="537"/>
      <c r="DOM213" s="537"/>
      <c r="DON213" s="537"/>
      <c r="DOO213" s="537"/>
      <c r="DOP213" s="537"/>
      <c r="DOQ213" s="537"/>
      <c r="DOR213" s="537"/>
      <c r="DOS213" s="537"/>
      <c r="DOT213" s="537"/>
      <c r="DOU213" s="537"/>
      <c r="DOV213" s="537"/>
      <c r="DOW213" s="537"/>
      <c r="DOX213" s="537"/>
      <c r="DOY213" s="537"/>
      <c r="DOZ213" s="537"/>
      <c r="DPA213" s="537"/>
      <c r="DPB213" s="537"/>
      <c r="DPC213" s="537"/>
      <c r="DPD213" s="537"/>
      <c r="DPE213" s="537"/>
      <c r="DPF213" s="537"/>
      <c r="DPG213" s="537"/>
      <c r="DPH213" s="537"/>
      <c r="DPI213" s="537"/>
      <c r="DPJ213" s="537"/>
      <c r="DPK213" s="537"/>
      <c r="DPL213" s="537"/>
      <c r="DPM213" s="537"/>
      <c r="DPN213" s="537"/>
      <c r="DPO213" s="537"/>
      <c r="DPP213" s="537"/>
      <c r="DPQ213" s="537"/>
      <c r="DPR213" s="537"/>
      <c r="DPS213" s="537"/>
      <c r="DPT213" s="537"/>
      <c r="DPU213" s="537"/>
      <c r="DPV213" s="537"/>
      <c r="DPW213" s="537"/>
      <c r="DPX213" s="537"/>
      <c r="DPY213" s="537"/>
      <c r="DPZ213" s="537"/>
      <c r="DQA213" s="537"/>
      <c r="DQB213" s="537"/>
      <c r="DQC213" s="537"/>
      <c r="DQD213" s="537"/>
      <c r="DQE213" s="537"/>
      <c r="DQF213" s="537"/>
      <c r="DQG213" s="537"/>
      <c r="DQH213" s="537"/>
      <c r="DQI213" s="537"/>
      <c r="DQJ213" s="537"/>
      <c r="DQK213" s="537"/>
      <c r="DQL213" s="537"/>
      <c r="DQM213" s="537"/>
      <c r="DQN213" s="537"/>
      <c r="DQO213" s="537"/>
      <c r="DQP213" s="537"/>
      <c r="DQQ213" s="537"/>
      <c r="DQR213" s="537"/>
      <c r="DQS213" s="537"/>
      <c r="DQT213" s="537"/>
      <c r="DQU213" s="537"/>
      <c r="DQV213" s="537"/>
      <c r="DQW213" s="537"/>
      <c r="DQX213" s="537"/>
      <c r="DQY213" s="537"/>
      <c r="DQZ213" s="537"/>
      <c r="DRA213" s="537"/>
      <c r="DRB213" s="537"/>
      <c r="DRC213" s="537"/>
      <c r="DRD213" s="537"/>
      <c r="DRE213" s="537"/>
      <c r="DRF213" s="537"/>
      <c r="DRG213" s="537"/>
      <c r="DRH213" s="537"/>
      <c r="DRI213" s="537"/>
      <c r="DRJ213" s="537"/>
      <c r="DRK213" s="537"/>
      <c r="DRL213" s="537"/>
      <c r="DRM213" s="537"/>
      <c r="DRN213" s="537"/>
      <c r="DRO213" s="537"/>
      <c r="DRP213" s="537"/>
      <c r="DRQ213" s="537"/>
      <c r="DRR213" s="537"/>
      <c r="DRS213" s="537"/>
      <c r="DRT213" s="537"/>
      <c r="DRU213" s="537"/>
      <c r="DRV213" s="537"/>
      <c r="DRW213" s="537"/>
      <c r="DRX213" s="537"/>
      <c r="DRY213" s="537"/>
      <c r="DRZ213" s="537"/>
      <c r="DSA213" s="537"/>
      <c r="DSB213" s="537"/>
      <c r="DSC213" s="537"/>
      <c r="DSD213" s="537"/>
      <c r="DSE213" s="537"/>
      <c r="DSF213" s="537"/>
      <c r="DSG213" s="537"/>
      <c r="DSH213" s="537"/>
      <c r="DSI213" s="537"/>
      <c r="DSJ213" s="537"/>
      <c r="DSK213" s="537"/>
      <c r="DSL213" s="537"/>
      <c r="DSM213" s="537"/>
      <c r="DSN213" s="537"/>
      <c r="DSO213" s="537"/>
      <c r="DSP213" s="537"/>
      <c r="DSQ213" s="537"/>
      <c r="DSR213" s="537"/>
      <c r="DSS213" s="537"/>
      <c r="DST213" s="537"/>
      <c r="DSU213" s="537"/>
      <c r="DSV213" s="537"/>
      <c r="DSW213" s="537"/>
      <c r="DSX213" s="537"/>
      <c r="DSY213" s="537"/>
      <c r="DSZ213" s="537"/>
      <c r="DTA213" s="537"/>
      <c r="DTB213" s="537"/>
      <c r="DTC213" s="537"/>
      <c r="DTD213" s="537"/>
      <c r="DTE213" s="537"/>
      <c r="DTF213" s="537"/>
      <c r="DTG213" s="537"/>
      <c r="DTH213" s="537"/>
      <c r="DTI213" s="537"/>
      <c r="DTJ213" s="537"/>
      <c r="DTK213" s="537"/>
      <c r="DTL213" s="537"/>
      <c r="DTM213" s="537"/>
      <c r="DTN213" s="537"/>
      <c r="DTO213" s="537"/>
      <c r="DTP213" s="537"/>
      <c r="DTQ213" s="537"/>
      <c r="DTR213" s="537"/>
      <c r="DTS213" s="537"/>
      <c r="DTT213" s="537"/>
      <c r="DTU213" s="537"/>
      <c r="DTV213" s="537"/>
      <c r="DTW213" s="537"/>
      <c r="DTX213" s="537"/>
      <c r="DTY213" s="537"/>
      <c r="DTZ213" s="537"/>
      <c r="DUA213" s="537"/>
      <c r="DUB213" s="537"/>
      <c r="DUC213" s="537"/>
      <c r="DUD213" s="537"/>
      <c r="DUE213" s="537"/>
      <c r="DUF213" s="537"/>
      <c r="DUG213" s="537"/>
      <c r="DUH213" s="537"/>
      <c r="DUI213" s="537"/>
      <c r="DUJ213" s="537"/>
      <c r="DUK213" s="537"/>
      <c r="DUL213" s="537"/>
      <c r="DUM213" s="537"/>
      <c r="DUN213" s="537"/>
      <c r="DUO213" s="537"/>
      <c r="DUP213" s="537"/>
      <c r="DUQ213" s="537"/>
      <c r="DUR213" s="537"/>
      <c r="DUS213" s="537"/>
      <c r="DUT213" s="537"/>
      <c r="DUU213" s="537"/>
      <c r="DUV213" s="537"/>
      <c r="DUW213" s="537"/>
      <c r="DUX213" s="537"/>
      <c r="DUY213" s="537"/>
      <c r="DUZ213" s="537"/>
      <c r="DVA213" s="537"/>
      <c r="DVB213" s="537"/>
      <c r="DVC213" s="537"/>
      <c r="DVD213" s="537"/>
      <c r="DVE213" s="537"/>
      <c r="DVF213" s="537"/>
      <c r="DVG213" s="537"/>
      <c r="DVH213" s="537"/>
      <c r="DVI213" s="537"/>
      <c r="DVJ213" s="537"/>
      <c r="DVK213" s="537"/>
      <c r="DVL213" s="537"/>
      <c r="DVM213" s="537"/>
      <c r="DVN213" s="537"/>
      <c r="DVO213" s="537"/>
      <c r="DVP213" s="537"/>
      <c r="DVQ213" s="537"/>
      <c r="DVR213" s="537"/>
      <c r="DVS213" s="537"/>
      <c r="DVT213" s="537"/>
      <c r="DVU213" s="537"/>
      <c r="DVV213" s="537"/>
      <c r="DVW213" s="537"/>
      <c r="DVX213" s="537"/>
      <c r="DVY213" s="537"/>
      <c r="DVZ213" s="537"/>
      <c r="DWA213" s="537"/>
      <c r="DWB213" s="537"/>
      <c r="DWC213" s="537"/>
      <c r="DWD213" s="537"/>
      <c r="DWE213" s="537"/>
      <c r="DWF213" s="537"/>
      <c r="DWG213" s="537"/>
      <c r="DWH213" s="537"/>
      <c r="DWI213" s="537"/>
      <c r="DWJ213" s="537"/>
      <c r="DWK213" s="537"/>
      <c r="DWL213" s="537"/>
      <c r="DWM213" s="537"/>
      <c r="DWN213" s="537"/>
      <c r="DWO213" s="537"/>
      <c r="DWP213" s="537"/>
      <c r="DWQ213" s="537"/>
      <c r="DWR213" s="537"/>
      <c r="DWS213" s="537"/>
      <c r="DWT213" s="537"/>
      <c r="DWU213" s="537"/>
      <c r="DWV213" s="537"/>
      <c r="DWW213" s="537"/>
      <c r="DWX213" s="537"/>
      <c r="DWY213" s="537"/>
      <c r="DWZ213" s="537"/>
      <c r="DXA213" s="537"/>
      <c r="DXB213" s="537"/>
      <c r="DXC213" s="537"/>
      <c r="DXD213" s="537"/>
      <c r="DXE213" s="537"/>
      <c r="DXF213" s="537"/>
      <c r="DXG213" s="537"/>
      <c r="DXH213" s="537"/>
      <c r="DXI213" s="537"/>
      <c r="DXJ213" s="537"/>
      <c r="DXK213" s="537"/>
      <c r="DXL213" s="537"/>
      <c r="DXM213" s="537"/>
      <c r="DXN213" s="537"/>
      <c r="DXO213" s="537"/>
      <c r="DXP213" s="537"/>
      <c r="DXQ213" s="537"/>
      <c r="DXR213" s="537"/>
      <c r="DXS213" s="537"/>
      <c r="DXT213" s="537"/>
      <c r="DXU213" s="537"/>
      <c r="DXV213" s="537"/>
      <c r="DXW213" s="537"/>
      <c r="DXX213" s="537"/>
      <c r="DXY213" s="537"/>
      <c r="DXZ213" s="537"/>
      <c r="DYA213" s="537"/>
      <c r="DYB213" s="537"/>
      <c r="DYC213" s="537"/>
      <c r="DYD213" s="537"/>
      <c r="DYE213" s="537"/>
      <c r="DYF213" s="537"/>
      <c r="DYG213" s="537"/>
      <c r="DYH213" s="537"/>
      <c r="DYI213" s="537"/>
      <c r="DYJ213" s="537"/>
      <c r="DYK213" s="537"/>
      <c r="DYL213" s="537"/>
      <c r="DYM213" s="537"/>
      <c r="DYN213" s="537"/>
      <c r="DYO213" s="537"/>
      <c r="DYP213" s="537"/>
      <c r="DYQ213" s="537"/>
      <c r="DYR213" s="537"/>
      <c r="DYS213" s="537"/>
      <c r="DYT213" s="537"/>
      <c r="DYU213" s="537"/>
      <c r="DYV213" s="537"/>
      <c r="DYW213" s="537"/>
      <c r="DYX213" s="537"/>
      <c r="DYY213" s="537"/>
      <c r="DYZ213" s="537"/>
      <c r="DZA213" s="537"/>
      <c r="DZB213" s="537"/>
      <c r="DZC213" s="537"/>
      <c r="DZD213" s="537"/>
      <c r="DZE213" s="537"/>
      <c r="DZF213" s="537"/>
      <c r="DZG213" s="537"/>
      <c r="DZH213" s="537"/>
      <c r="DZI213" s="537"/>
      <c r="DZJ213" s="537"/>
      <c r="DZK213" s="537"/>
      <c r="DZL213" s="537"/>
      <c r="DZM213" s="537"/>
      <c r="DZN213" s="537"/>
      <c r="DZO213" s="537"/>
      <c r="DZP213" s="537"/>
      <c r="DZQ213" s="537"/>
      <c r="DZR213" s="537"/>
      <c r="DZS213" s="537"/>
      <c r="DZT213" s="537"/>
      <c r="DZU213" s="537"/>
      <c r="DZV213" s="537"/>
      <c r="DZW213" s="537"/>
      <c r="DZX213" s="537"/>
      <c r="DZY213" s="537"/>
      <c r="DZZ213" s="537"/>
      <c r="EAA213" s="537"/>
      <c r="EAB213" s="537"/>
      <c r="EAC213" s="537"/>
      <c r="EAD213" s="537"/>
      <c r="EAE213" s="537"/>
      <c r="EAF213" s="537"/>
      <c r="EAG213" s="537"/>
      <c r="EAH213" s="537"/>
      <c r="EAI213" s="537"/>
      <c r="EAJ213" s="537"/>
      <c r="EAK213" s="537"/>
      <c r="EAL213" s="537"/>
      <c r="EAM213" s="537"/>
      <c r="EAN213" s="537"/>
      <c r="EAO213" s="537"/>
      <c r="EAP213" s="537"/>
      <c r="EAQ213" s="537"/>
      <c r="EAR213" s="537"/>
      <c r="EAS213" s="537"/>
      <c r="EAT213" s="537"/>
      <c r="EAU213" s="537"/>
      <c r="EAV213" s="537"/>
      <c r="EAW213" s="537"/>
      <c r="EAX213" s="537"/>
      <c r="EAY213" s="537"/>
      <c r="EAZ213" s="537"/>
      <c r="EBA213" s="537"/>
      <c r="EBB213" s="537"/>
      <c r="EBC213" s="537"/>
      <c r="EBD213" s="537"/>
      <c r="EBE213" s="537"/>
      <c r="EBF213" s="537"/>
      <c r="EBG213" s="537"/>
      <c r="EBH213" s="537"/>
      <c r="EBI213" s="537"/>
      <c r="EBJ213" s="537"/>
      <c r="EBK213" s="537"/>
      <c r="EBL213" s="537"/>
      <c r="EBM213" s="537"/>
      <c r="EBN213" s="537"/>
      <c r="EBO213" s="537"/>
      <c r="EBP213" s="537"/>
      <c r="EBQ213" s="537"/>
      <c r="EBR213" s="537"/>
      <c r="EBS213" s="537"/>
      <c r="EBT213" s="537"/>
      <c r="EBU213" s="537"/>
      <c r="EBV213" s="537"/>
      <c r="EBW213" s="537"/>
      <c r="EBX213" s="537"/>
      <c r="EBY213" s="537"/>
      <c r="EBZ213" s="537"/>
      <c r="ECA213" s="537"/>
      <c r="ECB213" s="537"/>
      <c r="ECC213" s="537"/>
      <c r="ECD213" s="537"/>
      <c r="ECE213" s="537"/>
      <c r="ECF213" s="537"/>
      <c r="ECG213" s="537"/>
      <c r="ECH213" s="537"/>
      <c r="ECI213" s="537"/>
      <c r="ECJ213" s="537"/>
      <c r="ECK213" s="537"/>
      <c r="ECL213" s="537"/>
      <c r="ECM213" s="537"/>
      <c r="ECN213" s="537"/>
      <c r="ECO213" s="537"/>
      <c r="ECP213" s="537"/>
      <c r="ECQ213" s="537"/>
      <c r="ECR213" s="537"/>
      <c r="ECS213" s="537"/>
      <c r="ECT213" s="537"/>
      <c r="ECU213" s="537"/>
      <c r="ECV213" s="537"/>
      <c r="ECW213" s="537"/>
      <c r="ECX213" s="537"/>
      <c r="ECY213" s="537"/>
      <c r="ECZ213" s="537"/>
      <c r="EDA213" s="537"/>
      <c r="EDB213" s="537"/>
      <c r="EDC213" s="537"/>
      <c r="EDD213" s="537"/>
      <c r="EDE213" s="537"/>
      <c r="EDF213" s="537"/>
      <c r="EDG213" s="537"/>
      <c r="EDH213" s="537"/>
      <c r="EDI213" s="537"/>
      <c r="EDJ213" s="537"/>
      <c r="EDK213" s="537"/>
      <c r="EDL213" s="537"/>
      <c r="EDM213" s="537"/>
      <c r="EDN213" s="537"/>
      <c r="EDO213" s="537"/>
      <c r="EDP213" s="537"/>
      <c r="EDQ213" s="537"/>
      <c r="EDR213" s="537"/>
      <c r="EDS213" s="537"/>
      <c r="EDT213" s="537"/>
      <c r="EDU213" s="537"/>
      <c r="EDV213" s="537"/>
      <c r="EDW213" s="537"/>
      <c r="EDX213" s="537"/>
      <c r="EDY213" s="537"/>
      <c r="EDZ213" s="537"/>
      <c r="EEA213" s="537"/>
      <c r="EEB213" s="537"/>
      <c r="EEC213" s="537"/>
      <c r="EED213" s="537"/>
      <c r="EEE213" s="537"/>
      <c r="EEF213" s="537"/>
      <c r="EEG213" s="537"/>
      <c r="EEH213" s="537"/>
      <c r="EEI213" s="537"/>
      <c r="EEJ213" s="537"/>
      <c r="EEK213" s="537"/>
      <c r="EEL213" s="537"/>
      <c r="EEM213" s="537"/>
      <c r="EEN213" s="537"/>
      <c r="EEO213" s="537"/>
      <c r="EEP213" s="537"/>
      <c r="EEQ213" s="537"/>
      <c r="EER213" s="537"/>
      <c r="EES213" s="537"/>
      <c r="EET213" s="537"/>
      <c r="EEU213" s="537"/>
      <c r="EEV213" s="537"/>
      <c r="EEW213" s="537"/>
      <c r="EEX213" s="537"/>
      <c r="EEY213" s="537"/>
      <c r="EEZ213" s="537"/>
      <c r="EFA213" s="537"/>
      <c r="EFB213" s="537"/>
      <c r="EFC213" s="537"/>
      <c r="EFD213" s="537"/>
      <c r="EFE213" s="537"/>
      <c r="EFF213" s="537"/>
      <c r="EFG213" s="537"/>
      <c r="EFH213" s="537"/>
      <c r="EFI213" s="537"/>
      <c r="EFJ213" s="537"/>
      <c r="EFK213" s="537"/>
      <c r="EFL213" s="537"/>
      <c r="EFM213" s="537"/>
      <c r="EFN213" s="537"/>
      <c r="EFO213" s="537"/>
      <c r="EFP213" s="537"/>
      <c r="EFQ213" s="537"/>
      <c r="EFR213" s="537"/>
      <c r="EFS213" s="537"/>
      <c r="EFT213" s="537"/>
      <c r="EFU213" s="537"/>
      <c r="EFV213" s="537"/>
      <c r="EFW213" s="537"/>
      <c r="EFX213" s="537"/>
      <c r="EFY213" s="537"/>
      <c r="EFZ213" s="537"/>
      <c r="EGA213" s="537"/>
      <c r="EGB213" s="537"/>
      <c r="EGC213" s="537"/>
      <c r="EGD213" s="537"/>
      <c r="EGE213" s="537"/>
      <c r="EGF213" s="537"/>
      <c r="EGG213" s="537"/>
      <c r="EGH213" s="537"/>
      <c r="EGI213" s="537"/>
      <c r="EGJ213" s="537"/>
      <c r="EGK213" s="537"/>
      <c r="EGL213" s="537"/>
      <c r="EGM213" s="537"/>
      <c r="EGN213" s="537"/>
      <c r="EGO213" s="537"/>
      <c r="EGP213" s="537"/>
      <c r="EGQ213" s="537"/>
      <c r="EGR213" s="537"/>
      <c r="EGS213" s="537"/>
      <c r="EGT213" s="537"/>
      <c r="EGU213" s="537"/>
      <c r="EGV213" s="537"/>
      <c r="EGW213" s="537"/>
      <c r="EGX213" s="537"/>
      <c r="EGY213" s="537"/>
      <c r="EGZ213" s="537"/>
      <c r="EHA213" s="537"/>
      <c r="EHB213" s="537"/>
      <c r="EHC213" s="537"/>
      <c r="EHD213" s="537"/>
      <c r="EHE213" s="537"/>
      <c r="EHF213" s="537"/>
      <c r="EHG213" s="537"/>
      <c r="EHH213" s="537"/>
      <c r="EHI213" s="537"/>
      <c r="EHJ213" s="537"/>
      <c r="EHK213" s="537"/>
      <c r="EHL213" s="537"/>
      <c r="EHM213" s="537"/>
      <c r="EHN213" s="537"/>
      <c r="EHO213" s="537"/>
      <c r="EHP213" s="537"/>
      <c r="EHQ213" s="537"/>
      <c r="EHR213" s="537"/>
      <c r="EHS213" s="537"/>
      <c r="EHT213" s="537"/>
      <c r="EHU213" s="537"/>
      <c r="EHV213" s="537"/>
      <c r="EHW213" s="537"/>
      <c r="EHX213" s="537"/>
      <c r="EHY213" s="537"/>
      <c r="EHZ213" s="537"/>
      <c r="EIA213" s="537"/>
      <c r="EIB213" s="537"/>
      <c r="EIC213" s="537"/>
      <c r="EID213" s="537"/>
      <c r="EIE213" s="537"/>
      <c r="EIF213" s="537"/>
      <c r="EIG213" s="537"/>
      <c r="EIH213" s="537"/>
      <c r="EII213" s="537"/>
      <c r="EIJ213" s="537"/>
      <c r="EIK213" s="537"/>
      <c r="EIL213" s="537"/>
      <c r="EIM213" s="537"/>
      <c r="EIN213" s="537"/>
      <c r="EIO213" s="537"/>
      <c r="EIP213" s="537"/>
      <c r="EIQ213" s="537"/>
      <c r="EIR213" s="537"/>
      <c r="EIS213" s="537"/>
      <c r="EIT213" s="537"/>
      <c r="EIU213" s="537"/>
      <c r="EIV213" s="537"/>
      <c r="EIW213" s="537"/>
      <c r="EIX213" s="537"/>
      <c r="EIY213" s="537"/>
      <c r="EIZ213" s="537"/>
      <c r="EJA213" s="537"/>
      <c r="EJB213" s="537"/>
      <c r="EJC213" s="537"/>
      <c r="EJD213" s="537"/>
      <c r="EJE213" s="537"/>
      <c r="EJF213" s="537"/>
      <c r="EJG213" s="537"/>
      <c r="EJH213" s="537"/>
      <c r="EJI213" s="537"/>
      <c r="EJJ213" s="537"/>
      <c r="EJK213" s="537"/>
      <c r="EJL213" s="537"/>
      <c r="EJM213" s="537"/>
      <c r="EJN213" s="537"/>
      <c r="EJO213" s="537"/>
      <c r="EJP213" s="537"/>
      <c r="EJQ213" s="537"/>
      <c r="EJR213" s="537"/>
      <c r="EJS213" s="537"/>
      <c r="EJT213" s="537"/>
      <c r="EJU213" s="537"/>
      <c r="EJV213" s="537"/>
      <c r="EJW213" s="537"/>
      <c r="EJX213" s="537"/>
      <c r="EJY213" s="537"/>
      <c r="EJZ213" s="537"/>
      <c r="EKA213" s="537"/>
      <c r="EKB213" s="537"/>
      <c r="EKC213" s="537"/>
      <c r="EKD213" s="537"/>
      <c r="EKE213" s="537"/>
      <c r="EKF213" s="537"/>
      <c r="EKG213" s="537"/>
      <c r="EKH213" s="537"/>
      <c r="EKI213" s="537"/>
      <c r="EKJ213" s="537"/>
      <c r="EKK213" s="537"/>
      <c r="EKL213" s="537"/>
      <c r="EKM213" s="537"/>
      <c r="EKN213" s="537"/>
      <c r="EKO213" s="537"/>
      <c r="EKP213" s="537"/>
      <c r="EKQ213" s="537"/>
      <c r="EKR213" s="537"/>
      <c r="EKS213" s="537"/>
      <c r="EKT213" s="537"/>
      <c r="EKU213" s="537"/>
      <c r="EKV213" s="537"/>
      <c r="EKW213" s="537"/>
      <c r="EKX213" s="537"/>
      <c r="EKY213" s="537"/>
      <c r="EKZ213" s="537"/>
      <c r="ELA213" s="537"/>
      <c r="ELB213" s="537"/>
      <c r="ELC213" s="537"/>
      <c r="ELD213" s="537"/>
      <c r="ELE213" s="537"/>
      <c r="ELF213" s="537"/>
      <c r="ELG213" s="537"/>
      <c r="ELH213" s="537"/>
      <c r="ELI213" s="537"/>
      <c r="ELJ213" s="537"/>
      <c r="ELK213" s="537"/>
      <c r="ELL213" s="537"/>
      <c r="ELM213" s="537"/>
      <c r="ELN213" s="537"/>
      <c r="ELO213" s="537"/>
      <c r="ELP213" s="537"/>
      <c r="ELQ213" s="537"/>
      <c r="ELR213" s="537"/>
      <c r="ELS213" s="537"/>
      <c r="ELT213" s="537"/>
      <c r="ELU213" s="537"/>
      <c r="ELV213" s="537"/>
      <c r="ELW213" s="537"/>
      <c r="ELX213" s="537"/>
      <c r="ELY213" s="537"/>
      <c r="ELZ213" s="537"/>
      <c r="EMA213" s="537"/>
      <c r="EMB213" s="537"/>
      <c r="EMC213" s="537"/>
      <c r="EMD213" s="537"/>
      <c r="EME213" s="537"/>
      <c r="EMF213" s="537"/>
      <c r="EMG213" s="537"/>
      <c r="EMH213" s="537"/>
      <c r="EMI213" s="537"/>
      <c r="EMJ213" s="537"/>
      <c r="EMK213" s="537"/>
      <c r="EML213" s="537"/>
      <c r="EMM213" s="537"/>
      <c r="EMN213" s="537"/>
      <c r="EMO213" s="537"/>
      <c r="EMP213" s="537"/>
      <c r="EMQ213" s="537"/>
      <c r="EMR213" s="537"/>
      <c r="EMS213" s="537"/>
      <c r="EMT213" s="537"/>
      <c r="EMU213" s="537"/>
      <c r="EMV213" s="537"/>
      <c r="EMW213" s="537"/>
      <c r="EMX213" s="537"/>
      <c r="EMY213" s="537"/>
      <c r="EMZ213" s="537"/>
      <c r="ENA213" s="537"/>
      <c r="ENB213" s="537"/>
      <c r="ENC213" s="537"/>
      <c r="END213" s="537"/>
      <c r="ENE213" s="537"/>
      <c r="ENF213" s="537"/>
      <c r="ENG213" s="537"/>
      <c r="ENH213" s="537"/>
      <c r="ENI213" s="537"/>
      <c r="ENJ213" s="537"/>
      <c r="ENK213" s="537"/>
      <c r="ENL213" s="537"/>
      <c r="ENM213" s="537"/>
      <c r="ENN213" s="537"/>
      <c r="ENO213" s="537"/>
      <c r="ENP213" s="537"/>
      <c r="ENQ213" s="537"/>
      <c r="ENR213" s="537"/>
      <c r="ENS213" s="537"/>
      <c r="ENT213" s="537"/>
      <c r="ENU213" s="537"/>
      <c r="ENV213" s="537"/>
      <c r="ENW213" s="537"/>
      <c r="ENX213" s="537"/>
      <c r="ENY213" s="537"/>
      <c r="ENZ213" s="537"/>
      <c r="EOA213" s="537"/>
      <c r="EOB213" s="537"/>
      <c r="EOC213" s="537"/>
      <c r="EOD213" s="537"/>
      <c r="EOE213" s="537"/>
      <c r="EOF213" s="537"/>
      <c r="EOG213" s="537"/>
      <c r="EOH213" s="537"/>
      <c r="EOI213" s="537"/>
      <c r="EOJ213" s="537"/>
      <c r="EOK213" s="537"/>
      <c r="EOL213" s="537"/>
      <c r="EOM213" s="537"/>
      <c r="EON213" s="537"/>
      <c r="EOO213" s="537"/>
      <c r="EOP213" s="537"/>
      <c r="EOQ213" s="537"/>
      <c r="EOR213" s="537"/>
      <c r="EOS213" s="537"/>
      <c r="EOT213" s="537"/>
      <c r="EOU213" s="537"/>
      <c r="EOV213" s="537"/>
      <c r="EOW213" s="537"/>
      <c r="EOX213" s="537"/>
      <c r="EOY213" s="537"/>
      <c r="EOZ213" s="537"/>
      <c r="EPA213" s="537"/>
      <c r="EPB213" s="537"/>
      <c r="EPC213" s="537"/>
      <c r="EPD213" s="537"/>
      <c r="EPE213" s="537"/>
      <c r="EPF213" s="537"/>
      <c r="EPG213" s="537"/>
      <c r="EPH213" s="537"/>
      <c r="EPI213" s="537"/>
      <c r="EPJ213" s="537"/>
      <c r="EPK213" s="537"/>
      <c r="EPL213" s="537"/>
      <c r="EPM213" s="537"/>
      <c r="EPN213" s="537"/>
      <c r="EPO213" s="537"/>
      <c r="EPP213" s="537"/>
      <c r="EPQ213" s="537"/>
      <c r="EPR213" s="537"/>
      <c r="EPS213" s="537"/>
      <c r="EPT213" s="537"/>
      <c r="EPU213" s="537"/>
      <c r="EPV213" s="537"/>
      <c r="EPW213" s="537"/>
      <c r="EPX213" s="537"/>
      <c r="EPY213" s="537"/>
      <c r="EPZ213" s="537"/>
      <c r="EQA213" s="537"/>
      <c r="EQB213" s="537"/>
      <c r="EQC213" s="537"/>
      <c r="EQD213" s="537"/>
      <c r="EQE213" s="537"/>
      <c r="EQF213" s="537"/>
      <c r="EQG213" s="537"/>
      <c r="EQH213" s="537"/>
      <c r="EQI213" s="537"/>
      <c r="EQJ213" s="537"/>
      <c r="EQK213" s="537"/>
      <c r="EQL213" s="537"/>
      <c r="EQM213" s="537"/>
      <c r="EQN213" s="537"/>
      <c r="EQO213" s="537"/>
      <c r="EQP213" s="537"/>
      <c r="EQQ213" s="537"/>
      <c r="EQR213" s="537"/>
      <c r="EQS213" s="537"/>
      <c r="EQT213" s="537"/>
      <c r="EQU213" s="537"/>
      <c r="EQV213" s="537"/>
      <c r="EQW213" s="537"/>
      <c r="EQX213" s="537"/>
      <c r="EQY213" s="537"/>
      <c r="EQZ213" s="537"/>
      <c r="ERA213" s="537"/>
      <c r="ERB213" s="537"/>
      <c r="ERC213" s="537"/>
      <c r="ERD213" s="537"/>
      <c r="ERE213" s="537"/>
      <c r="ERF213" s="537"/>
      <c r="ERG213" s="537"/>
      <c r="ERH213" s="537"/>
      <c r="ERI213" s="537"/>
      <c r="ERJ213" s="537"/>
      <c r="ERK213" s="537"/>
      <c r="ERL213" s="537"/>
      <c r="ERM213" s="537"/>
      <c r="ERN213" s="537"/>
      <c r="ERO213" s="537"/>
      <c r="ERP213" s="537"/>
      <c r="ERQ213" s="537"/>
      <c r="ERR213" s="537"/>
      <c r="ERS213" s="537"/>
      <c r="ERT213" s="537"/>
      <c r="ERU213" s="537"/>
      <c r="ERV213" s="537"/>
      <c r="ERW213" s="537"/>
      <c r="ERX213" s="537"/>
      <c r="ERY213" s="537"/>
      <c r="ERZ213" s="537"/>
      <c r="ESA213" s="537"/>
      <c r="ESB213" s="537"/>
      <c r="ESC213" s="537"/>
      <c r="ESD213" s="537"/>
      <c r="ESE213" s="537"/>
      <c r="ESF213" s="537"/>
      <c r="ESG213" s="537"/>
      <c r="ESH213" s="537"/>
      <c r="ESI213" s="537"/>
      <c r="ESJ213" s="537"/>
      <c r="ESK213" s="537"/>
      <c r="ESL213" s="537"/>
      <c r="ESM213" s="537"/>
      <c r="ESN213" s="537"/>
      <c r="ESO213" s="537"/>
      <c r="ESP213" s="537"/>
      <c r="ESQ213" s="537"/>
      <c r="ESR213" s="537"/>
      <c r="ESS213" s="537"/>
      <c r="EST213" s="537"/>
      <c r="ESU213" s="537"/>
      <c r="ESV213" s="537"/>
      <c r="ESW213" s="537"/>
      <c r="ESX213" s="537"/>
      <c r="ESY213" s="537"/>
      <c r="ESZ213" s="537"/>
      <c r="ETA213" s="537"/>
      <c r="ETB213" s="537"/>
      <c r="ETC213" s="537"/>
      <c r="ETD213" s="537"/>
      <c r="ETE213" s="537"/>
      <c r="ETF213" s="537"/>
      <c r="ETG213" s="537"/>
      <c r="ETH213" s="537"/>
      <c r="ETI213" s="537"/>
      <c r="ETJ213" s="537"/>
      <c r="ETK213" s="537"/>
      <c r="ETL213" s="537"/>
      <c r="ETM213" s="537"/>
      <c r="ETN213" s="537"/>
      <c r="ETO213" s="537"/>
      <c r="ETP213" s="537"/>
      <c r="ETQ213" s="537"/>
      <c r="ETR213" s="537"/>
      <c r="ETS213" s="537"/>
      <c r="ETT213" s="537"/>
      <c r="ETU213" s="537"/>
      <c r="ETV213" s="537"/>
      <c r="ETW213" s="537"/>
      <c r="ETX213" s="537"/>
      <c r="ETY213" s="537"/>
      <c r="ETZ213" s="537"/>
      <c r="EUA213" s="537"/>
      <c r="EUB213" s="537"/>
      <c r="EUC213" s="537"/>
      <c r="EUD213" s="537"/>
      <c r="EUE213" s="537"/>
      <c r="EUF213" s="537"/>
      <c r="EUG213" s="537"/>
      <c r="EUH213" s="537"/>
      <c r="EUI213" s="537"/>
      <c r="EUJ213" s="537"/>
      <c r="EUK213" s="537"/>
      <c r="EUL213" s="537"/>
      <c r="EUM213" s="537"/>
      <c r="EUN213" s="537"/>
      <c r="EUO213" s="537"/>
      <c r="EUP213" s="537"/>
      <c r="EUQ213" s="537"/>
      <c r="EUR213" s="537"/>
      <c r="EUS213" s="537"/>
      <c r="EUT213" s="537"/>
      <c r="EUU213" s="537"/>
      <c r="EUV213" s="537"/>
      <c r="EUW213" s="537"/>
      <c r="EUX213" s="537"/>
      <c r="EUY213" s="537"/>
      <c r="EUZ213" s="537"/>
      <c r="EVA213" s="537"/>
      <c r="EVB213" s="537"/>
      <c r="EVC213" s="537"/>
      <c r="EVD213" s="537"/>
      <c r="EVE213" s="537"/>
      <c r="EVF213" s="537"/>
      <c r="EVG213" s="537"/>
      <c r="EVH213" s="537"/>
      <c r="EVI213" s="537"/>
      <c r="EVJ213" s="537"/>
      <c r="EVK213" s="537"/>
      <c r="EVL213" s="537"/>
      <c r="EVM213" s="537"/>
      <c r="EVN213" s="537"/>
      <c r="EVO213" s="537"/>
      <c r="EVP213" s="537"/>
      <c r="EVQ213" s="537"/>
      <c r="EVR213" s="537"/>
      <c r="EVS213" s="537"/>
      <c r="EVT213" s="537"/>
      <c r="EVU213" s="537"/>
      <c r="EVV213" s="537"/>
      <c r="EVW213" s="537"/>
      <c r="EVX213" s="537"/>
      <c r="EVY213" s="537"/>
      <c r="EVZ213" s="537"/>
      <c r="EWA213" s="537"/>
      <c r="EWB213" s="537"/>
      <c r="EWC213" s="537"/>
      <c r="EWD213" s="537"/>
      <c r="EWE213" s="537"/>
      <c r="EWF213" s="537"/>
      <c r="EWG213" s="537"/>
      <c r="EWH213" s="537"/>
      <c r="EWI213" s="537"/>
      <c r="EWJ213" s="537"/>
      <c r="EWK213" s="537"/>
      <c r="EWL213" s="537"/>
      <c r="EWM213" s="537"/>
      <c r="EWN213" s="537"/>
      <c r="EWO213" s="537"/>
      <c r="EWP213" s="537"/>
      <c r="EWQ213" s="537"/>
      <c r="EWR213" s="537"/>
      <c r="EWS213" s="537"/>
      <c r="EWT213" s="537"/>
      <c r="EWU213" s="537"/>
      <c r="EWV213" s="537"/>
      <c r="EWW213" s="537"/>
      <c r="EWX213" s="537"/>
      <c r="EWY213" s="537"/>
      <c r="EWZ213" s="537"/>
      <c r="EXA213" s="537"/>
      <c r="EXB213" s="537"/>
      <c r="EXC213" s="537"/>
      <c r="EXD213" s="537"/>
      <c r="EXE213" s="537"/>
      <c r="EXF213" s="537"/>
      <c r="EXG213" s="537"/>
      <c r="EXH213" s="537"/>
      <c r="EXI213" s="537"/>
      <c r="EXJ213" s="537"/>
      <c r="EXK213" s="537"/>
      <c r="EXL213" s="537"/>
      <c r="EXM213" s="537"/>
      <c r="EXN213" s="537"/>
      <c r="EXO213" s="537"/>
      <c r="EXP213" s="537"/>
      <c r="EXQ213" s="537"/>
      <c r="EXR213" s="537"/>
      <c r="EXS213" s="537"/>
      <c r="EXT213" s="537"/>
      <c r="EXU213" s="537"/>
      <c r="EXV213" s="537"/>
      <c r="EXW213" s="537"/>
      <c r="EXX213" s="537"/>
      <c r="EXY213" s="537"/>
      <c r="EXZ213" s="537"/>
      <c r="EYA213" s="537"/>
      <c r="EYB213" s="537"/>
      <c r="EYC213" s="537"/>
      <c r="EYD213" s="537"/>
      <c r="EYE213" s="537"/>
      <c r="EYF213" s="537"/>
      <c r="EYG213" s="537"/>
      <c r="EYH213" s="537"/>
      <c r="EYI213" s="537"/>
      <c r="EYJ213" s="537"/>
      <c r="EYK213" s="537"/>
      <c r="EYL213" s="537"/>
      <c r="EYM213" s="537"/>
      <c r="EYN213" s="537"/>
      <c r="EYO213" s="537"/>
      <c r="EYP213" s="537"/>
      <c r="EYQ213" s="537"/>
      <c r="EYR213" s="537"/>
      <c r="EYS213" s="537"/>
      <c r="EYT213" s="537"/>
      <c r="EYU213" s="537"/>
      <c r="EYV213" s="537"/>
      <c r="EYW213" s="537"/>
      <c r="EYX213" s="537"/>
      <c r="EYY213" s="537"/>
      <c r="EYZ213" s="537"/>
      <c r="EZA213" s="537"/>
      <c r="EZB213" s="537"/>
      <c r="EZC213" s="537"/>
      <c r="EZD213" s="537"/>
      <c r="EZE213" s="537"/>
      <c r="EZF213" s="537"/>
      <c r="EZG213" s="537"/>
      <c r="EZH213" s="537"/>
      <c r="EZI213" s="537"/>
      <c r="EZJ213" s="537"/>
      <c r="EZK213" s="537"/>
      <c r="EZL213" s="537"/>
      <c r="EZM213" s="537"/>
      <c r="EZN213" s="537"/>
      <c r="EZO213" s="537"/>
      <c r="EZP213" s="537"/>
      <c r="EZQ213" s="537"/>
      <c r="EZR213" s="537"/>
      <c r="EZS213" s="537"/>
      <c r="EZT213" s="537"/>
      <c r="EZU213" s="537"/>
      <c r="EZV213" s="537"/>
      <c r="EZW213" s="537"/>
      <c r="EZX213" s="537"/>
      <c r="EZY213" s="537"/>
      <c r="EZZ213" s="537"/>
      <c r="FAA213" s="537"/>
      <c r="FAB213" s="537"/>
      <c r="FAC213" s="537"/>
      <c r="FAD213" s="537"/>
      <c r="FAE213" s="537"/>
      <c r="FAF213" s="537"/>
      <c r="FAG213" s="537"/>
      <c r="FAH213" s="537"/>
      <c r="FAI213" s="537"/>
      <c r="FAJ213" s="537"/>
      <c r="FAK213" s="537"/>
      <c r="FAL213" s="537"/>
      <c r="FAM213" s="537"/>
      <c r="FAN213" s="537"/>
      <c r="FAO213" s="537"/>
      <c r="FAP213" s="537"/>
      <c r="FAQ213" s="537"/>
      <c r="FAR213" s="537"/>
      <c r="FAS213" s="537"/>
      <c r="FAT213" s="537"/>
      <c r="FAU213" s="537"/>
      <c r="FAV213" s="537"/>
      <c r="FAW213" s="537"/>
      <c r="FAX213" s="537"/>
      <c r="FAY213" s="537"/>
      <c r="FAZ213" s="537"/>
      <c r="FBA213" s="537"/>
      <c r="FBB213" s="537"/>
      <c r="FBC213" s="537"/>
      <c r="FBD213" s="537"/>
      <c r="FBE213" s="537"/>
      <c r="FBF213" s="537"/>
      <c r="FBG213" s="537"/>
      <c r="FBH213" s="537"/>
      <c r="FBI213" s="537"/>
      <c r="FBJ213" s="537"/>
      <c r="FBK213" s="537"/>
      <c r="FBL213" s="537"/>
      <c r="FBM213" s="537"/>
      <c r="FBN213" s="537"/>
      <c r="FBO213" s="537"/>
      <c r="FBP213" s="537"/>
      <c r="FBQ213" s="537"/>
      <c r="FBR213" s="537"/>
      <c r="FBS213" s="537"/>
      <c r="FBT213" s="537"/>
      <c r="FBU213" s="537"/>
      <c r="FBV213" s="537"/>
      <c r="FBW213" s="537"/>
      <c r="FBX213" s="537"/>
      <c r="FBY213" s="537"/>
      <c r="FBZ213" s="537"/>
      <c r="FCA213" s="537"/>
      <c r="FCB213" s="537"/>
      <c r="FCC213" s="537"/>
      <c r="FCD213" s="537"/>
      <c r="FCE213" s="537"/>
      <c r="FCF213" s="537"/>
      <c r="FCG213" s="537"/>
      <c r="FCH213" s="537"/>
      <c r="FCI213" s="537"/>
      <c r="FCJ213" s="537"/>
      <c r="FCK213" s="537"/>
      <c r="FCL213" s="537"/>
      <c r="FCM213" s="537"/>
      <c r="FCN213" s="537"/>
      <c r="FCO213" s="537"/>
      <c r="FCP213" s="537"/>
      <c r="FCQ213" s="537"/>
      <c r="FCR213" s="537"/>
      <c r="FCS213" s="537"/>
      <c r="FCT213" s="537"/>
      <c r="FCU213" s="537"/>
      <c r="FCV213" s="537"/>
      <c r="FCW213" s="537"/>
      <c r="FCX213" s="537"/>
      <c r="FCY213" s="537"/>
      <c r="FCZ213" s="537"/>
      <c r="FDA213" s="537"/>
      <c r="FDB213" s="537"/>
      <c r="FDC213" s="537"/>
      <c r="FDD213" s="537"/>
      <c r="FDE213" s="537"/>
      <c r="FDF213" s="537"/>
      <c r="FDG213" s="537"/>
      <c r="FDH213" s="537"/>
      <c r="FDI213" s="537"/>
      <c r="FDJ213" s="537"/>
      <c r="FDK213" s="537"/>
      <c r="FDL213" s="537"/>
      <c r="FDM213" s="537"/>
      <c r="FDN213" s="537"/>
      <c r="FDO213" s="537"/>
      <c r="FDP213" s="537"/>
      <c r="FDQ213" s="537"/>
      <c r="FDR213" s="537"/>
      <c r="FDS213" s="537"/>
      <c r="FDT213" s="537"/>
      <c r="FDU213" s="537"/>
      <c r="FDV213" s="537"/>
      <c r="FDW213" s="537"/>
      <c r="FDX213" s="537"/>
      <c r="FDY213" s="537"/>
      <c r="FDZ213" s="537"/>
      <c r="FEA213" s="537"/>
      <c r="FEB213" s="537"/>
      <c r="FEC213" s="537"/>
      <c r="FED213" s="537"/>
      <c r="FEE213" s="537"/>
      <c r="FEF213" s="537"/>
      <c r="FEG213" s="537"/>
      <c r="FEH213" s="537"/>
      <c r="FEI213" s="537"/>
      <c r="FEJ213" s="537"/>
      <c r="FEK213" s="537"/>
      <c r="FEL213" s="537"/>
      <c r="FEM213" s="537"/>
      <c r="FEN213" s="537"/>
      <c r="FEO213" s="537"/>
      <c r="FEP213" s="537"/>
      <c r="FEQ213" s="537"/>
      <c r="FER213" s="537"/>
      <c r="FES213" s="537"/>
      <c r="FET213" s="537"/>
      <c r="FEU213" s="537"/>
      <c r="FEV213" s="537"/>
      <c r="FEW213" s="537"/>
      <c r="FEX213" s="537"/>
      <c r="FEY213" s="537"/>
      <c r="FEZ213" s="537"/>
      <c r="FFA213" s="537"/>
      <c r="FFB213" s="537"/>
      <c r="FFC213" s="537"/>
      <c r="FFD213" s="537"/>
      <c r="FFE213" s="537"/>
      <c r="FFF213" s="537"/>
      <c r="FFG213" s="537"/>
      <c r="FFH213" s="537"/>
      <c r="FFI213" s="537"/>
      <c r="FFJ213" s="537"/>
      <c r="FFK213" s="537"/>
      <c r="FFL213" s="537"/>
      <c r="FFM213" s="537"/>
      <c r="FFN213" s="537"/>
      <c r="FFO213" s="537"/>
      <c r="FFP213" s="537"/>
      <c r="FFQ213" s="537"/>
      <c r="FFR213" s="537"/>
      <c r="FFS213" s="537"/>
      <c r="FFT213" s="537"/>
      <c r="FFU213" s="537"/>
      <c r="FFV213" s="537"/>
      <c r="FFW213" s="537"/>
      <c r="FFX213" s="537"/>
      <c r="FFY213" s="537"/>
      <c r="FFZ213" s="537"/>
      <c r="FGA213" s="537"/>
      <c r="FGB213" s="537"/>
      <c r="FGC213" s="537"/>
      <c r="FGD213" s="537"/>
      <c r="FGE213" s="537"/>
      <c r="FGF213" s="537"/>
      <c r="FGG213" s="537"/>
      <c r="FGH213" s="537"/>
      <c r="FGI213" s="537"/>
      <c r="FGJ213" s="537"/>
      <c r="FGK213" s="537"/>
      <c r="FGL213" s="537"/>
      <c r="FGM213" s="537"/>
      <c r="FGN213" s="537"/>
      <c r="FGO213" s="537"/>
      <c r="FGP213" s="537"/>
      <c r="FGQ213" s="537"/>
      <c r="FGR213" s="537"/>
      <c r="FGS213" s="537"/>
      <c r="FGT213" s="537"/>
      <c r="FGU213" s="537"/>
      <c r="FGV213" s="537"/>
      <c r="FGW213" s="537"/>
      <c r="FGX213" s="537"/>
      <c r="FGY213" s="537"/>
      <c r="FGZ213" s="537"/>
      <c r="FHA213" s="537"/>
      <c r="FHB213" s="537"/>
      <c r="FHC213" s="537"/>
      <c r="FHD213" s="537"/>
      <c r="FHE213" s="537"/>
      <c r="FHF213" s="537"/>
      <c r="FHG213" s="537"/>
      <c r="FHH213" s="537"/>
      <c r="FHI213" s="537"/>
      <c r="FHJ213" s="537"/>
      <c r="FHK213" s="537"/>
      <c r="FHL213" s="537"/>
      <c r="FHM213" s="537"/>
      <c r="FHN213" s="537"/>
      <c r="FHO213" s="537"/>
      <c r="FHP213" s="537"/>
      <c r="FHQ213" s="537"/>
      <c r="FHR213" s="537"/>
      <c r="FHS213" s="537"/>
      <c r="FHT213" s="537"/>
      <c r="FHU213" s="537"/>
      <c r="FHV213" s="537"/>
      <c r="FHW213" s="537"/>
      <c r="FHX213" s="537"/>
      <c r="FHY213" s="537"/>
      <c r="FHZ213" s="537"/>
      <c r="FIA213" s="537"/>
      <c r="FIB213" s="537"/>
      <c r="FIC213" s="537"/>
      <c r="FID213" s="537"/>
      <c r="FIE213" s="537"/>
      <c r="FIF213" s="537"/>
      <c r="FIG213" s="537"/>
      <c r="FIH213" s="537"/>
      <c r="FII213" s="537"/>
      <c r="FIJ213" s="537"/>
      <c r="FIK213" s="537"/>
      <c r="FIL213" s="537"/>
      <c r="FIM213" s="537"/>
      <c r="FIN213" s="537"/>
      <c r="FIO213" s="537"/>
      <c r="FIP213" s="537"/>
      <c r="FIQ213" s="537"/>
      <c r="FIR213" s="537"/>
      <c r="FIS213" s="537"/>
      <c r="FIT213" s="537"/>
      <c r="FIU213" s="537"/>
      <c r="FIV213" s="537"/>
      <c r="FIW213" s="537"/>
      <c r="FIX213" s="537"/>
      <c r="FIY213" s="537"/>
      <c r="FIZ213" s="537"/>
      <c r="FJA213" s="537"/>
      <c r="FJB213" s="537"/>
      <c r="FJC213" s="537"/>
      <c r="FJD213" s="537"/>
      <c r="FJE213" s="537"/>
      <c r="FJF213" s="537"/>
      <c r="FJG213" s="537"/>
      <c r="FJH213" s="537"/>
      <c r="FJI213" s="537"/>
      <c r="FJJ213" s="537"/>
      <c r="FJK213" s="537"/>
      <c r="FJL213" s="537"/>
      <c r="FJM213" s="537"/>
      <c r="FJN213" s="537"/>
      <c r="FJO213" s="537"/>
      <c r="FJP213" s="537"/>
      <c r="FJQ213" s="537"/>
      <c r="FJR213" s="537"/>
      <c r="FJS213" s="537"/>
      <c r="FJT213" s="537"/>
      <c r="FJU213" s="537"/>
      <c r="FJV213" s="537"/>
      <c r="FJW213" s="537"/>
      <c r="FJX213" s="537"/>
      <c r="FJY213" s="537"/>
      <c r="FJZ213" s="537"/>
      <c r="FKA213" s="537"/>
      <c r="FKB213" s="537"/>
      <c r="FKC213" s="537"/>
      <c r="FKD213" s="537"/>
      <c r="FKE213" s="537"/>
      <c r="FKF213" s="537"/>
      <c r="FKG213" s="537"/>
      <c r="FKH213" s="537"/>
      <c r="FKI213" s="537"/>
      <c r="FKJ213" s="537"/>
      <c r="FKK213" s="537"/>
      <c r="FKL213" s="537"/>
      <c r="FKM213" s="537"/>
      <c r="FKN213" s="537"/>
      <c r="FKO213" s="537"/>
      <c r="FKP213" s="537"/>
      <c r="FKQ213" s="537"/>
      <c r="FKR213" s="537"/>
      <c r="FKS213" s="537"/>
      <c r="FKT213" s="537"/>
      <c r="FKU213" s="537"/>
      <c r="FKV213" s="537"/>
      <c r="FKW213" s="537"/>
      <c r="FKX213" s="537"/>
      <c r="FKY213" s="537"/>
      <c r="FKZ213" s="537"/>
      <c r="FLA213" s="537"/>
      <c r="FLB213" s="537"/>
      <c r="FLC213" s="537"/>
      <c r="FLD213" s="537"/>
      <c r="FLE213" s="537"/>
      <c r="FLF213" s="537"/>
      <c r="FLG213" s="537"/>
      <c r="FLH213" s="537"/>
      <c r="FLI213" s="537"/>
      <c r="FLJ213" s="537"/>
      <c r="FLK213" s="537"/>
      <c r="FLL213" s="537"/>
      <c r="FLM213" s="537"/>
      <c r="FLN213" s="537"/>
      <c r="FLO213" s="537"/>
      <c r="FLP213" s="537"/>
      <c r="FLQ213" s="537"/>
      <c r="FLR213" s="537"/>
      <c r="FLS213" s="537"/>
      <c r="FLT213" s="537"/>
      <c r="FLU213" s="537"/>
      <c r="FLV213" s="537"/>
      <c r="FLW213" s="537"/>
      <c r="FLX213" s="537"/>
      <c r="FLY213" s="537"/>
      <c r="FLZ213" s="537"/>
      <c r="FMA213" s="537"/>
      <c r="FMB213" s="537"/>
      <c r="FMC213" s="537"/>
      <c r="FMD213" s="537"/>
      <c r="FME213" s="537"/>
      <c r="FMF213" s="537"/>
      <c r="FMG213" s="537"/>
      <c r="FMH213" s="537"/>
      <c r="FMI213" s="537"/>
      <c r="FMJ213" s="537"/>
      <c r="FMK213" s="537"/>
      <c r="FML213" s="537"/>
      <c r="FMM213" s="537"/>
      <c r="FMN213" s="537"/>
      <c r="FMO213" s="537"/>
      <c r="FMP213" s="537"/>
      <c r="FMQ213" s="537"/>
      <c r="FMR213" s="537"/>
      <c r="FMS213" s="537"/>
      <c r="FMT213" s="537"/>
      <c r="FMU213" s="537"/>
      <c r="FMV213" s="537"/>
      <c r="FMW213" s="537"/>
      <c r="FMX213" s="537"/>
      <c r="FMY213" s="537"/>
      <c r="FMZ213" s="537"/>
      <c r="FNA213" s="537"/>
      <c r="FNB213" s="537"/>
      <c r="FNC213" s="537"/>
      <c r="FND213" s="537"/>
      <c r="FNE213" s="537"/>
      <c r="FNF213" s="537"/>
      <c r="FNG213" s="537"/>
      <c r="FNH213" s="537"/>
      <c r="FNI213" s="537"/>
      <c r="FNJ213" s="537"/>
      <c r="FNK213" s="537"/>
      <c r="FNL213" s="537"/>
      <c r="FNM213" s="537"/>
      <c r="FNN213" s="537"/>
      <c r="FNO213" s="537"/>
      <c r="FNP213" s="537"/>
      <c r="FNQ213" s="537"/>
      <c r="FNR213" s="537"/>
      <c r="FNS213" s="537"/>
      <c r="FNT213" s="537"/>
      <c r="FNU213" s="537"/>
      <c r="FNV213" s="537"/>
      <c r="FNW213" s="537"/>
      <c r="FNX213" s="537"/>
      <c r="FNY213" s="537"/>
      <c r="FNZ213" s="537"/>
      <c r="FOA213" s="537"/>
      <c r="FOB213" s="537"/>
      <c r="FOC213" s="537"/>
      <c r="FOD213" s="537"/>
      <c r="FOE213" s="537"/>
      <c r="FOF213" s="537"/>
      <c r="FOG213" s="537"/>
      <c r="FOH213" s="537"/>
      <c r="FOI213" s="537"/>
      <c r="FOJ213" s="537"/>
      <c r="FOK213" s="537"/>
      <c r="FOL213" s="537"/>
      <c r="FOM213" s="537"/>
      <c r="FON213" s="537"/>
      <c r="FOO213" s="537"/>
      <c r="FOP213" s="537"/>
      <c r="FOQ213" s="537"/>
      <c r="FOR213" s="537"/>
      <c r="FOS213" s="537"/>
      <c r="FOT213" s="537"/>
      <c r="FOU213" s="537"/>
      <c r="FOV213" s="537"/>
      <c r="FOW213" s="537"/>
      <c r="FOX213" s="537"/>
      <c r="FOY213" s="537"/>
      <c r="FOZ213" s="537"/>
      <c r="FPA213" s="537"/>
      <c r="FPB213" s="537"/>
      <c r="FPC213" s="537"/>
      <c r="FPD213" s="537"/>
      <c r="FPE213" s="537"/>
      <c r="FPF213" s="537"/>
      <c r="FPG213" s="537"/>
      <c r="FPH213" s="537"/>
      <c r="FPI213" s="537"/>
      <c r="FPJ213" s="537"/>
      <c r="FPK213" s="537"/>
      <c r="FPL213" s="537"/>
      <c r="FPM213" s="537"/>
      <c r="FPN213" s="537"/>
      <c r="FPO213" s="537"/>
      <c r="FPP213" s="537"/>
      <c r="FPQ213" s="537"/>
      <c r="FPR213" s="537"/>
      <c r="FPS213" s="537"/>
      <c r="FPT213" s="537"/>
      <c r="FPU213" s="537"/>
      <c r="FPV213" s="537"/>
      <c r="FPW213" s="537"/>
      <c r="FPX213" s="537"/>
      <c r="FPY213" s="537"/>
      <c r="FPZ213" s="537"/>
      <c r="FQA213" s="537"/>
      <c r="FQB213" s="537"/>
      <c r="FQC213" s="537"/>
      <c r="FQD213" s="537"/>
      <c r="FQE213" s="537"/>
      <c r="FQF213" s="537"/>
      <c r="FQG213" s="537"/>
      <c r="FQH213" s="537"/>
      <c r="FQI213" s="537"/>
      <c r="FQJ213" s="537"/>
      <c r="FQK213" s="537"/>
      <c r="FQL213" s="537"/>
      <c r="FQM213" s="537"/>
      <c r="FQN213" s="537"/>
      <c r="FQO213" s="537"/>
      <c r="FQP213" s="537"/>
      <c r="FQQ213" s="537"/>
      <c r="FQR213" s="537"/>
      <c r="FQS213" s="537"/>
      <c r="FQT213" s="537"/>
      <c r="FQU213" s="537"/>
      <c r="FQV213" s="537"/>
      <c r="FQW213" s="537"/>
      <c r="FQX213" s="537"/>
      <c r="FQY213" s="537"/>
      <c r="FQZ213" s="537"/>
      <c r="FRA213" s="537"/>
      <c r="FRB213" s="537"/>
      <c r="FRC213" s="537"/>
      <c r="FRD213" s="537"/>
      <c r="FRE213" s="537"/>
      <c r="FRF213" s="537"/>
      <c r="FRG213" s="537"/>
      <c r="FRH213" s="537"/>
      <c r="FRI213" s="537"/>
      <c r="FRJ213" s="537"/>
      <c r="FRK213" s="537"/>
      <c r="FRL213" s="537"/>
      <c r="FRM213" s="537"/>
      <c r="FRN213" s="537"/>
      <c r="FRO213" s="537"/>
      <c r="FRP213" s="537"/>
      <c r="FRQ213" s="537"/>
      <c r="FRR213" s="537"/>
      <c r="FRS213" s="537"/>
      <c r="FRT213" s="537"/>
      <c r="FRU213" s="537"/>
      <c r="FRV213" s="537"/>
      <c r="FRW213" s="537"/>
      <c r="FRX213" s="537"/>
      <c r="FRY213" s="537"/>
      <c r="FRZ213" s="537"/>
      <c r="FSA213" s="537"/>
      <c r="FSB213" s="537"/>
      <c r="FSC213" s="537"/>
      <c r="FSD213" s="537"/>
      <c r="FSE213" s="537"/>
      <c r="FSF213" s="537"/>
      <c r="FSG213" s="537"/>
      <c r="FSH213" s="537"/>
      <c r="FSI213" s="537"/>
      <c r="FSJ213" s="537"/>
      <c r="FSK213" s="537"/>
      <c r="FSL213" s="537"/>
      <c r="FSM213" s="537"/>
      <c r="FSN213" s="537"/>
      <c r="FSO213" s="537"/>
      <c r="FSP213" s="537"/>
      <c r="FSQ213" s="537"/>
      <c r="FSR213" s="537"/>
      <c r="FSS213" s="537"/>
      <c r="FST213" s="537"/>
      <c r="FSU213" s="537"/>
      <c r="FSV213" s="537"/>
      <c r="FSW213" s="537"/>
      <c r="FSX213" s="537"/>
      <c r="FSY213" s="537"/>
      <c r="FSZ213" s="537"/>
      <c r="FTA213" s="537"/>
      <c r="FTB213" s="537"/>
      <c r="FTC213" s="537"/>
      <c r="FTD213" s="537"/>
      <c r="FTE213" s="537"/>
      <c r="FTF213" s="537"/>
      <c r="FTG213" s="537"/>
      <c r="FTH213" s="537"/>
      <c r="FTI213" s="537"/>
      <c r="FTJ213" s="537"/>
      <c r="FTK213" s="537"/>
      <c r="FTL213" s="537"/>
      <c r="FTM213" s="537"/>
      <c r="FTN213" s="537"/>
      <c r="FTO213" s="537"/>
      <c r="FTP213" s="537"/>
      <c r="FTQ213" s="537"/>
      <c r="FTR213" s="537"/>
      <c r="FTS213" s="537"/>
      <c r="FTT213" s="537"/>
      <c r="FTU213" s="537"/>
      <c r="FTV213" s="537"/>
      <c r="FTW213" s="537"/>
      <c r="FTX213" s="537"/>
      <c r="FTY213" s="537"/>
      <c r="FTZ213" s="537"/>
      <c r="FUA213" s="537"/>
      <c r="FUB213" s="537"/>
      <c r="FUC213" s="537"/>
      <c r="FUD213" s="537"/>
      <c r="FUE213" s="537"/>
      <c r="FUF213" s="537"/>
      <c r="FUG213" s="537"/>
      <c r="FUH213" s="537"/>
      <c r="FUI213" s="537"/>
      <c r="FUJ213" s="537"/>
      <c r="FUK213" s="537"/>
      <c r="FUL213" s="537"/>
      <c r="FUM213" s="537"/>
      <c r="FUN213" s="537"/>
      <c r="FUO213" s="537"/>
      <c r="FUP213" s="537"/>
      <c r="FUQ213" s="537"/>
      <c r="FUR213" s="537"/>
      <c r="FUS213" s="537"/>
      <c r="FUT213" s="537"/>
      <c r="FUU213" s="537"/>
      <c r="FUV213" s="537"/>
      <c r="FUW213" s="537"/>
      <c r="FUX213" s="537"/>
      <c r="FUY213" s="537"/>
      <c r="FUZ213" s="537"/>
      <c r="FVA213" s="537"/>
      <c r="FVB213" s="537"/>
      <c r="FVC213" s="537"/>
      <c r="FVD213" s="537"/>
      <c r="FVE213" s="537"/>
      <c r="FVF213" s="537"/>
      <c r="FVG213" s="537"/>
      <c r="FVH213" s="537"/>
      <c r="FVI213" s="537"/>
      <c r="FVJ213" s="537"/>
      <c r="FVK213" s="537"/>
      <c r="FVL213" s="537"/>
      <c r="FVM213" s="537"/>
      <c r="FVN213" s="537"/>
      <c r="FVO213" s="537"/>
      <c r="FVP213" s="537"/>
      <c r="FVQ213" s="537"/>
      <c r="FVR213" s="537"/>
      <c r="FVS213" s="537"/>
      <c r="FVT213" s="537"/>
      <c r="FVU213" s="537"/>
      <c r="FVV213" s="537"/>
      <c r="FVW213" s="537"/>
      <c r="FVX213" s="537"/>
      <c r="FVY213" s="537"/>
      <c r="FVZ213" s="537"/>
      <c r="FWA213" s="537"/>
      <c r="FWB213" s="537"/>
      <c r="FWC213" s="537"/>
      <c r="FWD213" s="537"/>
      <c r="FWE213" s="537"/>
      <c r="FWF213" s="537"/>
      <c r="FWG213" s="537"/>
      <c r="FWH213" s="537"/>
      <c r="FWI213" s="537"/>
      <c r="FWJ213" s="537"/>
      <c r="FWK213" s="537"/>
      <c r="FWL213" s="537"/>
      <c r="FWM213" s="537"/>
      <c r="FWN213" s="537"/>
      <c r="FWO213" s="537"/>
      <c r="FWP213" s="537"/>
      <c r="FWQ213" s="537"/>
      <c r="FWR213" s="537"/>
      <c r="FWS213" s="537"/>
      <c r="FWT213" s="537"/>
      <c r="FWU213" s="537"/>
      <c r="FWV213" s="537"/>
      <c r="FWW213" s="537"/>
      <c r="FWX213" s="537"/>
      <c r="FWY213" s="537"/>
      <c r="FWZ213" s="537"/>
      <c r="FXA213" s="537"/>
      <c r="FXB213" s="537"/>
      <c r="FXC213" s="537"/>
      <c r="FXD213" s="537"/>
      <c r="FXE213" s="537"/>
      <c r="FXF213" s="537"/>
      <c r="FXG213" s="537"/>
      <c r="FXH213" s="537"/>
      <c r="FXI213" s="537"/>
      <c r="FXJ213" s="537"/>
      <c r="FXK213" s="537"/>
      <c r="FXL213" s="537"/>
      <c r="FXM213" s="537"/>
      <c r="FXN213" s="537"/>
      <c r="FXO213" s="537"/>
      <c r="FXP213" s="537"/>
      <c r="FXQ213" s="537"/>
      <c r="FXR213" s="537"/>
      <c r="FXS213" s="537"/>
      <c r="FXT213" s="537"/>
      <c r="FXU213" s="537"/>
      <c r="FXV213" s="537"/>
      <c r="FXW213" s="537"/>
      <c r="FXX213" s="537"/>
      <c r="FXY213" s="537"/>
      <c r="FXZ213" s="537"/>
      <c r="FYA213" s="537"/>
      <c r="FYB213" s="537"/>
      <c r="FYC213" s="537"/>
      <c r="FYD213" s="537"/>
      <c r="FYE213" s="537"/>
      <c r="FYF213" s="537"/>
      <c r="FYG213" s="537"/>
      <c r="FYH213" s="537"/>
      <c r="FYI213" s="537"/>
      <c r="FYJ213" s="537"/>
      <c r="FYK213" s="537"/>
      <c r="FYL213" s="537"/>
      <c r="FYM213" s="537"/>
      <c r="FYN213" s="537"/>
      <c r="FYO213" s="537"/>
      <c r="FYP213" s="537"/>
      <c r="FYQ213" s="537"/>
      <c r="FYR213" s="537"/>
      <c r="FYS213" s="537"/>
      <c r="FYT213" s="537"/>
      <c r="FYU213" s="537"/>
      <c r="FYV213" s="537"/>
      <c r="FYW213" s="537"/>
      <c r="FYX213" s="537"/>
      <c r="FYY213" s="537"/>
      <c r="FYZ213" s="537"/>
      <c r="FZA213" s="537"/>
      <c r="FZB213" s="537"/>
      <c r="FZC213" s="537"/>
      <c r="FZD213" s="537"/>
      <c r="FZE213" s="537"/>
      <c r="FZF213" s="537"/>
      <c r="FZG213" s="537"/>
      <c r="FZH213" s="537"/>
      <c r="FZI213" s="537"/>
      <c r="FZJ213" s="537"/>
      <c r="FZK213" s="537"/>
      <c r="FZL213" s="537"/>
      <c r="FZM213" s="537"/>
      <c r="FZN213" s="537"/>
      <c r="FZO213" s="537"/>
      <c r="FZP213" s="537"/>
      <c r="FZQ213" s="537"/>
      <c r="FZR213" s="537"/>
      <c r="FZS213" s="537"/>
      <c r="FZT213" s="537"/>
      <c r="FZU213" s="537"/>
      <c r="FZV213" s="537"/>
      <c r="FZW213" s="537"/>
      <c r="FZX213" s="537"/>
      <c r="FZY213" s="537"/>
      <c r="FZZ213" s="537"/>
      <c r="GAA213" s="537"/>
      <c r="GAB213" s="537"/>
      <c r="GAC213" s="537"/>
      <c r="GAD213" s="537"/>
      <c r="GAE213" s="537"/>
      <c r="GAF213" s="537"/>
      <c r="GAG213" s="537"/>
      <c r="GAH213" s="537"/>
      <c r="GAI213" s="537"/>
      <c r="GAJ213" s="537"/>
      <c r="GAK213" s="537"/>
      <c r="GAL213" s="537"/>
      <c r="GAM213" s="537"/>
      <c r="GAN213" s="537"/>
      <c r="GAO213" s="537"/>
      <c r="GAP213" s="537"/>
      <c r="GAQ213" s="537"/>
      <c r="GAR213" s="537"/>
      <c r="GAS213" s="537"/>
      <c r="GAT213" s="537"/>
      <c r="GAU213" s="537"/>
      <c r="GAV213" s="537"/>
      <c r="GAW213" s="537"/>
      <c r="GAX213" s="537"/>
      <c r="GAY213" s="537"/>
      <c r="GAZ213" s="537"/>
      <c r="GBA213" s="537"/>
      <c r="GBB213" s="537"/>
      <c r="GBC213" s="537"/>
      <c r="GBD213" s="537"/>
      <c r="GBE213" s="537"/>
      <c r="GBF213" s="537"/>
      <c r="GBG213" s="537"/>
      <c r="GBH213" s="537"/>
      <c r="GBI213" s="537"/>
      <c r="GBJ213" s="537"/>
      <c r="GBK213" s="537"/>
      <c r="GBL213" s="537"/>
      <c r="GBM213" s="537"/>
      <c r="GBN213" s="537"/>
      <c r="GBO213" s="537"/>
      <c r="GBP213" s="537"/>
      <c r="GBQ213" s="537"/>
      <c r="GBR213" s="537"/>
      <c r="GBS213" s="537"/>
      <c r="GBT213" s="537"/>
      <c r="GBU213" s="537"/>
      <c r="GBV213" s="537"/>
      <c r="GBW213" s="537"/>
      <c r="GBX213" s="537"/>
      <c r="GBY213" s="537"/>
      <c r="GBZ213" s="537"/>
      <c r="GCA213" s="537"/>
      <c r="GCB213" s="537"/>
      <c r="GCC213" s="537"/>
      <c r="GCD213" s="537"/>
      <c r="GCE213" s="537"/>
      <c r="GCF213" s="537"/>
      <c r="GCG213" s="537"/>
      <c r="GCH213" s="537"/>
      <c r="GCI213" s="537"/>
      <c r="GCJ213" s="537"/>
      <c r="GCK213" s="537"/>
      <c r="GCL213" s="537"/>
      <c r="GCM213" s="537"/>
      <c r="GCN213" s="537"/>
      <c r="GCO213" s="537"/>
      <c r="GCP213" s="537"/>
      <c r="GCQ213" s="537"/>
      <c r="GCR213" s="537"/>
      <c r="GCS213" s="537"/>
      <c r="GCT213" s="537"/>
      <c r="GCU213" s="537"/>
      <c r="GCV213" s="537"/>
      <c r="GCW213" s="537"/>
      <c r="GCX213" s="537"/>
      <c r="GCY213" s="537"/>
      <c r="GCZ213" s="537"/>
      <c r="GDA213" s="537"/>
      <c r="GDB213" s="537"/>
      <c r="GDC213" s="537"/>
      <c r="GDD213" s="537"/>
      <c r="GDE213" s="537"/>
      <c r="GDF213" s="537"/>
      <c r="GDG213" s="537"/>
      <c r="GDH213" s="537"/>
      <c r="GDI213" s="537"/>
      <c r="GDJ213" s="537"/>
      <c r="GDK213" s="537"/>
      <c r="GDL213" s="537"/>
      <c r="GDM213" s="537"/>
      <c r="GDN213" s="537"/>
      <c r="GDO213" s="537"/>
      <c r="GDP213" s="537"/>
      <c r="GDQ213" s="537"/>
      <c r="GDR213" s="537"/>
      <c r="GDS213" s="537"/>
      <c r="GDT213" s="537"/>
      <c r="GDU213" s="537"/>
      <c r="GDV213" s="537"/>
      <c r="GDW213" s="537"/>
      <c r="GDX213" s="537"/>
      <c r="GDY213" s="537"/>
      <c r="GDZ213" s="537"/>
      <c r="GEA213" s="537"/>
      <c r="GEB213" s="537"/>
      <c r="GEC213" s="537"/>
      <c r="GED213" s="537"/>
      <c r="GEE213" s="537"/>
      <c r="GEF213" s="537"/>
      <c r="GEG213" s="537"/>
      <c r="GEH213" s="537"/>
      <c r="GEI213" s="537"/>
      <c r="GEJ213" s="537"/>
      <c r="GEK213" s="537"/>
      <c r="GEL213" s="537"/>
      <c r="GEM213" s="537"/>
      <c r="GEN213" s="537"/>
      <c r="GEO213" s="537"/>
      <c r="GEP213" s="537"/>
      <c r="GEQ213" s="537"/>
      <c r="GER213" s="537"/>
      <c r="GES213" s="537"/>
      <c r="GET213" s="537"/>
      <c r="GEU213" s="537"/>
      <c r="GEV213" s="537"/>
      <c r="GEW213" s="537"/>
      <c r="GEX213" s="537"/>
      <c r="GEY213" s="537"/>
      <c r="GEZ213" s="537"/>
      <c r="GFA213" s="537"/>
      <c r="GFB213" s="537"/>
      <c r="GFC213" s="537"/>
      <c r="GFD213" s="537"/>
      <c r="GFE213" s="537"/>
      <c r="GFF213" s="537"/>
      <c r="GFG213" s="537"/>
      <c r="GFH213" s="537"/>
      <c r="GFI213" s="537"/>
      <c r="GFJ213" s="537"/>
      <c r="GFK213" s="537"/>
      <c r="GFL213" s="537"/>
      <c r="GFM213" s="537"/>
      <c r="GFN213" s="537"/>
      <c r="GFO213" s="537"/>
      <c r="GFP213" s="537"/>
      <c r="GFQ213" s="537"/>
      <c r="GFR213" s="537"/>
      <c r="GFS213" s="537"/>
      <c r="GFT213" s="537"/>
      <c r="GFU213" s="537"/>
      <c r="GFV213" s="537"/>
      <c r="GFW213" s="537"/>
      <c r="GFX213" s="537"/>
      <c r="GFY213" s="537"/>
      <c r="GFZ213" s="537"/>
      <c r="GGA213" s="537"/>
      <c r="GGB213" s="537"/>
      <c r="GGC213" s="537"/>
      <c r="GGD213" s="537"/>
      <c r="GGE213" s="537"/>
      <c r="GGF213" s="537"/>
      <c r="GGG213" s="537"/>
      <c r="GGH213" s="537"/>
      <c r="GGI213" s="537"/>
      <c r="GGJ213" s="537"/>
      <c r="GGK213" s="537"/>
      <c r="GGL213" s="537"/>
      <c r="GGM213" s="537"/>
      <c r="GGN213" s="537"/>
      <c r="GGO213" s="537"/>
      <c r="GGP213" s="537"/>
      <c r="GGQ213" s="537"/>
      <c r="GGR213" s="537"/>
      <c r="GGS213" s="537"/>
      <c r="GGT213" s="537"/>
      <c r="GGU213" s="537"/>
      <c r="GGV213" s="537"/>
      <c r="GGW213" s="537"/>
      <c r="GGX213" s="537"/>
      <c r="GGY213" s="537"/>
      <c r="GGZ213" s="537"/>
      <c r="GHA213" s="537"/>
      <c r="GHB213" s="537"/>
      <c r="GHC213" s="537"/>
      <c r="GHD213" s="537"/>
      <c r="GHE213" s="537"/>
      <c r="GHF213" s="537"/>
      <c r="GHG213" s="537"/>
      <c r="GHH213" s="537"/>
      <c r="GHI213" s="537"/>
      <c r="GHJ213" s="537"/>
      <c r="GHK213" s="537"/>
      <c r="GHL213" s="537"/>
      <c r="GHM213" s="537"/>
      <c r="GHN213" s="537"/>
      <c r="GHO213" s="537"/>
      <c r="GHP213" s="537"/>
      <c r="GHQ213" s="537"/>
      <c r="GHR213" s="537"/>
      <c r="GHS213" s="537"/>
      <c r="GHT213" s="537"/>
      <c r="GHU213" s="537"/>
      <c r="GHV213" s="537"/>
      <c r="GHW213" s="537"/>
      <c r="GHX213" s="537"/>
      <c r="GHY213" s="537"/>
      <c r="GHZ213" s="537"/>
      <c r="GIA213" s="537"/>
      <c r="GIB213" s="537"/>
      <c r="GIC213" s="537"/>
      <c r="GID213" s="537"/>
      <c r="GIE213" s="537"/>
      <c r="GIF213" s="537"/>
      <c r="GIG213" s="537"/>
      <c r="GIH213" s="537"/>
      <c r="GII213" s="537"/>
      <c r="GIJ213" s="537"/>
      <c r="GIK213" s="537"/>
      <c r="GIL213" s="537"/>
      <c r="GIM213" s="537"/>
      <c r="GIN213" s="537"/>
      <c r="GIO213" s="537"/>
      <c r="GIP213" s="537"/>
      <c r="GIQ213" s="537"/>
      <c r="GIR213" s="537"/>
      <c r="GIS213" s="537"/>
      <c r="GIT213" s="537"/>
      <c r="GIU213" s="537"/>
      <c r="GIV213" s="537"/>
      <c r="GIW213" s="537"/>
      <c r="GIX213" s="537"/>
      <c r="GIY213" s="537"/>
      <c r="GIZ213" s="537"/>
      <c r="GJA213" s="537"/>
      <c r="GJB213" s="537"/>
      <c r="GJC213" s="537"/>
      <c r="GJD213" s="537"/>
      <c r="GJE213" s="537"/>
      <c r="GJF213" s="537"/>
      <c r="GJG213" s="537"/>
      <c r="GJH213" s="537"/>
      <c r="GJI213" s="537"/>
      <c r="GJJ213" s="537"/>
      <c r="GJK213" s="537"/>
      <c r="GJL213" s="537"/>
      <c r="GJM213" s="537"/>
      <c r="GJN213" s="537"/>
      <c r="GJO213" s="537"/>
      <c r="GJP213" s="537"/>
      <c r="GJQ213" s="537"/>
      <c r="GJR213" s="537"/>
      <c r="GJS213" s="537"/>
      <c r="GJT213" s="537"/>
      <c r="GJU213" s="537"/>
      <c r="GJV213" s="537"/>
      <c r="GJW213" s="537"/>
      <c r="GJX213" s="537"/>
      <c r="GJY213" s="537"/>
      <c r="GJZ213" s="537"/>
      <c r="GKA213" s="537"/>
      <c r="GKB213" s="537"/>
      <c r="GKC213" s="537"/>
      <c r="GKD213" s="537"/>
      <c r="GKE213" s="537"/>
      <c r="GKF213" s="537"/>
      <c r="GKG213" s="537"/>
      <c r="GKH213" s="537"/>
      <c r="GKI213" s="537"/>
      <c r="GKJ213" s="537"/>
      <c r="GKK213" s="537"/>
      <c r="GKL213" s="537"/>
      <c r="GKM213" s="537"/>
      <c r="GKN213" s="537"/>
      <c r="GKO213" s="537"/>
      <c r="GKP213" s="537"/>
      <c r="GKQ213" s="537"/>
      <c r="GKR213" s="537"/>
      <c r="GKS213" s="537"/>
      <c r="GKT213" s="537"/>
      <c r="GKU213" s="537"/>
      <c r="GKV213" s="537"/>
      <c r="GKW213" s="537"/>
      <c r="GKX213" s="537"/>
      <c r="GKY213" s="537"/>
      <c r="GKZ213" s="537"/>
      <c r="GLA213" s="537"/>
      <c r="GLB213" s="537"/>
      <c r="GLC213" s="537"/>
      <c r="GLD213" s="537"/>
      <c r="GLE213" s="537"/>
      <c r="GLF213" s="537"/>
      <c r="GLG213" s="537"/>
      <c r="GLH213" s="537"/>
      <c r="GLI213" s="537"/>
      <c r="GLJ213" s="537"/>
      <c r="GLK213" s="537"/>
      <c r="GLL213" s="537"/>
      <c r="GLM213" s="537"/>
      <c r="GLN213" s="537"/>
      <c r="GLO213" s="537"/>
      <c r="GLP213" s="537"/>
      <c r="GLQ213" s="537"/>
      <c r="GLR213" s="537"/>
      <c r="GLS213" s="537"/>
      <c r="GLT213" s="537"/>
      <c r="GLU213" s="537"/>
      <c r="GLV213" s="537"/>
      <c r="GLW213" s="537"/>
      <c r="GLX213" s="537"/>
      <c r="GLY213" s="537"/>
      <c r="GLZ213" s="537"/>
      <c r="GMA213" s="537"/>
      <c r="GMB213" s="537"/>
      <c r="GMC213" s="537"/>
      <c r="GMD213" s="537"/>
      <c r="GME213" s="537"/>
      <c r="GMF213" s="537"/>
      <c r="GMG213" s="537"/>
      <c r="GMH213" s="537"/>
      <c r="GMI213" s="537"/>
      <c r="GMJ213" s="537"/>
      <c r="GMK213" s="537"/>
      <c r="GML213" s="537"/>
      <c r="GMM213" s="537"/>
      <c r="GMN213" s="537"/>
      <c r="GMO213" s="537"/>
      <c r="GMP213" s="537"/>
      <c r="GMQ213" s="537"/>
      <c r="GMR213" s="537"/>
      <c r="GMS213" s="537"/>
      <c r="GMT213" s="537"/>
      <c r="GMU213" s="537"/>
      <c r="GMV213" s="537"/>
      <c r="GMW213" s="537"/>
      <c r="GMX213" s="537"/>
      <c r="GMY213" s="537"/>
      <c r="GMZ213" s="537"/>
      <c r="GNA213" s="537"/>
      <c r="GNB213" s="537"/>
      <c r="GNC213" s="537"/>
      <c r="GND213" s="537"/>
      <c r="GNE213" s="537"/>
      <c r="GNF213" s="537"/>
      <c r="GNG213" s="537"/>
      <c r="GNH213" s="537"/>
      <c r="GNI213" s="537"/>
      <c r="GNJ213" s="537"/>
      <c r="GNK213" s="537"/>
      <c r="GNL213" s="537"/>
      <c r="GNM213" s="537"/>
      <c r="GNN213" s="537"/>
      <c r="GNO213" s="537"/>
      <c r="GNP213" s="537"/>
      <c r="GNQ213" s="537"/>
      <c r="GNR213" s="537"/>
      <c r="GNS213" s="537"/>
      <c r="GNT213" s="537"/>
      <c r="GNU213" s="537"/>
      <c r="GNV213" s="537"/>
      <c r="GNW213" s="537"/>
      <c r="GNX213" s="537"/>
      <c r="GNY213" s="537"/>
      <c r="GNZ213" s="537"/>
      <c r="GOA213" s="537"/>
      <c r="GOB213" s="537"/>
      <c r="GOC213" s="537"/>
      <c r="GOD213" s="537"/>
      <c r="GOE213" s="537"/>
      <c r="GOF213" s="537"/>
      <c r="GOG213" s="537"/>
      <c r="GOH213" s="537"/>
      <c r="GOI213" s="537"/>
      <c r="GOJ213" s="537"/>
      <c r="GOK213" s="537"/>
      <c r="GOL213" s="537"/>
      <c r="GOM213" s="537"/>
      <c r="GON213" s="537"/>
      <c r="GOO213" s="537"/>
      <c r="GOP213" s="537"/>
      <c r="GOQ213" s="537"/>
      <c r="GOR213" s="537"/>
      <c r="GOS213" s="537"/>
      <c r="GOT213" s="537"/>
      <c r="GOU213" s="537"/>
      <c r="GOV213" s="537"/>
      <c r="GOW213" s="537"/>
      <c r="GOX213" s="537"/>
      <c r="GOY213" s="537"/>
      <c r="GOZ213" s="537"/>
      <c r="GPA213" s="537"/>
      <c r="GPB213" s="537"/>
      <c r="GPC213" s="537"/>
      <c r="GPD213" s="537"/>
      <c r="GPE213" s="537"/>
      <c r="GPF213" s="537"/>
      <c r="GPG213" s="537"/>
      <c r="GPH213" s="537"/>
      <c r="GPI213" s="537"/>
      <c r="GPJ213" s="537"/>
      <c r="GPK213" s="537"/>
      <c r="GPL213" s="537"/>
      <c r="GPM213" s="537"/>
      <c r="GPN213" s="537"/>
      <c r="GPO213" s="537"/>
      <c r="GPP213" s="537"/>
      <c r="GPQ213" s="537"/>
      <c r="GPR213" s="537"/>
      <c r="GPS213" s="537"/>
      <c r="GPT213" s="537"/>
      <c r="GPU213" s="537"/>
      <c r="GPV213" s="537"/>
      <c r="GPW213" s="537"/>
      <c r="GPX213" s="537"/>
      <c r="GPY213" s="537"/>
      <c r="GPZ213" s="537"/>
      <c r="GQA213" s="537"/>
      <c r="GQB213" s="537"/>
      <c r="GQC213" s="537"/>
      <c r="GQD213" s="537"/>
      <c r="GQE213" s="537"/>
      <c r="GQF213" s="537"/>
      <c r="GQG213" s="537"/>
      <c r="GQH213" s="537"/>
      <c r="GQI213" s="537"/>
      <c r="GQJ213" s="537"/>
      <c r="GQK213" s="537"/>
      <c r="GQL213" s="537"/>
      <c r="GQM213" s="537"/>
      <c r="GQN213" s="537"/>
      <c r="GQO213" s="537"/>
      <c r="GQP213" s="537"/>
      <c r="GQQ213" s="537"/>
      <c r="GQR213" s="537"/>
      <c r="GQS213" s="537"/>
      <c r="GQT213" s="537"/>
      <c r="GQU213" s="537"/>
      <c r="GQV213" s="537"/>
      <c r="GQW213" s="537"/>
      <c r="GQX213" s="537"/>
      <c r="GQY213" s="537"/>
      <c r="GQZ213" s="537"/>
      <c r="GRA213" s="537"/>
      <c r="GRB213" s="537"/>
      <c r="GRC213" s="537"/>
      <c r="GRD213" s="537"/>
      <c r="GRE213" s="537"/>
      <c r="GRF213" s="537"/>
      <c r="GRG213" s="537"/>
      <c r="GRH213" s="537"/>
      <c r="GRI213" s="537"/>
      <c r="GRJ213" s="537"/>
      <c r="GRK213" s="537"/>
      <c r="GRL213" s="537"/>
      <c r="GRM213" s="537"/>
      <c r="GRN213" s="537"/>
      <c r="GRO213" s="537"/>
      <c r="GRP213" s="537"/>
      <c r="GRQ213" s="537"/>
      <c r="GRR213" s="537"/>
      <c r="GRS213" s="537"/>
      <c r="GRT213" s="537"/>
      <c r="GRU213" s="537"/>
      <c r="GRV213" s="537"/>
      <c r="GRW213" s="537"/>
      <c r="GRX213" s="537"/>
      <c r="GRY213" s="537"/>
      <c r="GRZ213" s="537"/>
      <c r="GSA213" s="537"/>
      <c r="GSB213" s="537"/>
      <c r="GSC213" s="537"/>
      <c r="GSD213" s="537"/>
      <c r="GSE213" s="537"/>
      <c r="GSF213" s="537"/>
      <c r="GSG213" s="537"/>
      <c r="GSH213" s="537"/>
      <c r="GSI213" s="537"/>
      <c r="GSJ213" s="537"/>
      <c r="GSK213" s="537"/>
      <c r="GSL213" s="537"/>
      <c r="GSM213" s="537"/>
      <c r="GSN213" s="537"/>
      <c r="GSO213" s="537"/>
      <c r="GSP213" s="537"/>
      <c r="GSQ213" s="537"/>
      <c r="GSR213" s="537"/>
      <c r="GSS213" s="537"/>
      <c r="GST213" s="537"/>
      <c r="GSU213" s="537"/>
      <c r="GSV213" s="537"/>
      <c r="GSW213" s="537"/>
      <c r="GSX213" s="537"/>
      <c r="GSY213" s="537"/>
      <c r="GSZ213" s="537"/>
      <c r="GTA213" s="537"/>
      <c r="GTB213" s="537"/>
      <c r="GTC213" s="537"/>
      <c r="GTD213" s="537"/>
      <c r="GTE213" s="537"/>
      <c r="GTF213" s="537"/>
      <c r="GTG213" s="537"/>
      <c r="GTH213" s="537"/>
      <c r="GTI213" s="537"/>
      <c r="GTJ213" s="537"/>
      <c r="GTK213" s="537"/>
      <c r="GTL213" s="537"/>
      <c r="GTM213" s="537"/>
      <c r="GTN213" s="537"/>
      <c r="GTO213" s="537"/>
      <c r="GTP213" s="537"/>
      <c r="GTQ213" s="537"/>
      <c r="GTR213" s="537"/>
      <c r="GTS213" s="537"/>
      <c r="GTT213" s="537"/>
      <c r="GTU213" s="537"/>
      <c r="GTV213" s="537"/>
      <c r="GTW213" s="537"/>
      <c r="GTX213" s="537"/>
      <c r="GTY213" s="537"/>
      <c r="GTZ213" s="537"/>
      <c r="GUA213" s="537"/>
      <c r="GUB213" s="537"/>
      <c r="GUC213" s="537"/>
      <c r="GUD213" s="537"/>
      <c r="GUE213" s="537"/>
      <c r="GUF213" s="537"/>
      <c r="GUG213" s="537"/>
      <c r="GUH213" s="537"/>
      <c r="GUI213" s="537"/>
      <c r="GUJ213" s="537"/>
      <c r="GUK213" s="537"/>
      <c r="GUL213" s="537"/>
      <c r="GUM213" s="537"/>
      <c r="GUN213" s="537"/>
      <c r="GUO213" s="537"/>
      <c r="GUP213" s="537"/>
      <c r="GUQ213" s="537"/>
      <c r="GUR213" s="537"/>
      <c r="GUS213" s="537"/>
      <c r="GUT213" s="537"/>
      <c r="GUU213" s="537"/>
      <c r="GUV213" s="537"/>
      <c r="GUW213" s="537"/>
      <c r="GUX213" s="537"/>
      <c r="GUY213" s="537"/>
      <c r="GUZ213" s="537"/>
      <c r="GVA213" s="537"/>
      <c r="GVB213" s="537"/>
      <c r="GVC213" s="537"/>
      <c r="GVD213" s="537"/>
      <c r="GVE213" s="537"/>
      <c r="GVF213" s="537"/>
      <c r="GVG213" s="537"/>
      <c r="GVH213" s="537"/>
      <c r="GVI213" s="537"/>
      <c r="GVJ213" s="537"/>
      <c r="GVK213" s="537"/>
      <c r="GVL213" s="537"/>
      <c r="GVM213" s="537"/>
      <c r="GVN213" s="537"/>
      <c r="GVO213" s="537"/>
      <c r="GVP213" s="537"/>
      <c r="GVQ213" s="537"/>
      <c r="GVR213" s="537"/>
      <c r="GVS213" s="537"/>
      <c r="GVT213" s="537"/>
      <c r="GVU213" s="537"/>
      <c r="GVV213" s="537"/>
      <c r="GVW213" s="537"/>
      <c r="GVX213" s="537"/>
      <c r="GVY213" s="537"/>
      <c r="GVZ213" s="537"/>
      <c r="GWA213" s="537"/>
      <c r="GWB213" s="537"/>
      <c r="GWC213" s="537"/>
      <c r="GWD213" s="537"/>
      <c r="GWE213" s="537"/>
      <c r="GWF213" s="537"/>
      <c r="GWG213" s="537"/>
      <c r="GWH213" s="537"/>
      <c r="GWI213" s="537"/>
      <c r="GWJ213" s="537"/>
      <c r="GWK213" s="537"/>
      <c r="GWL213" s="537"/>
      <c r="GWM213" s="537"/>
      <c r="GWN213" s="537"/>
      <c r="GWO213" s="537"/>
      <c r="GWP213" s="537"/>
      <c r="GWQ213" s="537"/>
      <c r="GWR213" s="537"/>
      <c r="GWS213" s="537"/>
      <c r="GWT213" s="537"/>
      <c r="GWU213" s="537"/>
      <c r="GWV213" s="537"/>
      <c r="GWW213" s="537"/>
      <c r="GWX213" s="537"/>
      <c r="GWY213" s="537"/>
      <c r="GWZ213" s="537"/>
      <c r="GXA213" s="537"/>
      <c r="GXB213" s="537"/>
      <c r="GXC213" s="537"/>
      <c r="GXD213" s="537"/>
      <c r="GXE213" s="537"/>
      <c r="GXF213" s="537"/>
      <c r="GXG213" s="537"/>
      <c r="GXH213" s="537"/>
      <c r="GXI213" s="537"/>
      <c r="GXJ213" s="537"/>
      <c r="GXK213" s="537"/>
      <c r="GXL213" s="537"/>
      <c r="GXM213" s="537"/>
      <c r="GXN213" s="537"/>
      <c r="GXO213" s="537"/>
      <c r="GXP213" s="537"/>
      <c r="GXQ213" s="537"/>
      <c r="GXR213" s="537"/>
      <c r="GXS213" s="537"/>
      <c r="GXT213" s="537"/>
      <c r="GXU213" s="537"/>
      <c r="GXV213" s="537"/>
      <c r="GXW213" s="537"/>
      <c r="GXX213" s="537"/>
      <c r="GXY213" s="537"/>
      <c r="GXZ213" s="537"/>
      <c r="GYA213" s="537"/>
      <c r="GYB213" s="537"/>
      <c r="GYC213" s="537"/>
      <c r="GYD213" s="537"/>
      <c r="GYE213" s="537"/>
      <c r="GYF213" s="537"/>
      <c r="GYG213" s="537"/>
      <c r="GYH213" s="537"/>
      <c r="GYI213" s="537"/>
      <c r="GYJ213" s="537"/>
      <c r="GYK213" s="537"/>
      <c r="GYL213" s="537"/>
      <c r="GYM213" s="537"/>
      <c r="GYN213" s="537"/>
      <c r="GYO213" s="537"/>
      <c r="GYP213" s="537"/>
      <c r="GYQ213" s="537"/>
      <c r="GYR213" s="537"/>
      <c r="GYS213" s="537"/>
      <c r="GYT213" s="537"/>
      <c r="GYU213" s="537"/>
      <c r="GYV213" s="537"/>
      <c r="GYW213" s="537"/>
      <c r="GYX213" s="537"/>
      <c r="GYY213" s="537"/>
      <c r="GYZ213" s="537"/>
      <c r="GZA213" s="537"/>
      <c r="GZB213" s="537"/>
      <c r="GZC213" s="537"/>
      <c r="GZD213" s="537"/>
      <c r="GZE213" s="537"/>
      <c r="GZF213" s="537"/>
      <c r="GZG213" s="537"/>
      <c r="GZH213" s="537"/>
      <c r="GZI213" s="537"/>
      <c r="GZJ213" s="537"/>
      <c r="GZK213" s="537"/>
      <c r="GZL213" s="537"/>
      <c r="GZM213" s="537"/>
      <c r="GZN213" s="537"/>
      <c r="GZO213" s="537"/>
      <c r="GZP213" s="537"/>
      <c r="GZQ213" s="537"/>
      <c r="GZR213" s="537"/>
      <c r="GZS213" s="537"/>
      <c r="GZT213" s="537"/>
      <c r="GZU213" s="537"/>
      <c r="GZV213" s="537"/>
      <c r="GZW213" s="537"/>
      <c r="GZX213" s="537"/>
      <c r="GZY213" s="537"/>
      <c r="GZZ213" s="537"/>
      <c r="HAA213" s="537"/>
      <c r="HAB213" s="537"/>
      <c r="HAC213" s="537"/>
      <c r="HAD213" s="537"/>
      <c r="HAE213" s="537"/>
      <c r="HAF213" s="537"/>
      <c r="HAG213" s="537"/>
      <c r="HAH213" s="537"/>
      <c r="HAI213" s="537"/>
      <c r="HAJ213" s="537"/>
      <c r="HAK213" s="537"/>
      <c r="HAL213" s="537"/>
      <c r="HAM213" s="537"/>
      <c r="HAN213" s="537"/>
      <c r="HAO213" s="537"/>
      <c r="HAP213" s="537"/>
      <c r="HAQ213" s="537"/>
      <c r="HAR213" s="537"/>
      <c r="HAS213" s="537"/>
      <c r="HAT213" s="537"/>
      <c r="HAU213" s="537"/>
      <c r="HAV213" s="537"/>
      <c r="HAW213" s="537"/>
      <c r="HAX213" s="537"/>
      <c r="HAY213" s="537"/>
      <c r="HAZ213" s="537"/>
      <c r="HBA213" s="537"/>
      <c r="HBB213" s="537"/>
      <c r="HBC213" s="537"/>
      <c r="HBD213" s="537"/>
      <c r="HBE213" s="537"/>
      <c r="HBF213" s="537"/>
      <c r="HBG213" s="537"/>
      <c r="HBH213" s="537"/>
      <c r="HBI213" s="537"/>
      <c r="HBJ213" s="537"/>
      <c r="HBK213" s="537"/>
      <c r="HBL213" s="537"/>
      <c r="HBM213" s="537"/>
      <c r="HBN213" s="537"/>
      <c r="HBO213" s="537"/>
      <c r="HBP213" s="537"/>
      <c r="HBQ213" s="537"/>
      <c r="HBR213" s="537"/>
      <c r="HBS213" s="537"/>
      <c r="HBT213" s="537"/>
      <c r="HBU213" s="537"/>
      <c r="HBV213" s="537"/>
      <c r="HBW213" s="537"/>
      <c r="HBX213" s="537"/>
      <c r="HBY213" s="537"/>
      <c r="HBZ213" s="537"/>
      <c r="HCA213" s="537"/>
      <c r="HCB213" s="537"/>
      <c r="HCC213" s="537"/>
      <c r="HCD213" s="537"/>
      <c r="HCE213" s="537"/>
      <c r="HCF213" s="537"/>
      <c r="HCG213" s="537"/>
      <c r="HCH213" s="537"/>
      <c r="HCI213" s="537"/>
      <c r="HCJ213" s="537"/>
      <c r="HCK213" s="537"/>
      <c r="HCL213" s="537"/>
      <c r="HCM213" s="537"/>
      <c r="HCN213" s="537"/>
      <c r="HCO213" s="537"/>
      <c r="HCP213" s="537"/>
      <c r="HCQ213" s="537"/>
      <c r="HCR213" s="537"/>
      <c r="HCS213" s="537"/>
      <c r="HCT213" s="537"/>
      <c r="HCU213" s="537"/>
      <c r="HCV213" s="537"/>
      <c r="HCW213" s="537"/>
      <c r="HCX213" s="537"/>
      <c r="HCY213" s="537"/>
      <c r="HCZ213" s="537"/>
      <c r="HDA213" s="537"/>
      <c r="HDB213" s="537"/>
      <c r="HDC213" s="537"/>
      <c r="HDD213" s="537"/>
      <c r="HDE213" s="537"/>
      <c r="HDF213" s="537"/>
      <c r="HDG213" s="537"/>
      <c r="HDH213" s="537"/>
      <c r="HDI213" s="537"/>
      <c r="HDJ213" s="537"/>
      <c r="HDK213" s="537"/>
      <c r="HDL213" s="537"/>
      <c r="HDM213" s="537"/>
      <c r="HDN213" s="537"/>
      <c r="HDO213" s="537"/>
      <c r="HDP213" s="537"/>
      <c r="HDQ213" s="537"/>
      <c r="HDR213" s="537"/>
      <c r="HDS213" s="537"/>
      <c r="HDT213" s="537"/>
      <c r="HDU213" s="537"/>
      <c r="HDV213" s="537"/>
      <c r="HDW213" s="537"/>
      <c r="HDX213" s="537"/>
      <c r="HDY213" s="537"/>
      <c r="HDZ213" s="537"/>
      <c r="HEA213" s="537"/>
      <c r="HEB213" s="537"/>
      <c r="HEC213" s="537"/>
      <c r="HED213" s="537"/>
      <c r="HEE213" s="537"/>
      <c r="HEF213" s="537"/>
      <c r="HEG213" s="537"/>
      <c r="HEH213" s="537"/>
      <c r="HEI213" s="537"/>
      <c r="HEJ213" s="537"/>
      <c r="HEK213" s="537"/>
      <c r="HEL213" s="537"/>
      <c r="HEM213" s="537"/>
      <c r="HEN213" s="537"/>
      <c r="HEO213" s="537"/>
      <c r="HEP213" s="537"/>
      <c r="HEQ213" s="537"/>
      <c r="HER213" s="537"/>
      <c r="HES213" s="537"/>
      <c r="HET213" s="537"/>
      <c r="HEU213" s="537"/>
      <c r="HEV213" s="537"/>
      <c r="HEW213" s="537"/>
      <c r="HEX213" s="537"/>
      <c r="HEY213" s="537"/>
      <c r="HEZ213" s="537"/>
      <c r="HFA213" s="537"/>
      <c r="HFB213" s="537"/>
      <c r="HFC213" s="537"/>
      <c r="HFD213" s="537"/>
      <c r="HFE213" s="537"/>
      <c r="HFF213" s="537"/>
      <c r="HFG213" s="537"/>
      <c r="HFH213" s="537"/>
      <c r="HFI213" s="537"/>
      <c r="HFJ213" s="537"/>
      <c r="HFK213" s="537"/>
      <c r="HFL213" s="537"/>
      <c r="HFM213" s="537"/>
      <c r="HFN213" s="537"/>
      <c r="HFO213" s="537"/>
      <c r="HFP213" s="537"/>
      <c r="HFQ213" s="537"/>
      <c r="HFR213" s="537"/>
      <c r="HFS213" s="537"/>
      <c r="HFT213" s="537"/>
      <c r="HFU213" s="537"/>
      <c r="HFV213" s="537"/>
      <c r="HFW213" s="537"/>
      <c r="HFX213" s="537"/>
      <c r="HFY213" s="537"/>
      <c r="HFZ213" s="537"/>
      <c r="HGA213" s="537"/>
      <c r="HGB213" s="537"/>
      <c r="HGC213" s="537"/>
      <c r="HGD213" s="537"/>
      <c r="HGE213" s="537"/>
      <c r="HGF213" s="537"/>
      <c r="HGG213" s="537"/>
      <c r="HGH213" s="537"/>
      <c r="HGI213" s="537"/>
      <c r="HGJ213" s="537"/>
      <c r="HGK213" s="537"/>
      <c r="HGL213" s="537"/>
      <c r="HGM213" s="537"/>
      <c r="HGN213" s="537"/>
      <c r="HGO213" s="537"/>
      <c r="HGP213" s="537"/>
      <c r="HGQ213" s="537"/>
      <c r="HGR213" s="537"/>
      <c r="HGS213" s="537"/>
      <c r="HGT213" s="537"/>
      <c r="HGU213" s="537"/>
      <c r="HGV213" s="537"/>
      <c r="HGW213" s="537"/>
      <c r="HGX213" s="537"/>
      <c r="HGY213" s="537"/>
      <c r="HGZ213" s="537"/>
      <c r="HHA213" s="537"/>
      <c r="HHB213" s="537"/>
      <c r="HHC213" s="537"/>
      <c r="HHD213" s="537"/>
      <c r="HHE213" s="537"/>
      <c r="HHF213" s="537"/>
      <c r="HHG213" s="537"/>
      <c r="HHH213" s="537"/>
      <c r="HHI213" s="537"/>
      <c r="HHJ213" s="537"/>
      <c r="HHK213" s="537"/>
      <c r="HHL213" s="537"/>
      <c r="HHM213" s="537"/>
      <c r="HHN213" s="537"/>
      <c r="HHO213" s="537"/>
      <c r="HHP213" s="537"/>
      <c r="HHQ213" s="537"/>
      <c r="HHR213" s="537"/>
      <c r="HHS213" s="537"/>
      <c r="HHT213" s="537"/>
      <c r="HHU213" s="537"/>
      <c r="HHV213" s="537"/>
      <c r="HHW213" s="537"/>
      <c r="HHX213" s="537"/>
      <c r="HHY213" s="537"/>
      <c r="HHZ213" s="537"/>
      <c r="HIA213" s="537"/>
      <c r="HIB213" s="537"/>
      <c r="HIC213" s="537"/>
      <c r="HID213" s="537"/>
      <c r="HIE213" s="537"/>
      <c r="HIF213" s="537"/>
      <c r="HIG213" s="537"/>
      <c r="HIH213" s="537"/>
      <c r="HII213" s="537"/>
      <c r="HIJ213" s="537"/>
      <c r="HIK213" s="537"/>
      <c r="HIL213" s="537"/>
      <c r="HIM213" s="537"/>
      <c r="HIN213" s="537"/>
      <c r="HIO213" s="537"/>
      <c r="HIP213" s="537"/>
      <c r="HIQ213" s="537"/>
      <c r="HIR213" s="537"/>
      <c r="HIS213" s="537"/>
      <c r="HIT213" s="537"/>
      <c r="HIU213" s="537"/>
      <c r="HIV213" s="537"/>
      <c r="HIW213" s="537"/>
      <c r="HIX213" s="537"/>
      <c r="HIY213" s="537"/>
      <c r="HIZ213" s="537"/>
      <c r="HJA213" s="537"/>
      <c r="HJB213" s="537"/>
      <c r="HJC213" s="537"/>
      <c r="HJD213" s="537"/>
      <c r="HJE213" s="537"/>
      <c r="HJF213" s="537"/>
      <c r="HJG213" s="537"/>
      <c r="HJH213" s="537"/>
      <c r="HJI213" s="537"/>
      <c r="HJJ213" s="537"/>
      <c r="HJK213" s="537"/>
      <c r="HJL213" s="537"/>
      <c r="HJM213" s="537"/>
      <c r="HJN213" s="537"/>
      <c r="HJO213" s="537"/>
      <c r="HJP213" s="537"/>
      <c r="HJQ213" s="537"/>
      <c r="HJR213" s="537"/>
      <c r="HJS213" s="537"/>
      <c r="HJT213" s="537"/>
      <c r="HJU213" s="537"/>
      <c r="HJV213" s="537"/>
      <c r="HJW213" s="537"/>
      <c r="HJX213" s="537"/>
      <c r="HJY213" s="537"/>
      <c r="HJZ213" s="537"/>
      <c r="HKA213" s="537"/>
      <c r="HKB213" s="537"/>
      <c r="HKC213" s="537"/>
      <c r="HKD213" s="537"/>
      <c r="HKE213" s="537"/>
      <c r="HKF213" s="537"/>
      <c r="HKG213" s="537"/>
      <c r="HKH213" s="537"/>
      <c r="HKI213" s="537"/>
      <c r="HKJ213" s="537"/>
      <c r="HKK213" s="537"/>
      <c r="HKL213" s="537"/>
      <c r="HKM213" s="537"/>
      <c r="HKN213" s="537"/>
      <c r="HKO213" s="537"/>
      <c r="HKP213" s="537"/>
      <c r="HKQ213" s="537"/>
      <c r="HKR213" s="537"/>
      <c r="HKS213" s="537"/>
      <c r="HKT213" s="537"/>
      <c r="HKU213" s="537"/>
      <c r="HKV213" s="537"/>
      <c r="HKW213" s="537"/>
      <c r="HKX213" s="537"/>
      <c r="HKY213" s="537"/>
      <c r="HKZ213" s="537"/>
      <c r="HLA213" s="537"/>
      <c r="HLB213" s="537"/>
      <c r="HLC213" s="537"/>
      <c r="HLD213" s="537"/>
      <c r="HLE213" s="537"/>
      <c r="HLF213" s="537"/>
      <c r="HLG213" s="537"/>
      <c r="HLH213" s="537"/>
      <c r="HLI213" s="537"/>
      <c r="HLJ213" s="537"/>
      <c r="HLK213" s="537"/>
      <c r="HLL213" s="537"/>
      <c r="HLM213" s="537"/>
      <c r="HLN213" s="537"/>
      <c r="HLO213" s="537"/>
      <c r="HLP213" s="537"/>
      <c r="HLQ213" s="537"/>
      <c r="HLR213" s="537"/>
      <c r="HLS213" s="537"/>
      <c r="HLT213" s="537"/>
      <c r="HLU213" s="537"/>
      <c r="HLV213" s="537"/>
      <c r="HLW213" s="537"/>
      <c r="HLX213" s="537"/>
      <c r="HLY213" s="537"/>
      <c r="HLZ213" s="537"/>
      <c r="HMA213" s="537"/>
      <c r="HMB213" s="537"/>
      <c r="HMC213" s="537"/>
      <c r="HMD213" s="537"/>
      <c r="HME213" s="537"/>
      <c r="HMF213" s="537"/>
      <c r="HMG213" s="537"/>
      <c r="HMH213" s="537"/>
      <c r="HMI213" s="537"/>
      <c r="HMJ213" s="537"/>
      <c r="HMK213" s="537"/>
      <c r="HML213" s="537"/>
      <c r="HMM213" s="537"/>
      <c r="HMN213" s="537"/>
      <c r="HMO213" s="537"/>
      <c r="HMP213" s="537"/>
      <c r="HMQ213" s="537"/>
      <c r="HMR213" s="537"/>
      <c r="HMS213" s="537"/>
      <c r="HMT213" s="537"/>
      <c r="HMU213" s="537"/>
      <c r="HMV213" s="537"/>
      <c r="HMW213" s="537"/>
      <c r="HMX213" s="537"/>
      <c r="HMY213" s="537"/>
      <c r="HMZ213" s="537"/>
      <c r="HNA213" s="537"/>
      <c r="HNB213" s="537"/>
      <c r="HNC213" s="537"/>
      <c r="HND213" s="537"/>
      <c r="HNE213" s="537"/>
      <c r="HNF213" s="537"/>
      <c r="HNG213" s="537"/>
      <c r="HNH213" s="537"/>
      <c r="HNI213" s="537"/>
      <c r="HNJ213" s="537"/>
      <c r="HNK213" s="537"/>
      <c r="HNL213" s="537"/>
      <c r="HNM213" s="537"/>
      <c r="HNN213" s="537"/>
      <c r="HNO213" s="537"/>
      <c r="HNP213" s="537"/>
      <c r="HNQ213" s="537"/>
      <c r="HNR213" s="537"/>
      <c r="HNS213" s="537"/>
      <c r="HNT213" s="537"/>
      <c r="HNU213" s="537"/>
      <c r="HNV213" s="537"/>
      <c r="HNW213" s="537"/>
      <c r="HNX213" s="537"/>
      <c r="HNY213" s="537"/>
      <c r="HNZ213" s="537"/>
      <c r="HOA213" s="537"/>
      <c r="HOB213" s="537"/>
      <c r="HOC213" s="537"/>
      <c r="HOD213" s="537"/>
      <c r="HOE213" s="537"/>
      <c r="HOF213" s="537"/>
      <c r="HOG213" s="537"/>
      <c r="HOH213" s="537"/>
      <c r="HOI213" s="537"/>
      <c r="HOJ213" s="537"/>
      <c r="HOK213" s="537"/>
      <c r="HOL213" s="537"/>
      <c r="HOM213" s="537"/>
      <c r="HON213" s="537"/>
      <c r="HOO213" s="537"/>
      <c r="HOP213" s="537"/>
      <c r="HOQ213" s="537"/>
      <c r="HOR213" s="537"/>
      <c r="HOS213" s="537"/>
      <c r="HOT213" s="537"/>
      <c r="HOU213" s="537"/>
      <c r="HOV213" s="537"/>
      <c r="HOW213" s="537"/>
      <c r="HOX213" s="537"/>
      <c r="HOY213" s="537"/>
      <c r="HOZ213" s="537"/>
      <c r="HPA213" s="537"/>
      <c r="HPB213" s="537"/>
      <c r="HPC213" s="537"/>
      <c r="HPD213" s="537"/>
      <c r="HPE213" s="537"/>
      <c r="HPF213" s="537"/>
      <c r="HPG213" s="537"/>
      <c r="HPH213" s="537"/>
      <c r="HPI213" s="537"/>
      <c r="HPJ213" s="537"/>
      <c r="HPK213" s="537"/>
      <c r="HPL213" s="537"/>
      <c r="HPM213" s="537"/>
      <c r="HPN213" s="537"/>
      <c r="HPO213" s="537"/>
      <c r="HPP213" s="537"/>
      <c r="HPQ213" s="537"/>
      <c r="HPR213" s="537"/>
      <c r="HPS213" s="537"/>
      <c r="HPT213" s="537"/>
      <c r="HPU213" s="537"/>
      <c r="HPV213" s="537"/>
      <c r="HPW213" s="537"/>
      <c r="HPX213" s="537"/>
      <c r="HPY213" s="537"/>
      <c r="HPZ213" s="537"/>
      <c r="HQA213" s="537"/>
      <c r="HQB213" s="537"/>
      <c r="HQC213" s="537"/>
      <c r="HQD213" s="537"/>
      <c r="HQE213" s="537"/>
      <c r="HQF213" s="537"/>
      <c r="HQG213" s="537"/>
      <c r="HQH213" s="537"/>
      <c r="HQI213" s="537"/>
      <c r="HQJ213" s="537"/>
      <c r="HQK213" s="537"/>
      <c r="HQL213" s="537"/>
      <c r="HQM213" s="537"/>
      <c r="HQN213" s="537"/>
      <c r="HQO213" s="537"/>
      <c r="HQP213" s="537"/>
      <c r="HQQ213" s="537"/>
      <c r="HQR213" s="537"/>
      <c r="HQS213" s="537"/>
      <c r="HQT213" s="537"/>
      <c r="HQU213" s="537"/>
      <c r="HQV213" s="537"/>
      <c r="HQW213" s="537"/>
      <c r="HQX213" s="537"/>
      <c r="HQY213" s="537"/>
      <c r="HQZ213" s="537"/>
      <c r="HRA213" s="537"/>
      <c r="HRB213" s="537"/>
      <c r="HRC213" s="537"/>
      <c r="HRD213" s="537"/>
      <c r="HRE213" s="537"/>
      <c r="HRF213" s="537"/>
      <c r="HRG213" s="537"/>
      <c r="HRH213" s="537"/>
      <c r="HRI213" s="537"/>
      <c r="HRJ213" s="537"/>
      <c r="HRK213" s="537"/>
      <c r="HRL213" s="537"/>
      <c r="HRM213" s="537"/>
      <c r="HRN213" s="537"/>
      <c r="HRO213" s="537"/>
      <c r="HRP213" s="537"/>
      <c r="HRQ213" s="537"/>
      <c r="HRR213" s="537"/>
      <c r="HRS213" s="537"/>
      <c r="HRT213" s="537"/>
      <c r="HRU213" s="537"/>
      <c r="HRV213" s="537"/>
      <c r="HRW213" s="537"/>
      <c r="HRX213" s="537"/>
      <c r="HRY213" s="537"/>
      <c r="HRZ213" s="537"/>
      <c r="HSA213" s="537"/>
      <c r="HSB213" s="537"/>
      <c r="HSC213" s="537"/>
      <c r="HSD213" s="537"/>
      <c r="HSE213" s="537"/>
      <c r="HSF213" s="537"/>
      <c r="HSG213" s="537"/>
      <c r="HSH213" s="537"/>
      <c r="HSI213" s="537"/>
      <c r="HSJ213" s="537"/>
      <c r="HSK213" s="537"/>
      <c r="HSL213" s="537"/>
      <c r="HSM213" s="537"/>
      <c r="HSN213" s="537"/>
      <c r="HSO213" s="537"/>
      <c r="HSP213" s="537"/>
      <c r="HSQ213" s="537"/>
      <c r="HSR213" s="537"/>
      <c r="HSS213" s="537"/>
      <c r="HST213" s="537"/>
      <c r="HSU213" s="537"/>
      <c r="HSV213" s="537"/>
      <c r="HSW213" s="537"/>
      <c r="HSX213" s="537"/>
      <c r="HSY213" s="537"/>
      <c r="HSZ213" s="537"/>
      <c r="HTA213" s="537"/>
      <c r="HTB213" s="537"/>
      <c r="HTC213" s="537"/>
      <c r="HTD213" s="537"/>
      <c r="HTE213" s="537"/>
      <c r="HTF213" s="537"/>
      <c r="HTG213" s="537"/>
      <c r="HTH213" s="537"/>
      <c r="HTI213" s="537"/>
      <c r="HTJ213" s="537"/>
      <c r="HTK213" s="537"/>
      <c r="HTL213" s="537"/>
      <c r="HTM213" s="537"/>
      <c r="HTN213" s="537"/>
      <c r="HTO213" s="537"/>
      <c r="HTP213" s="537"/>
      <c r="HTQ213" s="537"/>
      <c r="HTR213" s="537"/>
      <c r="HTS213" s="537"/>
      <c r="HTT213" s="537"/>
      <c r="HTU213" s="537"/>
      <c r="HTV213" s="537"/>
      <c r="HTW213" s="537"/>
      <c r="HTX213" s="537"/>
      <c r="HTY213" s="537"/>
      <c r="HTZ213" s="537"/>
      <c r="HUA213" s="537"/>
      <c r="HUB213" s="537"/>
      <c r="HUC213" s="537"/>
      <c r="HUD213" s="537"/>
      <c r="HUE213" s="537"/>
      <c r="HUF213" s="537"/>
      <c r="HUG213" s="537"/>
      <c r="HUH213" s="537"/>
      <c r="HUI213" s="537"/>
      <c r="HUJ213" s="537"/>
      <c r="HUK213" s="537"/>
      <c r="HUL213" s="537"/>
      <c r="HUM213" s="537"/>
      <c r="HUN213" s="537"/>
      <c r="HUO213" s="537"/>
      <c r="HUP213" s="537"/>
      <c r="HUQ213" s="537"/>
      <c r="HUR213" s="537"/>
      <c r="HUS213" s="537"/>
      <c r="HUT213" s="537"/>
      <c r="HUU213" s="537"/>
      <c r="HUV213" s="537"/>
      <c r="HUW213" s="537"/>
      <c r="HUX213" s="537"/>
      <c r="HUY213" s="537"/>
      <c r="HUZ213" s="537"/>
      <c r="HVA213" s="537"/>
      <c r="HVB213" s="537"/>
      <c r="HVC213" s="537"/>
      <c r="HVD213" s="537"/>
      <c r="HVE213" s="537"/>
      <c r="HVF213" s="537"/>
      <c r="HVG213" s="537"/>
      <c r="HVH213" s="537"/>
      <c r="HVI213" s="537"/>
      <c r="HVJ213" s="537"/>
      <c r="HVK213" s="537"/>
      <c r="HVL213" s="537"/>
      <c r="HVM213" s="537"/>
      <c r="HVN213" s="537"/>
      <c r="HVO213" s="537"/>
      <c r="HVP213" s="537"/>
      <c r="HVQ213" s="537"/>
      <c r="HVR213" s="537"/>
      <c r="HVS213" s="537"/>
      <c r="HVT213" s="537"/>
      <c r="HVU213" s="537"/>
      <c r="HVV213" s="537"/>
      <c r="HVW213" s="537"/>
      <c r="HVX213" s="537"/>
      <c r="HVY213" s="537"/>
      <c r="HVZ213" s="537"/>
      <c r="HWA213" s="537"/>
      <c r="HWB213" s="537"/>
      <c r="HWC213" s="537"/>
      <c r="HWD213" s="537"/>
      <c r="HWE213" s="537"/>
      <c r="HWF213" s="537"/>
      <c r="HWG213" s="537"/>
      <c r="HWH213" s="537"/>
      <c r="HWI213" s="537"/>
      <c r="HWJ213" s="537"/>
      <c r="HWK213" s="537"/>
      <c r="HWL213" s="537"/>
      <c r="HWM213" s="537"/>
      <c r="HWN213" s="537"/>
      <c r="HWO213" s="537"/>
      <c r="HWP213" s="537"/>
      <c r="HWQ213" s="537"/>
      <c r="HWR213" s="537"/>
      <c r="HWS213" s="537"/>
      <c r="HWT213" s="537"/>
      <c r="HWU213" s="537"/>
      <c r="HWV213" s="537"/>
      <c r="HWW213" s="537"/>
      <c r="HWX213" s="537"/>
      <c r="HWY213" s="537"/>
      <c r="HWZ213" s="537"/>
      <c r="HXA213" s="537"/>
      <c r="HXB213" s="537"/>
      <c r="HXC213" s="537"/>
      <c r="HXD213" s="537"/>
      <c r="HXE213" s="537"/>
      <c r="HXF213" s="537"/>
      <c r="HXG213" s="537"/>
      <c r="HXH213" s="537"/>
      <c r="HXI213" s="537"/>
      <c r="HXJ213" s="537"/>
      <c r="HXK213" s="537"/>
      <c r="HXL213" s="537"/>
      <c r="HXM213" s="537"/>
      <c r="HXN213" s="537"/>
      <c r="HXO213" s="537"/>
      <c r="HXP213" s="537"/>
      <c r="HXQ213" s="537"/>
      <c r="HXR213" s="537"/>
      <c r="HXS213" s="537"/>
      <c r="HXT213" s="537"/>
      <c r="HXU213" s="537"/>
      <c r="HXV213" s="537"/>
      <c r="HXW213" s="537"/>
      <c r="HXX213" s="537"/>
      <c r="HXY213" s="537"/>
      <c r="HXZ213" s="537"/>
      <c r="HYA213" s="537"/>
      <c r="HYB213" s="537"/>
      <c r="HYC213" s="537"/>
      <c r="HYD213" s="537"/>
      <c r="HYE213" s="537"/>
      <c r="HYF213" s="537"/>
      <c r="HYG213" s="537"/>
      <c r="HYH213" s="537"/>
      <c r="HYI213" s="537"/>
      <c r="HYJ213" s="537"/>
      <c r="HYK213" s="537"/>
      <c r="HYL213" s="537"/>
      <c r="HYM213" s="537"/>
      <c r="HYN213" s="537"/>
      <c r="HYO213" s="537"/>
      <c r="HYP213" s="537"/>
      <c r="HYQ213" s="537"/>
      <c r="HYR213" s="537"/>
      <c r="HYS213" s="537"/>
      <c r="HYT213" s="537"/>
      <c r="HYU213" s="537"/>
      <c r="HYV213" s="537"/>
      <c r="HYW213" s="537"/>
      <c r="HYX213" s="537"/>
      <c r="HYY213" s="537"/>
      <c r="HYZ213" s="537"/>
      <c r="HZA213" s="537"/>
      <c r="HZB213" s="537"/>
      <c r="HZC213" s="537"/>
      <c r="HZD213" s="537"/>
      <c r="HZE213" s="537"/>
      <c r="HZF213" s="537"/>
      <c r="HZG213" s="537"/>
      <c r="HZH213" s="537"/>
      <c r="HZI213" s="537"/>
      <c r="HZJ213" s="537"/>
      <c r="HZK213" s="537"/>
      <c r="HZL213" s="537"/>
      <c r="HZM213" s="537"/>
      <c r="HZN213" s="537"/>
      <c r="HZO213" s="537"/>
      <c r="HZP213" s="537"/>
      <c r="HZQ213" s="537"/>
      <c r="HZR213" s="537"/>
      <c r="HZS213" s="537"/>
      <c r="HZT213" s="537"/>
      <c r="HZU213" s="537"/>
      <c r="HZV213" s="537"/>
      <c r="HZW213" s="537"/>
      <c r="HZX213" s="537"/>
      <c r="HZY213" s="537"/>
      <c r="HZZ213" s="537"/>
      <c r="IAA213" s="537"/>
      <c r="IAB213" s="537"/>
      <c r="IAC213" s="537"/>
      <c r="IAD213" s="537"/>
      <c r="IAE213" s="537"/>
      <c r="IAF213" s="537"/>
      <c r="IAG213" s="537"/>
      <c r="IAH213" s="537"/>
      <c r="IAI213" s="537"/>
      <c r="IAJ213" s="537"/>
      <c r="IAK213" s="537"/>
      <c r="IAL213" s="537"/>
      <c r="IAM213" s="537"/>
      <c r="IAN213" s="537"/>
      <c r="IAO213" s="537"/>
      <c r="IAP213" s="537"/>
      <c r="IAQ213" s="537"/>
      <c r="IAR213" s="537"/>
      <c r="IAS213" s="537"/>
      <c r="IAT213" s="537"/>
      <c r="IAU213" s="537"/>
      <c r="IAV213" s="537"/>
      <c r="IAW213" s="537"/>
      <c r="IAX213" s="537"/>
      <c r="IAY213" s="537"/>
      <c r="IAZ213" s="537"/>
      <c r="IBA213" s="537"/>
      <c r="IBB213" s="537"/>
      <c r="IBC213" s="537"/>
      <c r="IBD213" s="537"/>
      <c r="IBE213" s="537"/>
      <c r="IBF213" s="537"/>
      <c r="IBG213" s="537"/>
      <c r="IBH213" s="537"/>
      <c r="IBI213" s="537"/>
      <c r="IBJ213" s="537"/>
      <c r="IBK213" s="537"/>
      <c r="IBL213" s="537"/>
      <c r="IBM213" s="537"/>
      <c r="IBN213" s="537"/>
      <c r="IBO213" s="537"/>
      <c r="IBP213" s="537"/>
      <c r="IBQ213" s="537"/>
      <c r="IBR213" s="537"/>
      <c r="IBS213" s="537"/>
      <c r="IBT213" s="537"/>
      <c r="IBU213" s="537"/>
      <c r="IBV213" s="537"/>
      <c r="IBW213" s="537"/>
      <c r="IBX213" s="537"/>
      <c r="IBY213" s="537"/>
      <c r="IBZ213" s="537"/>
      <c r="ICA213" s="537"/>
      <c r="ICB213" s="537"/>
      <c r="ICC213" s="537"/>
      <c r="ICD213" s="537"/>
      <c r="ICE213" s="537"/>
      <c r="ICF213" s="537"/>
      <c r="ICG213" s="537"/>
      <c r="ICH213" s="537"/>
      <c r="ICI213" s="537"/>
      <c r="ICJ213" s="537"/>
      <c r="ICK213" s="537"/>
      <c r="ICL213" s="537"/>
      <c r="ICM213" s="537"/>
      <c r="ICN213" s="537"/>
      <c r="ICO213" s="537"/>
      <c r="ICP213" s="537"/>
      <c r="ICQ213" s="537"/>
      <c r="ICR213" s="537"/>
      <c r="ICS213" s="537"/>
      <c r="ICT213" s="537"/>
      <c r="ICU213" s="537"/>
      <c r="ICV213" s="537"/>
      <c r="ICW213" s="537"/>
      <c r="ICX213" s="537"/>
      <c r="ICY213" s="537"/>
      <c r="ICZ213" s="537"/>
      <c r="IDA213" s="537"/>
      <c r="IDB213" s="537"/>
      <c r="IDC213" s="537"/>
      <c r="IDD213" s="537"/>
      <c r="IDE213" s="537"/>
      <c r="IDF213" s="537"/>
      <c r="IDG213" s="537"/>
      <c r="IDH213" s="537"/>
      <c r="IDI213" s="537"/>
      <c r="IDJ213" s="537"/>
      <c r="IDK213" s="537"/>
      <c r="IDL213" s="537"/>
      <c r="IDM213" s="537"/>
      <c r="IDN213" s="537"/>
      <c r="IDO213" s="537"/>
      <c r="IDP213" s="537"/>
      <c r="IDQ213" s="537"/>
      <c r="IDR213" s="537"/>
      <c r="IDS213" s="537"/>
      <c r="IDT213" s="537"/>
      <c r="IDU213" s="537"/>
      <c r="IDV213" s="537"/>
      <c r="IDW213" s="537"/>
      <c r="IDX213" s="537"/>
      <c r="IDY213" s="537"/>
      <c r="IDZ213" s="537"/>
      <c r="IEA213" s="537"/>
      <c r="IEB213" s="537"/>
      <c r="IEC213" s="537"/>
      <c r="IED213" s="537"/>
      <c r="IEE213" s="537"/>
      <c r="IEF213" s="537"/>
      <c r="IEG213" s="537"/>
      <c r="IEH213" s="537"/>
      <c r="IEI213" s="537"/>
      <c r="IEJ213" s="537"/>
      <c r="IEK213" s="537"/>
      <c r="IEL213" s="537"/>
      <c r="IEM213" s="537"/>
      <c r="IEN213" s="537"/>
      <c r="IEO213" s="537"/>
      <c r="IEP213" s="537"/>
      <c r="IEQ213" s="537"/>
      <c r="IER213" s="537"/>
      <c r="IES213" s="537"/>
      <c r="IET213" s="537"/>
      <c r="IEU213" s="537"/>
      <c r="IEV213" s="537"/>
      <c r="IEW213" s="537"/>
      <c r="IEX213" s="537"/>
      <c r="IEY213" s="537"/>
      <c r="IEZ213" s="537"/>
      <c r="IFA213" s="537"/>
      <c r="IFB213" s="537"/>
      <c r="IFC213" s="537"/>
      <c r="IFD213" s="537"/>
      <c r="IFE213" s="537"/>
      <c r="IFF213" s="537"/>
      <c r="IFG213" s="537"/>
      <c r="IFH213" s="537"/>
      <c r="IFI213" s="537"/>
      <c r="IFJ213" s="537"/>
      <c r="IFK213" s="537"/>
      <c r="IFL213" s="537"/>
      <c r="IFM213" s="537"/>
      <c r="IFN213" s="537"/>
      <c r="IFO213" s="537"/>
      <c r="IFP213" s="537"/>
      <c r="IFQ213" s="537"/>
      <c r="IFR213" s="537"/>
      <c r="IFS213" s="537"/>
      <c r="IFT213" s="537"/>
      <c r="IFU213" s="537"/>
      <c r="IFV213" s="537"/>
      <c r="IFW213" s="537"/>
      <c r="IFX213" s="537"/>
      <c r="IFY213" s="537"/>
      <c r="IFZ213" s="537"/>
      <c r="IGA213" s="537"/>
      <c r="IGB213" s="537"/>
      <c r="IGC213" s="537"/>
      <c r="IGD213" s="537"/>
      <c r="IGE213" s="537"/>
      <c r="IGF213" s="537"/>
      <c r="IGG213" s="537"/>
      <c r="IGH213" s="537"/>
      <c r="IGI213" s="537"/>
      <c r="IGJ213" s="537"/>
      <c r="IGK213" s="537"/>
      <c r="IGL213" s="537"/>
      <c r="IGM213" s="537"/>
      <c r="IGN213" s="537"/>
      <c r="IGO213" s="537"/>
      <c r="IGP213" s="537"/>
      <c r="IGQ213" s="537"/>
      <c r="IGR213" s="537"/>
      <c r="IGS213" s="537"/>
      <c r="IGT213" s="537"/>
      <c r="IGU213" s="537"/>
      <c r="IGV213" s="537"/>
      <c r="IGW213" s="537"/>
      <c r="IGX213" s="537"/>
      <c r="IGY213" s="537"/>
      <c r="IGZ213" s="537"/>
      <c r="IHA213" s="537"/>
      <c r="IHB213" s="537"/>
      <c r="IHC213" s="537"/>
      <c r="IHD213" s="537"/>
      <c r="IHE213" s="537"/>
      <c r="IHF213" s="537"/>
      <c r="IHG213" s="537"/>
      <c r="IHH213" s="537"/>
      <c r="IHI213" s="537"/>
      <c r="IHJ213" s="537"/>
      <c r="IHK213" s="537"/>
      <c r="IHL213" s="537"/>
      <c r="IHM213" s="537"/>
      <c r="IHN213" s="537"/>
      <c r="IHO213" s="537"/>
      <c r="IHP213" s="537"/>
      <c r="IHQ213" s="537"/>
      <c r="IHR213" s="537"/>
      <c r="IHS213" s="537"/>
      <c r="IHT213" s="537"/>
      <c r="IHU213" s="537"/>
      <c r="IHV213" s="537"/>
      <c r="IHW213" s="537"/>
      <c r="IHX213" s="537"/>
      <c r="IHY213" s="537"/>
      <c r="IHZ213" s="537"/>
      <c r="IIA213" s="537"/>
      <c r="IIB213" s="537"/>
      <c r="IIC213" s="537"/>
      <c r="IID213" s="537"/>
      <c r="IIE213" s="537"/>
      <c r="IIF213" s="537"/>
      <c r="IIG213" s="537"/>
      <c r="IIH213" s="537"/>
      <c r="III213" s="537"/>
      <c r="IIJ213" s="537"/>
      <c r="IIK213" s="537"/>
      <c r="IIL213" s="537"/>
      <c r="IIM213" s="537"/>
      <c r="IIN213" s="537"/>
      <c r="IIO213" s="537"/>
      <c r="IIP213" s="537"/>
      <c r="IIQ213" s="537"/>
      <c r="IIR213" s="537"/>
      <c r="IIS213" s="537"/>
      <c r="IIT213" s="537"/>
      <c r="IIU213" s="537"/>
      <c r="IIV213" s="537"/>
      <c r="IIW213" s="537"/>
      <c r="IIX213" s="537"/>
      <c r="IIY213" s="537"/>
      <c r="IIZ213" s="537"/>
      <c r="IJA213" s="537"/>
      <c r="IJB213" s="537"/>
      <c r="IJC213" s="537"/>
      <c r="IJD213" s="537"/>
      <c r="IJE213" s="537"/>
      <c r="IJF213" s="537"/>
      <c r="IJG213" s="537"/>
      <c r="IJH213" s="537"/>
      <c r="IJI213" s="537"/>
      <c r="IJJ213" s="537"/>
      <c r="IJK213" s="537"/>
      <c r="IJL213" s="537"/>
      <c r="IJM213" s="537"/>
      <c r="IJN213" s="537"/>
      <c r="IJO213" s="537"/>
      <c r="IJP213" s="537"/>
      <c r="IJQ213" s="537"/>
      <c r="IJR213" s="537"/>
      <c r="IJS213" s="537"/>
      <c r="IJT213" s="537"/>
      <c r="IJU213" s="537"/>
      <c r="IJV213" s="537"/>
      <c r="IJW213" s="537"/>
      <c r="IJX213" s="537"/>
      <c r="IJY213" s="537"/>
      <c r="IJZ213" s="537"/>
      <c r="IKA213" s="537"/>
      <c r="IKB213" s="537"/>
      <c r="IKC213" s="537"/>
      <c r="IKD213" s="537"/>
      <c r="IKE213" s="537"/>
      <c r="IKF213" s="537"/>
      <c r="IKG213" s="537"/>
      <c r="IKH213" s="537"/>
      <c r="IKI213" s="537"/>
      <c r="IKJ213" s="537"/>
      <c r="IKK213" s="537"/>
      <c r="IKL213" s="537"/>
      <c r="IKM213" s="537"/>
      <c r="IKN213" s="537"/>
      <c r="IKO213" s="537"/>
      <c r="IKP213" s="537"/>
      <c r="IKQ213" s="537"/>
      <c r="IKR213" s="537"/>
      <c r="IKS213" s="537"/>
      <c r="IKT213" s="537"/>
      <c r="IKU213" s="537"/>
      <c r="IKV213" s="537"/>
      <c r="IKW213" s="537"/>
      <c r="IKX213" s="537"/>
      <c r="IKY213" s="537"/>
      <c r="IKZ213" s="537"/>
      <c r="ILA213" s="537"/>
      <c r="ILB213" s="537"/>
      <c r="ILC213" s="537"/>
      <c r="ILD213" s="537"/>
      <c r="ILE213" s="537"/>
      <c r="ILF213" s="537"/>
      <c r="ILG213" s="537"/>
      <c r="ILH213" s="537"/>
      <c r="ILI213" s="537"/>
      <c r="ILJ213" s="537"/>
      <c r="ILK213" s="537"/>
      <c r="ILL213" s="537"/>
      <c r="ILM213" s="537"/>
      <c r="ILN213" s="537"/>
      <c r="ILO213" s="537"/>
      <c r="ILP213" s="537"/>
      <c r="ILQ213" s="537"/>
      <c r="ILR213" s="537"/>
      <c r="ILS213" s="537"/>
      <c r="ILT213" s="537"/>
      <c r="ILU213" s="537"/>
      <c r="ILV213" s="537"/>
      <c r="ILW213" s="537"/>
      <c r="ILX213" s="537"/>
      <c r="ILY213" s="537"/>
      <c r="ILZ213" s="537"/>
      <c r="IMA213" s="537"/>
      <c r="IMB213" s="537"/>
      <c r="IMC213" s="537"/>
      <c r="IMD213" s="537"/>
      <c r="IME213" s="537"/>
      <c r="IMF213" s="537"/>
      <c r="IMG213" s="537"/>
      <c r="IMH213" s="537"/>
      <c r="IMI213" s="537"/>
      <c r="IMJ213" s="537"/>
      <c r="IMK213" s="537"/>
      <c r="IML213" s="537"/>
      <c r="IMM213" s="537"/>
      <c r="IMN213" s="537"/>
      <c r="IMO213" s="537"/>
      <c r="IMP213" s="537"/>
      <c r="IMQ213" s="537"/>
      <c r="IMR213" s="537"/>
      <c r="IMS213" s="537"/>
      <c r="IMT213" s="537"/>
      <c r="IMU213" s="537"/>
      <c r="IMV213" s="537"/>
      <c r="IMW213" s="537"/>
      <c r="IMX213" s="537"/>
      <c r="IMY213" s="537"/>
      <c r="IMZ213" s="537"/>
      <c r="INA213" s="537"/>
      <c r="INB213" s="537"/>
      <c r="INC213" s="537"/>
      <c r="IND213" s="537"/>
      <c r="INE213" s="537"/>
      <c r="INF213" s="537"/>
      <c r="ING213" s="537"/>
      <c r="INH213" s="537"/>
      <c r="INI213" s="537"/>
      <c r="INJ213" s="537"/>
      <c r="INK213" s="537"/>
      <c r="INL213" s="537"/>
      <c r="INM213" s="537"/>
      <c r="INN213" s="537"/>
      <c r="INO213" s="537"/>
      <c r="INP213" s="537"/>
      <c r="INQ213" s="537"/>
      <c r="INR213" s="537"/>
      <c r="INS213" s="537"/>
      <c r="INT213" s="537"/>
      <c r="INU213" s="537"/>
      <c r="INV213" s="537"/>
      <c r="INW213" s="537"/>
      <c r="INX213" s="537"/>
      <c r="INY213" s="537"/>
      <c r="INZ213" s="537"/>
      <c r="IOA213" s="537"/>
      <c r="IOB213" s="537"/>
      <c r="IOC213" s="537"/>
      <c r="IOD213" s="537"/>
      <c r="IOE213" s="537"/>
      <c r="IOF213" s="537"/>
      <c r="IOG213" s="537"/>
      <c r="IOH213" s="537"/>
      <c r="IOI213" s="537"/>
      <c r="IOJ213" s="537"/>
      <c r="IOK213" s="537"/>
      <c r="IOL213" s="537"/>
      <c r="IOM213" s="537"/>
      <c r="ION213" s="537"/>
      <c r="IOO213" s="537"/>
      <c r="IOP213" s="537"/>
      <c r="IOQ213" s="537"/>
      <c r="IOR213" s="537"/>
      <c r="IOS213" s="537"/>
      <c r="IOT213" s="537"/>
      <c r="IOU213" s="537"/>
      <c r="IOV213" s="537"/>
      <c r="IOW213" s="537"/>
      <c r="IOX213" s="537"/>
      <c r="IOY213" s="537"/>
      <c r="IOZ213" s="537"/>
      <c r="IPA213" s="537"/>
      <c r="IPB213" s="537"/>
      <c r="IPC213" s="537"/>
      <c r="IPD213" s="537"/>
      <c r="IPE213" s="537"/>
      <c r="IPF213" s="537"/>
      <c r="IPG213" s="537"/>
      <c r="IPH213" s="537"/>
      <c r="IPI213" s="537"/>
      <c r="IPJ213" s="537"/>
      <c r="IPK213" s="537"/>
      <c r="IPL213" s="537"/>
      <c r="IPM213" s="537"/>
      <c r="IPN213" s="537"/>
      <c r="IPO213" s="537"/>
      <c r="IPP213" s="537"/>
      <c r="IPQ213" s="537"/>
      <c r="IPR213" s="537"/>
      <c r="IPS213" s="537"/>
      <c r="IPT213" s="537"/>
      <c r="IPU213" s="537"/>
      <c r="IPV213" s="537"/>
      <c r="IPW213" s="537"/>
      <c r="IPX213" s="537"/>
      <c r="IPY213" s="537"/>
      <c r="IPZ213" s="537"/>
      <c r="IQA213" s="537"/>
      <c r="IQB213" s="537"/>
      <c r="IQC213" s="537"/>
      <c r="IQD213" s="537"/>
      <c r="IQE213" s="537"/>
      <c r="IQF213" s="537"/>
      <c r="IQG213" s="537"/>
      <c r="IQH213" s="537"/>
      <c r="IQI213" s="537"/>
      <c r="IQJ213" s="537"/>
      <c r="IQK213" s="537"/>
      <c r="IQL213" s="537"/>
      <c r="IQM213" s="537"/>
      <c r="IQN213" s="537"/>
      <c r="IQO213" s="537"/>
      <c r="IQP213" s="537"/>
      <c r="IQQ213" s="537"/>
      <c r="IQR213" s="537"/>
      <c r="IQS213" s="537"/>
      <c r="IQT213" s="537"/>
      <c r="IQU213" s="537"/>
      <c r="IQV213" s="537"/>
      <c r="IQW213" s="537"/>
      <c r="IQX213" s="537"/>
      <c r="IQY213" s="537"/>
      <c r="IQZ213" s="537"/>
      <c r="IRA213" s="537"/>
      <c r="IRB213" s="537"/>
      <c r="IRC213" s="537"/>
      <c r="IRD213" s="537"/>
      <c r="IRE213" s="537"/>
      <c r="IRF213" s="537"/>
      <c r="IRG213" s="537"/>
      <c r="IRH213" s="537"/>
      <c r="IRI213" s="537"/>
      <c r="IRJ213" s="537"/>
      <c r="IRK213" s="537"/>
      <c r="IRL213" s="537"/>
      <c r="IRM213" s="537"/>
      <c r="IRN213" s="537"/>
      <c r="IRO213" s="537"/>
      <c r="IRP213" s="537"/>
      <c r="IRQ213" s="537"/>
      <c r="IRR213" s="537"/>
      <c r="IRS213" s="537"/>
      <c r="IRT213" s="537"/>
      <c r="IRU213" s="537"/>
      <c r="IRV213" s="537"/>
      <c r="IRW213" s="537"/>
      <c r="IRX213" s="537"/>
      <c r="IRY213" s="537"/>
      <c r="IRZ213" s="537"/>
      <c r="ISA213" s="537"/>
      <c r="ISB213" s="537"/>
      <c r="ISC213" s="537"/>
      <c r="ISD213" s="537"/>
      <c r="ISE213" s="537"/>
      <c r="ISF213" s="537"/>
      <c r="ISG213" s="537"/>
      <c r="ISH213" s="537"/>
      <c r="ISI213" s="537"/>
      <c r="ISJ213" s="537"/>
      <c r="ISK213" s="537"/>
      <c r="ISL213" s="537"/>
      <c r="ISM213" s="537"/>
      <c r="ISN213" s="537"/>
      <c r="ISO213" s="537"/>
      <c r="ISP213" s="537"/>
      <c r="ISQ213" s="537"/>
      <c r="ISR213" s="537"/>
      <c r="ISS213" s="537"/>
      <c r="IST213" s="537"/>
      <c r="ISU213" s="537"/>
      <c r="ISV213" s="537"/>
      <c r="ISW213" s="537"/>
      <c r="ISX213" s="537"/>
      <c r="ISY213" s="537"/>
      <c r="ISZ213" s="537"/>
      <c r="ITA213" s="537"/>
      <c r="ITB213" s="537"/>
      <c r="ITC213" s="537"/>
      <c r="ITD213" s="537"/>
      <c r="ITE213" s="537"/>
      <c r="ITF213" s="537"/>
      <c r="ITG213" s="537"/>
      <c r="ITH213" s="537"/>
      <c r="ITI213" s="537"/>
      <c r="ITJ213" s="537"/>
      <c r="ITK213" s="537"/>
      <c r="ITL213" s="537"/>
      <c r="ITM213" s="537"/>
      <c r="ITN213" s="537"/>
      <c r="ITO213" s="537"/>
      <c r="ITP213" s="537"/>
      <c r="ITQ213" s="537"/>
      <c r="ITR213" s="537"/>
      <c r="ITS213" s="537"/>
      <c r="ITT213" s="537"/>
      <c r="ITU213" s="537"/>
      <c r="ITV213" s="537"/>
      <c r="ITW213" s="537"/>
      <c r="ITX213" s="537"/>
      <c r="ITY213" s="537"/>
      <c r="ITZ213" s="537"/>
      <c r="IUA213" s="537"/>
      <c r="IUB213" s="537"/>
      <c r="IUC213" s="537"/>
      <c r="IUD213" s="537"/>
      <c r="IUE213" s="537"/>
      <c r="IUF213" s="537"/>
      <c r="IUG213" s="537"/>
      <c r="IUH213" s="537"/>
      <c r="IUI213" s="537"/>
      <c r="IUJ213" s="537"/>
      <c r="IUK213" s="537"/>
      <c r="IUL213" s="537"/>
      <c r="IUM213" s="537"/>
      <c r="IUN213" s="537"/>
      <c r="IUO213" s="537"/>
      <c r="IUP213" s="537"/>
      <c r="IUQ213" s="537"/>
      <c r="IUR213" s="537"/>
      <c r="IUS213" s="537"/>
      <c r="IUT213" s="537"/>
      <c r="IUU213" s="537"/>
      <c r="IUV213" s="537"/>
      <c r="IUW213" s="537"/>
      <c r="IUX213" s="537"/>
      <c r="IUY213" s="537"/>
      <c r="IUZ213" s="537"/>
      <c r="IVA213" s="537"/>
      <c r="IVB213" s="537"/>
      <c r="IVC213" s="537"/>
      <c r="IVD213" s="537"/>
      <c r="IVE213" s="537"/>
      <c r="IVF213" s="537"/>
      <c r="IVG213" s="537"/>
      <c r="IVH213" s="537"/>
      <c r="IVI213" s="537"/>
      <c r="IVJ213" s="537"/>
      <c r="IVK213" s="537"/>
      <c r="IVL213" s="537"/>
      <c r="IVM213" s="537"/>
      <c r="IVN213" s="537"/>
      <c r="IVO213" s="537"/>
      <c r="IVP213" s="537"/>
      <c r="IVQ213" s="537"/>
      <c r="IVR213" s="537"/>
      <c r="IVS213" s="537"/>
      <c r="IVT213" s="537"/>
      <c r="IVU213" s="537"/>
      <c r="IVV213" s="537"/>
      <c r="IVW213" s="537"/>
      <c r="IVX213" s="537"/>
      <c r="IVY213" s="537"/>
      <c r="IVZ213" s="537"/>
      <c r="IWA213" s="537"/>
      <c r="IWB213" s="537"/>
      <c r="IWC213" s="537"/>
      <c r="IWD213" s="537"/>
      <c r="IWE213" s="537"/>
      <c r="IWF213" s="537"/>
      <c r="IWG213" s="537"/>
      <c r="IWH213" s="537"/>
      <c r="IWI213" s="537"/>
      <c r="IWJ213" s="537"/>
      <c r="IWK213" s="537"/>
      <c r="IWL213" s="537"/>
      <c r="IWM213" s="537"/>
      <c r="IWN213" s="537"/>
      <c r="IWO213" s="537"/>
      <c r="IWP213" s="537"/>
      <c r="IWQ213" s="537"/>
      <c r="IWR213" s="537"/>
      <c r="IWS213" s="537"/>
      <c r="IWT213" s="537"/>
      <c r="IWU213" s="537"/>
      <c r="IWV213" s="537"/>
      <c r="IWW213" s="537"/>
      <c r="IWX213" s="537"/>
      <c r="IWY213" s="537"/>
      <c r="IWZ213" s="537"/>
      <c r="IXA213" s="537"/>
      <c r="IXB213" s="537"/>
      <c r="IXC213" s="537"/>
      <c r="IXD213" s="537"/>
      <c r="IXE213" s="537"/>
      <c r="IXF213" s="537"/>
      <c r="IXG213" s="537"/>
      <c r="IXH213" s="537"/>
      <c r="IXI213" s="537"/>
      <c r="IXJ213" s="537"/>
      <c r="IXK213" s="537"/>
      <c r="IXL213" s="537"/>
      <c r="IXM213" s="537"/>
      <c r="IXN213" s="537"/>
      <c r="IXO213" s="537"/>
      <c r="IXP213" s="537"/>
      <c r="IXQ213" s="537"/>
      <c r="IXR213" s="537"/>
      <c r="IXS213" s="537"/>
      <c r="IXT213" s="537"/>
      <c r="IXU213" s="537"/>
      <c r="IXV213" s="537"/>
      <c r="IXW213" s="537"/>
      <c r="IXX213" s="537"/>
      <c r="IXY213" s="537"/>
      <c r="IXZ213" s="537"/>
      <c r="IYA213" s="537"/>
      <c r="IYB213" s="537"/>
      <c r="IYC213" s="537"/>
      <c r="IYD213" s="537"/>
      <c r="IYE213" s="537"/>
      <c r="IYF213" s="537"/>
      <c r="IYG213" s="537"/>
      <c r="IYH213" s="537"/>
      <c r="IYI213" s="537"/>
      <c r="IYJ213" s="537"/>
      <c r="IYK213" s="537"/>
      <c r="IYL213" s="537"/>
      <c r="IYM213" s="537"/>
      <c r="IYN213" s="537"/>
      <c r="IYO213" s="537"/>
      <c r="IYP213" s="537"/>
      <c r="IYQ213" s="537"/>
      <c r="IYR213" s="537"/>
      <c r="IYS213" s="537"/>
      <c r="IYT213" s="537"/>
      <c r="IYU213" s="537"/>
      <c r="IYV213" s="537"/>
      <c r="IYW213" s="537"/>
      <c r="IYX213" s="537"/>
      <c r="IYY213" s="537"/>
      <c r="IYZ213" s="537"/>
      <c r="IZA213" s="537"/>
      <c r="IZB213" s="537"/>
      <c r="IZC213" s="537"/>
      <c r="IZD213" s="537"/>
      <c r="IZE213" s="537"/>
      <c r="IZF213" s="537"/>
      <c r="IZG213" s="537"/>
      <c r="IZH213" s="537"/>
      <c r="IZI213" s="537"/>
      <c r="IZJ213" s="537"/>
      <c r="IZK213" s="537"/>
      <c r="IZL213" s="537"/>
      <c r="IZM213" s="537"/>
      <c r="IZN213" s="537"/>
      <c r="IZO213" s="537"/>
      <c r="IZP213" s="537"/>
      <c r="IZQ213" s="537"/>
      <c r="IZR213" s="537"/>
      <c r="IZS213" s="537"/>
      <c r="IZT213" s="537"/>
      <c r="IZU213" s="537"/>
      <c r="IZV213" s="537"/>
      <c r="IZW213" s="537"/>
      <c r="IZX213" s="537"/>
      <c r="IZY213" s="537"/>
      <c r="IZZ213" s="537"/>
      <c r="JAA213" s="537"/>
      <c r="JAB213" s="537"/>
      <c r="JAC213" s="537"/>
      <c r="JAD213" s="537"/>
      <c r="JAE213" s="537"/>
      <c r="JAF213" s="537"/>
      <c r="JAG213" s="537"/>
      <c r="JAH213" s="537"/>
      <c r="JAI213" s="537"/>
      <c r="JAJ213" s="537"/>
      <c r="JAK213" s="537"/>
      <c r="JAL213" s="537"/>
      <c r="JAM213" s="537"/>
      <c r="JAN213" s="537"/>
      <c r="JAO213" s="537"/>
      <c r="JAP213" s="537"/>
      <c r="JAQ213" s="537"/>
      <c r="JAR213" s="537"/>
      <c r="JAS213" s="537"/>
      <c r="JAT213" s="537"/>
      <c r="JAU213" s="537"/>
      <c r="JAV213" s="537"/>
      <c r="JAW213" s="537"/>
      <c r="JAX213" s="537"/>
      <c r="JAY213" s="537"/>
      <c r="JAZ213" s="537"/>
      <c r="JBA213" s="537"/>
      <c r="JBB213" s="537"/>
      <c r="JBC213" s="537"/>
      <c r="JBD213" s="537"/>
      <c r="JBE213" s="537"/>
      <c r="JBF213" s="537"/>
      <c r="JBG213" s="537"/>
      <c r="JBH213" s="537"/>
      <c r="JBI213" s="537"/>
      <c r="JBJ213" s="537"/>
      <c r="JBK213" s="537"/>
      <c r="JBL213" s="537"/>
      <c r="JBM213" s="537"/>
      <c r="JBN213" s="537"/>
      <c r="JBO213" s="537"/>
      <c r="JBP213" s="537"/>
      <c r="JBQ213" s="537"/>
      <c r="JBR213" s="537"/>
      <c r="JBS213" s="537"/>
      <c r="JBT213" s="537"/>
      <c r="JBU213" s="537"/>
      <c r="JBV213" s="537"/>
      <c r="JBW213" s="537"/>
      <c r="JBX213" s="537"/>
      <c r="JBY213" s="537"/>
      <c r="JBZ213" s="537"/>
      <c r="JCA213" s="537"/>
      <c r="JCB213" s="537"/>
      <c r="JCC213" s="537"/>
      <c r="JCD213" s="537"/>
      <c r="JCE213" s="537"/>
      <c r="JCF213" s="537"/>
      <c r="JCG213" s="537"/>
      <c r="JCH213" s="537"/>
      <c r="JCI213" s="537"/>
      <c r="JCJ213" s="537"/>
      <c r="JCK213" s="537"/>
      <c r="JCL213" s="537"/>
      <c r="JCM213" s="537"/>
      <c r="JCN213" s="537"/>
      <c r="JCO213" s="537"/>
      <c r="JCP213" s="537"/>
      <c r="JCQ213" s="537"/>
      <c r="JCR213" s="537"/>
      <c r="JCS213" s="537"/>
      <c r="JCT213" s="537"/>
      <c r="JCU213" s="537"/>
      <c r="JCV213" s="537"/>
      <c r="JCW213" s="537"/>
      <c r="JCX213" s="537"/>
      <c r="JCY213" s="537"/>
      <c r="JCZ213" s="537"/>
      <c r="JDA213" s="537"/>
      <c r="JDB213" s="537"/>
      <c r="JDC213" s="537"/>
      <c r="JDD213" s="537"/>
      <c r="JDE213" s="537"/>
      <c r="JDF213" s="537"/>
      <c r="JDG213" s="537"/>
      <c r="JDH213" s="537"/>
      <c r="JDI213" s="537"/>
      <c r="JDJ213" s="537"/>
      <c r="JDK213" s="537"/>
      <c r="JDL213" s="537"/>
      <c r="JDM213" s="537"/>
      <c r="JDN213" s="537"/>
      <c r="JDO213" s="537"/>
      <c r="JDP213" s="537"/>
      <c r="JDQ213" s="537"/>
      <c r="JDR213" s="537"/>
      <c r="JDS213" s="537"/>
      <c r="JDT213" s="537"/>
      <c r="JDU213" s="537"/>
      <c r="JDV213" s="537"/>
      <c r="JDW213" s="537"/>
      <c r="JDX213" s="537"/>
      <c r="JDY213" s="537"/>
      <c r="JDZ213" s="537"/>
      <c r="JEA213" s="537"/>
      <c r="JEB213" s="537"/>
      <c r="JEC213" s="537"/>
      <c r="JED213" s="537"/>
      <c r="JEE213" s="537"/>
      <c r="JEF213" s="537"/>
      <c r="JEG213" s="537"/>
      <c r="JEH213" s="537"/>
      <c r="JEI213" s="537"/>
      <c r="JEJ213" s="537"/>
      <c r="JEK213" s="537"/>
      <c r="JEL213" s="537"/>
      <c r="JEM213" s="537"/>
      <c r="JEN213" s="537"/>
      <c r="JEO213" s="537"/>
      <c r="JEP213" s="537"/>
      <c r="JEQ213" s="537"/>
      <c r="JER213" s="537"/>
      <c r="JES213" s="537"/>
      <c r="JET213" s="537"/>
      <c r="JEU213" s="537"/>
      <c r="JEV213" s="537"/>
      <c r="JEW213" s="537"/>
      <c r="JEX213" s="537"/>
      <c r="JEY213" s="537"/>
      <c r="JEZ213" s="537"/>
      <c r="JFA213" s="537"/>
      <c r="JFB213" s="537"/>
      <c r="JFC213" s="537"/>
      <c r="JFD213" s="537"/>
      <c r="JFE213" s="537"/>
      <c r="JFF213" s="537"/>
      <c r="JFG213" s="537"/>
      <c r="JFH213" s="537"/>
      <c r="JFI213" s="537"/>
      <c r="JFJ213" s="537"/>
      <c r="JFK213" s="537"/>
      <c r="JFL213" s="537"/>
      <c r="JFM213" s="537"/>
      <c r="JFN213" s="537"/>
      <c r="JFO213" s="537"/>
      <c r="JFP213" s="537"/>
      <c r="JFQ213" s="537"/>
      <c r="JFR213" s="537"/>
      <c r="JFS213" s="537"/>
      <c r="JFT213" s="537"/>
      <c r="JFU213" s="537"/>
      <c r="JFV213" s="537"/>
      <c r="JFW213" s="537"/>
      <c r="JFX213" s="537"/>
      <c r="JFY213" s="537"/>
      <c r="JFZ213" s="537"/>
      <c r="JGA213" s="537"/>
      <c r="JGB213" s="537"/>
      <c r="JGC213" s="537"/>
      <c r="JGD213" s="537"/>
      <c r="JGE213" s="537"/>
      <c r="JGF213" s="537"/>
      <c r="JGG213" s="537"/>
      <c r="JGH213" s="537"/>
      <c r="JGI213" s="537"/>
      <c r="JGJ213" s="537"/>
      <c r="JGK213" s="537"/>
      <c r="JGL213" s="537"/>
      <c r="JGM213" s="537"/>
      <c r="JGN213" s="537"/>
      <c r="JGO213" s="537"/>
      <c r="JGP213" s="537"/>
      <c r="JGQ213" s="537"/>
      <c r="JGR213" s="537"/>
      <c r="JGS213" s="537"/>
      <c r="JGT213" s="537"/>
      <c r="JGU213" s="537"/>
      <c r="JGV213" s="537"/>
      <c r="JGW213" s="537"/>
      <c r="JGX213" s="537"/>
      <c r="JGY213" s="537"/>
      <c r="JGZ213" s="537"/>
      <c r="JHA213" s="537"/>
      <c r="JHB213" s="537"/>
      <c r="JHC213" s="537"/>
      <c r="JHD213" s="537"/>
      <c r="JHE213" s="537"/>
      <c r="JHF213" s="537"/>
      <c r="JHG213" s="537"/>
      <c r="JHH213" s="537"/>
      <c r="JHI213" s="537"/>
      <c r="JHJ213" s="537"/>
      <c r="JHK213" s="537"/>
      <c r="JHL213" s="537"/>
      <c r="JHM213" s="537"/>
      <c r="JHN213" s="537"/>
      <c r="JHO213" s="537"/>
      <c r="JHP213" s="537"/>
      <c r="JHQ213" s="537"/>
      <c r="JHR213" s="537"/>
      <c r="JHS213" s="537"/>
      <c r="JHT213" s="537"/>
      <c r="JHU213" s="537"/>
      <c r="JHV213" s="537"/>
      <c r="JHW213" s="537"/>
      <c r="JHX213" s="537"/>
      <c r="JHY213" s="537"/>
      <c r="JHZ213" s="537"/>
      <c r="JIA213" s="537"/>
      <c r="JIB213" s="537"/>
      <c r="JIC213" s="537"/>
      <c r="JID213" s="537"/>
      <c r="JIE213" s="537"/>
      <c r="JIF213" s="537"/>
      <c r="JIG213" s="537"/>
      <c r="JIH213" s="537"/>
      <c r="JII213" s="537"/>
      <c r="JIJ213" s="537"/>
      <c r="JIK213" s="537"/>
      <c r="JIL213" s="537"/>
      <c r="JIM213" s="537"/>
      <c r="JIN213" s="537"/>
      <c r="JIO213" s="537"/>
      <c r="JIP213" s="537"/>
      <c r="JIQ213" s="537"/>
      <c r="JIR213" s="537"/>
      <c r="JIS213" s="537"/>
      <c r="JIT213" s="537"/>
      <c r="JIU213" s="537"/>
      <c r="JIV213" s="537"/>
      <c r="JIW213" s="537"/>
      <c r="JIX213" s="537"/>
      <c r="JIY213" s="537"/>
      <c r="JIZ213" s="537"/>
      <c r="JJA213" s="537"/>
      <c r="JJB213" s="537"/>
      <c r="JJC213" s="537"/>
      <c r="JJD213" s="537"/>
      <c r="JJE213" s="537"/>
      <c r="JJF213" s="537"/>
      <c r="JJG213" s="537"/>
      <c r="JJH213" s="537"/>
      <c r="JJI213" s="537"/>
      <c r="JJJ213" s="537"/>
      <c r="JJK213" s="537"/>
      <c r="JJL213" s="537"/>
      <c r="JJM213" s="537"/>
      <c r="JJN213" s="537"/>
      <c r="JJO213" s="537"/>
      <c r="JJP213" s="537"/>
      <c r="JJQ213" s="537"/>
      <c r="JJR213" s="537"/>
      <c r="JJS213" s="537"/>
      <c r="JJT213" s="537"/>
      <c r="JJU213" s="537"/>
      <c r="JJV213" s="537"/>
      <c r="JJW213" s="537"/>
      <c r="JJX213" s="537"/>
      <c r="JJY213" s="537"/>
      <c r="JJZ213" s="537"/>
      <c r="JKA213" s="537"/>
      <c r="JKB213" s="537"/>
      <c r="JKC213" s="537"/>
      <c r="JKD213" s="537"/>
      <c r="JKE213" s="537"/>
      <c r="JKF213" s="537"/>
      <c r="JKG213" s="537"/>
      <c r="JKH213" s="537"/>
      <c r="JKI213" s="537"/>
      <c r="JKJ213" s="537"/>
      <c r="JKK213" s="537"/>
      <c r="JKL213" s="537"/>
      <c r="JKM213" s="537"/>
      <c r="JKN213" s="537"/>
      <c r="JKO213" s="537"/>
      <c r="JKP213" s="537"/>
      <c r="JKQ213" s="537"/>
      <c r="JKR213" s="537"/>
      <c r="JKS213" s="537"/>
      <c r="JKT213" s="537"/>
      <c r="JKU213" s="537"/>
      <c r="JKV213" s="537"/>
      <c r="JKW213" s="537"/>
      <c r="JKX213" s="537"/>
      <c r="JKY213" s="537"/>
      <c r="JKZ213" s="537"/>
      <c r="JLA213" s="537"/>
      <c r="JLB213" s="537"/>
      <c r="JLC213" s="537"/>
      <c r="JLD213" s="537"/>
      <c r="JLE213" s="537"/>
      <c r="JLF213" s="537"/>
      <c r="JLG213" s="537"/>
      <c r="JLH213" s="537"/>
      <c r="JLI213" s="537"/>
      <c r="JLJ213" s="537"/>
      <c r="JLK213" s="537"/>
      <c r="JLL213" s="537"/>
      <c r="JLM213" s="537"/>
      <c r="JLN213" s="537"/>
      <c r="JLO213" s="537"/>
      <c r="JLP213" s="537"/>
      <c r="JLQ213" s="537"/>
      <c r="JLR213" s="537"/>
      <c r="JLS213" s="537"/>
      <c r="JLT213" s="537"/>
      <c r="JLU213" s="537"/>
      <c r="JLV213" s="537"/>
      <c r="JLW213" s="537"/>
      <c r="JLX213" s="537"/>
      <c r="JLY213" s="537"/>
      <c r="JLZ213" s="537"/>
      <c r="JMA213" s="537"/>
      <c r="JMB213" s="537"/>
      <c r="JMC213" s="537"/>
      <c r="JMD213" s="537"/>
      <c r="JME213" s="537"/>
      <c r="JMF213" s="537"/>
      <c r="JMG213" s="537"/>
      <c r="JMH213" s="537"/>
      <c r="JMI213" s="537"/>
      <c r="JMJ213" s="537"/>
      <c r="JMK213" s="537"/>
      <c r="JML213" s="537"/>
      <c r="JMM213" s="537"/>
      <c r="JMN213" s="537"/>
      <c r="JMO213" s="537"/>
      <c r="JMP213" s="537"/>
      <c r="JMQ213" s="537"/>
      <c r="JMR213" s="537"/>
      <c r="JMS213" s="537"/>
      <c r="JMT213" s="537"/>
      <c r="JMU213" s="537"/>
      <c r="JMV213" s="537"/>
      <c r="JMW213" s="537"/>
      <c r="JMX213" s="537"/>
      <c r="JMY213" s="537"/>
      <c r="JMZ213" s="537"/>
      <c r="JNA213" s="537"/>
      <c r="JNB213" s="537"/>
      <c r="JNC213" s="537"/>
      <c r="JND213" s="537"/>
      <c r="JNE213" s="537"/>
      <c r="JNF213" s="537"/>
      <c r="JNG213" s="537"/>
      <c r="JNH213" s="537"/>
      <c r="JNI213" s="537"/>
      <c r="JNJ213" s="537"/>
      <c r="JNK213" s="537"/>
      <c r="JNL213" s="537"/>
      <c r="JNM213" s="537"/>
      <c r="JNN213" s="537"/>
      <c r="JNO213" s="537"/>
      <c r="JNP213" s="537"/>
      <c r="JNQ213" s="537"/>
      <c r="JNR213" s="537"/>
      <c r="JNS213" s="537"/>
      <c r="JNT213" s="537"/>
      <c r="JNU213" s="537"/>
      <c r="JNV213" s="537"/>
      <c r="JNW213" s="537"/>
      <c r="JNX213" s="537"/>
      <c r="JNY213" s="537"/>
      <c r="JNZ213" s="537"/>
      <c r="JOA213" s="537"/>
      <c r="JOB213" s="537"/>
      <c r="JOC213" s="537"/>
      <c r="JOD213" s="537"/>
      <c r="JOE213" s="537"/>
      <c r="JOF213" s="537"/>
      <c r="JOG213" s="537"/>
      <c r="JOH213" s="537"/>
      <c r="JOI213" s="537"/>
      <c r="JOJ213" s="537"/>
      <c r="JOK213" s="537"/>
      <c r="JOL213" s="537"/>
      <c r="JOM213" s="537"/>
      <c r="JON213" s="537"/>
      <c r="JOO213" s="537"/>
      <c r="JOP213" s="537"/>
      <c r="JOQ213" s="537"/>
      <c r="JOR213" s="537"/>
      <c r="JOS213" s="537"/>
      <c r="JOT213" s="537"/>
      <c r="JOU213" s="537"/>
      <c r="JOV213" s="537"/>
      <c r="JOW213" s="537"/>
      <c r="JOX213" s="537"/>
      <c r="JOY213" s="537"/>
      <c r="JOZ213" s="537"/>
      <c r="JPA213" s="537"/>
      <c r="JPB213" s="537"/>
      <c r="JPC213" s="537"/>
      <c r="JPD213" s="537"/>
      <c r="JPE213" s="537"/>
      <c r="JPF213" s="537"/>
      <c r="JPG213" s="537"/>
      <c r="JPH213" s="537"/>
      <c r="JPI213" s="537"/>
      <c r="JPJ213" s="537"/>
      <c r="JPK213" s="537"/>
      <c r="JPL213" s="537"/>
      <c r="JPM213" s="537"/>
      <c r="JPN213" s="537"/>
      <c r="JPO213" s="537"/>
      <c r="JPP213" s="537"/>
      <c r="JPQ213" s="537"/>
      <c r="JPR213" s="537"/>
      <c r="JPS213" s="537"/>
      <c r="JPT213" s="537"/>
      <c r="JPU213" s="537"/>
      <c r="JPV213" s="537"/>
      <c r="JPW213" s="537"/>
      <c r="JPX213" s="537"/>
      <c r="JPY213" s="537"/>
      <c r="JPZ213" s="537"/>
      <c r="JQA213" s="537"/>
      <c r="JQB213" s="537"/>
      <c r="JQC213" s="537"/>
      <c r="JQD213" s="537"/>
      <c r="JQE213" s="537"/>
      <c r="JQF213" s="537"/>
      <c r="JQG213" s="537"/>
      <c r="JQH213" s="537"/>
      <c r="JQI213" s="537"/>
      <c r="JQJ213" s="537"/>
      <c r="JQK213" s="537"/>
      <c r="JQL213" s="537"/>
      <c r="JQM213" s="537"/>
      <c r="JQN213" s="537"/>
      <c r="JQO213" s="537"/>
      <c r="JQP213" s="537"/>
      <c r="JQQ213" s="537"/>
      <c r="JQR213" s="537"/>
      <c r="JQS213" s="537"/>
      <c r="JQT213" s="537"/>
      <c r="JQU213" s="537"/>
      <c r="JQV213" s="537"/>
      <c r="JQW213" s="537"/>
      <c r="JQX213" s="537"/>
      <c r="JQY213" s="537"/>
      <c r="JQZ213" s="537"/>
      <c r="JRA213" s="537"/>
      <c r="JRB213" s="537"/>
      <c r="JRC213" s="537"/>
      <c r="JRD213" s="537"/>
      <c r="JRE213" s="537"/>
      <c r="JRF213" s="537"/>
      <c r="JRG213" s="537"/>
      <c r="JRH213" s="537"/>
      <c r="JRI213" s="537"/>
      <c r="JRJ213" s="537"/>
      <c r="JRK213" s="537"/>
      <c r="JRL213" s="537"/>
      <c r="JRM213" s="537"/>
      <c r="JRN213" s="537"/>
      <c r="JRO213" s="537"/>
      <c r="JRP213" s="537"/>
      <c r="JRQ213" s="537"/>
      <c r="JRR213" s="537"/>
      <c r="JRS213" s="537"/>
      <c r="JRT213" s="537"/>
      <c r="JRU213" s="537"/>
      <c r="JRV213" s="537"/>
      <c r="JRW213" s="537"/>
      <c r="JRX213" s="537"/>
      <c r="JRY213" s="537"/>
      <c r="JRZ213" s="537"/>
      <c r="JSA213" s="537"/>
      <c r="JSB213" s="537"/>
      <c r="JSC213" s="537"/>
      <c r="JSD213" s="537"/>
      <c r="JSE213" s="537"/>
      <c r="JSF213" s="537"/>
      <c r="JSG213" s="537"/>
      <c r="JSH213" s="537"/>
      <c r="JSI213" s="537"/>
      <c r="JSJ213" s="537"/>
      <c r="JSK213" s="537"/>
      <c r="JSL213" s="537"/>
      <c r="JSM213" s="537"/>
      <c r="JSN213" s="537"/>
      <c r="JSO213" s="537"/>
      <c r="JSP213" s="537"/>
      <c r="JSQ213" s="537"/>
      <c r="JSR213" s="537"/>
      <c r="JSS213" s="537"/>
      <c r="JST213" s="537"/>
      <c r="JSU213" s="537"/>
      <c r="JSV213" s="537"/>
      <c r="JSW213" s="537"/>
      <c r="JSX213" s="537"/>
      <c r="JSY213" s="537"/>
      <c r="JSZ213" s="537"/>
      <c r="JTA213" s="537"/>
      <c r="JTB213" s="537"/>
      <c r="JTC213" s="537"/>
      <c r="JTD213" s="537"/>
      <c r="JTE213" s="537"/>
      <c r="JTF213" s="537"/>
      <c r="JTG213" s="537"/>
      <c r="JTH213" s="537"/>
      <c r="JTI213" s="537"/>
      <c r="JTJ213" s="537"/>
      <c r="JTK213" s="537"/>
      <c r="JTL213" s="537"/>
      <c r="JTM213" s="537"/>
      <c r="JTN213" s="537"/>
      <c r="JTO213" s="537"/>
      <c r="JTP213" s="537"/>
      <c r="JTQ213" s="537"/>
      <c r="JTR213" s="537"/>
      <c r="JTS213" s="537"/>
      <c r="JTT213" s="537"/>
      <c r="JTU213" s="537"/>
      <c r="JTV213" s="537"/>
      <c r="JTW213" s="537"/>
      <c r="JTX213" s="537"/>
      <c r="JTY213" s="537"/>
      <c r="JTZ213" s="537"/>
      <c r="JUA213" s="537"/>
      <c r="JUB213" s="537"/>
      <c r="JUC213" s="537"/>
      <c r="JUD213" s="537"/>
      <c r="JUE213" s="537"/>
      <c r="JUF213" s="537"/>
      <c r="JUG213" s="537"/>
      <c r="JUH213" s="537"/>
      <c r="JUI213" s="537"/>
      <c r="JUJ213" s="537"/>
      <c r="JUK213" s="537"/>
      <c r="JUL213" s="537"/>
      <c r="JUM213" s="537"/>
      <c r="JUN213" s="537"/>
      <c r="JUO213" s="537"/>
      <c r="JUP213" s="537"/>
      <c r="JUQ213" s="537"/>
      <c r="JUR213" s="537"/>
      <c r="JUS213" s="537"/>
      <c r="JUT213" s="537"/>
      <c r="JUU213" s="537"/>
      <c r="JUV213" s="537"/>
      <c r="JUW213" s="537"/>
      <c r="JUX213" s="537"/>
      <c r="JUY213" s="537"/>
      <c r="JUZ213" s="537"/>
      <c r="JVA213" s="537"/>
      <c r="JVB213" s="537"/>
      <c r="JVC213" s="537"/>
      <c r="JVD213" s="537"/>
      <c r="JVE213" s="537"/>
      <c r="JVF213" s="537"/>
      <c r="JVG213" s="537"/>
      <c r="JVH213" s="537"/>
      <c r="JVI213" s="537"/>
      <c r="JVJ213" s="537"/>
      <c r="JVK213" s="537"/>
      <c r="JVL213" s="537"/>
      <c r="JVM213" s="537"/>
      <c r="JVN213" s="537"/>
      <c r="JVO213" s="537"/>
      <c r="JVP213" s="537"/>
      <c r="JVQ213" s="537"/>
      <c r="JVR213" s="537"/>
      <c r="JVS213" s="537"/>
      <c r="JVT213" s="537"/>
      <c r="JVU213" s="537"/>
      <c r="JVV213" s="537"/>
      <c r="JVW213" s="537"/>
      <c r="JVX213" s="537"/>
      <c r="JVY213" s="537"/>
      <c r="JVZ213" s="537"/>
      <c r="JWA213" s="537"/>
      <c r="JWB213" s="537"/>
      <c r="JWC213" s="537"/>
      <c r="JWD213" s="537"/>
      <c r="JWE213" s="537"/>
      <c r="JWF213" s="537"/>
      <c r="JWG213" s="537"/>
      <c r="JWH213" s="537"/>
      <c r="JWI213" s="537"/>
      <c r="JWJ213" s="537"/>
      <c r="JWK213" s="537"/>
      <c r="JWL213" s="537"/>
      <c r="JWM213" s="537"/>
      <c r="JWN213" s="537"/>
      <c r="JWO213" s="537"/>
      <c r="JWP213" s="537"/>
      <c r="JWQ213" s="537"/>
      <c r="JWR213" s="537"/>
      <c r="JWS213" s="537"/>
      <c r="JWT213" s="537"/>
      <c r="JWU213" s="537"/>
      <c r="JWV213" s="537"/>
      <c r="JWW213" s="537"/>
      <c r="JWX213" s="537"/>
      <c r="JWY213" s="537"/>
      <c r="JWZ213" s="537"/>
      <c r="JXA213" s="537"/>
      <c r="JXB213" s="537"/>
      <c r="JXC213" s="537"/>
      <c r="JXD213" s="537"/>
      <c r="JXE213" s="537"/>
      <c r="JXF213" s="537"/>
      <c r="JXG213" s="537"/>
      <c r="JXH213" s="537"/>
      <c r="JXI213" s="537"/>
      <c r="JXJ213" s="537"/>
      <c r="JXK213" s="537"/>
      <c r="JXL213" s="537"/>
      <c r="JXM213" s="537"/>
      <c r="JXN213" s="537"/>
      <c r="JXO213" s="537"/>
      <c r="JXP213" s="537"/>
      <c r="JXQ213" s="537"/>
      <c r="JXR213" s="537"/>
      <c r="JXS213" s="537"/>
      <c r="JXT213" s="537"/>
      <c r="JXU213" s="537"/>
      <c r="JXV213" s="537"/>
      <c r="JXW213" s="537"/>
      <c r="JXX213" s="537"/>
      <c r="JXY213" s="537"/>
      <c r="JXZ213" s="537"/>
      <c r="JYA213" s="537"/>
      <c r="JYB213" s="537"/>
      <c r="JYC213" s="537"/>
      <c r="JYD213" s="537"/>
      <c r="JYE213" s="537"/>
      <c r="JYF213" s="537"/>
      <c r="JYG213" s="537"/>
      <c r="JYH213" s="537"/>
      <c r="JYI213" s="537"/>
      <c r="JYJ213" s="537"/>
      <c r="JYK213" s="537"/>
      <c r="JYL213" s="537"/>
      <c r="JYM213" s="537"/>
      <c r="JYN213" s="537"/>
      <c r="JYO213" s="537"/>
      <c r="JYP213" s="537"/>
      <c r="JYQ213" s="537"/>
      <c r="JYR213" s="537"/>
      <c r="JYS213" s="537"/>
      <c r="JYT213" s="537"/>
      <c r="JYU213" s="537"/>
      <c r="JYV213" s="537"/>
      <c r="JYW213" s="537"/>
      <c r="JYX213" s="537"/>
      <c r="JYY213" s="537"/>
      <c r="JYZ213" s="537"/>
      <c r="JZA213" s="537"/>
      <c r="JZB213" s="537"/>
      <c r="JZC213" s="537"/>
      <c r="JZD213" s="537"/>
      <c r="JZE213" s="537"/>
      <c r="JZF213" s="537"/>
      <c r="JZG213" s="537"/>
      <c r="JZH213" s="537"/>
      <c r="JZI213" s="537"/>
      <c r="JZJ213" s="537"/>
      <c r="JZK213" s="537"/>
      <c r="JZL213" s="537"/>
      <c r="JZM213" s="537"/>
      <c r="JZN213" s="537"/>
      <c r="JZO213" s="537"/>
      <c r="JZP213" s="537"/>
      <c r="JZQ213" s="537"/>
      <c r="JZR213" s="537"/>
      <c r="JZS213" s="537"/>
      <c r="JZT213" s="537"/>
      <c r="JZU213" s="537"/>
      <c r="JZV213" s="537"/>
      <c r="JZW213" s="537"/>
      <c r="JZX213" s="537"/>
      <c r="JZY213" s="537"/>
      <c r="JZZ213" s="537"/>
      <c r="KAA213" s="537"/>
      <c r="KAB213" s="537"/>
      <c r="KAC213" s="537"/>
      <c r="KAD213" s="537"/>
      <c r="KAE213" s="537"/>
      <c r="KAF213" s="537"/>
      <c r="KAG213" s="537"/>
      <c r="KAH213" s="537"/>
      <c r="KAI213" s="537"/>
      <c r="KAJ213" s="537"/>
      <c r="KAK213" s="537"/>
      <c r="KAL213" s="537"/>
      <c r="KAM213" s="537"/>
      <c r="KAN213" s="537"/>
      <c r="KAO213" s="537"/>
      <c r="KAP213" s="537"/>
      <c r="KAQ213" s="537"/>
      <c r="KAR213" s="537"/>
      <c r="KAS213" s="537"/>
      <c r="KAT213" s="537"/>
      <c r="KAU213" s="537"/>
      <c r="KAV213" s="537"/>
      <c r="KAW213" s="537"/>
      <c r="KAX213" s="537"/>
      <c r="KAY213" s="537"/>
      <c r="KAZ213" s="537"/>
      <c r="KBA213" s="537"/>
      <c r="KBB213" s="537"/>
      <c r="KBC213" s="537"/>
      <c r="KBD213" s="537"/>
      <c r="KBE213" s="537"/>
      <c r="KBF213" s="537"/>
      <c r="KBG213" s="537"/>
      <c r="KBH213" s="537"/>
      <c r="KBI213" s="537"/>
      <c r="KBJ213" s="537"/>
      <c r="KBK213" s="537"/>
      <c r="KBL213" s="537"/>
      <c r="KBM213" s="537"/>
      <c r="KBN213" s="537"/>
      <c r="KBO213" s="537"/>
      <c r="KBP213" s="537"/>
      <c r="KBQ213" s="537"/>
      <c r="KBR213" s="537"/>
      <c r="KBS213" s="537"/>
      <c r="KBT213" s="537"/>
      <c r="KBU213" s="537"/>
      <c r="KBV213" s="537"/>
      <c r="KBW213" s="537"/>
      <c r="KBX213" s="537"/>
      <c r="KBY213" s="537"/>
      <c r="KBZ213" s="537"/>
      <c r="KCA213" s="537"/>
      <c r="KCB213" s="537"/>
      <c r="KCC213" s="537"/>
      <c r="KCD213" s="537"/>
      <c r="KCE213" s="537"/>
      <c r="KCF213" s="537"/>
      <c r="KCG213" s="537"/>
      <c r="KCH213" s="537"/>
      <c r="KCI213" s="537"/>
      <c r="KCJ213" s="537"/>
      <c r="KCK213" s="537"/>
      <c r="KCL213" s="537"/>
      <c r="KCM213" s="537"/>
      <c r="KCN213" s="537"/>
      <c r="KCO213" s="537"/>
      <c r="KCP213" s="537"/>
      <c r="KCQ213" s="537"/>
      <c r="KCR213" s="537"/>
      <c r="KCS213" s="537"/>
      <c r="KCT213" s="537"/>
      <c r="KCU213" s="537"/>
      <c r="KCV213" s="537"/>
      <c r="KCW213" s="537"/>
      <c r="KCX213" s="537"/>
      <c r="KCY213" s="537"/>
      <c r="KCZ213" s="537"/>
      <c r="KDA213" s="537"/>
      <c r="KDB213" s="537"/>
      <c r="KDC213" s="537"/>
      <c r="KDD213" s="537"/>
      <c r="KDE213" s="537"/>
      <c r="KDF213" s="537"/>
      <c r="KDG213" s="537"/>
      <c r="KDH213" s="537"/>
      <c r="KDI213" s="537"/>
      <c r="KDJ213" s="537"/>
      <c r="KDK213" s="537"/>
      <c r="KDL213" s="537"/>
      <c r="KDM213" s="537"/>
      <c r="KDN213" s="537"/>
      <c r="KDO213" s="537"/>
      <c r="KDP213" s="537"/>
      <c r="KDQ213" s="537"/>
      <c r="KDR213" s="537"/>
      <c r="KDS213" s="537"/>
      <c r="KDT213" s="537"/>
      <c r="KDU213" s="537"/>
      <c r="KDV213" s="537"/>
      <c r="KDW213" s="537"/>
      <c r="KDX213" s="537"/>
      <c r="KDY213" s="537"/>
      <c r="KDZ213" s="537"/>
      <c r="KEA213" s="537"/>
      <c r="KEB213" s="537"/>
      <c r="KEC213" s="537"/>
      <c r="KED213" s="537"/>
      <c r="KEE213" s="537"/>
      <c r="KEF213" s="537"/>
      <c r="KEG213" s="537"/>
      <c r="KEH213" s="537"/>
      <c r="KEI213" s="537"/>
      <c r="KEJ213" s="537"/>
      <c r="KEK213" s="537"/>
      <c r="KEL213" s="537"/>
      <c r="KEM213" s="537"/>
      <c r="KEN213" s="537"/>
      <c r="KEO213" s="537"/>
      <c r="KEP213" s="537"/>
      <c r="KEQ213" s="537"/>
      <c r="KER213" s="537"/>
      <c r="KES213" s="537"/>
      <c r="KET213" s="537"/>
      <c r="KEU213" s="537"/>
      <c r="KEV213" s="537"/>
      <c r="KEW213" s="537"/>
      <c r="KEX213" s="537"/>
      <c r="KEY213" s="537"/>
      <c r="KEZ213" s="537"/>
      <c r="KFA213" s="537"/>
      <c r="KFB213" s="537"/>
      <c r="KFC213" s="537"/>
      <c r="KFD213" s="537"/>
      <c r="KFE213" s="537"/>
      <c r="KFF213" s="537"/>
      <c r="KFG213" s="537"/>
      <c r="KFH213" s="537"/>
      <c r="KFI213" s="537"/>
      <c r="KFJ213" s="537"/>
      <c r="KFK213" s="537"/>
      <c r="KFL213" s="537"/>
      <c r="KFM213" s="537"/>
      <c r="KFN213" s="537"/>
      <c r="KFO213" s="537"/>
      <c r="KFP213" s="537"/>
      <c r="KFQ213" s="537"/>
      <c r="KFR213" s="537"/>
      <c r="KFS213" s="537"/>
      <c r="KFT213" s="537"/>
      <c r="KFU213" s="537"/>
      <c r="KFV213" s="537"/>
      <c r="KFW213" s="537"/>
      <c r="KFX213" s="537"/>
      <c r="KFY213" s="537"/>
      <c r="KFZ213" s="537"/>
      <c r="KGA213" s="537"/>
      <c r="KGB213" s="537"/>
      <c r="KGC213" s="537"/>
      <c r="KGD213" s="537"/>
      <c r="KGE213" s="537"/>
      <c r="KGF213" s="537"/>
      <c r="KGG213" s="537"/>
      <c r="KGH213" s="537"/>
      <c r="KGI213" s="537"/>
      <c r="KGJ213" s="537"/>
      <c r="KGK213" s="537"/>
      <c r="KGL213" s="537"/>
      <c r="KGM213" s="537"/>
      <c r="KGN213" s="537"/>
      <c r="KGO213" s="537"/>
      <c r="KGP213" s="537"/>
      <c r="KGQ213" s="537"/>
      <c r="KGR213" s="537"/>
      <c r="KGS213" s="537"/>
      <c r="KGT213" s="537"/>
      <c r="KGU213" s="537"/>
      <c r="KGV213" s="537"/>
      <c r="KGW213" s="537"/>
      <c r="KGX213" s="537"/>
      <c r="KGY213" s="537"/>
      <c r="KGZ213" s="537"/>
      <c r="KHA213" s="537"/>
      <c r="KHB213" s="537"/>
      <c r="KHC213" s="537"/>
      <c r="KHD213" s="537"/>
      <c r="KHE213" s="537"/>
      <c r="KHF213" s="537"/>
      <c r="KHG213" s="537"/>
      <c r="KHH213" s="537"/>
      <c r="KHI213" s="537"/>
      <c r="KHJ213" s="537"/>
      <c r="KHK213" s="537"/>
      <c r="KHL213" s="537"/>
      <c r="KHM213" s="537"/>
      <c r="KHN213" s="537"/>
      <c r="KHO213" s="537"/>
      <c r="KHP213" s="537"/>
      <c r="KHQ213" s="537"/>
      <c r="KHR213" s="537"/>
      <c r="KHS213" s="537"/>
      <c r="KHT213" s="537"/>
      <c r="KHU213" s="537"/>
      <c r="KHV213" s="537"/>
      <c r="KHW213" s="537"/>
      <c r="KHX213" s="537"/>
      <c r="KHY213" s="537"/>
      <c r="KHZ213" s="537"/>
      <c r="KIA213" s="537"/>
      <c r="KIB213" s="537"/>
      <c r="KIC213" s="537"/>
      <c r="KID213" s="537"/>
      <c r="KIE213" s="537"/>
      <c r="KIF213" s="537"/>
      <c r="KIG213" s="537"/>
      <c r="KIH213" s="537"/>
      <c r="KII213" s="537"/>
      <c r="KIJ213" s="537"/>
      <c r="KIK213" s="537"/>
      <c r="KIL213" s="537"/>
      <c r="KIM213" s="537"/>
      <c r="KIN213" s="537"/>
      <c r="KIO213" s="537"/>
      <c r="KIP213" s="537"/>
      <c r="KIQ213" s="537"/>
      <c r="KIR213" s="537"/>
      <c r="KIS213" s="537"/>
      <c r="KIT213" s="537"/>
      <c r="KIU213" s="537"/>
      <c r="KIV213" s="537"/>
      <c r="KIW213" s="537"/>
      <c r="KIX213" s="537"/>
      <c r="KIY213" s="537"/>
      <c r="KIZ213" s="537"/>
      <c r="KJA213" s="537"/>
      <c r="KJB213" s="537"/>
      <c r="KJC213" s="537"/>
      <c r="KJD213" s="537"/>
      <c r="KJE213" s="537"/>
      <c r="KJF213" s="537"/>
      <c r="KJG213" s="537"/>
      <c r="KJH213" s="537"/>
      <c r="KJI213" s="537"/>
      <c r="KJJ213" s="537"/>
      <c r="KJK213" s="537"/>
      <c r="KJL213" s="537"/>
      <c r="KJM213" s="537"/>
      <c r="KJN213" s="537"/>
      <c r="KJO213" s="537"/>
      <c r="KJP213" s="537"/>
      <c r="KJQ213" s="537"/>
      <c r="KJR213" s="537"/>
      <c r="KJS213" s="537"/>
      <c r="KJT213" s="537"/>
      <c r="KJU213" s="537"/>
      <c r="KJV213" s="537"/>
      <c r="KJW213" s="537"/>
      <c r="KJX213" s="537"/>
      <c r="KJY213" s="537"/>
      <c r="KJZ213" s="537"/>
      <c r="KKA213" s="537"/>
      <c r="KKB213" s="537"/>
      <c r="KKC213" s="537"/>
      <c r="KKD213" s="537"/>
      <c r="KKE213" s="537"/>
      <c r="KKF213" s="537"/>
      <c r="KKG213" s="537"/>
      <c r="KKH213" s="537"/>
      <c r="KKI213" s="537"/>
      <c r="KKJ213" s="537"/>
      <c r="KKK213" s="537"/>
      <c r="KKL213" s="537"/>
      <c r="KKM213" s="537"/>
      <c r="KKN213" s="537"/>
      <c r="KKO213" s="537"/>
      <c r="KKP213" s="537"/>
      <c r="KKQ213" s="537"/>
      <c r="KKR213" s="537"/>
      <c r="KKS213" s="537"/>
      <c r="KKT213" s="537"/>
      <c r="KKU213" s="537"/>
      <c r="KKV213" s="537"/>
      <c r="KKW213" s="537"/>
      <c r="KKX213" s="537"/>
      <c r="KKY213" s="537"/>
      <c r="KKZ213" s="537"/>
      <c r="KLA213" s="537"/>
      <c r="KLB213" s="537"/>
      <c r="KLC213" s="537"/>
      <c r="KLD213" s="537"/>
      <c r="KLE213" s="537"/>
      <c r="KLF213" s="537"/>
      <c r="KLG213" s="537"/>
      <c r="KLH213" s="537"/>
      <c r="KLI213" s="537"/>
      <c r="KLJ213" s="537"/>
      <c r="KLK213" s="537"/>
      <c r="KLL213" s="537"/>
      <c r="KLM213" s="537"/>
      <c r="KLN213" s="537"/>
      <c r="KLO213" s="537"/>
      <c r="KLP213" s="537"/>
      <c r="KLQ213" s="537"/>
      <c r="KLR213" s="537"/>
      <c r="KLS213" s="537"/>
      <c r="KLT213" s="537"/>
      <c r="KLU213" s="537"/>
      <c r="KLV213" s="537"/>
      <c r="KLW213" s="537"/>
      <c r="KLX213" s="537"/>
      <c r="KLY213" s="537"/>
      <c r="KLZ213" s="537"/>
      <c r="KMA213" s="537"/>
      <c r="KMB213" s="537"/>
      <c r="KMC213" s="537"/>
      <c r="KMD213" s="537"/>
      <c r="KME213" s="537"/>
      <c r="KMF213" s="537"/>
      <c r="KMG213" s="537"/>
      <c r="KMH213" s="537"/>
      <c r="KMI213" s="537"/>
      <c r="KMJ213" s="537"/>
      <c r="KMK213" s="537"/>
      <c r="KML213" s="537"/>
      <c r="KMM213" s="537"/>
      <c r="KMN213" s="537"/>
      <c r="KMO213" s="537"/>
      <c r="KMP213" s="537"/>
      <c r="KMQ213" s="537"/>
      <c r="KMR213" s="537"/>
      <c r="KMS213" s="537"/>
      <c r="KMT213" s="537"/>
      <c r="KMU213" s="537"/>
      <c r="KMV213" s="537"/>
      <c r="KMW213" s="537"/>
      <c r="KMX213" s="537"/>
      <c r="KMY213" s="537"/>
      <c r="KMZ213" s="537"/>
      <c r="KNA213" s="537"/>
      <c r="KNB213" s="537"/>
      <c r="KNC213" s="537"/>
      <c r="KND213" s="537"/>
      <c r="KNE213" s="537"/>
      <c r="KNF213" s="537"/>
      <c r="KNG213" s="537"/>
      <c r="KNH213" s="537"/>
      <c r="KNI213" s="537"/>
      <c r="KNJ213" s="537"/>
      <c r="KNK213" s="537"/>
      <c r="KNL213" s="537"/>
      <c r="KNM213" s="537"/>
      <c r="KNN213" s="537"/>
      <c r="KNO213" s="537"/>
      <c r="KNP213" s="537"/>
      <c r="KNQ213" s="537"/>
      <c r="KNR213" s="537"/>
      <c r="KNS213" s="537"/>
      <c r="KNT213" s="537"/>
      <c r="KNU213" s="537"/>
      <c r="KNV213" s="537"/>
      <c r="KNW213" s="537"/>
      <c r="KNX213" s="537"/>
      <c r="KNY213" s="537"/>
      <c r="KNZ213" s="537"/>
      <c r="KOA213" s="537"/>
      <c r="KOB213" s="537"/>
      <c r="KOC213" s="537"/>
      <c r="KOD213" s="537"/>
      <c r="KOE213" s="537"/>
      <c r="KOF213" s="537"/>
      <c r="KOG213" s="537"/>
      <c r="KOH213" s="537"/>
      <c r="KOI213" s="537"/>
      <c r="KOJ213" s="537"/>
      <c r="KOK213" s="537"/>
      <c r="KOL213" s="537"/>
      <c r="KOM213" s="537"/>
      <c r="KON213" s="537"/>
      <c r="KOO213" s="537"/>
      <c r="KOP213" s="537"/>
      <c r="KOQ213" s="537"/>
      <c r="KOR213" s="537"/>
      <c r="KOS213" s="537"/>
      <c r="KOT213" s="537"/>
      <c r="KOU213" s="537"/>
      <c r="KOV213" s="537"/>
      <c r="KOW213" s="537"/>
      <c r="KOX213" s="537"/>
      <c r="KOY213" s="537"/>
      <c r="KOZ213" s="537"/>
      <c r="KPA213" s="537"/>
      <c r="KPB213" s="537"/>
      <c r="KPC213" s="537"/>
      <c r="KPD213" s="537"/>
      <c r="KPE213" s="537"/>
      <c r="KPF213" s="537"/>
      <c r="KPG213" s="537"/>
      <c r="KPH213" s="537"/>
      <c r="KPI213" s="537"/>
      <c r="KPJ213" s="537"/>
      <c r="KPK213" s="537"/>
      <c r="KPL213" s="537"/>
      <c r="KPM213" s="537"/>
      <c r="KPN213" s="537"/>
      <c r="KPO213" s="537"/>
      <c r="KPP213" s="537"/>
      <c r="KPQ213" s="537"/>
      <c r="KPR213" s="537"/>
      <c r="KPS213" s="537"/>
      <c r="KPT213" s="537"/>
      <c r="KPU213" s="537"/>
      <c r="KPV213" s="537"/>
      <c r="KPW213" s="537"/>
      <c r="KPX213" s="537"/>
      <c r="KPY213" s="537"/>
      <c r="KPZ213" s="537"/>
      <c r="KQA213" s="537"/>
      <c r="KQB213" s="537"/>
      <c r="KQC213" s="537"/>
      <c r="KQD213" s="537"/>
      <c r="KQE213" s="537"/>
      <c r="KQF213" s="537"/>
      <c r="KQG213" s="537"/>
      <c r="KQH213" s="537"/>
      <c r="KQI213" s="537"/>
      <c r="KQJ213" s="537"/>
      <c r="KQK213" s="537"/>
      <c r="KQL213" s="537"/>
      <c r="KQM213" s="537"/>
      <c r="KQN213" s="537"/>
      <c r="KQO213" s="537"/>
      <c r="KQP213" s="537"/>
      <c r="KQQ213" s="537"/>
      <c r="KQR213" s="537"/>
      <c r="KQS213" s="537"/>
      <c r="KQT213" s="537"/>
      <c r="KQU213" s="537"/>
      <c r="KQV213" s="537"/>
      <c r="KQW213" s="537"/>
      <c r="KQX213" s="537"/>
      <c r="KQY213" s="537"/>
      <c r="KQZ213" s="537"/>
      <c r="KRA213" s="537"/>
      <c r="KRB213" s="537"/>
      <c r="KRC213" s="537"/>
      <c r="KRD213" s="537"/>
      <c r="KRE213" s="537"/>
      <c r="KRF213" s="537"/>
      <c r="KRG213" s="537"/>
      <c r="KRH213" s="537"/>
      <c r="KRI213" s="537"/>
      <c r="KRJ213" s="537"/>
      <c r="KRK213" s="537"/>
      <c r="KRL213" s="537"/>
      <c r="KRM213" s="537"/>
      <c r="KRN213" s="537"/>
      <c r="KRO213" s="537"/>
      <c r="KRP213" s="537"/>
      <c r="KRQ213" s="537"/>
      <c r="KRR213" s="537"/>
      <c r="KRS213" s="537"/>
      <c r="KRT213" s="537"/>
      <c r="KRU213" s="537"/>
      <c r="KRV213" s="537"/>
      <c r="KRW213" s="537"/>
      <c r="KRX213" s="537"/>
      <c r="KRY213" s="537"/>
      <c r="KRZ213" s="537"/>
      <c r="KSA213" s="537"/>
      <c r="KSB213" s="537"/>
      <c r="KSC213" s="537"/>
      <c r="KSD213" s="537"/>
      <c r="KSE213" s="537"/>
      <c r="KSF213" s="537"/>
      <c r="KSG213" s="537"/>
      <c r="KSH213" s="537"/>
      <c r="KSI213" s="537"/>
      <c r="KSJ213" s="537"/>
      <c r="KSK213" s="537"/>
      <c r="KSL213" s="537"/>
      <c r="KSM213" s="537"/>
      <c r="KSN213" s="537"/>
      <c r="KSO213" s="537"/>
      <c r="KSP213" s="537"/>
      <c r="KSQ213" s="537"/>
      <c r="KSR213" s="537"/>
      <c r="KSS213" s="537"/>
      <c r="KST213" s="537"/>
      <c r="KSU213" s="537"/>
      <c r="KSV213" s="537"/>
      <c r="KSW213" s="537"/>
      <c r="KSX213" s="537"/>
      <c r="KSY213" s="537"/>
      <c r="KSZ213" s="537"/>
      <c r="KTA213" s="537"/>
      <c r="KTB213" s="537"/>
      <c r="KTC213" s="537"/>
      <c r="KTD213" s="537"/>
      <c r="KTE213" s="537"/>
      <c r="KTF213" s="537"/>
      <c r="KTG213" s="537"/>
      <c r="KTH213" s="537"/>
      <c r="KTI213" s="537"/>
      <c r="KTJ213" s="537"/>
      <c r="KTK213" s="537"/>
      <c r="KTL213" s="537"/>
      <c r="KTM213" s="537"/>
      <c r="KTN213" s="537"/>
      <c r="KTO213" s="537"/>
      <c r="KTP213" s="537"/>
      <c r="KTQ213" s="537"/>
      <c r="KTR213" s="537"/>
      <c r="KTS213" s="537"/>
      <c r="KTT213" s="537"/>
      <c r="KTU213" s="537"/>
      <c r="KTV213" s="537"/>
      <c r="KTW213" s="537"/>
      <c r="KTX213" s="537"/>
      <c r="KTY213" s="537"/>
      <c r="KTZ213" s="537"/>
      <c r="KUA213" s="537"/>
      <c r="KUB213" s="537"/>
      <c r="KUC213" s="537"/>
      <c r="KUD213" s="537"/>
      <c r="KUE213" s="537"/>
      <c r="KUF213" s="537"/>
      <c r="KUG213" s="537"/>
      <c r="KUH213" s="537"/>
      <c r="KUI213" s="537"/>
      <c r="KUJ213" s="537"/>
      <c r="KUK213" s="537"/>
      <c r="KUL213" s="537"/>
      <c r="KUM213" s="537"/>
      <c r="KUN213" s="537"/>
      <c r="KUO213" s="537"/>
      <c r="KUP213" s="537"/>
      <c r="KUQ213" s="537"/>
      <c r="KUR213" s="537"/>
      <c r="KUS213" s="537"/>
      <c r="KUT213" s="537"/>
      <c r="KUU213" s="537"/>
      <c r="KUV213" s="537"/>
      <c r="KUW213" s="537"/>
      <c r="KUX213" s="537"/>
      <c r="KUY213" s="537"/>
      <c r="KUZ213" s="537"/>
      <c r="KVA213" s="537"/>
      <c r="KVB213" s="537"/>
      <c r="KVC213" s="537"/>
      <c r="KVD213" s="537"/>
      <c r="KVE213" s="537"/>
      <c r="KVF213" s="537"/>
      <c r="KVG213" s="537"/>
      <c r="KVH213" s="537"/>
      <c r="KVI213" s="537"/>
      <c r="KVJ213" s="537"/>
      <c r="KVK213" s="537"/>
      <c r="KVL213" s="537"/>
      <c r="KVM213" s="537"/>
      <c r="KVN213" s="537"/>
      <c r="KVO213" s="537"/>
      <c r="KVP213" s="537"/>
      <c r="KVQ213" s="537"/>
      <c r="KVR213" s="537"/>
      <c r="KVS213" s="537"/>
      <c r="KVT213" s="537"/>
      <c r="KVU213" s="537"/>
      <c r="KVV213" s="537"/>
      <c r="KVW213" s="537"/>
      <c r="KVX213" s="537"/>
      <c r="KVY213" s="537"/>
      <c r="KVZ213" s="537"/>
      <c r="KWA213" s="537"/>
      <c r="KWB213" s="537"/>
      <c r="KWC213" s="537"/>
      <c r="KWD213" s="537"/>
      <c r="KWE213" s="537"/>
      <c r="KWF213" s="537"/>
      <c r="KWG213" s="537"/>
      <c r="KWH213" s="537"/>
      <c r="KWI213" s="537"/>
      <c r="KWJ213" s="537"/>
      <c r="KWK213" s="537"/>
      <c r="KWL213" s="537"/>
      <c r="KWM213" s="537"/>
      <c r="KWN213" s="537"/>
      <c r="KWO213" s="537"/>
      <c r="KWP213" s="537"/>
      <c r="KWQ213" s="537"/>
      <c r="KWR213" s="537"/>
      <c r="KWS213" s="537"/>
      <c r="KWT213" s="537"/>
      <c r="KWU213" s="537"/>
      <c r="KWV213" s="537"/>
      <c r="KWW213" s="537"/>
      <c r="KWX213" s="537"/>
      <c r="KWY213" s="537"/>
      <c r="KWZ213" s="537"/>
      <c r="KXA213" s="537"/>
      <c r="KXB213" s="537"/>
      <c r="KXC213" s="537"/>
      <c r="KXD213" s="537"/>
      <c r="KXE213" s="537"/>
      <c r="KXF213" s="537"/>
      <c r="KXG213" s="537"/>
      <c r="KXH213" s="537"/>
      <c r="KXI213" s="537"/>
      <c r="KXJ213" s="537"/>
      <c r="KXK213" s="537"/>
      <c r="KXL213" s="537"/>
      <c r="KXM213" s="537"/>
      <c r="KXN213" s="537"/>
      <c r="KXO213" s="537"/>
      <c r="KXP213" s="537"/>
      <c r="KXQ213" s="537"/>
      <c r="KXR213" s="537"/>
      <c r="KXS213" s="537"/>
      <c r="KXT213" s="537"/>
      <c r="KXU213" s="537"/>
      <c r="KXV213" s="537"/>
      <c r="KXW213" s="537"/>
      <c r="KXX213" s="537"/>
      <c r="KXY213" s="537"/>
      <c r="KXZ213" s="537"/>
      <c r="KYA213" s="537"/>
      <c r="KYB213" s="537"/>
      <c r="KYC213" s="537"/>
      <c r="KYD213" s="537"/>
      <c r="KYE213" s="537"/>
      <c r="KYF213" s="537"/>
      <c r="KYG213" s="537"/>
      <c r="KYH213" s="537"/>
      <c r="KYI213" s="537"/>
      <c r="KYJ213" s="537"/>
      <c r="KYK213" s="537"/>
      <c r="KYL213" s="537"/>
      <c r="KYM213" s="537"/>
      <c r="KYN213" s="537"/>
      <c r="KYO213" s="537"/>
      <c r="KYP213" s="537"/>
      <c r="KYQ213" s="537"/>
      <c r="KYR213" s="537"/>
      <c r="KYS213" s="537"/>
      <c r="KYT213" s="537"/>
      <c r="KYU213" s="537"/>
      <c r="KYV213" s="537"/>
      <c r="KYW213" s="537"/>
      <c r="KYX213" s="537"/>
      <c r="KYY213" s="537"/>
      <c r="KYZ213" s="537"/>
      <c r="KZA213" s="537"/>
      <c r="KZB213" s="537"/>
      <c r="KZC213" s="537"/>
      <c r="KZD213" s="537"/>
      <c r="KZE213" s="537"/>
      <c r="KZF213" s="537"/>
      <c r="KZG213" s="537"/>
      <c r="KZH213" s="537"/>
      <c r="KZI213" s="537"/>
      <c r="KZJ213" s="537"/>
      <c r="KZK213" s="537"/>
      <c r="KZL213" s="537"/>
      <c r="KZM213" s="537"/>
      <c r="KZN213" s="537"/>
      <c r="KZO213" s="537"/>
      <c r="KZP213" s="537"/>
      <c r="KZQ213" s="537"/>
      <c r="KZR213" s="537"/>
      <c r="KZS213" s="537"/>
      <c r="KZT213" s="537"/>
      <c r="KZU213" s="537"/>
      <c r="KZV213" s="537"/>
      <c r="KZW213" s="537"/>
      <c r="KZX213" s="537"/>
      <c r="KZY213" s="537"/>
      <c r="KZZ213" s="537"/>
      <c r="LAA213" s="537"/>
      <c r="LAB213" s="537"/>
      <c r="LAC213" s="537"/>
      <c r="LAD213" s="537"/>
      <c r="LAE213" s="537"/>
      <c r="LAF213" s="537"/>
      <c r="LAG213" s="537"/>
      <c r="LAH213" s="537"/>
      <c r="LAI213" s="537"/>
      <c r="LAJ213" s="537"/>
      <c r="LAK213" s="537"/>
      <c r="LAL213" s="537"/>
      <c r="LAM213" s="537"/>
      <c r="LAN213" s="537"/>
      <c r="LAO213" s="537"/>
      <c r="LAP213" s="537"/>
      <c r="LAQ213" s="537"/>
      <c r="LAR213" s="537"/>
      <c r="LAS213" s="537"/>
      <c r="LAT213" s="537"/>
      <c r="LAU213" s="537"/>
      <c r="LAV213" s="537"/>
      <c r="LAW213" s="537"/>
      <c r="LAX213" s="537"/>
      <c r="LAY213" s="537"/>
      <c r="LAZ213" s="537"/>
      <c r="LBA213" s="537"/>
      <c r="LBB213" s="537"/>
      <c r="LBC213" s="537"/>
      <c r="LBD213" s="537"/>
      <c r="LBE213" s="537"/>
      <c r="LBF213" s="537"/>
      <c r="LBG213" s="537"/>
      <c r="LBH213" s="537"/>
      <c r="LBI213" s="537"/>
      <c r="LBJ213" s="537"/>
      <c r="LBK213" s="537"/>
      <c r="LBL213" s="537"/>
      <c r="LBM213" s="537"/>
      <c r="LBN213" s="537"/>
      <c r="LBO213" s="537"/>
      <c r="LBP213" s="537"/>
      <c r="LBQ213" s="537"/>
      <c r="LBR213" s="537"/>
      <c r="LBS213" s="537"/>
      <c r="LBT213" s="537"/>
      <c r="LBU213" s="537"/>
      <c r="LBV213" s="537"/>
      <c r="LBW213" s="537"/>
      <c r="LBX213" s="537"/>
      <c r="LBY213" s="537"/>
      <c r="LBZ213" s="537"/>
      <c r="LCA213" s="537"/>
      <c r="LCB213" s="537"/>
      <c r="LCC213" s="537"/>
      <c r="LCD213" s="537"/>
      <c r="LCE213" s="537"/>
      <c r="LCF213" s="537"/>
      <c r="LCG213" s="537"/>
      <c r="LCH213" s="537"/>
      <c r="LCI213" s="537"/>
      <c r="LCJ213" s="537"/>
      <c r="LCK213" s="537"/>
      <c r="LCL213" s="537"/>
      <c r="LCM213" s="537"/>
      <c r="LCN213" s="537"/>
      <c r="LCO213" s="537"/>
      <c r="LCP213" s="537"/>
      <c r="LCQ213" s="537"/>
      <c r="LCR213" s="537"/>
      <c r="LCS213" s="537"/>
      <c r="LCT213" s="537"/>
      <c r="LCU213" s="537"/>
      <c r="LCV213" s="537"/>
      <c r="LCW213" s="537"/>
      <c r="LCX213" s="537"/>
      <c r="LCY213" s="537"/>
      <c r="LCZ213" s="537"/>
      <c r="LDA213" s="537"/>
      <c r="LDB213" s="537"/>
      <c r="LDC213" s="537"/>
      <c r="LDD213" s="537"/>
      <c r="LDE213" s="537"/>
      <c r="LDF213" s="537"/>
      <c r="LDG213" s="537"/>
      <c r="LDH213" s="537"/>
      <c r="LDI213" s="537"/>
      <c r="LDJ213" s="537"/>
      <c r="LDK213" s="537"/>
      <c r="LDL213" s="537"/>
      <c r="LDM213" s="537"/>
      <c r="LDN213" s="537"/>
      <c r="LDO213" s="537"/>
      <c r="LDP213" s="537"/>
      <c r="LDQ213" s="537"/>
      <c r="LDR213" s="537"/>
      <c r="LDS213" s="537"/>
      <c r="LDT213" s="537"/>
      <c r="LDU213" s="537"/>
      <c r="LDV213" s="537"/>
      <c r="LDW213" s="537"/>
      <c r="LDX213" s="537"/>
      <c r="LDY213" s="537"/>
      <c r="LDZ213" s="537"/>
      <c r="LEA213" s="537"/>
      <c r="LEB213" s="537"/>
      <c r="LEC213" s="537"/>
      <c r="LED213" s="537"/>
      <c r="LEE213" s="537"/>
      <c r="LEF213" s="537"/>
      <c r="LEG213" s="537"/>
      <c r="LEH213" s="537"/>
      <c r="LEI213" s="537"/>
      <c r="LEJ213" s="537"/>
      <c r="LEK213" s="537"/>
      <c r="LEL213" s="537"/>
      <c r="LEM213" s="537"/>
      <c r="LEN213" s="537"/>
      <c r="LEO213" s="537"/>
      <c r="LEP213" s="537"/>
      <c r="LEQ213" s="537"/>
      <c r="LER213" s="537"/>
      <c r="LES213" s="537"/>
      <c r="LET213" s="537"/>
      <c r="LEU213" s="537"/>
      <c r="LEV213" s="537"/>
      <c r="LEW213" s="537"/>
      <c r="LEX213" s="537"/>
      <c r="LEY213" s="537"/>
      <c r="LEZ213" s="537"/>
      <c r="LFA213" s="537"/>
      <c r="LFB213" s="537"/>
      <c r="LFC213" s="537"/>
      <c r="LFD213" s="537"/>
      <c r="LFE213" s="537"/>
      <c r="LFF213" s="537"/>
      <c r="LFG213" s="537"/>
      <c r="LFH213" s="537"/>
      <c r="LFI213" s="537"/>
      <c r="LFJ213" s="537"/>
      <c r="LFK213" s="537"/>
      <c r="LFL213" s="537"/>
      <c r="LFM213" s="537"/>
      <c r="LFN213" s="537"/>
      <c r="LFO213" s="537"/>
      <c r="LFP213" s="537"/>
      <c r="LFQ213" s="537"/>
      <c r="LFR213" s="537"/>
      <c r="LFS213" s="537"/>
      <c r="LFT213" s="537"/>
      <c r="LFU213" s="537"/>
      <c r="LFV213" s="537"/>
      <c r="LFW213" s="537"/>
      <c r="LFX213" s="537"/>
      <c r="LFY213" s="537"/>
      <c r="LFZ213" s="537"/>
      <c r="LGA213" s="537"/>
      <c r="LGB213" s="537"/>
      <c r="LGC213" s="537"/>
      <c r="LGD213" s="537"/>
      <c r="LGE213" s="537"/>
      <c r="LGF213" s="537"/>
      <c r="LGG213" s="537"/>
      <c r="LGH213" s="537"/>
      <c r="LGI213" s="537"/>
      <c r="LGJ213" s="537"/>
      <c r="LGK213" s="537"/>
      <c r="LGL213" s="537"/>
      <c r="LGM213" s="537"/>
      <c r="LGN213" s="537"/>
      <c r="LGO213" s="537"/>
      <c r="LGP213" s="537"/>
      <c r="LGQ213" s="537"/>
      <c r="LGR213" s="537"/>
      <c r="LGS213" s="537"/>
      <c r="LGT213" s="537"/>
      <c r="LGU213" s="537"/>
      <c r="LGV213" s="537"/>
      <c r="LGW213" s="537"/>
      <c r="LGX213" s="537"/>
      <c r="LGY213" s="537"/>
      <c r="LGZ213" s="537"/>
      <c r="LHA213" s="537"/>
      <c r="LHB213" s="537"/>
      <c r="LHC213" s="537"/>
      <c r="LHD213" s="537"/>
      <c r="LHE213" s="537"/>
      <c r="LHF213" s="537"/>
      <c r="LHG213" s="537"/>
      <c r="LHH213" s="537"/>
      <c r="LHI213" s="537"/>
      <c r="LHJ213" s="537"/>
      <c r="LHK213" s="537"/>
      <c r="LHL213" s="537"/>
      <c r="LHM213" s="537"/>
      <c r="LHN213" s="537"/>
      <c r="LHO213" s="537"/>
      <c r="LHP213" s="537"/>
      <c r="LHQ213" s="537"/>
      <c r="LHR213" s="537"/>
      <c r="LHS213" s="537"/>
      <c r="LHT213" s="537"/>
      <c r="LHU213" s="537"/>
      <c r="LHV213" s="537"/>
      <c r="LHW213" s="537"/>
      <c r="LHX213" s="537"/>
      <c r="LHY213" s="537"/>
      <c r="LHZ213" s="537"/>
      <c r="LIA213" s="537"/>
      <c r="LIB213" s="537"/>
      <c r="LIC213" s="537"/>
      <c r="LID213" s="537"/>
      <c r="LIE213" s="537"/>
      <c r="LIF213" s="537"/>
      <c r="LIG213" s="537"/>
      <c r="LIH213" s="537"/>
      <c r="LII213" s="537"/>
      <c r="LIJ213" s="537"/>
      <c r="LIK213" s="537"/>
      <c r="LIL213" s="537"/>
      <c r="LIM213" s="537"/>
      <c r="LIN213" s="537"/>
      <c r="LIO213" s="537"/>
      <c r="LIP213" s="537"/>
      <c r="LIQ213" s="537"/>
      <c r="LIR213" s="537"/>
      <c r="LIS213" s="537"/>
      <c r="LIT213" s="537"/>
      <c r="LIU213" s="537"/>
      <c r="LIV213" s="537"/>
      <c r="LIW213" s="537"/>
      <c r="LIX213" s="537"/>
      <c r="LIY213" s="537"/>
      <c r="LIZ213" s="537"/>
      <c r="LJA213" s="537"/>
      <c r="LJB213" s="537"/>
      <c r="LJC213" s="537"/>
      <c r="LJD213" s="537"/>
      <c r="LJE213" s="537"/>
      <c r="LJF213" s="537"/>
      <c r="LJG213" s="537"/>
      <c r="LJH213" s="537"/>
      <c r="LJI213" s="537"/>
      <c r="LJJ213" s="537"/>
      <c r="LJK213" s="537"/>
      <c r="LJL213" s="537"/>
      <c r="LJM213" s="537"/>
      <c r="LJN213" s="537"/>
      <c r="LJO213" s="537"/>
      <c r="LJP213" s="537"/>
      <c r="LJQ213" s="537"/>
      <c r="LJR213" s="537"/>
      <c r="LJS213" s="537"/>
      <c r="LJT213" s="537"/>
      <c r="LJU213" s="537"/>
      <c r="LJV213" s="537"/>
      <c r="LJW213" s="537"/>
      <c r="LJX213" s="537"/>
      <c r="LJY213" s="537"/>
      <c r="LJZ213" s="537"/>
      <c r="LKA213" s="537"/>
      <c r="LKB213" s="537"/>
      <c r="LKC213" s="537"/>
      <c r="LKD213" s="537"/>
      <c r="LKE213" s="537"/>
      <c r="LKF213" s="537"/>
      <c r="LKG213" s="537"/>
      <c r="LKH213" s="537"/>
      <c r="LKI213" s="537"/>
      <c r="LKJ213" s="537"/>
      <c r="LKK213" s="537"/>
      <c r="LKL213" s="537"/>
      <c r="LKM213" s="537"/>
      <c r="LKN213" s="537"/>
      <c r="LKO213" s="537"/>
      <c r="LKP213" s="537"/>
      <c r="LKQ213" s="537"/>
      <c r="LKR213" s="537"/>
      <c r="LKS213" s="537"/>
      <c r="LKT213" s="537"/>
      <c r="LKU213" s="537"/>
      <c r="LKV213" s="537"/>
      <c r="LKW213" s="537"/>
      <c r="LKX213" s="537"/>
      <c r="LKY213" s="537"/>
      <c r="LKZ213" s="537"/>
      <c r="LLA213" s="537"/>
      <c r="LLB213" s="537"/>
      <c r="LLC213" s="537"/>
      <c r="LLD213" s="537"/>
      <c r="LLE213" s="537"/>
      <c r="LLF213" s="537"/>
      <c r="LLG213" s="537"/>
      <c r="LLH213" s="537"/>
      <c r="LLI213" s="537"/>
      <c r="LLJ213" s="537"/>
      <c r="LLK213" s="537"/>
      <c r="LLL213" s="537"/>
      <c r="LLM213" s="537"/>
      <c r="LLN213" s="537"/>
      <c r="LLO213" s="537"/>
      <c r="LLP213" s="537"/>
      <c r="LLQ213" s="537"/>
      <c r="LLR213" s="537"/>
      <c r="LLS213" s="537"/>
      <c r="LLT213" s="537"/>
      <c r="LLU213" s="537"/>
      <c r="LLV213" s="537"/>
      <c r="LLW213" s="537"/>
      <c r="LLX213" s="537"/>
      <c r="LLY213" s="537"/>
      <c r="LLZ213" s="537"/>
      <c r="LMA213" s="537"/>
      <c r="LMB213" s="537"/>
      <c r="LMC213" s="537"/>
      <c r="LMD213" s="537"/>
      <c r="LME213" s="537"/>
      <c r="LMF213" s="537"/>
      <c r="LMG213" s="537"/>
      <c r="LMH213" s="537"/>
      <c r="LMI213" s="537"/>
      <c r="LMJ213" s="537"/>
      <c r="LMK213" s="537"/>
      <c r="LML213" s="537"/>
      <c r="LMM213" s="537"/>
      <c r="LMN213" s="537"/>
      <c r="LMO213" s="537"/>
      <c r="LMP213" s="537"/>
      <c r="LMQ213" s="537"/>
      <c r="LMR213" s="537"/>
      <c r="LMS213" s="537"/>
      <c r="LMT213" s="537"/>
      <c r="LMU213" s="537"/>
      <c r="LMV213" s="537"/>
      <c r="LMW213" s="537"/>
      <c r="LMX213" s="537"/>
      <c r="LMY213" s="537"/>
      <c r="LMZ213" s="537"/>
      <c r="LNA213" s="537"/>
      <c r="LNB213" s="537"/>
      <c r="LNC213" s="537"/>
      <c r="LND213" s="537"/>
      <c r="LNE213" s="537"/>
      <c r="LNF213" s="537"/>
      <c r="LNG213" s="537"/>
      <c r="LNH213" s="537"/>
      <c r="LNI213" s="537"/>
      <c r="LNJ213" s="537"/>
      <c r="LNK213" s="537"/>
      <c r="LNL213" s="537"/>
      <c r="LNM213" s="537"/>
      <c r="LNN213" s="537"/>
      <c r="LNO213" s="537"/>
      <c r="LNP213" s="537"/>
      <c r="LNQ213" s="537"/>
      <c r="LNR213" s="537"/>
      <c r="LNS213" s="537"/>
      <c r="LNT213" s="537"/>
      <c r="LNU213" s="537"/>
      <c r="LNV213" s="537"/>
      <c r="LNW213" s="537"/>
      <c r="LNX213" s="537"/>
      <c r="LNY213" s="537"/>
      <c r="LNZ213" s="537"/>
      <c r="LOA213" s="537"/>
      <c r="LOB213" s="537"/>
      <c r="LOC213" s="537"/>
      <c r="LOD213" s="537"/>
      <c r="LOE213" s="537"/>
      <c r="LOF213" s="537"/>
      <c r="LOG213" s="537"/>
      <c r="LOH213" s="537"/>
      <c r="LOI213" s="537"/>
      <c r="LOJ213" s="537"/>
      <c r="LOK213" s="537"/>
      <c r="LOL213" s="537"/>
      <c r="LOM213" s="537"/>
      <c r="LON213" s="537"/>
      <c r="LOO213" s="537"/>
      <c r="LOP213" s="537"/>
      <c r="LOQ213" s="537"/>
      <c r="LOR213" s="537"/>
      <c r="LOS213" s="537"/>
      <c r="LOT213" s="537"/>
      <c r="LOU213" s="537"/>
      <c r="LOV213" s="537"/>
      <c r="LOW213" s="537"/>
      <c r="LOX213" s="537"/>
      <c r="LOY213" s="537"/>
      <c r="LOZ213" s="537"/>
      <c r="LPA213" s="537"/>
      <c r="LPB213" s="537"/>
      <c r="LPC213" s="537"/>
      <c r="LPD213" s="537"/>
      <c r="LPE213" s="537"/>
      <c r="LPF213" s="537"/>
      <c r="LPG213" s="537"/>
      <c r="LPH213" s="537"/>
      <c r="LPI213" s="537"/>
      <c r="LPJ213" s="537"/>
      <c r="LPK213" s="537"/>
      <c r="LPL213" s="537"/>
      <c r="LPM213" s="537"/>
      <c r="LPN213" s="537"/>
      <c r="LPO213" s="537"/>
      <c r="LPP213" s="537"/>
      <c r="LPQ213" s="537"/>
      <c r="LPR213" s="537"/>
      <c r="LPS213" s="537"/>
      <c r="LPT213" s="537"/>
      <c r="LPU213" s="537"/>
      <c r="LPV213" s="537"/>
      <c r="LPW213" s="537"/>
      <c r="LPX213" s="537"/>
      <c r="LPY213" s="537"/>
      <c r="LPZ213" s="537"/>
      <c r="LQA213" s="537"/>
      <c r="LQB213" s="537"/>
      <c r="LQC213" s="537"/>
      <c r="LQD213" s="537"/>
      <c r="LQE213" s="537"/>
      <c r="LQF213" s="537"/>
      <c r="LQG213" s="537"/>
      <c r="LQH213" s="537"/>
      <c r="LQI213" s="537"/>
      <c r="LQJ213" s="537"/>
      <c r="LQK213" s="537"/>
      <c r="LQL213" s="537"/>
      <c r="LQM213" s="537"/>
      <c r="LQN213" s="537"/>
      <c r="LQO213" s="537"/>
      <c r="LQP213" s="537"/>
      <c r="LQQ213" s="537"/>
      <c r="LQR213" s="537"/>
      <c r="LQS213" s="537"/>
      <c r="LQT213" s="537"/>
      <c r="LQU213" s="537"/>
      <c r="LQV213" s="537"/>
      <c r="LQW213" s="537"/>
      <c r="LQX213" s="537"/>
      <c r="LQY213" s="537"/>
      <c r="LQZ213" s="537"/>
      <c r="LRA213" s="537"/>
      <c r="LRB213" s="537"/>
      <c r="LRC213" s="537"/>
      <c r="LRD213" s="537"/>
      <c r="LRE213" s="537"/>
      <c r="LRF213" s="537"/>
      <c r="LRG213" s="537"/>
      <c r="LRH213" s="537"/>
      <c r="LRI213" s="537"/>
      <c r="LRJ213" s="537"/>
      <c r="LRK213" s="537"/>
      <c r="LRL213" s="537"/>
      <c r="LRM213" s="537"/>
      <c r="LRN213" s="537"/>
      <c r="LRO213" s="537"/>
      <c r="LRP213" s="537"/>
      <c r="LRQ213" s="537"/>
      <c r="LRR213" s="537"/>
      <c r="LRS213" s="537"/>
      <c r="LRT213" s="537"/>
      <c r="LRU213" s="537"/>
      <c r="LRV213" s="537"/>
      <c r="LRW213" s="537"/>
      <c r="LRX213" s="537"/>
      <c r="LRY213" s="537"/>
      <c r="LRZ213" s="537"/>
      <c r="LSA213" s="537"/>
      <c r="LSB213" s="537"/>
      <c r="LSC213" s="537"/>
      <c r="LSD213" s="537"/>
      <c r="LSE213" s="537"/>
      <c r="LSF213" s="537"/>
      <c r="LSG213" s="537"/>
      <c r="LSH213" s="537"/>
      <c r="LSI213" s="537"/>
      <c r="LSJ213" s="537"/>
      <c r="LSK213" s="537"/>
      <c r="LSL213" s="537"/>
      <c r="LSM213" s="537"/>
      <c r="LSN213" s="537"/>
      <c r="LSO213" s="537"/>
      <c r="LSP213" s="537"/>
      <c r="LSQ213" s="537"/>
      <c r="LSR213" s="537"/>
      <c r="LSS213" s="537"/>
      <c r="LST213" s="537"/>
      <c r="LSU213" s="537"/>
      <c r="LSV213" s="537"/>
      <c r="LSW213" s="537"/>
      <c r="LSX213" s="537"/>
      <c r="LSY213" s="537"/>
      <c r="LSZ213" s="537"/>
      <c r="LTA213" s="537"/>
      <c r="LTB213" s="537"/>
      <c r="LTC213" s="537"/>
      <c r="LTD213" s="537"/>
      <c r="LTE213" s="537"/>
      <c r="LTF213" s="537"/>
      <c r="LTG213" s="537"/>
      <c r="LTH213" s="537"/>
      <c r="LTI213" s="537"/>
      <c r="LTJ213" s="537"/>
      <c r="LTK213" s="537"/>
      <c r="LTL213" s="537"/>
      <c r="LTM213" s="537"/>
      <c r="LTN213" s="537"/>
      <c r="LTO213" s="537"/>
      <c r="LTP213" s="537"/>
      <c r="LTQ213" s="537"/>
      <c r="LTR213" s="537"/>
      <c r="LTS213" s="537"/>
      <c r="LTT213" s="537"/>
      <c r="LTU213" s="537"/>
      <c r="LTV213" s="537"/>
      <c r="LTW213" s="537"/>
      <c r="LTX213" s="537"/>
      <c r="LTY213" s="537"/>
      <c r="LTZ213" s="537"/>
      <c r="LUA213" s="537"/>
      <c r="LUB213" s="537"/>
      <c r="LUC213" s="537"/>
      <c r="LUD213" s="537"/>
      <c r="LUE213" s="537"/>
      <c r="LUF213" s="537"/>
      <c r="LUG213" s="537"/>
      <c r="LUH213" s="537"/>
      <c r="LUI213" s="537"/>
      <c r="LUJ213" s="537"/>
      <c r="LUK213" s="537"/>
      <c r="LUL213" s="537"/>
      <c r="LUM213" s="537"/>
      <c r="LUN213" s="537"/>
      <c r="LUO213" s="537"/>
      <c r="LUP213" s="537"/>
      <c r="LUQ213" s="537"/>
      <c r="LUR213" s="537"/>
      <c r="LUS213" s="537"/>
      <c r="LUT213" s="537"/>
      <c r="LUU213" s="537"/>
      <c r="LUV213" s="537"/>
      <c r="LUW213" s="537"/>
      <c r="LUX213" s="537"/>
      <c r="LUY213" s="537"/>
      <c r="LUZ213" s="537"/>
      <c r="LVA213" s="537"/>
      <c r="LVB213" s="537"/>
      <c r="LVC213" s="537"/>
      <c r="LVD213" s="537"/>
      <c r="LVE213" s="537"/>
      <c r="LVF213" s="537"/>
      <c r="LVG213" s="537"/>
      <c r="LVH213" s="537"/>
      <c r="LVI213" s="537"/>
      <c r="LVJ213" s="537"/>
      <c r="LVK213" s="537"/>
      <c r="LVL213" s="537"/>
      <c r="LVM213" s="537"/>
      <c r="LVN213" s="537"/>
      <c r="LVO213" s="537"/>
      <c r="LVP213" s="537"/>
      <c r="LVQ213" s="537"/>
      <c r="LVR213" s="537"/>
      <c r="LVS213" s="537"/>
      <c r="LVT213" s="537"/>
      <c r="LVU213" s="537"/>
      <c r="LVV213" s="537"/>
      <c r="LVW213" s="537"/>
      <c r="LVX213" s="537"/>
      <c r="LVY213" s="537"/>
      <c r="LVZ213" s="537"/>
      <c r="LWA213" s="537"/>
      <c r="LWB213" s="537"/>
      <c r="LWC213" s="537"/>
      <c r="LWD213" s="537"/>
      <c r="LWE213" s="537"/>
      <c r="LWF213" s="537"/>
      <c r="LWG213" s="537"/>
      <c r="LWH213" s="537"/>
      <c r="LWI213" s="537"/>
      <c r="LWJ213" s="537"/>
      <c r="LWK213" s="537"/>
      <c r="LWL213" s="537"/>
      <c r="LWM213" s="537"/>
      <c r="LWN213" s="537"/>
      <c r="LWO213" s="537"/>
      <c r="LWP213" s="537"/>
      <c r="LWQ213" s="537"/>
      <c r="LWR213" s="537"/>
      <c r="LWS213" s="537"/>
      <c r="LWT213" s="537"/>
      <c r="LWU213" s="537"/>
      <c r="LWV213" s="537"/>
      <c r="LWW213" s="537"/>
      <c r="LWX213" s="537"/>
      <c r="LWY213" s="537"/>
      <c r="LWZ213" s="537"/>
      <c r="LXA213" s="537"/>
      <c r="LXB213" s="537"/>
      <c r="LXC213" s="537"/>
      <c r="LXD213" s="537"/>
      <c r="LXE213" s="537"/>
      <c r="LXF213" s="537"/>
      <c r="LXG213" s="537"/>
      <c r="LXH213" s="537"/>
      <c r="LXI213" s="537"/>
      <c r="LXJ213" s="537"/>
      <c r="LXK213" s="537"/>
      <c r="LXL213" s="537"/>
      <c r="LXM213" s="537"/>
      <c r="LXN213" s="537"/>
      <c r="LXO213" s="537"/>
      <c r="LXP213" s="537"/>
      <c r="LXQ213" s="537"/>
      <c r="LXR213" s="537"/>
      <c r="LXS213" s="537"/>
      <c r="LXT213" s="537"/>
      <c r="LXU213" s="537"/>
      <c r="LXV213" s="537"/>
      <c r="LXW213" s="537"/>
      <c r="LXX213" s="537"/>
      <c r="LXY213" s="537"/>
      <c r="LXZ213" s="537"/>
      <c r="LYA213" s="537"/>
      <c r="LYB213" s="537"/>
      <c r="LYC213" s="537"/>
      <c r="LYD213" s="537"/>
      <c r="LYE213" s="537"/>
      <c r="LYF213" s="537"/>
      <c r="LYG213" s="537"/>
      <c r="LYH213" s="537"/>
      <c r="LYI213" s="537"/>
      <c r="LYJ213" s="537"/>
      <c r="LYK213" s="537"/>
      <c r="LYL213" s="537"/>
      <c r="LYM213" s="537"/>
      <c r="LYN213" s="537"/>
      <c r="LYO213" s="537"/>
      <c r="LYP213" s="537"/>
      <c r="LYQ213" s="537"/>
      <c r="LYR213" s="537"/>
      <c r="LYS213" s="537"/>
      <c r="LYT213" s="537"/>
      <c r="LYU213" s="537"/>
      <c r="LYV213" s="537"/>
      <c r="LYW213" s="537"/>
      <c r="LYX213" s="537"/>
      <c r="LYY213" s="537"/>
      <c r="LYZ213" s="537"/>
      <c r="LZA213" s="537"/>
      <c r="LZB213" s="537"/>
      <c r="LZC213" s="537"/>
      <c r="LZD213" s="537"/>
      <c r="LZE213" s="537"/>
      <c r="LZF213" s="537"/>
      <c r="LZG213" s="537"/>
      <c r="LZH213" s="537"/>
      <c r="LZI213" s="537"/>
      <c r="LZJ213" s="537"/>
      <c r="LZK213" s="537"/>
      <c r="LZL213" s="537"/>
      <c r="LZM213" s="537"/>
      <c r="LZN213" s="537"/>
      <c r="LZO213" s="537"/>
      <c r="LZP213" s="537"/>
      <c r="LZQ213" s="537"/>
      <c r="LZR213" s="537"/>
      <c r="LZS213" s="537"/>
      <c r="LZT213" s="537"/>
      <c r="LZU213" s="537"/>
      <c r="LZV213" s="537"/>
      <c r="LZW213" s="537"/>
      <c r="LZX213" s="537"/>
      <c r="LZY213" s="537"/>
      <c r="LZZ213" s="537"/>
      <c r="MAA213" s="537"/>
      <c r="MAB213" s="537"/>
      <c r="MAC213" s="537"/>
      <c r="MAD213" s="537"/>
      <c r="MAE213" s="537"/>
      <c r="MAF213" s="537"/>
      <c r="MAG213" s="537"/>
      <c r="MAH213" s="537"/>
      <c r="MAI213" s="537"/>
      <c r="MAJ213" s="537"/>
      <c r="MAK213" s="537"/>
      <c r="MAL213" s="537"/>
      <c r="MAM213" s="537"/>
      <c r="MAN213" s="537"/>
      <c r="MAO213" s="537"/>
      <c r="MAP213" s="537"/>
      <c r="MAQ213" s="537"/>
      <c r="MAR213" s="537"/>
      <c r="MAS213" s="537"/>
      <c r="MAT213" s="537"/>
      <c r="MAU213" s="537"/>
      <c r="MAV213" s="537"/>
      <c r="MAW213" s="537"/>
      <c r="MAX213" s="537"/>
      <c r="MAY213" s="537"/>
      <c r="MAZ213" s="537"/>
      <c r="MBA213" s="537"/>
      <c r="MBB213" s="537"/>
      <c r="MBC213" s="537"/>
      <c r="MBD213" s="537"/>
      <c r="MBE213" s="537"/>
      <c r="MBF213" s="537"/>
      <c r="MBG213" s="537"/>
      <c r="MBH213" s="537"/>
      <c r="MBI213" s="537"/>
      <c r="MBJ213" s="537"/>
      <c r="MBK213" s="537"/>
      <c r="MBL213" s="537"/>
      <c r="MBM213" s="537"/>
      <c r="MBN213" s="537"/>
      <c r="MBO213" s="537"/>
      <c r="MBP213" s="537"/>
      <c r="MBQ213" s="537"/>
      <c r="MBR213" s="537"/>
      <c r="MBS213" s="537"/>
      <c r="MBT213" s="537"/>
      <c r="MBU213" s="537"/>
      <c r="MBV213" s="537"/>
      <c r="MBW213" s="537"/>
      <c r="MBX213" s="537"/>
      <c r="MBY213" s="537"/>
      <c r="MBZ213" s="537"/>
      <c r="MCA213" s="537"/>
      <c r="MCB213" s="537"/>
      <c r="MCC213" s="537"/>
      <c r="MCD213" s="537"/>
      <c r="MCE213" s="537"/>
      <c r="MCF213" s="537"/>
      <c r="MCG213" s="537"/>
      <c r="MCH213" s="537"/>
      <c r="MCI213" s="537"/>
      <c r="MCJ213" s="537"/>
      <c r="MCK213" s="537"/>
      <c r="MCL213" s="537"/>
      <c r="MCM213" s="537"/>
      <c r="MCN213" s="537"/>
      <c r="MCO213" s="537"/>
      <c r="MCP213" s="537"/>
      <c r="MCQ213" s="537"/>
      <c r="MCR213" s="537"/>
      <c r="MCS213" s="537"/>
      <c r="MCT213" s="537"/>
      <c r="MCU213" s="537"/>
      <c r="MCV213" s="537"/>
      <c r="MCW213" s="537"/>
      <c r="MCX213" s="537"/>
      <c r="MCY213" s="537"/>
      <c r="MCZ213" s="537"/>
      <c r="MDA213" s="537"/>
      <c r="MDB213" s="537"/>
      <c r="MDC213" s="537"/>
      <c r="MDD213" s="537"/>
      <c r="MDE213" s="537"/>
      <c r="MDF213" s="537"/>
      <c r="MDG213" s="537"/>
      <c r="MDH213" s="537"/>
      <c r="MDI213" s="537"/>
      <c r="MDJ213" s="537"/>
      <c r="MDK213" s="537"/>
      <c r="MDL213" s="537"/>
      <c r="MDM213" s="537"/>
      <c r="MDN213" s="537"/>
      <c r="MDO213" s="537"/>
      <c r="MDP213" s="537"/>
      <c r="MDQ213" s="537"/>
      <c r="MDR213" s="537"/>
      <c r="MDS213" s="537"/>
      <c r="MDT213" s="537"/>
      <c r="MDU213" s="537"/>
      <c r="MDV213" s="537"/>
      <c r="MDW213" s="537"/>
      <c r="MDX213" s="537"/>
      <c r="MDY213" s="537"/>
      <c r="MDZ213" s="537"/>
      <c r="MEA213" s="537"/>
      <c r="MEB213" s="537"/>
      <c r="MEC213" s="537"/>
      <c r="MED213" s="537"/>
      <c r="MEE213" s="537"/>
      <c r="MEF213" s="537"/>
      <c r="MEG213" s="537"/>
      <c r="MEH213" s="537"/>
      <c r="MEI213" s="537"/>
      <c r="MEJ213" s="537"/>
      <c r="MEK213" s="537"/>
      <c r="MEL213" s="537"/>
      <c r="MEM213" s="537"/>
      <c r="MEN213" s="537"/>
      <c r="MEO213" s="537"/>
      <c r="MEP213" s="537"/>
      <c r="MEQ213" s="537"/>
      <c r="MER213" s="537"/>
      <c r="MES213" s="537"/>
      <c r="MET213" s="537"/>
      <c r="MEU213" s="537"/>
      <c r="MEV213" s="537"/>
      <c r="MEW213" s="537"/>
      <c r="MEX213" s="537"/>
      <c r="MEY213" s="537"/>
      <c r="MEZ213" s="537"/>
      <c r="MFA213" s="537"/>
      <c r="MFB213" s="537"/>
      <c r="MFC213" s="537"/>
      <c r="MFD213" s="537"/>
      <c r="MFE213" s="537"/>
      <c r="MFF213" s="537"/>
      <c r="MFG213" s="537"/>
      <c r="MFH213" s="537"/>
      <c r="MFI213" s="537"/>
      <c r="MFJ213" s="537"/>
      <c r="MFK213" s="537"/>
      <c r="MFL213" s="537"/>
      <c r="MFM213" s="537"/>
      <c r="MFN213" s="537"/>
      <c r="MFO213" s="537"/>
      <c r="MFP213" s="537"/>
      <c r="MFQ213" s="537"/>
      <c r="MFR213" s="537"/>
      <c r="MFS213" s="537"/>
      <c r="MFT213" s="537"/>
      <c r="MFU213" s="537"/>
      <c r="MFV213" s="537"/>
      <c r="MFW213" s="537"/>
      <c r="MFX213" s="537"/>
      <c r="MFY213" s="537"/>
      <c r="MFZ213" s="537"/>
      <c r="MGA213" s="537"/>
      <c r="MGB213" s="537"/>
      <c r="MGC213" s="537"/>
      <c r="MGD213" s="537"/>
      <c r="MGE213" s="537"/>
      <c r="MGF213" s="537"/>
      <c r="MGG213" s="537"/>
      <c r="MGH213" s="537"/>
      <c r="MGI213" s="537"/>
      <c r="MGJ213" s="537"/>
      <c r="MGK213" s="537"/>
      <c r="MGL213" s="537"/>
      <c r="MGM213" s="537"/>
      <c r="MGN213" s="537"/>
      <c r="MGO213" s="537"/>
      <c r="MGP213" s="537"/>
      <c r="MGQ213" s="537"/>
      <c r="MGR213" s="537"/>
      <c r="MGS213" s="537"/>
      <c r="MGT213" s="537"/>
      <c r="MGU213" s="537"/>
      <c r="MGV213" s="537"/>
      <c r="MGW213" s="537"/>
      <c r="MGX213" s="537"/>
      <c r="MGY213" s="537"/>
      <c r="MGZ213" s="537"/>
      <c r="MHA213" s="537"/>
      <c r="MHB213" s="537"/>
      <c r="MHC213" s="537"/>
      <c r="MHD213" s="537"/>
      <c r="MHE213" s="537"/>
      <c r="MHF213" s="537"/>
      <c r="MHG213" s="537"/>
      <c r="MHH213" s="537"/>
      <c r="MHI213" s="537"/>
      <c r="MHJ213" s="537"/>
      <c r="MHK213" s="537"/>
      <c r="MHL213" s="537"/>
      <c r="MHM213" s="537"/>
      <c r="MHN213" s="537"/>
      <c r="MHO213" s="537"/>
      <c r="MHP213" s="537"/>
      <c r="MHQ213" s="537"/>
      <c r="MHR213" s="537"/>
      <c r="MHS213" s="537"/>
      <c r="MHT213" s="537"/>
      <c r="MHU213" s="537"/>
      <c r="MHV213" s="537"/>
      <c r="MHW213" s="537"/>
      <c r="MHX213" s="537"/>
      <c r="MHY213" s="537"/>
      <c r="MHZ213" s="537"/>
      <c r="MIA213" s="537"/>
      <c r="MIB213" s="537"/>
      <c r="MIC213" s="537"/>
      <c r="MID213" s="537"/>
      <c r="MIE213" s="537"/>
      <c r="MIF213" s="537"/>
      <c r="MIG213" s="537"/>
      <c r="MIH213" s="537"/>
      <c r="MII213" s="537"/>
      <c r="MIJ213" s="537"/>
      <c r="MIK213" s="537"/>
      <c r="MIL213" s="537"/>
      <c r="MIM213" s="537"/>
      <c r="MIN213" s="537"/>
      <c r="MIO213" s="537"/>
      <c r="MIP213" s="537"/>
      <c r="MIQ213" s="537"/>
      <c r="MIR213" s="537"/>
      <c r="MIS213" s="537"/>
      <c r="MIT213" s="537"/>
      <c r="MIU213" s="537"/>
      <c r="MIV213" s="537"/>
      <c r="MIW213" s="537"/>
      <c r="MIX213" s="537"/>
      <c r="MIY213" s="537"/>
      <c r="MIZ213" s="537"/>
      <c r="MJA213" s="537"/>
      <c r="MJB213" s="537"/>
      <c r="MJC213" s="537"/>
      <c r="MJD213" s="537"/>
      <c r="MJE213" s="537"/>
      <c r="MJF213" s="537"/>
      <c r="MJG213" s="537"/>
      <c r="MJH213" s="537"/>
      <c r="MJI213" s="537"/>
      <c r="MJJ213" s="537"/>
      <c r="MJK213" s="537"/>
      <c r="MJL213" s="537"/>
      <c r="MJM213" s="537"/>
      <c r="MJN213" s="537"/>
      <c r="MJO213" s="537"/>
      <c r="MJP213" s="537"/>
      <c r="MJQ213" s="537"/>
      <c r="MJR213" s="537"/>
      <c r="MJS213" s="537"/>
      <c r="MJT213" s="537"/>
      <c r="MJU213" s="537"/>
      <c r="MJV213" s="537"/>
      <c r="MJW213" s="537"/>
      <c r="MJX213" s="537"/>
      <c r="MJY213" s="537"/>
      <c r="MJZ213" s="537"/>
      <c r="MKA213" s="537"/>
      <c r="MKB213" s="537"/>
      <c r="MKC213" s="537"/>
      <c r="MKD213" s="537"/>
      <c r="MKE213" s="537"/>
      <c r="MKF213" s="537"/>
      <c r="MKG213" s="537"/>
      <c r="MKH213" s="537"/>
      <c r="MKI213" s="537"/>
      <c r="MKJ213" s="537"/>
      <c r="MKK213" s="537"/>
      <c r="MKL213" s="537"/>
      <c r="MKM213" s="537"/>
      <c r="MKN213" s="537"/>
      <c r="MKO213" s="537"/>
      <c r="MKP213" s="537"/>
      <c r="MKQ213" s="537"/>
      <c r="MKR213" s="537"/>
      <c r="MKS213" s="537"/>
      <c r="MKT213" s="537"/>
      <c r="MKU213" s="537"/>
      <c r="MKV213" s="537"/>
      <c r="MKW213" s="537"/>
      <c r="MKX213" s="537"/>
      <c r="MKY213" s="537"/>
      <c r="MKZ213" s="537"/>
      <c r="MLA213" s="537"/>
      <c r="MLB213" s="537"/>
      <c r="MLC213" s="537"/>
      <c r="MLD213" s="537"/>
      <c r="MLE213" s="537"/>
      <c r="MLF213" s="537"/>
      <c r="MLG213" s="537"/>
      <c r="MLH213" s="537"/>
      <c r="MLI213" s="537"/>
      <c r="MLJ213" s="537"/>
      <c r="MLK213" s="537"/>
      <c r="MLL213" s="537"/>
      <c r="MLM213" s="537"/>
      <c r="MLN213" s="537"/>
      <c r="MLO213" s="537"/>
      <c r="MLP213" s="537"/>
      <c r="MLQ213" s="537"/>
      <c r="MLR213" s="537"/>
      <c r="MLS213" s="537"/>
      <c r="MLT213" s="537"/>
      <c r="MLU213" s="537"/>
      <c r="MLV213" s="537"/>
      <c r="MLW213" s="537"/>
      <c r="MLX213" s="537"/>
      <c r="MLY213" s="537"/>
      <c r="MLZ213" s="537"/>
      <c r="MMA213" s="537"/>
      <c r="MMB213" s="537"/>
      <c r="MMC213" s="537"/>
      <c r="MMD213" s="537"/>
      <c r="MME213" s="537"/>
      <c r="MMF213" s="537"/>
      <c r="MMG213" s="537"/>
      <c r="MMH213" s="537"/>
      <c r="MMI213" s="537"/>
      <c r="MMJ213" s="537"/>
      <c r="MMK213" s="537"/>
      <c r="MML213" s="537"/>
      <c r="MMM213" s="537"/>
      <c r="MMN213" s="537"/>
      <c r="MMO213" s="537"/>
      <c r="MMP213" s="537"/>
      <c r="MMQ213" s="537"/>
      <c r="MMR213" s="537"/>
      <c r="MMS213" s="537"/>
      <c r="MMT213" s="537"/>
      <c r="MMU213" s="537"/>
      <c r="MMV213" s="537"/>
      <c r="MMW213" s="537"/>
      <c r="MMX213" s="537"/>
      <c r="MMY213" s="537"/>
      <c r="MMZ213" s="537"/>
      <c r="MNA213" s="537"/>
      <c r="MNB213" s="537"/>
      <c r="MNC213" s="537"/>
      <c r="MND213" s="537"/>
      <c r="MNE213" s="537"/>
      <c r="MNF213" s="537"/>
      <c r="MNG213" s="537"/>
      <c r="MNH213" s="537"/>
      <c r="MNI213" s="537"/>
      <c r="MNJ213" s="537"/>
      <c r="MNK213" s="537"/>
      <c r="MNL213" s="537"/>
      <c r="MNM213" s="537"/>
      <c r="MNN213" s="537"/>
      <c r="MNO213" s="537"/>
      <c r="MNP213" s="537"/>
      <c r="MNQ213" s="537"/>
      <c r="MNR213" s="537"/>
      <c r="MNS213" s="537"/>
      <c r="MNT213" s="537"/>
      <c r="MNU213" s="537"/>
      <c r="MNV213" s="537"/>
      <c r="MNW213" s="537"/>
      <c r="MNX213" s="537"/>
      <c r="MNY213" s="537"/>
      <c r="MNZ213" s="537"/>
      <c r="MOA213" s="537"/>
      <c r="MOB213" s="537"/>
      <c r="MOC213" s="537"/>
      <c r="MOD213" s="537"/>
      <c r="MOE213" s="537"/>
      <c r="MOF213" s="537"/>
      <c r="MOG213" s="537"/>
      <c r="MOH213" s="537"/>
      <c r="MOI213" s="537"/>
      <c r="MOJ213" s="537"/>
      <c r="MOK213" s="537"/>
      <c r="MOL213" s="537"/>
      <c r="MOM213" s="537"/>
      <c r="MON213" s="537"/>
      <c r="MOO213" s="537"/>
      <c r="MOP213" s="537"/>
      <c r="MOQ213" s="537"/>
      <c r="MOR213" s="537"/>
      <c r="MOS213" s="537"/>
      <c r="MOT213" s="537"/>
      <c r="MOU213" s="537"/>
      <c r="MOV213" s="537"/>
      <c r="MOW213" s="537"/>
      <c r="MOX213" s="537"/>
      <c r="MOY213" s="537"/>
      <c r="MOZ213" s="537"/>
      <c r="MPA213" s="537"/>
      <c r="MPB213" s="537"/>
      <c r="MPC213" s="537"/>
      <c r="MPD213" s="537"/>
      <c r="MPE213" s="537"/>
      <c r="MPF213" s="537"/>
      <c r="MPG213" s="537"/>
      <c r="MPH213" s="537"/>
      <c r="MPI213" s="537"/>
      <c r="MPJ213" s="537"/>
      <c r="MPK213" s="537"/>
      <c r="MPL213" s="537"/>
      <c r="MPM213" s="537"/>
      <c r="MPN213" s="537"/>
      <c r="MPO213" s="537"/>
      <c r="MPP213" s="537"/>
      <c r="MPQ213" s="537"/>
      <c r="MPR213" s="537"/>
      <c r="MPS213" s="537"/>
      <c r="MPT213" s="537"/>
      <c r="MPU213" s="537"/>
      <c r="MPV213" s="537"/>
      <c r="MPW213" s="537"/>
      <c r="MPX213" s="537"/>
      <c r="MPY213" s="537"/>
      <c r="MPZ213" s="537"/>
      <c r="MQA213" s="537"/>
      <c r="MQB213" s="537"/>
      <c r="MQC213" s="537"/>
      <c r="MQD213" s="537"/>
      <c r="MQE213" s="537"/>
      <c r="MQF213" s="537"/>
      <c r="MQG213" s="537"/>
      <c r="MQH213" s="537"/>
      <c r="MQI213" s="537"/>
      <c r="MQJ213" s="537"/>
      <c r="MQK213" s="537"/>
      <c r="MQL213" s="537"/>
      <c r="MQM213" s="537"/>
      <c r="MQN213" s="537"/>
      <c r="MQO213" s="537"/>
      <c r="MQP213" s="537"/>
      <c r="MQQ213" s="537"/>
      <c r="MQR213" s="537"/>
      <c r="MQS213" s="537"/>
      <c r="MQT213" s="537"/>
      <c r="MQU213" s="537"/>
      <c r="MQV213" s="537"/>
      <c r="MQW213" s="537"/>
      <c r="MQX213" s="537"/>
      <c r="MQY213" s="537"/>
      <c r="MQZ213" s="537"/>
      <c r="MRA213" s="537"/>
      <c r="MRB213" s="537"/>
      <c r="MRC213" s="537"/>
      <c r="MRD213" s="537"/>
      <c r="MRE213" s="537"/>
      <c r="MRF213" s="537"/>
      <c r="MRG213" s="537"/>
      <c r="MRH213" s="537"/>
      <c r="MRI213" s="537"/>
      <c r="MRJ213" s="537"/>
      <c r="MRK213" s="537"/>
      <c r="MRL213" s="537"/>
      <c r="MRM213" s="537"/>
      <c r="MRN213" s="537"/>
      <c r="MRO213" s="537"/>
      <c r="MRP213" s="537"/>
      <c r="MRQ213" s="537"/>
      <c r="MRR213" s="537"/>
      <c r="MRS213" s="537"/>
      <c r="MRT213" s="537"/>
      <c r="MRU213" s="537"/>
      <c r="MRV213" s="537"/>
      <c r="MRW213" s="537"/>
      <c r="MRX213" s="537"/>
      <c r="MRY213" s="537"/>
      <c r="MRZ213" s="537"/>
      <c r="MSA213" s="537"/>
      <c r="MSB213" s="537"/>
      <c r="MSC213" s="537"/>
      <c r="MSD213" s="537"/>
      <c r="MSE213" s="537"/>
      <c r="MSF213" s="537"/>
      <c r="MSG213" s="537"/>
      <c r="MSH213" s="537"/>
      <c r="MSI213" s="537"/>
      <c r="MSJ213" s="537"/>
      <c r="MSK213" s="537"/>
      <c r="MSL213" s="537"/>
      <c r="MSM213" s="537"/>
      <c r="MSN213" s="537"/>
      <c r="MSO213" s="537"/>
      <c r="MSP213" s="537"/>
      <c r="MSQ213" s="537"/>
      <c r="MSR213" s="537"/>
      <c r="MSS213" s="537"/>
      <c r="MST213" s="537"/>
      <c r="MSU213" s="537"/>
      <c r="MSV213" s="537"/>
      <c r="MSW213" s="537"/>
      <c r="MSX213" s="537"/>
      <c r="MSY213" s="537"/>
      <c r="MSZ213" s="537"/>
      <c r="MTA213" s="537"/>
      <c r="MTB213" s="537"/>
      <c r="MTC213" s="537"/>
      <c r="MTD213" s="537"/>
      <c r="MTE213" s="537"/>
      <c r="MTF213" s="537"/>
      <c r="MTG213" s="537"/>
      <c r="MTH213" s="537"/>
      <c r="MTI213" s="537"/>
      <c r="MTJ213" s="537"/>
      <c r="MTK213" s="537"/>
      <c r="MTL213" s="537"/>
      <c r="MTM213" s="537"/>
      <c r="MTN213" s="537"/>
      <c r="MTO213" s="537"/>
      <c r="MTP213" s="537"/>
      <c r="MTQ213" s="537"/>
      <c r="MTR213" s="537"/>
      <c r="MTS213" s="537"/>
      <c r="MTT213" s="537"/>
      <c r="MTU213" s="537"/>
      <c r="MTV213" s="537"/>
      <c r="MTW213" s="537"/>
      <c r="MTX213" s="537"/>
      <c r="MTY213" s="537"/>
      <c r="MTZ213" s="537"/>
      <c r="MUA213" s="537"/>
      <c r="MUB213" s="537"/>
      <c r="MUC213" s="537"/>
      <c r="MUD213" s="537"/>
      <c r="MUE213" s="537"/>
      <c r="MUF213" s="537"/>
      <c r="MUG213" s="537"/>
      <c r="MUH213" s="537"/>
      <c r="MUI213" s="537"/>
      <c r="MUJ213" s="537"/>
      <c r="MUK213" s="537"/>
      <c r="MUL213" s="537"/>
      <c r="MUM213" s="537"/>
      <c r="MUN213" s="537"/>
      <c r="MUO213" s="537"/>
      <c r="MUP213" s="537"/>
      <c r="MUQ213" s="537"/>
      <c r="MUR213" s="537"/>
      <c r="MUS213" s="537"/>
      <c r="MUT213" s="537"/>
      <c r="MUU213" s="537"/>
      <c r="MUV213" s="537"/>
      <c r="MUW213" s="537"/>
      <c r="MUX213" s="537"/>
      <c r="MUY213" s="537"/>
      <c r="MUZ213" s="537"/>
      <c r="MVA213" s="537"/>
      <c r="MVB213" s="537"/>
      <c r="MVC213" s="537"/>
      <c r="MVD213" s="537"/>
      <c r="MVE213" s="537"/>
      <c r="MVF213" s="537"/>
      <c r="MVG213" s="537"/>
      <c r="MVH213" s="537"/>
      <c r="MVI213" s="537"/>
      <c r="MVJ213" s="537"/>
      <c r="MVK213" s="537"/>
      <c r="MVL213" s="537"/>
      <c r="MVM213" s="537"/>
      <c r="MVN213" s="537"/>
      <c r="MVO213" s="537"/>
      <c r="MVP213" s="537"/>
      <c r="MVQ213" s="537"/>
      <c r="MVR213" s="537"/>
      <c r="MVS213" s="537"/>
      <c r="MVT213" s="537"/>
      <c r="MVU213" s="537"/>
      <c r="MVV213" s="537"/>
      <c r="MVW213" s="537"/>
      <c r="MVX213" s="537"/>
      <c r="MVY213" s="537"/>
      <c r="MVZ213" s="537"/>
      <c r="MWA213" s="537"/>
      <c r="MWB213" s="537"/>
      <c r="MWC213" s="537"/>
      <c r="MWD213" s="537"/>
      <c r="MWE213" s="537"/>
      <c r="MWF213" s="537"/>
      <c r="MWG213" s="537"/>
      <c r="MWH213" s="537"/>
      <c r="MWI213" s="537"/>
      <c r="MWJ213" s="537"/>
      <c r="MWK213" s="537"/>
      <c r="MWL213" s="537"/>
      <c r="MWM213" s="537"/>
      <c r="MWN213" s="537"/>
      <c r="MWO213" s="537"/>
      <c r="MWP213" s="537"/>
      <c r="MWQ213" s="537"/>
      <c r="MWR213" s="537"/>
      <c r="MWS213" s="537"/>
      <c r="MWT213" s="537"/>
      <c r="MWU213" s="537"/>
      <c r="MWV213" s="537"/>
      <c r="MWW213" s="537"/>
      <c r="MWX213" s="537"/>
      <c r="MWY213" s="537"/>
      <c r="MWZ213" s="537"/>
      <c r="MXA213" s="537"/>
      <c r="MXB213" s="537"/>
      <c r="MXC213" s="537"/>
      <c r="MXD213" s="537"/>
      <c r="MXE213" s="537"/>
      <c r="MXF213" s="537"/>
      <c r="MXG213" s="537"/>
      <c r="MXH213" s="537"/>
      <c r="MXI213" s="537"/>
      <c r="MXJ213" s="537"/>
      <c r="MXK213" s="537"/>
      <c r="MXL213" s="537"/>
      <c r="MXM213" s="537"/>
      <c r="MXN213" s="537"/>
      <c r="MXO213" s="537"/>
      <c r="MXP213" s="537"/>
      <c r="MXQ213" s="537"/>
      <c r="MXR213" s="537"/>
      <c r="MXS213" s="537"/>
      <c r="MXT213" s="537"/>
      <c r="MXU213" s="537"/>
      <c r="MXV213" s="537"/>
      <c r="MXW213" s="537"/>
      <c r="MXX213" s="537"/>
      <c r="MXY213" s="537"/>
      <c r="MXZ213" s="537"/>
      <c r="MYA213" s="537"/>
      <c r="MYB213" s="537"/>
      <c r="MYC213" s="537"/>
      <c r="MYD213" s="537"/>
      <c r="MYE213" s="537"/>
      <c r="MYF213" s="537"/>
      <c r="MYG213" s="537"/>
      <c r="MYH213" s="537"/>
      <c r="MYI213" s="537"/>
      <c r="MYJ213" s="537"/>
      <c r="MYK213" s="537"/>
      <c r="MYL213" s="537"/>
      <c r="MYM213" s="537"/>
      <c r="MYN213" s="537"/>
      <c r="MYO213" s="537"/>
      <c r="MYP213" s="537"/>
      <c r="MYQ213" s="537"/>
      <c r="MYR213" s="537"/>
      <c r="MYS213" s="537"/>
      <c r="MYT213" s="537"/>
      <c r="MYU213" s="537"/>
      <c r="MYV213" s="537"/>
      <c r="MYW213" s="537"/>
      <c r="MYX213" s="537"/>
      <c r="MYY213" s="537"/>
      <c r="MYZ213" s="537"/>
      <c r="MZA213" s="537"/>
      <c r="MZB213" s="537"/>
      <c r="MZC213" s="537"/>
      <c r="MZD213" s="537"/>
      <c r="MZE213" s="537"/>
      <c r="MZF213" s="537"/>
      <c r="MZG213" s="537"/>
      <c r="MZH213" s="537"/>
      <c r="MZI213" s="537"/>
      <c r="MZJ213" s="537"/>
      <c r="MZK213" s="537"/>
      <c r="MZL213" s="537"/>
      <c r="MZM213" s="537"/>
      <c r="MZN213" s="537"/>
      <c r="MZO213" s="537"/>
      <c r="MZP213" s="537"/>
      <c r="MZQ213" s="537"/>
      <c r="MZR213" s="537"/>
      <c r="MZS213" s="537"/>
      <c r="MZT213" s="537"/>
      <c r="MZU213" s="537"/>
      <c r="MZV213" s="537"/>
      <c r="MZW213" s="537"/>
      <c r="MZX213" s="537"/>
      <c r="MZY213" s="537"/>
      <c r="MZZ213" s="537"/>
      <c r="NAA213" s="537"/>
      <c r="NAB213" s="537"/>
      <c r="NAC213" s="537"/>
      <c r="NAD213" s="537"/>
      <c r="NAE213" s="537"/>
      <c r="NAF213" s="537"/>
      <c r="NAG213" s="537"/>
      <c r="NAH213" s="537"/>
      <c r="NAI213" s="537"/>
      <c r="NAJ213" s="537"/>
      <c r="NAK213" s="537"/>
      <c r="NAL213" s="537"/>
      <c r="NAM213" s="537"/>
      <c r="NAN213" s="537"/>
      <c r="NAO213" s="537"/>
      <c r="NAP213" s="537"/>
      <c r="NAQ213" s="537"/>
      <c r="NAR213" s="537"/>
      <c r="NAS213" s="537"/>
      <c r="NAT213" s="537"/>
      <c r="NAU213" s="537"/>
      <c r="NAV213" s="537"/>
      <c r="NAW213" s="537"/>
      <c r="NAX213" s="537"/>
      <c r="NAY213" s="537"/>
      <c r="NAZ213" s="537"/>
      <c r="NBA213" s="537"/>
      <c r="NBB213" s="537"/>
      <c r="NBC213" s="537"/>
      <c r="NBD213" s="537"/>
      <c r="NBE213" s="537"/>
      <c r="NBF213" s="537"/>
      <c r="NBG213" s="537"/>
      <c r="NBH213" s="537"/>
      <c r="NBI213" s="537"/>
      <c r="NBJ213" s="537"/>
      <c r="NBK213" s="537"/>
      <c r="NBL213" s="537"/>
      <c r="NBM213" s="537"/>
      <c r="NBN213" s="537"/>
      <c r="NBO213" s="537"/>
      <c r="NBP213" s="537"/>
      <c r="NBQ213" s="537"/>
      <c r="NBR213" s="537"/>
      <c r="NBS213" s="537"/>
      <c r="NBT213" s="537"/>
      <c r="NBU213" s="537"/>
      <c r="NBV213" s="537"/>
      <c r="NBW213" s="537"/>
      <c r="NBX213" s="537"/>
      <c r="NBY213" s="537"/>
      <c r="NBZ213" s="537"/>
      <c r="NCA213" s="537"/>
      <c r="NCB213" s="537"/>
      <c r="NCC213" s="537"/>
      <c r="NCD213" s="537"/>
      <c r="NCE213" s="537"/>
      <c r="NCF213" s="537"/>
      <c r="NCG213" s="537"/>
      <c r="NCH213" s="537"/>
      <c r="NCI213" s="537"/>
      <c r="NCJ213" s="537"/>
      <c r="NCK213" s="537"/>
      <c r="NCL213" s="537"/>
      <c r="NCM213" s="537"/>
      <c r="NCN213" s="537"/>
      <c r="NCO213" s="537"/>
      <c r="NCP213" s="537"/>
      <c r="NCQ213" s="537"/>
      <c r="NCR213" s="537"/>
      <c r="NCS213" s="537"/>
      <c r="NCT213" s="537"/>
      <c r="NCU213" s="537"/>
      <c r="NCV213" s="537"/>
      <c r="NCW213" s="537"/>
      <c r="NCX213" s="537"/>
      <c r="NCY213" s="537"/>
      <c r="NCZ213" s="537"/>
      <c r="NDA213" s="537"/>
      <c r="NDB213" s="537"/>
      <c r="NDC213" s="537"/>
      <c r="NDD213" s="537"/>
      <c r="NDE213" s="537"/>
      <c r="NDF213" s="537"/>
      <c r="NDG213" s="537"/>
      <c r="NDH213" s="537"/>
      <c r="NDI213" s="537"/>
      <c r="NDJ213" s="537"/>
      <c r="NDK213" s="537"/>
      <c r="NDL213" s="537"/>
      <c r="NDM213" s="537"/>
      <c r="NDN213" s="537"/>
      <c r="NDO213" s="537"/>
      <c r="NDP213" s="537"/>
      <c r="NDQ213" s="537"/>
      <c r="NDR213" s="537"/>
      <c r="NDS213" s="537"/>
      <c r="NDT213" s="537"/>
      <c r="NDU213" s="537"/>
      <c r="NDV213" s="537"/>
      <c r="NDW213" s="537"/>
      <c r="NDX213" s="537"/>
      <c r="NDY213" s="537"/>
      <c r="NDZ213" s="537"/>
      <c r="NEA213" s="537"/>
      <c r="NEB213" s="537"/>
      <c r="NEC213" s="537"/>
      <c r="NED213" s="537"/>
      <c r="NEE213" s="537"/>
      <c r="NEF213" s="537"/>
      <c r="NEG213" s="537"/>
      <c r="NEH213" s="537"/>
      <c r="NEI213" s="537"/>
      <c r="NEJ213" s="537"/>
      <c r="NEK213" s="537"/>
      <c r="NEL213" s="537"/>
      <c r="NEM213" s="537"/>
      <c r="NEN213" s="537"/>
      <c r="NEO213" s="537"/>
      <c r="NEP213" s="537"/>
      <c r="NEQ213" s="537"/>
      <c r="NER213" s="537"/>
      <c r="NES213" s="537"/>
      <c r="NET213" s="537"/>
      <c r="NEU213" s="537"/>
      <c r="NEV213" s="537"/>
      <c r="NEW213" s="537"/>
      <c r="NEX213" s="537"/>
      <c r="NEY213" s="537"/>
      <c r="NEZ213" s="537"/>
      <c r="NFA213" s="537"/>
      <c r="NFB213" s="537"/>
      <c r="NFC213" s="537"/>
      <c r="NFD213" s="537"/>
      <c r="NFE213" s="537"/>
      <c r="NFF213" s="537"/>
      <c r="NFG213" s="537"/>
      <c r="NFH213" s="537"/>
      <c r="NFI213" s="537"/>
      <c r="NFJ213" s="537"/>
      <c r="NFK213" s="537"/>
      <c r="NFL213" s="537"/>
      <c r="NFM213" s="537"/>
      <c r="NFN213" s="537"/>
      <c r="NFO213" s="537"/>
      <c r="NFP213" s="537"/>
      <c r="NFQ213" s="537"/>
      <c r="NFR213" s="537"/>
      <c r="NFS213" s="537"/>
      <c r="NFT213" s="537"/>
      <c r="NFU213" s="537"/>
      <c r="NFV213" s="537"/>
      <c r="NFW213" s="537"/>
      <c r="NFX213" s="537"/>
      <c r="NFY213" s="537"/>
      <c r="NFZ213" s="537"/>
      <c r="NGA213" s="537"/>
      <c r="NGB213" s="537"/>
      <c r="NGC213" s="537"/>
      <c r="NGD213" s="537"/>
      <c r="NGE213" s="537"/>
      <c r="NGF213" s="537"/>
      <c r="NGG213" s="537"/>
      <c r="NGH213" s="537"/>
      <c r="NGI213" s="537"/>
      <c r="NGJ213" s="537"/>
      <c r="NGK213" s="537"/>
      <c r="NGL213" s="537"/>
      <c r="NGM213" s="537"/>
      <c r="NGN213" s="537"/>
      <c r="NGO213" s="537"/>
      <c r="NGP213" s="537"/>
      <c r="NGQ213" s="537"/>
      <c r="NGR213" s="537"/>
      <c r="NGS213" s="537"/>
      <c r="NGT213" s="537"/>
      <c r="NGU213" s="537"/>
      <c r="NGV213" s="537"/>
      <c r="NGW213" s="537"/>
      <c r="NGX213" s="537"/>
      <c r="NGY213" s="537"/>
      <c r="NGZ213" s="537"/>
      <c r="NHA213" s="537"/>
      <c r="NHB213" s="537"/>
      <c r="NHC213" s="537"/>
      <c r="NHD213" s="537"/>
      <c r="NHE213" s="537"/>
      <c r="NHF213" s="537"/>
      <c r="NHG213" s="537"/>
      <c r="NHH213" s="537"/>
      <c r="NHI213" s="537"/>
      <c r="NHJ213" s="537"/>
      <c r="NHK213" s="537"/>
      <c r="NHL213" s="537"/>
      <c r="NHM213" s="537"/>
      <c r="NHN213" s="537"/>
      <c r="NHO213" s="537"/>
      <c r="NHP213" s="537"/>
      <c r="NHQ213" s="537"/>
      <c r="NHR213" s="537"/>
      <c r="NHS213" s="537"/>
      <c r="NHT213" s="537"/>
      <c r="NHU213" s="537"/>
      <c r="NHV213" s="537"/>
      <c r="NHW213" s="537"/>
      <c r="NHX213" s="537"/>
      <c r="NHY213" s="537"/>
      <c r="NHZ213" s="537"/>
      <c r="NIA213" s="537"/>
      <c r="NIB213" s="537"/>
      <c r="NIC213" s="537"/>
      <c r="NID213" s="537"/>
      <c r="NIE213" s="537"/>
      <c r="NIF213" s="537"/>
      <c r="NIG213" s="537"/>
      <c r="NIH213" s="537"/>
      <c r="NII213" s="537"/>
      <c r="NIJ213" s="537"/>
      <c r="NIK213" s="537"/>
      <c r="NIL213" s="537"/>
      <c r="NIM213" s="537"/>
      <c r="NIN213" s="537"/>
      <c r="NIO213" s="537"/>
      <c r="NIP213" s="537"/>
      <c r="NIQ213" s="537"/>
      <c r="NIR213" s="537"/>
      <c r="NIS213" s="537"/>
      <c r="NIT213" s="537"/>
      <c r="NIU213" s="537"/>
      <c r="NIV213" s="537"/>
      <c r="NIW213" s="537"/>
      <c r="NIX213" s="537"/>
      <c r="NIY213" s="537"/>
      <c r="NIZ213" s="537"/>
      <c r="NJA213" s="537"/>
      <c r="NJB213" s="537"/>
      <c r="NJC213" s="537"/>
      <c r="NJD213" s="537"/>
      <c r="NJE213" s="537"/>
      <c r="NJF213" s="537"/>
      <c r="NJG213" s="537"/>
      <c r="NJH213" s="537"/>
      <c r="NJI213" s="537"/>
      <c r="NJJ213" s="537"/>
      <c r="NJK213" s="537"/>
      <c r="NJL213" s="537"/>
      <c r="NJM213" s="537"/>
      <c r="NJN213" s="537"/>
      <c r="NJO213" s="537"/>
      <c r="NJP213" s="537"/>
      <c r="NJQ213" s="537"/>
      <c r="NJR213" s="537"/>
      <c r="NJS213" s="537"/>
      <c r="NJT213" s="537"/>
      <c r="NJU213" s="537"/>
      <c r="NJV213" s="537"/>
      <c r="NJW213" s="537"/>
      <c r="NJX213" s="537"/>
      <c r="NJY213" s="537"/>
      <c r="NJZ213" s="537"/>
      <c r="NKA213" s="537"/>
      <c r="NKB213" s="537"/>
      <c r="NKC213" s="537"/>
      <c r="NKD213" s="537"/>
      <c r="NKE213" s="537"/>
      <c r="NKF213" s="537"/>
      <c r="NKG213" s="537"/>
      <c r="NKH213" s="537"/>
      <c r="NKI213" s="537"/>
      <c r="NKJ213" s="537"/>
      <c r="NKK213" s="537"/>
      <c r="NKL213" s="537"/>
      <c r="NKM213" s="537"/>
      <c r="NKN213" s="537"/>
      <c r="NKO213" s="537"/>
      <c r="NKP213" s="537"/>
      <c r="NKQ213" s="537"/>
      <c r="NKR213" s="537"/>
      <c r="NKS213" s="537"/>
      <c r="NKT213" s="537"/>
      <c r="NKU213" s="537"/>
      <c r="NKV213" s="537"/>
      <c r="NKW213" s="537"/>
      <c r="NKX213" s="537"/>
      <c r="NKY213" s="537"/>
      <c r="NKZ213" s="537"/>
      <c r="NLA213" s="537"/>
      <c r="NLB213" s="537"/>
      <c r="NLC213" s="537"/>
      <c r="NLD213" s="537"/>
      <c r="NLE213" s="537"/>
      <c r="NLF213" s="537"/>
      <c r="NLG213" s="537"/>
      <c r="NLH213" s="537"/>
      <c r="NLI213" s="537"/>
      <c r="NLJ213" s="537"/>
      <c r="NLK213" s="537"/>
      <c r="NLL213" s="537"/>
      <c r="NLM213" s="537"/>
      <c r="NLN213" s="537"/>
      <c r="NLO213" s="537"/>
      <c r="NLP213" s="537"/>
      <c r="NLQ213" s="537"/>
      <c r="NLR213" s="537"/>
      <c r="NLS213" s="537"/>
      <c r="NLT213" s="537"/>
      <c r="NLU213" s="537"/>
      <c r="NLV213" s="537"/>
      <c r="NLW213" s="537"/>
      <c r="NLX213" s="537"/>
      <c r="NLY213" s="537"/>
      <c r="NLZ213" s="537"/>
      <c r="NMA213" s="537"/>
      <c r="NMB213" s="537"/>
      <c r="NMC213" s="537"/>
      <c r="NMD213" s="537"/>
      <c r="NME213" s="537"/>
      <c r="NMF213" s="537"/>
      <c r="NMG213" s="537"/>
      <c r="NMH213" s="537"/>
      <c r="NMI213" s="537"/>
      <c r="NMJ213" s="537"/>
      <c r="NMK213" s="537"/>
      <c r="NML213" s="537"/>
      <c r="NMM213" s="537"/>
      <c r="NMN213" s="537"/>
      <c r="NMO213" s="537"/>
      <c r="NMP213" s="537"/>
      <c r="NMQ213" s="537"/>
      <c r="NMR213" s="537"/>
      <c r="NMS213" s="537"/>
      <c r="NMT213" s="537"/>
      <c r="NMU213" s="537"/>
      <c r="NMV213" s="537"/>
      <c r="NMW213" s="537"/>
      <c r="NMX213" s="537"/>
      <c r="NMY213" s="537"/>
      <c r="NMZ213" s="537"/>
      <c r="NNA213" s="537"/>
      <c r="NNB213" s="537"/>
      <c r="NNC213" s="537"/>
      <c r="NND213" s="537"/>
      <c r="NNE213" s="537"/>
      <c r="NNF213" s="537"/>
      <c r="NNG213" s="537"/>
      <c r="NNH213" s="537"/>
      <c r="NNI213" s="537"/>
      <c r="NNJ213" s="537"/>
      <c r="NNK213" s="537"/>
      <c r="NNL213" s="537"/>
      <c r="NNM213" s="537"/>
      <c r="NNN213" s="537"/>
      <c r="NNO213" s="537"/>
      <c r="NNP213" s="537"/>
      <c r="NNQ213" s="537"/>
      <c r="NNR213" s="537"/>
      <c r="NNS213" s="537"/>
      <c r="NNT213" s="537"/>
      <c r="NNU213" s="537"/>
      <c r="NNV213" s="537"/>
      <c r="NNW213" s="537"/>
      <c r="NNX213" s="537"/>
      <c r="NNY213" s="537"/>
      <c r="NNZ213" s="537"/>
      <c r="NOA213" s="537"/>
      <c r="NOB213" s="537"/>
      <c r="NOC213" s="537"/>
      <c r="NOD213" s="537"/>
      <c r="NOE213" s="537"/>
      <c r="NOF213" s="537"/>
      <c r="NOG213" s="537"/>
      <c r="NOH213" s="537"/>
      <c r="NOI213" s="537"/>
      <c r="NOJ213" s="537"/>
      <c r="NOK213" s="537"/>
      <c r="NOL213" s="537"/>
      <c r="NOM213" s="537"/>
      <c r="NON213" s="537"/>
      <c r="NOO213" s="537"/>
      <c r="NOP213" s="537"/>
      <c r="NOQ213" s="537"/>
      <c r="NOR213" s="537"/>
      <c r="NOS213" s="537"/>
      <c r="NOT213" s="537"/>
      <c r="NOU213" s="537"/>
      <c r="NOV213" s="537"/>
      <c r="NOW213" s="537"/>
      <c r="NOX213" s="537"/>
      <c r="NOY213" s="537"/>
      <c r="NOZ213" s="537"/>
      <c r="NPA213" s="537"/>
      <c r="NPB213" s="537"/>
      <c r="NPC213" s="537"/>
      <c r="NPD213" s="537"/>
      <c r="NPE213" s="537"/>
      <c r="NPF213" s="537"/>
      <c r="NPG213" s="537"/>
      <c r="NPH213" s="537"/>
      <c r="NPI213" s="537"/>
      <c r="NPJ213" s="537"/>
      <c r="NPK213" s="537"/>
      <c r="NPL213" s="537"/>
      <c r="NPM213" s="537"/>
      <c r="NPN213" s="537"/>
      <c r="NPO213" s="537"/>
      <c r="NPP213" s="537"/>
      <c r="NPQ213" s="537"/>
      <c r="NPR213" s="537"/>
      <c r="NPS213" s="537"/>
      <c r="NPT213" s="537"/>
      <c r="NPU213" s="537"/>
      <c r="NPV213" s="537"/>
      <c r="NPW213" s="537"/>
      <c r="NPX213" s="537"/>
      <c r="NPY213" s="537"/>
      <c r="NPZ213" s="537"/>
      <c r="NQA213" s="537"/>
      <c r="NQB213" s="537"/>
      <c r="NQC213" s="537"/>
      <c r="NQD213" s="537"/>
      <c r="NQE213" s="537"/>
      <c r="NQF213" s="537"/>
      <c r="NQG213" s="537"/>
      <c r="NQH213" s="537"/>
      <c r="NQI213" s="537"/>
      <c r="NQJ213" s="537"/>
      <c r="NQK213" s="537"/>
      <c r="NQL213" s="537"/>
      <c r="NQM213" s="537"/>
      <c r="NQN213" s="537"/>
      <c r="NQO213" s="537"/>
      <c r="NQP213" s="537"/>
      <c r="NQQ213" s="537"/>
      <c r="NQR213" s="537"/>
      <c r="NQS213" s="537"/>
      <c r="NQT213" s="537"/>
      <c r="NQU213" s="537"/>
      <c r="NQV213" s="537"/>
      <c r="NQW213" s="537"/>
      <c r="NQX213" s="537"/>
      <c r="NQY213" s="537"/>
      <c r="NQZ213" s="537"/>
      <c r="NRA213" s="537"/>
      <c r="NRB213" s="537"/>
      <c r="NRC213" s="537"/>
      <c r="NRD213" s="537"/>
      <c r="NRE213" s="537"/>
      <c r="NRF213" s="537"/>
      <c r="NRG213" s="537"/>
      <c r="NRH213" s="537"/>
      <c r="NRI213" s="537"/>
      <c r="NRJ213" s="537"/>
      <c r="NRK213" s="537"/>
      <c r="NRL213" s="537"/>
      <c r="NRM213" s="537"/>
      <c r="NRN213" s="537"/>
      <c r="NRO213" s="537"/>
      <c r="NRP213" s="537"/>
      <c r="NRQ213" s="537"/>
      <c r="NRR213" s="537"/>
      <c r="NRS213" s="537"/>
      <c r="NRT213" s="537"/>
      <c r="NRU213" s="537"/>
      <c r="NRV213" s="537"/>
      <c r="NRW213" s="537"/>
      <c r="NRX213" s="537"/>
      <c r="NRY213" s="537"/>
      <c r="NRZ213" s="537"/>
      <c r="NSA213" s="537"/>
      <c r="NSB213" s="537"/>
      <c r="NSC213" s="537"/>
      <c r="NSD213" s="537"/>
      <c r="NSE213" s="537"/>
      <c r="NSF213" s="537"/>
      <c r="NSG213" s="537"/>
      <c r="NSH213" s="537"/>
      <c r="NSI213" s="537"/>
      <c r="NSJ213" s="537"/>
      <c r="NSK213" s="537"/>
      <c r="NSL213" s="537"/>
      <c r="NSM213" s="537"/>
      <c r="NSN213" s="537"/>
      <c r="NSO213" s="537"/>
      <c r="NSP213" s="537"/>
      <c r="NSQ213" s="537"/>
      <c r="NSR213" s="537"/>
      <c r="NSS213" s="537"/>
      <c r="NST213" s="537"/>
      <c r="NSU213" s="537"/>
      <c r="NSV213" s="537"/>
      <c r="NSW213" s="537"/>
      <c r="NSX213" s="537"/>
      <c r="NSY213" s="537"/>
      <c r="NSZ213" s="537"/>
      <c r="NTA213" s="537"/>
      <c r="NTB213" s="537"/>
      <c r="NTC213" s="537"/>
      <c r="NTD213" s="537"/>
      <c r="NTE213" s="537"/>
      <c r="NTF213" s="537"/>
      <c r="NTG213" s="537"/>
      <c r="NTH213" s="537"/>
      <c r="NTI213" s="537"/>
      <c r="NTJ213" s="537"/>
      <c r="NTK213" s="537"/>
      <c r="NTL213" s="537"/>
      <c r="NTM213" s="537"/>
      <c r="NTN213" s="537"/>
      <c r="NTO213" s="537"/>
      <c r="NTP213" s="537"/>
      <c r="NTQ213" s="537"/>
      <c r="NTR213" s="537"/>
      <c r="NTS213" s="537"/>
      <c r="NTT213" s="537"/>
      <c r="NTU213" s="537"/>
      <c r="NTV213" s="537"/>
      <c r="NTW213" s="537"/>
      <c r="NTX213" s="537"/>
      <c r="NTY213" s="537"/>
      <c r="NTZ213" s="537"/>
      <c r="NUA213" s="537"/>
      <c r="NUB213" s="537"/>
      <c r="NUC213" s="537"/>
      <c r="NUD213" s="537"/>
      <c r="NUE213" s="537"/>
      <c r="NUF213" s="537"/>
      <c r="NUG213" s="537"/>
      <c r="NUH213" s="537"/>
      <c r="NUI213" s="537"/>
      <c r="NUJ213" s="537"/>
      <c r="NUK213" s="537"/>
      <c r="NUL213" s="537"/>
      <c r="NUM213" s="537"/>
      <c r="NUN213" s="537"/>
      <c r="NUO213" s="537"/>
      <c r="NUP213" s="537"/>
      <c r="NUQ213" s="537"/>
      <c r="NUR213" s="537"/>
      <c r="NUS213" s="537"/>
      <c r="NUT213" s="537"/>
      <c r="NUU213" s="537"/>
      <c r="NUV213" s="537"/>
      <c r="NUW213" s="537"/>
      <c r="NUX213" s="537"/>
      <c r="NUY213" s="537"/>
      <c r="NUZ213" s="537"/>
      <c r="NVA213" s="537"/>
      <c r="NVB213" s="537"/>
      <c r="NVC213" s="537"/>
      <c r="NVD213" s="537"/>
      <c r="NVE213" s="537"/>
      <c r="NVF213" s="537"/>
      <c r="NVG213" s="537"/>
      <c r="NVH213" s="537"/>
      <c r="NVI213" s="537"/>
      <c r="NVJ213" s="537"/>
      <c r="NVK213" s="537"/>
      <c r="NVL213" s="537"/>
      <c r="NVM213" s="537"/>
      <c r="NVN213" s="537"/>
      <c r="NVO213" s="537"/>
      <c r="NVP213" s="537"/>
      <c r="NVQ213" s="537"/>
      <c r="NVR213" s="537"/>
      <c r="NVS213" s="537"/>
      <c r="NVT213" s="537"/>
      <c r="NVU213" s="537"/>
      <c r="NVV213" s="537"/>
      <c r="NVW213" s="537"/>
      <c r="NVX213" s="537"/>
      <c r="NVY213" s="537"/>
      <c r="NVZ213" s="537"/>
      <c r="NWA213" s="537"/>
      <c r="NWB213" s="537"/>
      <c r="NWC213" s="537"/>
      <c r="NWD213" s="537"/>
      <c r="NWE213" s="537"/>
      <c r="NWF213" s="537"/>
      <c r="NWG213" s="537"/>
      <c r="NWH213" s="537"/>
      <c r="NWI213" s="537"/>
      <c r="NWJ213" s="537"/>
      <c r="NWK213" s="537"/>
      <c r="NWL213" s="537"/>
      <c r="NWM213" s="537"/>
      <c r="NWN213" s="537"/>
      <c r="NWO213" s="537"/>
      <c r="NWP213" s="537"/>
      <c r="NWQ213" s="537"/>
      <c r="NWR213" s="537"/>
      <c r="NWS213" s="537"/>
      <c r="NWT213" s="537"/>
      <c r="NWU213" s="537"/>
      <c r="NWV213" s="537"/>
      <c r="NWW213" s="537"/>
      <c r="NWX213" s="537"/>
      <c r="NWY213" s="537"/>
      <c r="NWZ213" s="537"/>
      <c r="NXA213" s="537"/>
      <c r="NXB213" s="537"/>
      <c r="NXC213" s="537"/>
      <c r="NXD213" s="537"/>
      <c r="NXE213" s="537"/>
      <c r="NXF213" s="537"/>
      <c r="NXG213" s="537"/>
      <c r="NXH213" s="537"/>
      <c r="NXI213" s="537"/>
      <c r="NXJ213" s="537"/>
      <c r="NXK213" s="537"/>
      <c r="NXL213" s="537"/>
      <c r="NXM213" s="537"/>
      <c r="NXN213" s="537"/>
      <c r="NXO213" s="537"/>
      <c r="NXP213" s="537"/>
      <c r="NXQ213" s="537"/>
      <c r="NXR213" s="537"/>
      <c r="NXS213" s="537"/>
      <c r="NXT213" s="537"/>
      <c r="NXU213" s="537"/>
      <c r="NXV213" s="537"/>
      <c r="NXW213" s="537"/>
      <c r="NXX213" s="537"/>
      <c r="NXY213" s="537"/>
      <c r="NXZ213" s="537"/>
      <c r="NYA213" s="537"/>
      <c r="NYB213" s="537"/>
      <c r="NYC213" s="537"/>
      <c r="NYD213" s="537"/>
      <c r="NYE213" s="537"/>
      <c r="NYF213" s="537"/>
      <c r="NYG213" s="537"/>
      <c r="NYH213" s="537"/>
      <c r="NYI213" s="537"/>
      <c r="NYJ213" s="537"/>
      <c r="NYK213" s="537"/>
      <c r="NYL213" s="537"/>
      <c r="NYM213" s="537"/>
      <c r="NYN213" s="537"/>
      <c r="NYO213" s="537"/>
      <c r="NYP213" s="537"/>
      <c r="NYQ213" s="537"/>
      <c r="NYR213" s="537"/>
      <c r="NYS213" s="537"/>
      <c r="NYT213" s="537"/>
      <c r="NYU213" s="537"/>
      <c r="NYV213" s="537"/>
      <c r="NYW213" s="537"/>
      <c r="NYX213" s="537"/>
      <c r="NYY213" s="537"/>
      <c r="NYZ213" s="537"/>
      <c r="NZA213" s="537"/>
      <c r="NZB213" s="537"/>
      <c r="NZC213" s="537"/>
      <c r="NZD213" s="537"/>
      <c r="NZE213" s="537"/>
      <c r="NZF213" s="537"/>
      <c r="NZG213" s="537"/>
      <c r="NZH213" s="537"/>
      <c r="NZI213" s="537"/>
      <c r="NZJ213" s="537"/>
      <c r="NZK213" s="537"/>
      <c r="NZL213" s="537"/>
      <c r="NZM213" s="537"/>
      <c r="NZN213" s="537"/>
      <c r="NZO213" s="537"/>
      <c r="NZP213" s="537"/>
      <c r="NZQ213" s="537"/>
      <c r="NZR213" s="537"/>
      <c r="NZS213" s="537"/>
      <c r="NZT213" s="537"/>
      <c r="NZU213" s="537"/>
      <c r="NZV213" s="537"/>
      <c r="NZW213" s="537"/>
      <c r="NZX213" s="537"/>
      <c r="NZY213" s="537"/>
      <c r="NZZ213" s="537"/>
      <c r="OAA213" s="537"/>
      <c r="OAB213" s="537"/>
      <c r="OAC213" s="537"/>
      <c r="OAD213" s="537"/>
      <c r="OAE213" s="537"/>
      <c r="OAF213" s="537"/>
      <c r="OAG213" s="537"/>
      <c r="OAH213" s="537"/>
      <c r="OAI213" s="537"/>
      <c r="OAJ213" s="537"/>
      <c r="OAK213" s="537"/>
      <c r="OAL213" s="537"/>
      <c r="OAM213" s="537"/>
      <c r="OAN213" s="537"/>
      <c r="OAO213" s="537"/>
      <c r="OAP213" s="537"/>
      <c r="OAQ213" s="537"/>
      <c r="OAR213" s="537"/>
      <c r="OAS213" s="537"/>
      <c r="OAT213" s="537"/>
      <c r="OAU213" s="537"/>
      <c r="OAV213" s="537"/>
      <c r="OAW213" s="537"/>
      <c r="OAX213" s="537"/>
      <c r="OAY213" s="537"/>
      <c r="OAZ213" s="537"/>
      <c r="OBA213" s="537"/>
      <c r="OBB213" s="537"/>
      <c r="OBC213" s="537"/>
      <c r="OBD213" s="537"/>
      <c r="OBE213" s="537"/>
      <c r="OBF213" s="537"/>
      <c r="OBG213" s="537"/>
      <c r="OBH213" s="537"/>
      <c r="OBI213" s="537"/>
      <c r="OBJ213" s="537"/>
      <c r="OBK213" s="537"/>
      <c r="OBL213" s="537"/>
      <c r="OBM213" s="537"/>
      <c r="OBN213" s="537"/>
      <c r="OBO213" s="537"/>
      <c r="OBP213" s="537"/>
      <c r="OBQ213" s="537"/>
      <c r="OBR213" s="537"/>
      <c r="OBS213" s="537"/>
      <c r="OBT213" s="537"/>
      <c r="OBU213" s="537"/>
      <c r="OBV213" s="537"/>
      <c r="OBW213" s="537"/>
      <c r="OBX213" s="537"/>
      <c r="OBY213" s="537"/>
      <c r="OBZ213" s="537"/>
      <c r="OCA213" s="537"/>
      <c r="OCB213" s="537"/>
      <c r="OCC213" s="537"/>
      <c r="OCD213" s="537"/>
      <c r="OCE213" s="537"/>
      <c r="OCF213" s="537"/>
      <c r="OCG213" s="537"/>
      <c r="OCH213" s="537"/>
      <c r="OCI213" s="537"/>
      <c r="OCJ213" s="537"/>
      <c r="OCK213" s="537"/>
      <c r="OCL213" s="537"/>
      <c r="OCM213" s="537"/>
      <c r="OCN213" s="537"/>
      <c r="OCO213" s="537"/>
      <c r="OCP213" s="537"/>
      <c r="OCQ213" s="537"/>
      <c r="OCR213" s="537"/>
      <c r="OCS213" s="537"/>
      <c r="OCT213" s="537"/>
      <c r="OCU213" s="537"/>
      <c r="OCV213" s="537"/>
      <c r="OCW213" s="537"/>
      <c r="OCX213" s="537"/>
      <c r="OCY213" s="537"/>
      <c r="OCZ213" s="537"/>
      <c r="ODA213" s="537"/>
      <c r="ODB213" s="537"/>
      <c r="ODC213" s="537"/>
      <c r="ODD213" s="537"/>
      <c r="ODE213" s="537"/>
      <c r="ODF213" s="537"/>
      <c r="ODG213" s="537"/>
      <c r="ODH213" s="537"/>
      <c r="ODI213" s="537"/>
      <c r="ODJ213" s="537"/>
      <c r="ODK213" s="537"/>
      <c r="ODL213" s="537"/>
      <c r="ODM213" s="537"/>
      <c r="ODN213" s="537"/>
      <c r="ODO213" s="537"/>
      <c r="ODP213" s="537"/>
      <c r="ODQ213" s="537"/>
      <c r="ODR213" s="537"/>
      <c r="ODS213" s="537"/>
      <c r="ODT213" s="537"/>
      <c r="ODU213" s="537"/>
      <c r="ODV213" s="537"/>
      <c r="ODW213" s="537"/>
      <c r="ODX213" s="537"/>
      <c r="ODY213" s="537"/>
      <c r="ODZ213" s="537"/>
      <c r="OEA213" s="537"/>
      <c r="OEB213" s="537"/>
      <c r="OEC213" s="537"/>
      <c r="OED213" s="537"/>
      <c r="OEE213" s="537"/>
      <c r="OEF213" s="537"/>
      <c r="OEG213" s="537"/>
      <c r="OEH213" s="537"/>
      <c r="OEI213" s="537"/>
      <c r="OEJ213" s="537"/>
      <c r="OEK213" s="537"/>
      <c r="OEL213" s="537"/>
      <c r="OEM213" s="537"/>
      <c r="OEN213" s="537"/>
      <c r="OEO213" s="537"/>
      <c r="OEP213" s="537"/>
      <c r="OEQ213" s="537"/>
      <c r="OER213" s="537"/>
      <c r="OES213" s="537"/>
      <c r="OET213" s="537"/>
      <c r="OEU213" s="537"/>
      <c r="OEV213" s="537"/>
      <c r="OEW213" s="537"/>
      <c r="OEX213" s="537"/>
      <c r="OEY213" s="537"/>
      <c r="OEZ213" s="537"/>
      <c r="OFA213" s="537"/>
      <c r="OFB213" s="537"/>
      <c r="OFC213" s="537"/>
      <c r="OFD213" s="537"/>
      <c r="OFE213" s="537"/>
      <c r="OFF213" s="537"/>
      <c r="OFG213" s="537"/>
      <c r="OFH213" s="537"/>
      <c r="OFI213" s="537"/>
      <c r="OFJ213" s="537"/>
      <c r="OFK213" s="537"/>
      <c r="OFL213" s="537"/>
      <c r="OFM213" s="537"/>
      <c r="OFN213" s="537"/>
      <c r="OFO213" s="537"/>
      <c r="OFP213" s="537"/>
      <c r="OFQ213" s="537"/>
      <c r="OFR213" s="537"/>
      <c r="OFS213" s="537"/>
      <c r="OFT213" s="537"/>
      <c r="OFU213" s="537"/>
      <c r="OFV213" s="537"/>
      <c r="OFW213" s="537"/>
      <c r="OFX213" s="537"/>
      <c r="OFY213" s="537"/>
      <c r="OFZ213" s="537"/>
      <c r="OGA213" s="537"/>
      <c r="OGB213" s="537"/>
      <c r="OGC213" s="537"/>
      <c r="OGD213" s="537"/>
      <c r="OGE213" s="537"/>
      <c r="OGF213" s="537"/>
      <c r="OGG213" s="537"/>
      <c r="OGH213" s="537"/>
      <c r="OGI213" s="537"/>
      <c r="OGJ213" s="537"/>
      <c r="OGK213" s="537"/>
      <c r="OGL213" s="537"/>
      <c r="OGM213" s="537"/>
      <c r="OGN213" s="537"/>
      <c r="OGO213" s="537"/>
      <c r="OGP213" s="537"/>
      <c r="OGQ213" s="537"/>
      <c r="OGR213" s="537"/>
      <c r="OGS213" s="537"/>
      <c r="OGT213" s="537"/>
      <c r="OGU213" s="537"/>
      <c r="OGV213" s="537"/>
      <c r="OGW213" s="537"/>
      <c r="OGX213" s="537"/>
      <c r="OGY213" s="537"/>
      <c r="OGZ213" s="537"/>
      <c r="OHA213" s="537"/>
      <c r="OHB213" s="537"/>
      <c r="OHC213" s="537"/>
      <c r="OHD213" s="537"/>
      <c r="OHE213" s="537"/>
      <c r="OHF213" s="537"/>
      <c r="OHG213" s="537"/>
      <c r="OHH213" s="537"/>
      <c r="OHI213" s="537"/>
      <c r="OHJ213" s="537"/>
      <c r="OHK213" s="537"/>
      <c r="OHL213" s="537"/>
      <c r="OHM213" s="537"/>
      <c r="OHN213" s="537"/>
      <c r="OHO213" s="537"/>
      <c r="OHP213" s="537"/>
      <c r="OHQ213" s="537"/>
      <c r="OHR213" s="537"/>
      <c r="OHS213" s="537"/>
      <c r="OHT213" s="537"/>
      <c r="OHU213" s="537"/>
      <c r="OHV213" s="537"/>
      <c r="OHW213" s="537"/>
      <c r="OHX213" s="537"/>
      <c r="OHY213" s="537"/>
      <c r="OHZ213" s="537"/>
      <c r="OIA213" s="537"/>
      <c r="OIB213" s="537"/>
      <c r="OIC213" s="537"/>
      <c r="OID213" s="537"/>
      <c r="OIE213" s="537"/>
      <c r="OIF213" s="537"/>
      <c r="OIG213" s="537"/>
      <c r="OIH213" s="537"/>
      <c r="OII213" s="537"/>
      <c r="OIJ213" s="537"/>
      <c r="OIK213" s="537"/>
      <c r="OIL213" s="537"/>
      <c r="OIM213" s="537"/>
      <c r="OIN213" s="537"/>
      <c r="OIO213" s="537"/>
      <c r="OIP213" s="537"/>
      <c r="OIQ213" s="537"/>
      <c r="OIR213" s="537"/>
      <c r="OIS213" s="537"/>
      <c r="OIT213" s="537"/>
      <c r="OIU213" s="537"/>
      <c r="OIV213" s="537"/>
      <c r="OIW213" s="537"/>
      <c r="OIX213" s="537"/>
      <c r="OIY213" s="537"/>
      <c r="OIZ213" s="537"/>
      <c r="OJA213" s="537"/>
      <c r="OJB213" s="537"/>
      <c r="OJC213" s="537"/>
      <c r="OJD213" s="537"/>
      <c r="OJE213" s="537"/>
      <c r="OJF213" s="537"/>
      <c r="OJG213" s="537"/>
      <c r="OJH213" s="537"/>
      <c r="OJI213" s="537"/>
      <c r="OJJ213" s="537"/>
      <c r="OJK213" s="537"/>
      <c r="OJL213" s="537"/>
      <c r="OJM213" s="537"/>
      <c r="OJN213" s="537"/>
      <c r="OJO213" s="537"/>
      <c r="OJP213" s="537"/>
      <c r="OJQ213" s="537"/>
      <c r="OJR213" s="537"/>
      <c r="OJS213" s="537"/>
      <c r="OJT213" s="537"/>
      <c r="OJU213" s="537"/>
      <c r="OJV213" s="537"/>
      <c r="OJW213" s="537"/>
      <c r="OJX213" s="537"/>
      <c r="OJY213" s="537"/>
      <c r="OJZ213" s="537"/>
      <c r="OKA213" s="537"/>
      <c r="OKB213" s="537"/>
      <c r="OKC213" s="537"/>
      <c r="OKD213" s="537"/>
      <c r="OKE213" s="537"/>
      <c r="OKF213" s="537"/>
      <c r="OKG213" s="537"/>
      <c r="OKH213" s="537"/>
      <c r="OKI213" s="537"/>
      <c r="OKJ213" s="537"/>
      <c r="OKK213" s="537"/>
      <c r="OKL213" s="537"/>
      <c r="OKM213" s="537"/>
      <c r="OKN213" s="537"/>
      <c r="OKO213" s="537"/>
      <c r="OKP213" s="537"/>
      <c r="OKQ213" s="537"/>
      <c r="OKR213" s="537"/>
      <c r="OKS213" s="537"/>
      <c r="OKT213" s="537"/>
      <c r="OKU213" s="537"/>
      <c r="OKV213" s="537"/>
      <c r="OKW213" s="537"/>
      <c r="OKX213" s="537"/>
      <c r="OKY213" s="537"/>
      <c r="OKZ213" s="537"/>
      <c r="OLA213" s="537"/>
      <c r="OLB213" s="537"/>
      <c r="OLC213" s="537"/>
      <c r="OLD213" s="537"/>
      <c r="OLE213" s="537"/>
      <c r="OLF213" s="537"/>
      <c r="OLG213" s="537"/>
      <c r="OLH213" s="537"/>
      <c r="OLI213" s="537"/>
      <c r="OLJ213" s="537"/>
      <c r="OLK213" s="537"/>
      <c r="OLL213" s="537"/>
      <c r="OLM213" s="537"/>
      <c r="OLN213" s="537"/>
      <c r="OLO213" s="537"/>
      <c r="OLP213" s="537"/>
      <c r="OLQ213" s="537"/>
      <c r="OLR213" s="537"/>
      <c r="OLS213" s="537"/>
      <c r="OLT213" s="537"/>
      <c r="OLU213" s="537"/>
      <c r="OLV213" s="537"/>
      <c r="OLW213" s="537"/>
      <c r="OLX213" s="537"/>
      <c r="OLY213" s="537"/>
      <c r="OLZ213" s="537"/>
      <c r="OMA213" s="537"/>
      <c r="OMB213" s="537"/>
      <c r="OMC213" s="537"/>
      <c r="OMD213" s="537"/>
      <c r="OME213" s="537"/>
      <c r="OMF213" s="537"/>
      <c r="OMG213" s="537"/>
      <c r="OMH213" s="537"/>
      <c r="OMI213" s="537"/>
      <c r="OMJ213" s="537"/>
      <c r="OMK213" s="537"/>
      <c r="OML213" s="537"/>
      <c r="OMM213" s="537"/>
      <c r="OMN213" s="537"/>
      <c r="OMO213" s="537"/>
      <c r="OMP213" s="537"/>
      <c r="OMQ213" s="537"/>
      <c r="OMR213" s="537"/>
      <c r="OMS213" s="537"/>
      <c r="OMT213" s="537"/>
      <c r="OMU213" s="537"/>
      <c r="OMV213" s="537"/>
      <c r="OMW213" s="537"/>
      <c r="OMX213" s="537"/>
      <c r="OMY213" s="537"/>
      <c r="OMZ213" s="537"/>
      <c r="ONA213" s="537"/>
      <c r="ONB213" s="537"/>
      <c r="ONC213" s="537"/>
      <c r="OND213" s="537"/>
      <c r="ONE213" s="537"/>
      <c r="ONF213" s="537"/>
      <c r="ONG213" s="537"/>
      <c r="ONH213" s="537"/>
      <c r="ONI213" s="537"/>
      <c r="ONJ213" s="537"/>
      <c r="ONK213" s="537"/>
      <c r="ONL213" s="537"/>
      <c r="ONM213" s="537"/>
      <c r="ONN213" s="537"/>
      <c r="ONO213" s="537"/>
      <c r="ONP213" s="537"/>
      <c r="ONQ213" s="537"/>
      <c r="ONR213" s="537"/>
      <c r="ONS213" s="537"/>
      <c r="ONT213" s="537"/>
      <c r="ONU213" s="537"/>
      <c r="ONV213" s="537"/>
      <c r="ONW213" s="537"/>
      <c r="ONX213" s="537"/>
      <c r="ONY213" s="537"/>
      <c r="ONZ213" s="537"/>
      <c r="OOA213" s="537"/>
      <c r="OOB213" s="537"/>
      <c r="OOC213" s="537"/>
      <c r="OOD213" s="537"/>
      <c r="OOE213" s="537"/>
      <c r="OOF213" s="537"/>
      <c r="OOG213" s="537"/>
      <c r="OOH213" s="537"/>
      <c r="OOI213" s="537"/>
      <c r="OOJ213" s="537"/>
      <c r="OOK213" s="537"/>
      <c r="OOL213" s="537"/>
      <c r="OOM213" s="537"/>
      <c r="OON213" s="537"/>
      <c r="OOO213" s="537"/>
      <c r="OOP213" s="537"/>
      <c r="OOQ213" s="537"/>
      <c r="OOR213" s="537"/>
      <c r="OOS213" s="537"/>
      <c r="OOT213" s="537"/>
      <c r="OOU213" s="537"/>
      <c r="OOV213" s="537"/>
      <c r="OOW213" s="537"/>
      <c r="OOX213" s="537"/>
      <c r="OOY213" s="537"/>
      <c r="OOZ213" s="537"/>
      <c r="OPA213" s="537"/>
      <c r="OPB213" s="537"/>
      <c r="OPC213" s="537"/>
      <c r="OPD213" s="537"/>
      <c r="OPE213" s="537"/>
      <c r="OPF213" s="537"/>
      <c r="OPG213" s="537"/>
      <c r="OPH213" s="537"/>
      <c r="OPI213" s="537"/>
      <c r="OPJ213" s="537"/>
      <c r="OPK213" s="537"/>
      <c r="OPL213" s="537"/>
      <c r="OPM213" s="537"/>
      <c r="OPN213" s="537"/>
      <c r="OPO213" s="537"/>
      <c r="OPP213" s="537"/>
      <c r="OPQ213" s="537"/>
      <c r="OPR213" s="537"/>
      <c r="OPS213" s="537"/>
      <c r="OPT213" s="537"/>
      <c r="OPU213" s="537"/>
      <c r="OPV213" s="537"/>
      <c r="OPW213" s="537"/>
      <c r="OPX213" s="537"/>
      <c r="OPY213" s="537"/>
      <c r="OPZ213" s="537"/>
      <c r="OQA213" s="537"/>
      <c r="OQB213" s="537"/>
      <c r="OQC213" s="537"/>
      <c r="OQD213" s="537"/>
      <c r="OQE213" s="537"/>
      <c r="OQF213" s="537"/>
      <c r="OQG213" s="537"/>
      <c r="OQH213" s="537"/>
      <c r="OQI213" s="537"/>
      <c r="OQJ213" s="537"/>
      <c r="OQK213" s="537"/>
      <c r="OQL213" s="537"/>
      <c r="OQM213" s="537"/>
      <c r="OQN213" s="537"/>
      <c r="OQO213" s="537"/>
      <c r="OQP213" s="537"/>
      <c r="OQQ213" s="537"/>
      <c r="OQR213" s="537"/>
      <c r="OQS213" s="537"/>
      <c r="OQT213" s="537"/>
      <c r="OQU213" s="537"/>
      <c r="OQV213" s="537"/>
      <c r="OQW213" s="537"/>
      <c r="OQX213" s="537"/>
      <c r="OQY213" s="537"/>
      <c r="OQZ213" s="537"/>
      <c r="ORA213" s="537"/>
      <c r="ORB213" s="537"/>
      <c r="ORC213" s="537"/>
      <c r="ORD213" s="537"/>
      <c r="ORE213" s="537"/>
      <c r="ORF213" s="537"/>
      <c r="ORG213" s="537"/>
      <c r="ORH213" s="537"/>
      <c r="ORI213" s="537"/>
      <c r="ORJ213" s="537"/>
      <c r="ORK213" s="537"/>
      <c r="ORL213" s="537"/>
      <c r="ORM213" s="537"/>
      <c r="ORN213" s="537"/>
      <c r="ORO213" s="537"/>
      <c r="ORP213" s="537"/>
      <c r="ORQ213" s="537"/>
      <c r="ORR213" s="537"/>
      <c r="ORS213" s="537"/>
      <c r="ORT213" s="537"/>
      <c r="ORU213" s="537"/>
      <c r="ORV213" s="537"/>
      <c r="ORW213" s="537"/>
      <c r="ORX213" s="537"/>
      <c r="ORY213" s="537"/>
      <c r="ORZ213" s="537"/>
      <c r="OSA213" s="537"/>
      <c r="OSB213" s="537"/>
      <c r="OSC213" s="537"/>
      <c r="OSD213" s="537"/>
      <c r="OSE213" s="537"/>
      <c r="OSF213" s="537"/>
      <c r="OSG213" s="537"/>
      <c r="OSH213" s="537"/>
      <c r="OSI213" s="537"/>
      <c r="OSJ213" s="537"/>
      <c r="OSK213" s="537"/>
      <c r="OSL213" s="537"/>
      <c r="OSM213" s="537"/>
      <c r="OSN213" s="537"/>
      <c r="OSO213" s="537"/>
      <c r="OSP213" s="537"/>
      <c r="OSQ213" s="537"/>
      <c r="OSR213" s="537"/>
      <c r="OSS213" s="537"/>
      <c r="OST213" s="537"/>
      <c r="OSU213" s="537"/>
      <c r="OSV213" s="537"/>
      <c r="OSW213" s="537"/>
      <c r="OSX213" s="537"/>
      <c r="OSY213" s="537"/>
      <c r="OSZ213" s="537"/>
      <c r="OTA213" s="537"/>
      <c r="OTB213" s="537"/>
      <c r="OTC213" s="537"/>
      <c r="OTD213" s="537"/>
      <c r="OTE213" s="537"/>
      <c r="OTF213" s="537"/>
      <c r="OTG213" s="537"/>
      <c r="OTH213" s="537"/>
      <c r="OTI213" s="537"/>
      <c r="OTJ213" s="537"/>
      <c r="OTK213" s="537"/>
      <c r="OTL213" s="537"/>
      <c r="OTM213" s="537"/>
      <c r="OTN213" s="537"/>
      <c r="OTO213" s="537"/>
      <c r="OTP213" s="537"/>
      <c r="OTQ213" s="537"/>
      <c r="OTR213" s="537"/>
      <c r="OTS213" s="537"/>
      <c r="OTT213" s="537"/>
      <c r="OTU213" s="537"/>
      <c r="OTV213" s="537"/>
      <c r="OTW213" s="537"/>
      <c r="OTX213" s="537"/>
      <c r="OTY213" s="537"/>
      <c r="OTZ213" s="537"/>
      <c r="OUA213" s="537"/>
      <c r="OUB213" s="537"/>
      <c r="OUC213" s="537"/>
      <c r="OUD213" s="537"/>
      <c r="OUE213" s="537"/>
      <c r="OUF213" s="537"/>
      <c r="OUG213" s="537"/>
      <c r="OUH213" s="537"/>
      <c r="OUI213" s="537"/>
      <c r="OUJ213" s="537"/>
      <c r="OUK213" s="537"/>
      <c r="OUL213" s="537"/>
      <c r="OUM213" s="537"/>
      <c r="OUN213" s="537"/>
      <c r="OUO213" s="537"/>
      <c r="OUP213" s="537"/>
      <c r="OUQ213" s="537"/>
      <c r="OUR213" s="537"/>
      <c r="OUS213" s="537"/>
      <c r="OUT213" s="537"/>
      <c r="OUU213" s="537"/>
      <c r="OUV213" s="537"/>
      <c r="OUW213" s="537"/>
      <c r="OUX213" s="537"/>
      <c r="OUY213" s="537"/>
      <c r="OUZ213" s="537"/>
      <c r="OVA213" s="537"/>
      <c r="OVB213" s="537"/>
      <c r="OVC213" s="537"/>
      <c r="OVD213" s="537"/>
      <c r="OVE213" s="537"/>
      <c r="OVF213" s="537"/>
      <c r="OVG213" s="537"/>
      <c r="OVH213" s="537"/>
      <c r="OVI213" s="537"/>
      <c r="OVJ213" s="537"/>
      <c r="OVK213" s="537"/>
      <c r="OVL213" s="537"/>
      <c r="OVM213" s="537"/>
      <c r="OVN213" s="537"/>
      <c r="OVO213" s="537"/>
      <c r="OVP213" s="537"/>
      <c r="OVQ213" s="537"/>
      <c r="OVR213" s="537"/>
      <c r="OVS213" s="537"/>
      <c r="OVT213" s="537"/>
      <c r="OVU213" s="537"/>
      <c r="OVV213" s="537"/>
      <c r="OVW213" s="537"/>
      <c r="OVX213" s="537"/>
      <c r="OVY213" s="537"/>
      <c r="OVZ213" s="537"/>
      <c r="OWA213" s="537"/>
      <c r="OWB213" s="537"/>
      <c r="OWC213" s="537"/>
      <c r="OWD213" s="537"/>
      <c r="OWE213" s="537"/>
      <c r="OWF213" s="537"/>
      <c r="OWG213" s="537"/>
      <c r="OWH213" s="537"/>
      <c r="OWI213" s="537"/>
      <c r="OWJ213" s="537"/>
      <c r="OWK213" s="537"/>
      <c r="OWL213" s="537"/>
      <c r="OWM213" s="537"/>
      <c r="OWN213" s="537"/>
      <c r="OWO213" s="537"/>
      <c r="OWP213" s="537"/>
      <c r="OWQ213" s="537"/>
      <c r="OWR213" s="537"/>
      <c r="OWS213" s="537"/>
      <c r="OWT213" s="537"/>
      <c r="OWU213" s="537"/>
      <c r="OWV213" s="537"/>
      <c r="OWW213" s="537"/>
      <c r="OWX213" s="537"/>
      <c r="OWY213" s="537"/>
      <c r="OWZ213" s="537"/>
      <c r="OXA213" s="537"/>
      <c r="OXB213" s="537"/>
      <c r="OXC213" s="537"/>
      <c r="OXD213" s="537"/>
      <c r="OXE213" s="537"/>
      <c r="OXF213" s="537"/>
      <c r="OXG213" s="537"/>
      <c r="OXH213" s="537"/>
      <c r="OXI213" s="537"/>
      <c r="OXJ213" s="537"/>
      <c r="OXK213" s="537"/>
      <c r="OXL213" s="537"/>
      <c r="OXM213" s="537"/>
      <c r="OXN213" s="537"/>
      <c r="OXO213" s="537"/>
      <c r="OXP213" s="537"/>
      <c r="OXQ213" s="537"/>
      <c r="OXR213" s="537"/>
      <c r="OXS213" s="537"/>
      <c r="OXT213" s="537"/>
      <c r="OXU213" s="537"/>
      <c r="OXV213" s="537"/>
      <c r="OXW213" s="537"/>
      <c r="OXX213" s="537"/>
      <c r="OXY213" s="537"/>
      <c r="OXZ213" s="537"/>
      <c r="OYA213" s="537"/>
      <c r="OYB213" s="537"/>
      <c r="OYC213" s="537"/>
      <c r="OYD213" s="537"/>
      <c r="OYE213" s="537"/>
      <c r="OYF213" s="537"/>
      <c r="OYG213" s="537"/>
      <c r="OYH213" s="537"/>
      <c r="OYI213" s="537"/>
      <c r="OYJ213" s="537"/>
      <c r="OYK213" s="537"/>
      <c r="OYL213" s="537"/>
      <c r="OYM213" s="537"/>
      <c r="OYN213" s="537"/>
      <c r="OYO213" s="537"/>
      <c r="OYP213" s="537"/>
      <c r="OYQ213" s="537"/>
      <c r="OYR213" s="537"/>
      <c r="OYS213" s="537"/>
      <c r="OYT213" s="537"/>
      <c r="OYU213" s="537"/>
      <c r="OYV213" s="537"/>
      <c r="OYW213" s="537"/>
      <c r="OYX213" s="537"/>
      <c r="OYY213" s="537"/>
      <c r="OYZ213" s="537"/>
      <c r="OZA213" s="537"/>
      <c r="OZB213" s="537"/>
      <c r="OZC213" s="537"/>
      <c r="OZD213" s="537"/>
      <c r="OZE213" s="537"/>
      <c r="OZF213" s="537"/>
      <c r="OZG213" s="537"/>
      <c r="OZH213" s="537"/>
      <c r="OZI213" s="537"/>
      <c r="OZJ213" s="537"/>
      <c r="OZK213" s="537"/>
      <c r="OZL213" s="537"/>
      <c r="OZM213" s="537"/>
      <c r="OZN213" s="537"/>
      <c r="OZO213" s="537"/>
      <c r="OZP213" s="537"/>
      <c r="OZQ213" s="537"/>
      <c r="OZR213" s="537"/>
      <c r="OZS213" s="537"/>
      <c r="OZT213" s="537"/>
      <c r="OZU213" s="537"/>
      <c r="OZV213" s="537"/>
      <c r="OZW213" s="537"/>
      <c r="OZX213" s="537"/>
      <c r="OZY213" s="537"/>
      <c r="OZZ213" s="537"/>
      <c r="PAA213" s="537"/>
      <c r="PAB213" s="537"/>
      <c r="PAC213" s="537"/>
      <c r="PAD213" s="537"/>
      <c r="PAE213" s="537"/>
      <c r="PAF213" s="537"/>
      <c r="PAG213" s="537"/>
      <c r="PAH213" s="537"/>
      <c r="PAI213" s="537"/>
      <c r="PAJ213" s="537"/>
      <c r="PAK213" s="537"/>
      <c r="PAL213" s="537"/>
      <c r="PAM213" s="537"/>
      <c r="PAN213" s="537"/>
      <c r="PAO213" s="537"/>
      <c r="PAP213" s="537"/>
      <c r="PAQ213" s="537"/>
      <c r="PAR213" s="537"/>
      <c r="PAS213" s="537"/>
      <c r="PAT213" s="537"/>
      <c r="PAU213" s="537"/>
      <c r="PAV213" s="537"/>
      <c r="PAW213" s="537"/>
      <c r="PAX213" s="537"/>
      <c r="PAY213" s="537"/>
      <c r="PAZ213" s="537"/>
      <c r="PBA213" s="537"/>
      <c r="PBB213" s="537"/>
      <c r="PBC213" s="537"/>
      <c r="PBD213" s="537"/>
      <c r="PBE213" s="537"/>
      <c r="PBF213" s="537"/>
      <c r="PBG213" s="537"/>
      <c r="PBH213" s="537"/>
      <c r="PBI213" s="537"/>
      <c r="PBJ213" s="537"/>
      <c r="PBK213" s="537"/>
      <c r="PBL213" s="537"/>
      <c r="PBM213" s="537"/>
      <c r="PBN213" s="537"/>
      <c r="PBO213" s="537"/>
      <c r="PBP213" s="537"/>
      <c r="PBQ213" s="537"/>
      <c r="PBR213" s="537"/>
      <c r="PBS213" s="537"/>
      <c r="PBT213" s="537"/>
      <c r="PBU213" s="537"/>
      <c r="PBV213" s="537"/>
      <c r="PBW213" s="537"/>
      <c r="PBX213" s="537"/>
      <c r="PBY213" s="537"/>
      <c r="PBZ213" s="537"/>
      <c r="PCA213" s="537"/>
      <c r="PCB213" s="537"/>
      <c r="PCC213" s="537"/>
      <c r="PCD213" s="537"/>
      <c r="PCE213" s="537"/>
      <c r="PCF213" s="537"/>
      <c r="PCG213" s="537"/>
      <c r="PCH213" s="537"/>
      <c r="PCI213" s="537"/>
      <c r="PCJ213" s="537"/>
      <c r="PCK213" s="537"/>
      <c r="PCL213" s="537"/>
      <c r="PCM213" s="537"/>
      <c r="PCN213" s="537"/>
      <c r="PCO213" s="537"/>
      <c r="PCP213" s="537"/>
      <c r="PCQ213" s="537"/>
      <c r="PCR213" s="537"/>
      <c r="PCS213" s="537"/>
      <c r="PCT213" s="537"/>
      <c r="PCU213" s="537"/>
      <c r="PCV213" s="537"/>
      <c r="PCW213" s="537"/>
      <c r="PCX213" s="537"/>
      <c r="PCY213" s="537"/>
      <c r="PCZ213" s="537"/>
      <c r="PDA213" s="537"/>
      <c r="PDB213" s="537"/>
      <c r="PDC213" s="537"/>
      <c r="PDD213" s="537"/>
      <c r="PDE213" s="537"/>
      <c r="PDF213" s="537"/>
      <c r="PDG213" s="537"/>
      <c r="PDH213" s="537"/>
      <c r="PDI213" s="537"/>
      <c r="PDJ213" s="537"/>
      <c r="PDK213" s="537"/>
      <c r="PDL213" s="537"/>
      <c r="PDM213" s="537"/>
      <c r="PDN213" s="537"/>
      <c r="PDO213" s="537"/>
      <c r="PDP213" s="537"/>
      <c r="PDQ213" s="537"/>
      <c r="PDR213" s="537"/>
      <c r="PDS213" s="537"/>
      <c r="PDT213" s="537"/>
      <c r="PDU213" s="537"/>
      <c r="PDV213" s="537"/>
      <c r="PDW213" s="537"/>
      <c r="PDX213" s="537"/>
      <c r="PDY213" s="537"/>
      <c r="PDZ213" s="537"/>
      <c r="PEA213" s="537"/>
      <c r="PEB213" s="537"/>
      <c r="PEC213" s="537"/>
      <c r="PED213" s="537"/>
      <c r="PEE213" s="537"/>
      <c r="PEF213" s="537"/>
      <c r="PEG213" s="537"/>
      <c r="PEH213" s="537"/>
      <c r="PEI213" s="537"/>
      <c r="PEJ213" s="537"/>
      <c r="PEK213" s="537"/>
      <c r="PEL213" s="537"/>
      <c r="PEM213" s="537"/>
      <c r="PEN213" s="537"/>
      <c r="PEO213" s="537"/>
      <c r="PEP213" s="537"/>
      <c r="PEQ213" s="537"/>
      <c r="PER213" s="537"/>
      <c r="PES213" s="537"/>
      <c r="PET213" s="537"/>
      <c r="PEU213" s="537"/>
      <c r="PEV213" s="537"/>
      <c r="PEW213" s="537"/>
      <c r="PEX213" s="537"/>
      <c r="PEY213" s="537"/>
      <c r="PEZ213" s="537"/>
      <c r="PFA213" s="537"/>
      <c r="PFB213" s="537"/>
      <c r="PFC213" s="537"/>
      <c r="PFD213" s="537"/>
      <c r="PFE213" s="537"/>
      <c r="PFF213" s="537"/>
      <c r="PFG213" s="537"/>
      <c r="PFH213" s="537"/>
      <c r="PFI213" s="537"/>
      <c r="PFJ213" s="537"/>
      <c r="PFK213" s="537"/>
      <c r="PFL213" s="537"/>
      <c r="PFM213" s="537"/>
      <c r="PFN213" s="537"/>
      <c r="PFO213" s="537"/>
      <c r="PFP213" s="537"/>
      <c r="PFQ213" s="537"/>
      <c r="PFR213" s="537"/>
      <c r="PFS213" s="537"/>
      <c r="PFT213" s="537"/>
      <c r="PFU213" s="537"/>
      <c r="PFV213" s="537"/>
      <c r="PFW213" s="537"/>
      <c r="PFX213" s="537"/>
      <c r="PFY213" s="537"/>
      <c r="PFZ213" s="537"/>
      <c r="PGA213" s="537"/>
      <c r="PGB213" s="537"/>
      <c r="PGC213" s="537"/>
      <c r="PGD213" s="537"/>
      <c r="PGE213" s="537"/>
      <c r="PGF213" s="537"/>
      <c r="PGG213" s="537"/>
      <c r="PGH213" s="537"/>
      <c r="PGI213" s="537"/>
      <c r="PGJ213" s="537"/>
      <c r="PGK213" s="537"/>
      <c r="PGL213" s="537"/>
      <c r="PGM213" s="537"/>
      <c r="PGN213" s="537"/>
      <c r="PGO213" s="537"/>
      <c r="PGP213" s="537"/>
      <c r="PGQ213" s="537"/>
      <c r="PGR213" s="537"/>
      <c r="PGS213" s="537"/>
      <c r="PGT213" s="537"/>
      <c r="PGU213" s="537"/>
      <c r="PGV213" s="537"/>
      <c r="PGW213" s="537"/>
      <c r="PGX213" s="537"/>
      <c r="PGY213" s="537"/>
      <c r="PGZ213" s="537"/>
      <c r="PHA213" s="537"/>
      <c r="PHB213" s="537"/>
      <c r="PHC213" s="537"/>
      <c r="PHD213" s="537"/>
      <c r="PHE213" s="537"/>
      <c r="PHF213" s="537"/>
      <c r="PHG213" s="537"/>
      <c r="PHH213" s="537"/>
      <c r="PHI213" s="537"/>
      <c r="PHJ213" s="537"/>
      <c r="PHK213" s="537"/>
      <c r="PHL213" s="537"/>
      <c r="PHM213" s="537"/>
      <c r="PHN213" s="537"/>
      <c r="PHO213" s="537"/>
      <c r="PHP213" s="537"/>
      <c r="PHQ213" s="537"/>
      <c r="PHR213" s="537"/>
      <c r="PHS213" s="537"/>
      <c r="PHT213" s="537"/>
      <c r="PHU213" s="537"/>
      <c r="PHV213" s="537"/>
      <c r="PHW213" s="537"/>
      <c r="PHX213" s="537"/>
      <c r="PHY213" s="537"/>
      <c r="PHZ213" s="537"/>
      <c r="PIA213" s="537"/>
      <c r="PIB213" s="537"/>
      <c r="PIC213" s="537"/>
      <c r="PID213" s="537"/>
      <c r="PIE213" s="537"/>
      <c r="PIF213" s="537"/>
      <c r="PIG213" s="537"/>
      <c r="PIH213" s="537"/>
      <c r="PII213" s="537"/>
      <c r="PIJ213" s="537"/>
      <c r="PIK213" s="537"/>
      <c r="PIL213" s="537"/>
      <c r="PIM213" s="537"/>
      <c r="PIN213" s="537"/>
      <c r="PIO213" s="537"/>
      <c r="PIP213" s="537"/>
      <c r="PIQ213" s="537"/>
      <c r="PIR213" s="537"/>
      <c r="PIS213" s="537"/>
      <c r="PIT213" s="537"/>
      <c r="PIU213" s="537"/>
      <c r="PIV213" s="537"/>
      <c r="PIW213" s="537"/>
      <c r="PIX213" s="537"/>
      <c r="PIY213" s="537"/>
      <c r="PIZ213" s="537"/>
      <c r="PJA213" s="537"/>
      <c r="PJB213" s="537"/>
      <c r="PJC213" s="537"/>
      <c r="PJD213" s="537"/>
      <c r="PJE213" s="537"/>
      <c r="PJF213" s="537"/>
      <c r="PJG213" s="537"/>
      <c r="PJH213" s="537"/>
      <c r="PJI213" s="537"/>
      <c r="PJJ213" s="537"/>
      <c r="PJK213" s="537"/>
      <c r="PJL213" s="537"/>
      <c r="PJM213" s="537"/>
      <c r="PJN213" s="537"/>
      <c r="PJO213" s="537"/>
      <c r="PJP213" s="537"/>
      <c r="PJQ213" s="537"/>
      <c r="PJR213" s="537"/>
      <c r="PJS213" s="537"/>
      <c r="PJT213" s="537"/>
      <c r="PJU213" s="537"/>
      <c r="PJV213" s="537"/>
      <c r="PJW213" s="537"/>
      <c r="PJX213" s="537"/>
      <c r="PJY213" s="537"/>
      <c r="PJZ213" s="537"/>
      <c r="PKA213" s="537"/>
      <c r="PKB213" s="537"/>
      <c r="PKC213" s="537"/>
      <c r="PKD213" s="537"/>
      <c r="PKE213" s="537"/>
      <c r="PKF213" s="537"/>
      <c r="PKG213" s="537"/>
      <c r="PKH213" s="537"/>
      <c r="PKI213" s="537"/>
      <c r="PKJ213" s="537"/>
      <c r="PKK213" s="537"/>
      <c r="PKL213" s="537"/>
      <c r="PKM213" s="537"/>
      <c r="PKN213" s="537"/>
      <c r="PKO213" s="537"/>
      <c r="PKP213" s="537"/>
      <c r="PKQ213" s="537"/>
      <c r="PKR213" s="537"/>
      <c r="PKS213" s="537"/>
      <c r="PKT213" s="537"/>
      <c r="PKU213" s="537"/>
      <c r="PKV213" s="537"/>
      <c r="PKW213" s="537"/>
      <c r="PKX213" s="537"/>
      <c r="PKY213" s="537"/>
      <c r="PKZ213" s="537"/>
      <c r="PLA213" s="537"/>
      <c r="PLB213" s="537"/>
      <c r="PLC213" s="537"/>
      <c r="PLD213" s="537"/>
      <c r="PLE213" s="537"/>
      <c r="PLF213" s="537"/>
      <c r="PLG213" s="537"/>
      <c r="PLH213" s="537"/>
      <c r="PLI213" s="537"/>
      <c r="PLJ213" s="537"/>
      <c r="PLK213" s="537"/>
      <c r="PLL213" s="537"/>
      <c r="PLM213" s="537"/>
      <c r="PLN213" s="537"/>
      <c r="PLO213" s="537"/>
      <c r="PLP213" s="537"/>
      <c r="PLQ213" s="537"/>
      <c r="PLR213" s="537"/>
      <c r="PLS213" s="537"/>
      <c r="PLT213" s="537"/>
      <c r="PLU213" s="537"/>
      <c r="PLV213" s="537"/>
      <c r="PLW213" s="537"/>
      <c r="PLX213" s="537"/>
      <c r="PLY213" s="537"/>
      <c r="PLZ213" s="537"/>
      <c r="PMA213" s="537"/>
      <c r="PMB213" s="537"/>
      <c r="PMC213" s="537"/>
      <c r="PMD213" s="537"/>
      <c r="PME213" s="537"/>
      <c r="PMF213" s="537"/>
      <c r="PMG213" s="537"/>
      <c r="PMH213" s="537"/>
      <c r="PMI213" s="537"/>
      <c r="PMJ213" s="537"/>
      <c r="PMK213" s="537"/>
      <c r="PML213" s="537"/>
      <c r="PMM213" s="537"/>
      <c r="PMN213" s="537"/>
      <c r="PMO213" s="537"/>
      <c r="PMP213" s="537"/>
      <c r="PMQ213" s="537"/>
      <c r="PMR213" s="537"/>
      <c r="PMS213" s="537"/>
      <c r="PMT213" s="537"/>
      <c r="PMU213" s="537"/>
      <c r="PMV213" s="537"/>
      <c r="PMW213" s="537"/>
      <c r="PMX213" s="537"/>
      <c r="PMY213" s="537"/>
      <c r="PMZ213" s="537"/>
      <c r="PNA213" s="537"/>
      <c r="PNB213" s="537"/>
      <c r="PNC213" s="537"/>
      <c r="PND213" s="537"/>
      <c r="PNE213" s="537"/>
      <c r="PNF213" s="537"/>
      <c r="PNG213" s="537"/>
      <c r="PNH213" s="537"/>
      <c r="PNI213" s="537"/>
      <c r="PNJ213" s="537"/>
      <c r="PNK213" s="537"/>
      <c r="PNL213" s="537"/>
      <c r="PNM213" s="537"/>
      <c r="PNN213" s="537"/>
      <c r="PNO213" s="537"/>
      <c r="PNP213" s="537"/>
      <c r="PNQ213" s="537"/>
      <c r="PNR213" s="537"/>
      <c r="PNS213" s="537"/>
      <c r="PNT213" s="537"/>
      <c r="PNU213" s="537"/>
      <c r="PNV213" s="537"/>
      <c r="PNW213" s="537"/>
      <c r="PNX213" s="537"/>
      <c r="PNY213" s="537"/>
      <c r="PNZ213" s="537"/>
      <c r="POA213" s="537"/>
      <c r="POB213" s="537"/>
      <c r="POC213" s="537"/>
      <c r="POD213" s="537"/>
      <c r="POE213" s="537"/>
      <c r="POF213" s="537"/>
      <c r="POG213" s="537"/>
      <c r="POH213" s="537"/>
      <c r="POI213" s="537"/>
      <c r="POJ213" s="537"/>
      <c r="POK213" s="537"/>
      <c r="POL213" s="537"/>
      <c r="POM213" s="537"/>
      <c r="PON213" s="537"/>
      <c r="POO213" s="537"/>
      <c r="POP213" s="537"/>
      <c r="POQ213" s="537"/>
      <c r="POR213" s="537"/>
      <c r="POS213" s="537"/>
      <c r="POT213" s="537"/>
      <c r="POU213" s="537"/>
      <c r="POV213" s="537"/>
      <c r="POW213" s="537"/>
      <c r="POX213" s="537"/>
      <c r="POY213" s="537"/>
      <c r="POZ213" s="537"/>
      <c r="PPA213" s="537"/>
      <c r="PPB213" s="537"/>
      <c r="PPC213" s="537"/>
      <c r="PPD213" s="537"/>
      <c r="PPE213" s="537"/>
      <c r="PPF213" s="537"/>
      <c r="PPG213" s="537"/>
      <c r="PPH213" s="537"/>
      <c r="PPI213" s="537"/>
      <c r="PPJ213" s="537"/>
      <c r="PPK213" s="537"/>
      <c r="PPL213" s="537"/>
      <c r="PPM213" s="537"/>
      <c r="PPN213" s="537"/>
      <c r="PPO213" s="537"/>
      <c r="PPP213" s="537"/>
      <c r="PPQ213" s="537"/>
      <c r="PPR213" s="537"/>
      <c r="PPS213" s="537"/>
      <c r="PPT213" s="537"/>
      <c r="PPU213" s="537"/>
      <c r="PPV213" s="537"/>
      <c r="PPW213" s="537"/>
      <c r="PPX213" s="537"/>
      <c r="PPY213" s="537"/>
      <c r="PPZ213" s="537"/>
      <c r="PQA213" s="537"/>
      <c r="PQB213" s="537"/>
      <c r="PQC213" s="537"/>
      <c r="PQD213" s="537"/>
      <c r="PQE213" s="537"/>
      <c r="PQF213" s="537"/>
      <c r="PQG213" s="537"/>
      <c r="PQH213" s="537"/>
      <c r="PQI213" s="537"/>
      <c r="PQJ213" s="537"/>
      <c r="PQK213" s="537"/>
      <c r="PQL213" s="537"/>
      <c r="PQM213" s="537"/>
      <c r="PQN213" s="537"/>
      <c r="PQO213" s="537"/>
      <c r="PQP213" s="537"/>
      <c r="PQQ213" s="537"/>
      <c r="PQR213" s="537"/>
      <c r="PQS213" s="537"/>
      <c r="PQT213" s="537"/>
      <c r="PQU213" s="537"/>
      <c r="PQV213" s="537"/>
      <c r="PQW213" s="537"/>
      <c r="PQX213" s="537"/>
      <c r="PQY213" s="537"/>
      <c r="PQZ213" s="537"/>
      <c r="PRA213" s="537"/>
      <c r="PRB213" s="537"/>
      <c r="PRC213" s="537"/>
      <c r="PRD213" s="537"/>
      <c r="PRE213" s="537"/>
      <c r="PRF213" s="537"/>
      <c r="PRG213" s="537"/>
      <c r="PRH213" s="537"/>
      <c r="PRI213" s="537"/>
      <c r="PRJ213" s="537"/>
      <c r="PRK213" s="537"/>
      <c r="PRL213" s="537"/>
      <c r="PRM213" s="537"/>
      <c r="PRN213" s="537"/>
      <c r="PRO213" s="537"/>
      <c r="PRP213" s="537"/>
      <c r="PRQ213" s="537"/>
      <c r="PRR213" s="537"/>
      <c r="PRS213" s="537"/>
      <c r="PRT213" s="537"/>
      <c r="PRU213" s="537"/>
      <c r="PRV213" s="537"/>
      <c r="PRW213" s="537"/>
      <c r="PRX213" s="537"/>
      <c r="PRY213" s="537"/>
      <c r="PRZ213" s="537"/>
      <c r="PSA213" s="537"/>
      <c r="PSB213" s="537"/>
      <c r="PSC213" s="537"/>
      <c r="PSD213" s="537"/>
      <c r="PSE213" s="537"/>
      <c r="PSF213" s="537"/>
      <c r="PSG213" s="537"/>
      <c r="PSH213" s="537"/>
      <c r="PSI213" s="537"/>
      <c r="PSJ213" s="537"/>
      <c r="PSK213" s="537"/>
      <c r="PSL213" s="537"/>
      <c r="PSM213" s="537"/>
      <c r="PSN213" s="537"/>
      <c r="PSO213" s="537"/>
      <c r="PSP213" s="537"/>
      <c r="PSQ213" s="537"/>
      <c r="PSR213" s="537"/>
      <c r="PSS213" s="537"/>
      <c r="PST213" s="537"/>
      <c r="PSU213" s="537"/>
      <c r="PSV213" s="537"/>
      <c r="PSW213" s="537"/>
      <c r="PSX213" s="537"/>
      <c r="PSY213" s="537"/>
      <c r="PSZ213" s="537"/>
      <c r="PTA213" s="537"/>
      <c r="PTB213" s="537"/>
      <c r="PTC213" s="537"/>
      <c r="PTD213" s="537"/>
      <c r="PTE213" s="537"/>
      <c r="PTF213" s="537"/>
      <c r="PTG213" s="537"/>
      <c r="PTH213" s="537"/>
      <c r="PTI213" s="537"/>
      <c r="PTJ213" s="537"/>
      <c r="PTK213" s="537"/>
      <c r="PTL213" s="537"/>
      <c r="PTM213" s="537"/>
      <c r="PTN213" s="537"/>
      <c r="PTO213" s="537"/>
      <c r="PTP213" s="537"/>
      <c r="PTQ213" s="537"/>
      <c r="PTR213" s="537"/>
      <c r="PTS213" s="537"/>
      <c r="PTT213" s="537"/>
      <c r="PTU213" s="537"/>
      <c r="PTV213" s="537"/>
      <c r="PTW213" s="537"/>
      <c r="PTX213" s="537"/>
      <c r="PTY213" s="537"/>
      <c r="PTZ213" s="537"/>
      <c r="PUA213" s="537"/>
      <c r="PUB213" s="537"/>
      <c r="PUC213" s="537"/>
      <c r="PUD213" s="537"/>
      <c r="PUE213" s="537"/>
      <c r="PUF213" s="537"/>
      <c r="PUG213" s="537"/>
      <c r="PUH213" s="537"/>
      <c r="PUI213" s="537"/>
      <c r="PUJ213" s="537"/>
      <c r="PUK213" s="537"/>
      <c r="PUL213" s="537"/>
      <c r="PUM213" s="537"/>
      <c r="PUN213" s="537"/>
      <c r="PUO213" s="537"/>
      <c r="PUP213" s="537"/>
      <c r="PUQ213" s="537"/>
      <c r="PUR213" s="537"/>
      <c r="PUS213" s="537"/>
      <c r="PUT213" s="537"/>
      <c r="PUU213" s="537"/>
      <c r="PUV213" s="537"/>
      <c r="PUW213" s="537"/>
      <c r="PUX213" s="537"/>
      <c r="PUY213" s="537"/>
      <c r="PUZ213" s="537"/>
      <c r="PVA213" s="537"/>
      <c r="PVB213" s="537"/>
      <c r="PVC213" s="537"/>
      <c r="PVD213" s="537"/>
      <c r="PVE213" s="537"/>
      <c r="PVF213" s="537"/>
      <c r="PVG213" s="537"/>
      <c r="PVH213" s="537"/>
      <c r="PVI213" s="537"/>
      <c r="PVJ213" s="537"/>
      <c r="PVK213" s="537"/>
      <c r="PVL213" s="537"/>
      <c r="PVM213" s="537"/>
      <c r="PVN213" s="537"/>
      <c r="PVO213" s="537"/>
      <c r="PVP213" s="537"/>
      <c r="PVQ213" s="537"/>
      <c r="PVR213" s="537"/>
      <c r="PVS213" s="537"/>
      <c r="PVT213" s="537"/>
      <c r="PVU213" s="537"/>
      <c r="PVV213" s="537"/>
      <c r="PVW213" s="537"/>
      <c r="PVX213" s="537"/>
      <c r="PVY213" s="537"/>
      <c r="PVZ213" s="537"/>
      <c r="PWA213" s="537"/>
      <c r="PWB213" s="537"/>
      <c r="PWC213" s="537"/>
      <c r="PWD213" s="537"/>
      <c r="PWE213" s="537"/>
      <c r="PWF213" s="537"/>
      <c r="PWG213" s="537"/>
      <c r="PWH213" s="537"/>
      <c r="PWI213" s="537"/>
      <c r="PWJ213" s="537"/>
      <c r="PWK213" s="537"/>
      <c r="PWL213" s="537"/>
      <c r="PWM213" s="537"/>
      <c r="PWN213" s="537"/>
      <c r="PWO213" s="537"/>
      <c r="PWP213" s="537"/>
      <c r="PWQ213" s="537"/>
      <c r="PWR213" s="537"/>
      <c r="PWS213" s="537"/>
      <c r="PWT213" s="537"/>
      <c r="PWU213" s="537"/>
      <c r="PWV213" s="537"/>
      <c r="PWW213" s="537"/>
      <c r="PWX213" s="537"/>
      <c r="PWY213" s="537"/>
      <c r="PWZ213" s="537"/>
      <c r="PXA213" s="537"/>
      <c r="PXB213" s="537"/>
      <c r="PXC213" s="537"/>
      <c r="PXD213" s="537"/>
      <c r="PXE213" s="537"/>
      <c r="PXF213" s="537"/>
      <c r="PXG213" s="537"/>
      <c r="PXH213" s="537"/>
      <c r="PXI213" s="537"/>
      <c r="PXJ213" s="537"/>
      <c r="PXK213" s="537"/>
      <c r="PXL213" s="537"/>
      <c r="PXM213" s="537"/>
      <c r="PXN213" s="537"/>
      <c r="PXO213" s="537"/>
      <c r="PXP213" s="537"/>
      <c r="PXQ213" s="537"/>
      <c r="PXR213" s="537"/>
      <c r="PXS213" s="537"/>
      <c r="PXT213" s="537"/>
      <c r="PXU213" s="537"/>
      <c r="PXV213" s="537"/>
      <c r="PXW213" s="537"/>
      <c r="PXX213" s="537"/>
      <c r="PXY213" s="537"/>
      <c r="PXZ213" s="537"/>
      <c r="PYA213" s="537"/>
      <c r="PYB213" s="537"/>
      <c r="PYC213" s="537"/>
      <c r="PYD213" s="537"/>
      <c r="PYE213" s="537"/>
      <c r="PYF213" s="537"/>
      <c r="PYG213" s="537"/>
      <c r="PYH213" s="537"/>
      <c r="PYI213" s="537"/>
      <c r="PYJ213" s="537"/>
      <c r="PYK213" s="537"/>
      <c r="PYL213" s="537"/>
      <c r="PYM213" s="537"/>
      <c r="PYN213" s="537"/>
      <c r="PYO213" s="537"/>
      <c r="PYP213" s="537"/>
      <c r="PYQ213" s="537"/>
      <c r="PYR213" s="537"/>
      <c r="PYS213" s="537"/>
      <c r="PYT213" s="537"/>
      <c r="PYU213" s="537"/>
      <c r="PYV213" s="537"/>
      <c r="PYW213" s="537"/>
      <c r="PYX213" s="537"/>
      <c r="PYY213" s="537"/>
      <c r="PYZ213" s="537"/>
      <c r="PZA213" s="537"/>
      <c r="PZB213" s="537"/>
      <c r="PZC213" s="537"/>
      <c r="PZD213" s="537"/>
      <c r="PZE213" s="537"/>
      <c r="PZF213" s="537"/>
      <c r="PZG213" s="537"/>
      <c r="PZH213" s="537"/>
      <c r="PZI213" s="537"/>
      <c r="PZJ213" s="537"/>
      <c r="PZK213" s="537"/>
      <c r="PZL213" s="537"/>
      <c r="PZM213" s="537"/>
      <c r="PZN213" s="537"/>
      <c r="PZO213" s="537"/>
      <c r="PZP213" s="537"/>
      <c r="PZQ213" s="537"/>
      <c r="PZR213" s="537"/>
      <c r="PZS213" s="537"/>
      <c r="PZT213" s="537"/>
      <c r="PZU213" s="537"/>
      <c r="PZV213" s="537"/>
      <c r="PZW213" s="537"/>
      <c r="PZX213" s="537"/>
      <c r="PZY213" s="537"/>
      <c r="PZZ213" s="537"/>
      <c r="QAA213" s="537"/>
      <c r="QAB213" s="537"/>
      <c r="QAC213" s="537"/>
      <c r="QAD213" s="537"/>
      <c r="QAE213" s="537"/>
      <c r="QAF213" s="537"/>
      <c r="QAG213" s="537"/>
      <c r="QAH213" s="537"/>
      <c r="QAI213" s="537"/>
      <c r="QAJ213" s="537"/>
      <c r="QAK213" s="537"/>
      <c r="QAL213" s="537"/>
      <c r="QAM213" s="537"/>
      <c r="QAN213" s="537"/>
      <c r="QAO213" s="537"/>
      <c r="QAP213" s="537"/>
      <c r="QAQ213" s="537"/>
      <c r="QAR213" s="537"/>
      <c r="QAS213" s="537"/>
      <c r="QAT213" s="537"/>
      <c r="QAU213" s="537"/>
      <c r="QAV213" s="537"/>
      <c r="QAW213" s="537"/>
      <c r="QAX213" s="537"/>
      <c r="QAY213" s="537"/>
      <c r="QAZ213" s="537"/>
      <c r="QBA213" s="537"/>
      <c r="QBB213" s="537"/>
      <c r="QBC213" s="537"/>
      <c r="QBD213" s="537"/>
      <c r="QBE213" s="537"/>
      <c r="QBF213" s="537"/>
      <c r="QBG213" s="537"/>
      <c r="QBH213" s="537"/>
      <c r="QBI213" s="537"/>
      <c r="QBJ213" s="537"/>
      <c r="QBK213" s="537"/>
      <c r="QBL213" s="537"/>
      <c r="QBM213" s="537"/>
      <c r="QBN213" s="537"/>
      <c r="QBO213" s="537"/>
      <c r="QBP213" s="537"/>
      <c r="QBQ213" s="537"/>
      <c r="QBR213" s="537"/>
      <c r="QBS213" s="537"/>
      <c r="QBT213" s="537"/>
      <c r="QBU213" s="537"/>
      <c r="QBV213" s="537"/>
      <c r="QBW213" s="537"/>
      <c r="QBX213" s="537"/>
      <c r="QBY213" s="537"/>
      <c r="QBZ213" s="537"/>
      <c r="QCA213" s="537"/>
      <c r="QCB213" s="537"/>
      <c r="QCC213" s="537"/>
      <c r="QCD213" s="537"/>
      <c r="QCE213" s="537"/>
      <c r="QCF213" s="537"/>
      <c r="QCG213" s="537"/>
      <c r="QCH213" s="537"/>
      <c r="QCI213" s="537"/>
      <c r="QCJ213" s="537"/>
      <c r="QCK213" s="537"/>
      <c r="QCL213" s="537"/>
      <c r="QCM213" s="537"/>
      <c r="QCN213" s="537"/>
      <c r="QCO213" s="537"/>
      <c r="QCP213" s="537"/>
      <c r="QCQ213" s="537"/>
      <c r="QCR213" s="537"/>
      <c r="QCS213" s="537"/>
      <c r="QCT213" s="537"/>
      <c r="QCU213" s="537"/>
      <c r="QCV213" s="537"/>
      <c r="QCW213" s="537"/>
      <c r="QCX213" s="537"/>
      <c r="QCY213" s="537"/>
      <c r="QCZ213" s="537"/>
      <c r="QDA213" s="537"/>
      <c r="QDB213" s="537"/>
      <c r="QDC213" s="537"/>
      <c r="QDD213" s="537"/>
      <c r="QDE213" s="537"/>
      <c r="QDF213" s="537"/>
      <c r="QDG213" s="537"/>
      <c r="QDH213" s="537"/>
      <c r="QDI213" s="537"/>
      <c r="QDJ213" s="537"/>
      <c r="QDK213" s="537"/>
      <c r="QDL213" s="537"/>
      <c r="QDM213" s="537"/>
      <c r="QDN213" s="537"/>
      <c r="QDO213" s="537"/>
      <c r="QDP213" s="537"/>
      <c r="QDQ213" s="537"/>
      <c r="QDR213" s="537"/>
      <c r="QDS213" s="537"/>
      <c r="QDT213" s="537"/>
      <c r="QDU213" s="537"/>
      <c r="QDV213" s="537"/>
      <c r="QDW213" s="537"/>
      <c r="QDX213" s="537"/>
      <c r="QDY213" s="537"/>
      <c r="QDZ213" s="537"/>
      <c r="QEA213" s="537"/>
      <c r="QEB213" s="537"/>
      <c r="QEC213" s="537"/>
      <c r="QED213" s="537"/>
      <c r="QEE213" s="537"/>
      <c r="QEF213" s="537"/>
      <c r="QEG213" s="537"/>
      <c r="QEH213" s="537"/>
      <c r="QEI213" s="537"/>
      <c r="QEJ213" s="537"/>
      <c r="QEK213" s="537"/>
      <c r="QEL213" s="537"/>
      <c r="QEM213" s="537"/>
      <c r="QEN213" s="537"/>
      <c r="QEO213" s="537"/>
      <c r="QEP213" s="537"/>
      <c r="QEQ213" s="537"/>
      <c r="QER213" s="537"/>
      <c r="QES213" s="537"/>
      <c r="QET213" s="537"/>
      <c r="QEU213" s="537"/>
      <c r="QEV213" s="537"/>
      <c r="QEW213" s="537"/>
      <c r="QEX213" s="537"/>
      <c r="QEY213" s="537"/>
      <c r="QEZ213" s="537"/>
      <c r="QFA213" s="537"/>
      <c r="QFB213" s="537"/>
      <c r="QFC213" s="537"/>
      <c r="QFD213" s="537"/>
      <c r="QFE213" s="537"/>
      <c r="QFF213" s="537"/>
      <c r="QFG213" s="537"/>
      <c r="QFH213" s="537"/>
      <c r="QFI213" s="537"/>
      <c r="QFJ213" s="537"/>
      <c r="QFK213" s="537"/>
      <c r="QFL213" s="537"/>
      <c r="QFM213" s="537"/>
      <c r="QFN213" s="537"/>
      <c r="QFO213" s="537"/>
      <c r="QFP213" s="537"/>
      <c r="QFQ213" s="537"/>
      <c r="QFR213" s="537"/>
      <c r="QFS213" s="537"/>
      <c r="QFT213" s="537"/>
      <c r="QFU213" s="537"/>
      <c r="QFV213" s="537"/>
      <c r="QFW213" s="537"/>
      <c r="QFX213" s="537"/>
      <c r="QFY213" s="537"/>
      <c r="QFZ213" s="537"/>
      <c r="QGA213" s="537"/>
      <c r="QGB213" s="537"/>
      <c r="QGC213" s="537"/>
      <c r="QGD213" s="537"/>
      <c r="QGE213" s="537"/>
      <c r="QGF213" s="537"/>
      <c r="QGG213" s="537"/>
      <c r="QGH213" s="537"/>
      <c r="QGI213" s="537"/>
      <c r="QGJ213" s="537"/>
      <c r="QGK213" s="537"/>
      <c r="QGL213" s="537"/>
      <c r="QGM213" s="537"/>
      <c r="QGN213" s="537"/>
      <c r="QGO213" s="537"/>
      <c r="QGP213" s="537"/>
      <c r="QGQ213" s="537"/>
      <c r="QGR213" s="537"/>
      <c r="QGS213" s="537"/>
      <c r="QGT213" s="537"/>
      <c r="QGU213" s="537"/>
      <c r="QGV213" s="537"/>
      <c r="QGW213" s="537"/>
      <c r="QGX213" s="537"/>
      <c r="QGY213" s="537"/>
      <c r="QGZ213" s="537"/>
      <c r="QHA213" s="537"/>
      <c r="QHB213" s="537"/>
      <c r="QHC213" s="537"/>
      <c r="QHD213" s="537"/>
      <c r="QHE213" s="537"/>
      <c r="QHF213" s="537"/>
      <c r="QHG213" s="537"/>
      <c r="QHH213" s="537"/>
      <c r="QHI213" s="537"/>
      <c r="QHJ213" s="537"/>
      <c r="QHK213" s="537"/>
      <c r="QHL213" s="537"/>
      <c r="QHM213" s="537"/>
      <c r="QHN213" s="537"/>
      <c r="QHO213" s="537"/>
      <c r="QHP213" s="537"/>
      <c r="QHQ213" s="537"/>
      <c r="QHR213" s="537"/>
      <c r="QHS213" s="537"/>
      <c r="QHT213" s="537"/>
      <c r="QHU213" s="537"/>
      <c r="QHV213" s="537"/>
      <c r="QHW213" s="537"/>
      <c r="QHX213" s="537"/>
      <c r="QHY213" s="537"/>
      <c r="QHZ213" s="537"/>
      <c r="QIA213" s="537"/>
      <c r="QIB213" s="537"/>
      <c r="QIC213" s="537"/>
      <c r="QID213" s="537"/>
      <c r="QIE213" s="537"/>
      <c r="QIF213" s="537"/>
      <c r="QIG213" s="537"/>
      <c r="QIH213" s="537"/>
      <c r="QII213" s="537"/>
      <c r="QIJ213" s="537"/>
      <c r="QIK213" s="537"/>
      <c r="QIL213" s="537"/>
      <c r="QIM213" s="537"/>
      <c r="QIN213" s="537"/>
      <c r="QIO213" s="537"/>
      <c r="QIP213" s="537"/>
      <c r="QIQ213" s="537"/>
      <c r="QIR213" s="537"/>
      <c r="QIS213" s="537"/>
      <c r="QIT213" s="537"/>
      <c r="QIU213" s="537"/>
      <c r="QIV213" s="537"/>
      <c r="QIW213" s="537"/>
      <c r="QIX213" s="537"/>
      <c r="QIY213" s="537"/>
      <c r="QIZ213" s="537"/>
      <c r="QJA213" s="537"/>
      <c r="QJB213" s="537"/>
      <c r="QJC213" s="537"/>
      <c r="QJD213" s="537"/>
      <c r="QJE213" s="537"/>
      <c r="QJF213" s="537"/>
      <c r="QJG213" s="537"/>
      <c r="QJH213" s="537"/>
      <c r="QJI213" s="537"/>
      <c r="QJJ213" s="537"/>
      <c r="QJK213" s="537"/>
      <c r="QJL213" s="537"/>
      <c r="QJM213" s="537"/>
      <c r="QJN213" s="537"/>
      <c r="QJO213" s="537"/>
      <c r="QJP213" s="537"/>
      <c r="QJQ213" s="537"/>
      <c r="QJR213" s="537"/>
      <c r="QJS213" s="537"/>
      <c r="QJT213" s="537"/>
      <c r="QJU213" s="537"/>
      <c r="QJV213" s="537"/>
      <c r="QJW213" s="537"/>
      <c r="QJX213" s="537"/>
      <c r="QJY213" s="537"/>
      <c r="QJZ213" s="537"/>
      <c r="QKA213" s="537"/>
      <c r="QKB213" s="537"/>
      <c r="QKC213" s="537"/>
      <c r="QKD213" s="537"/>
      <c r="QKE213" s="537"/>
      <c r="QKF213" s="537"/>
      <c r="QKG213" s="537"/>
      <c r="QKH213" s="537"/>
      <c r="QKI213" s="537"/>
      <c r="QKJ213" s="537"/>
      <c r="QKK213" s="537"/>
      <c r="QKL213" s="537"/>
      <c r="QKM213" s="537"/>
      <c r="QKN213" s="537"/>
      <c r="QKO213" s="537"/>
      <c r="QKP213" s="537"/>
      <c r="QKQ213" s="537"/>
      <c r="QKR213" s="537"/>
      <c r="QKS213" s="537"/>
      <c r="QKT213" s="537"/>
      <c r="QKU213" s="537"/>
      <c r="QKV213" s="537"/>
      <c r="QKW213" s="537"/>
      <c r="QKX213" s="537"/>
      <c r="QKY213" s="537"/>
      <c r="QKZ213" s="537"/>
      <c r="QLA213" s="537"/>
      <c r="QLB213" s="537"/>
      <c r="QLC213" s="537"/>
      <c r="QLD213" s="537"/>
      <c r="QLE213" s="537"/>
      <c r="QLF213" s="537"/>
      <c r="QLG213" s="537"/>
      <c r="QLH213" s="537"/>
      <c r="QLI213" s="537"/>
      <c r="QLJ213" s="537"/>
      <c r="QLK213" s="537"/>
      <c r="QLL213" s="537"/>
      <c r="QLM213" s="537"/>
      <c r="QLN213" s="537"/>
      <c r="QLO213" s="537"/>
      <c r="QLP213" s="537"/>
      <c r="QLQ213" s="537"/>
      <c r="QLR213" s="537"/>
      <c r="QLS213" s="537"/>
      <c r="QLT213" s="537"/>
      <c r="QLU213" s="537"/>
      <c r="QLV213" s="537"/>
      <c r="QLW213" s="537"/>
      <c r="QLX213" s="537"/>
      <c r="QLY213" s="537"/>
      <c r="QLZ213" s="537"/>
      <c r="QMA213" s="537"/>
      <c r="QMB213" s="537"/>
      <c r="QMC213" s="537"/>
      <c r="QMD213" s="537"/>
      <c r="QME213" s="537"/>
      <c r="QMF213" s="537"/>
      <c r="QMG213" s="537"/>
      <c r="QMH213" s="537"/>
      <c r="QMI213" s="537"/>
      <c r="QMJ213" s="537"/>
      <c r="QMK213" s="537"/>
      <c r="QML213" s="537"/>
      <c r="QMM213" s="537"/>
      <c r="QMN213" s="537"/>
      <c r="QMO213" s="537"/>
      <c r="QMP213" s="537"/>
      <c r="QMQ213" s="537"/>
      <c r="QMR213" s="537"/>
      <c r="QMS213" s="537"/>
      <c r="QMT213" s="537"/>
      <c r="QMU213" s="537"/>
      <c r="QMV213" s="537"/>
      <c r="QMW213" s="537"/>
      <c r="QMX213" s="537"/>
      <c r="QMY213" s="537"/>
      <c r="QMZ213" s="537"/>
      <c r="QNA213" s="537"/>
      <c r="QNB213" s="537"/>
      <c r="QNC213" s="537"/>
      <c r="QND213" s="537"/>
      <c r="QNE213" s="537"/>
      <c r="QNF213" s="537"/>
      <c r="QNG213" s="537"/>
      <c r="QNH213" s="537"/>
      <c r="QNI213" s="537"/>
      <c r="QNJ213" s="537"/>
      <c r="QNK213" s="537"/>
      <c r="QNL213" s="537"/>
      <c r="QNM213" s="537"/>
      <c r="QNN213" s="537"/>
      <c r="QNO213" s="537"/>
      <c r="QNP213" s="537"/>
      <c r="QNQ213" s="537"/>
      <c r="QNR213" s="537"/>
      <c r="QNS213" s="537"/>
      <c r="QNT213" s="537"/>
      <c r="QNU213" s="537"/>
      <c r="QNV213" s="537"/>
      <c r="QNW213" s="537"/>
      <c r="QNX213" s="537"/>
      <c r="QNY213" s="537"/>
      <c r="QNZ213" s="537"/>
      <c r="QOA213" s="537"/>
      <c r="QOB213" s="537"/>
      <c r="QOC213" s="537"/>
      <c r="QOD213" s="537"/>
      <c r="QOE213" s="537"/>
      <c r="QOF213" s="537"/>
      <c r="QOG213" s="537"/>
      <c r="QOH213" s="537"/>
      <c r="QOI213" s="537"/>
      <c r="QOJ213" s="537"/>
      <c r="QOK213" s="537"/>
      <c r="QOL213" s="537"/>
      <c r="QOM213" s="537"/>
      <c r="QON213" s="537"/>
      <c r="QOO213" s="537"/>
      <c r="QOP213" s="537"/>
      <c r="QOQ213" s="537"/>
      <c r="QOR213" s="537"/>
      <c r="QOS213" s="537"/>
      <c r="QOT213" s="537"/>
      <c r="QOU213" s="537"/>
      <c r="QOV213" s="537"/>
      <c r="QOW213" s="537"/>
      <c r="QOX213" s="537"/>
      <c r="QOY213" s="537"/>
      <c r="QOZ213" s="537"/>
      <c r="QPA213" s="537"/>
      <c r="QPB213" s="537"/>
      <c r="QPC213" s="537"/>
      <c r="QPD213" s="537"/>
      <c r="QPE213" s="537"/>
      <c r="QPF213" s="537"/>
      <c r="QPG213" s="537"/>
      <c r="QPH213" s="537"/>
      <c r="QPI213" s="537"/>
      <c r="QPJ213" s="537"/>
      <c r="QPK213" s="537"/>
      <c r="QPL213" s="537"/>
      <c r="QPM213" s="537"/>
      <c r="QPN213" s="537"/>
      <c r="QPO213" s="537"/>
      <c r="QPP213" s="537"/>
      <c r="QPQ213" s="537"/>
      <c r="QPR213" s="537"/>
      <c r="QPS213" s="537"/>
      <c r="QPT213" s="537"/>
      <c r="QPU213" s="537"/>
      <c r="QPV213" s="537"/>
      <c r="QPW213" s="537"/>
      <c r="QPX213" s="537"/>
      <c r="QPY213" s="537"/>
      <c r="QPZ213" s="537"/>
      <c r="QQA213" s="537"/>
      <c r="QQB213" s="537"/>
      <c r="QQC213" s="537"/>
      <c r="QQD213" s="537"/>
      <c r="QQE213" s="537"/>
      <c r="QQF213" s="537"/>
      <c r="QQG213" s="537"/>
      <c r="QQH213" s="537"/>
      <c r="QQI213" s="537"/>
      <c r="QQJ213" s="537"/>
      <c r="QQK213" s="537"/>
      <c r="QQL213" s="537"/>
      <c r="QQM213" s="537"/>
      <c r="QQN213" s="537"/>
      <c r="QQO213" s="537"/>
      <c r="QQP213" s="537"/>
      <c r="QQQ213" s="537"/>
      <c r="QQR213" s="537"/>
      <c r="QQS213" s="537"/>
      <c r="QQT213" s="537"/>
      <c r="QQU213" s="537"/>
      <c r="QQV213" s="537"/>
      <c r="QQW213" s="537"/>
      <c r="QQX213" s="537"/>
      <c r="QQY213" s="537"/>
      <c r="QQZ213" s="537"/>
      <c r="QRA213" s="537"/>
      <c r="QRB213" s="537"/>
      <c r="QRC213" s="537"/>
      <c r="QRD213" s="537"/>
      <c r="QRE213" s="537"/>
      <c r="QRF213" s="537"/>
      <c r="QRG213" s="537"/>
      <c r="QRH213" s="537"/>
      <c r="QRI213" s="537"/>
      <c r="QRJ213" s="537"/>
      <c r="QRK213" s="537"/>
      <c r="QRL213" s="537"/>
      <c r="QRM213" s="537"/>
      <c r="QRN213" s="537"/>
      <c r="QRO213" s="537"/>
      <c r="QRP213" s="537"/>
      <c r="QRQ213" s="537"/>
      <c r="QRR213" s="537"/>
      <c r="QRS213" s="537"/>
      <c r="QRT213" s="537"/>
      <c r="QRU213" s="537"/>
      <c r="QRV213" s="537"/>
      <c r="QRW213" s="537"/>
      <c r="QRX213" s="537"/>
      <c r="QRY213" s="537"/>
      <c r="QRZ213" s="537"/>
      <c r="QSA213" s="537"/>
      <c r="QSB213" s="537"/>
      <c r="QSC213" s="537"/>
      <c r="QSD213" s="537"/>
      <c r="QSE213" s="537"/>
      <c r="QSF213" s="537"/>
      <c r="QSG213" s="537"/>
      <c r="QSH213" s="537"/>
      <c r="QSI213" s="537"/>
      <c r="QSJ213" s="537"/>
      <c r="QSK213" s="537"/>
      <c r="QSL213" s="537"/>
      <c r="QSM213" s="537"/>
      <c r="QSN213" s="537"/>
      <c r="QSO213" s="537"/>
      <c r="QSP213" s="537"/>
      <c r="QSQ213" s="537"/>
      <c r="QSR213" s="537"/>
      <c r="QSS213" s="537"/>
      <c r="QST213" s="537"/>
      <c r="QSU213" s="537"/>
      <c r="QSV213" s="537"/>
      <c r="QSW213" s="537"/>
      <c r="QSX213" s="537"/>
      <c r="QSY213" s="537"/>
      <c r="QSZ213" s="537"/>
      <c r="QTA213" s="537"/>
      <c r="QTB213" s="537"/>
      <c r="QTC213" s="537"/>
      <c r="QTD213" s="537"/>
      <c r="QTE213" s="537"/>
      <c r="QTF213" s="537"/>
      <c r="QTG213" s="537"/>
      <c r="QTH213" s="537"/>
      <c r="QTI213" s="537"/>
      <c r="QTJ213" s="537"/>
      <c r="QTK213" s="537"/>
      <c r="QTL213" s="537"/>
      <c r="QTM213" s="537"/>
      <c r="QTN213" s="537"/>
      <c r="QTO213" s="537"/>
      <c r="QTP213" s="537"/>
      <c r="QTQ213" s="537"/>
      <c r="QTR213" s="537"/>
      <c r="QTS213" s="537"/>
      <c r="QTT213" s="537"/>
      <c r="QTU213" s="537"/>
      <c r="QTV213" s="537"/>
      <c r="QTW213" s="537"/>
      <c r="QTX213" s="537"/>
      <c r="QTY213" s="537"/>
      <c r="QTZ213" s="537"/>
      <c r="QUA213" s="537"/>
      <c r="QUB213" s="537"/>
      <c r="QUC213" s="537"/>
      <c r="QUD213" s="537"/>
      <c r="QUE213" s="537"/>
      <c r="QUF213" s="537"/>
      <c r="QUG213" s="537"/>
      <c r="QUH213" s="537"/>
      <c r="QUI213" s="537"/>
      <c r="QUJ213" s="537"/>
      <c r="QUK213" s="537"/>
      <c r="QUL213" s="537"/>
      <c r="QUM213" s="537"/>
      <c r="QUN213" s="537"/>
      <c r="QUO213" s="537"/>
      <c r="QUP213" s="537"/>
      <c r="QUQ213" s="537"/>
      <c r="QUR213" s="537"/>
      <c r="QUS213" s="537"/>
      <c r="QUT213" s="537"/>
      <c r="QUU213" s="537"/>
      <c r="QUV213" s="537"/>
      <c r="QUW213" s="537"/>
      <c r="QUX213" s="537"/>
      <c r="QUY213" s="537"/>
      <c r="QUZ213" s="537"/>
      <c r="QVA213" s="537"/>
      <c r="QVB213" s="537"/>
      <c r="QVC213" s="537"/>
      <c r="QVD213" s="537"/>
      <c r="QVE213" s="537"/>
      <c r="QVF213" s="537"/>
      <c r="QVG213" s="537"/>
      <c r="QVH213" s="537"/>
      <c r="QVI213" s="537"/>
      <c r="QVJ213" s="537"/>
      <c r="QVK213" s="537"/>
      <c r="QVL213" s="537"/>
      <c r="QVM213" s="537"/>
      <c r="QVN213" s="537"/>
      <c r="QVO213" s="537"/>
      <c r="QVP213" s="537"/>
      <c r="QVQ213" s="537"/>
      <c r="QVR213" s="537"/>
      <c r="QVS213" s="537"/>
      <c r="QVT213" s="537"/>
      <c r="QVU213" s="537"/>
      <c r="QVV213" s="537"/>
      <c r="QVW213" s="537"/>
      <c r="QVX213" s="537"/>
      <c r="QVY213" s="537"/>
      <c r="QVZ213" s="537"/>
      <c r="QWA213" s="537"/>
      <c r="QWB213" s="537"/>
      <c r="QWC213" s="537"/>
      <c r="QWD213" s="537"/>
      <c r="QWE213" s="537"/>
      <c r="QWF213" s="537"/>
      <c r="QWG213" s="537"/>
      <c r="QWH213" s="537"/>
      <c r="QWI213" s="537"/>
      <c r="QWJ213" s="537"/>
      <c r="QWK213" s="537"/>
      <c r="QWL213" s="537"/>
      <c r="QWM213" s="537"/>
      <c r="QWN213" s="537"/>
      <c r="QWO213" s="537"/>
      <c r="QWP213" s="537"/>
      <c r="QWQ213" s="537"/>
      <c r="QWR213" s="537"/>
      <c r="QWS213" s="537"/>
      <c r="QWT213" s="537"/>
      <c r="QWU213" s="537"/>
      <c r="QWV213" s="537"/>
      <c r="QWW213" s="537"/>
      <c r="QWX213" s="537"/>
      <c r="QWY213" s="537"/>
      <c r="QWZ213" s="537"/>
      <c r="QXA213" s="537"/>
      <c r="QXB213" s="537"/>
      <c r="QXC213" s="537"/>
      <c r="QXD213" s="537"/>
      <c r="QXE213" s="537"/>
      <c r="QXF213" s="537"/>
      <c r="QXG213" s="537"/>
      <c r="QXH213" s="537"/>
      <c r="QXI213" s="537"/>
      <c r="QXJ213" s="537"/>
      <c r="QXK213" s="537"/>
      <c r="QXL213" s="537"/>
      <c r="QXM213" s="537"/>
      <c r="QXN213" s="537"/>
      <c r="QXO213" s="537"/>
      <c r="QXP213" s="537"/>
      <c r="QXQ213" s="537"/>
      <c r="QXR213" s="537"/>
      <c r="QXS213" s="537"/>
      <c r="QXT213" s="537"/>
      <c r="QXU213" s="537"/>
      <c r="QXV213" s="537"/>
      <c r="QXW213" s="537"/>
      <c r="QXX213" s="537"/>
      <c r="QXY213" s="537"/>
      <c r="QXZ213" s="537"/>
      <c r="QYA213" s="537"/>
      <c r="QYB213" s="537"/>
      <c r="QYC213" s="537"/>
      <c r="QYD213" s="537"/>
      <c r="QYE213" s="537"/>
      <c r="QYF213" s="537"/>
      <c r="QYG213" s="537"/>
      <c r="QYH213" s="537"/>
      <c r="QYI213" s="537"/>
      <c r="QYJ213" s="537"/>
      <c r="QYK213" s="537"/>
      <c r="QYL213" s="537"/>
      <c r="QYM213" s="537"/>
      <c r="QYN213" s="537"/>
      <c r="QYO213" s="537"/>
      <c r="QYP213" s="537"/>
      <c r="QYQ213" s="537"/>
      <c r="QYR213" s="537"/>
      <c r="QYS213" s="537"/>
      <c r="QYT213" s="537"/>
      <c r="QYU213" s="537"/>
      <c r="QYV213" s="537"/>
      <c r="QYW213" s="537"/>
      <c r="QYX213" s="537"/>
      <c r="QYY213" s="537"/>
      <c r="QYZ213" s="537"/>
      <c r="QZA213" s="537"/>
      <c r="QZB213" s="537"/>
      <c r="QZC213" s="537"/>
      <c r="QZD213" s="537"/>
      <c r="QZE213" s="537"/>
      <c r="QZF213" s="537"/>
      <c r="QZG213" s="537"/>
      <c r="QZH213" s="537"/>
      <c r="QZI213" s="537"/>
      <c r="QZJ213" s="537"/>
      <c r="QZK213" s="537"/>
      <c r="QZL213" s="537"/>
      <c r="QZM213" s="537"/>
      <c r="QZN213" s="537"/>
      <c r="QZO213" s="537"/>
      <c r="QZP213" s="537"/>
      <c r="QZQ213" s="537"/>
      <c r="QZR213" s="537"/>
      <c r="QZS213" s="537"/>
      <c r="QZT213" s="537"/>
      <c r="QZU213" s="537"/>
      <c r="QZV213" s="537"/>
      <c r="QZW213" s="537"/>
      <c r="QZX213" s="537"/>
      <c r="QZY213" s="537"/>
      <c r="QZZ213" s="537"/>
      <c r="RAA213" s="537"/>
      <c r="RAB213" s="537"/>
      <c r="RAC213" s="537"/>
      <c r="RAD213" s="537"/>
      <c r="RAE213" s="537"/>
      <c r="RAF213" s="537"/>
      <c r="RAG213" s="537"/>
      <c r="RAH213" s="537"/>
      <c r="RAI213" s="537"/>
      <c r="RAJ213" s="537"/>
      <c r="RAK213" s="537"/>
      <c r="RAL213" s="537"/>
      <c r="RAM213" s="537"/>
      <c r="RAN213" s="537"/>
      <c r="RAO213" s="537"/>
      <c r="RAP213" s="537"/>
      <c r="RAQ213" s="537"/>
      <c r="RAR213" s="537"/>
      <c r="RAS213" s="537"/>
      <c r="RAT213" s="537"/>
      <c r="RAU213" s="537"/>
      <c r="RAV213" s="537"/>
      <c r="RAW213" s="537"/>
      <c r="RAX213" s="537"/>
      <c r="RAY213" s="537"/>
      <c r="RAZ213" s="537"/>
      <c r="RBA213" s="537"/>
      <c r="RBB213" s="537"/>
      <c r="RBC213" s="537"/>
      <c r="RBD213" s="537"/>
      <c r="RBE213" s="537"/>
      <c r="RBF213" s="537"/>
      <c r="RBG213" s="537"/>
      <c r="RBH213" s="537"/>
      <c r="RBI213" s="537"/>
      <c r="RBJ213" s="537"/>
      <c r="RBK213" s="537"/>
      <c r="RBL213" s="537"/>
      <c r="RBM213" s="537"/>
      <c r="RBN213" s="537"/>
      <c r="RBO213" s="537"/>
      <c r="RBP213" s="537"/>
      <c r="RBQ213" s="537"/>
      <c r="RBR213" s="537"/>
      <c r="RBS213" s="537"/>
      <c r="RBT213" s="537"/>
      <c r="RBU213" s="537"/>
      <c r="RBV213" s="537"/>
      <c r="RBW213" s="537"/>
      <c r="RBX213" s="537"/>
      <c r="RBY213" s="537"/>
      <c r="RBZ213" s="537"/>
      <c r="RCA213" s="537"/>
      <c r="RCB213" s="537"/>
      <c r="RCC213" s="537"/>
      <c r="RCD213" s="537"/>
      <c r="RCE213" s="537"/>
      <c r="RCF213" s="537"/>
      <c r="RCG213" s="537"/>
      <c r="RCH213" s="537"/>
      <c r="RCI213" s="537"/>
      <c r="RCJ213" s="537"/>
      <c r="RCK213" s="537"/>
      <c r="RCL213" s="537"/>
      <c r="RCM213" s="537"/>
      <c r="RCN213" s="537"/>
      <c r="RCO213" s="537"/>
      <c r="RCP213" s="537"/>
      <c r="RCQ213" s="537"/>
      <c r="RCR213" s="537"/>
      <c r="RCS213" s="537"/>
      <c r="RCT213" s="537"/>
      <c r="RCU213" s="537"/>
      <c r="RCV213" s="537"/>
      <c r="RCW213" s="537"/>
      <c r="RCX213" s="537"/>
      <c r="RCY213" s="537"/>
      <c r="RCZ213" s="537"/>
      <c r="RDA213" s="537"/>
      <c r="RDB213" s="537"/>
      <c r="RDC213" s="537"/>
      <c r="RDD213" s="537"/>
      <c r="RDE213" s="537"/>
      <c r="RDF213" s="537"/>
      <c r="RDG213" s="537"/>
      <c r="RDH213" s="537"/>
      <c r="RDI213" s="537"/>
      <c r="RDJ213" s="537"/>
      <c r="RDK213" s="537"/>
      <c r="RDL213" s="537"/>
      <c r="RDM213" s="537"/>
      <c r="RDN213" s="537"/>
      <c r="RDO213" s="537"/>
      <c r="RDP213" s="537"/>
      <c r="RDQ213" s="537"/>
      <c r="RDR213" s="537"/>
      <c r="RDS213" s="537"/>
      <c r="RDT213" s="537"/>
      <c r="RDU213" s="537"/>
      <c r="RDV213" s="537"/>
      <c r="RDW213" s="537"/>
      <c r="RDX213" s="537"/>
      <c r="RDY213" s="537"/>
      <c r="RDZ213" s="537"/>
      <c r="REA213" s="537"/>
      <c r="REB213" s="537"/>
      <c r="REC213" s="537"/>
      <c r="RED213" s="537"/>
      <c r="REE213" s="537"/>
      <c r="REF213" s="537"/>
      <c r="REG213" s="537"/>
      <c r="REH213" s="537"/>
      <c r="REI213" s="537"/>
      <c r="REJ213" s="537"/>
      <c r="REK213" s="537"/>
      <c r="REL213" s="537"/>
      <c r="REM213" s="537"/>
      <c r="REN213" s="537"/>
      <c r="REO213" s="537"/>
      <c r="REP213" s="537"/>
      <c r="REQ213" s="537"/>
      <c r="RER213" s="537"/>
      <c r="RES213" s="537"/>
      <c r="RET213" s="537"/>
      <c r="REU213" s="537"/>
      <c r="REV213" s="537"/>
      <c r="REW213" s="537"/>
      <c r="REX213" s="537"/>
      <c r="REY213" s="537"/>
      <c r="REZ213" s="537"/>
      <c r="RFA213" s="537"/>
      <c r="RFB213" s="537"/>
      <c r="RFC213" s="537"/>
      <c r="RFD213" s="537"/>
      <c r="RFE213" s="537"/>
      <c r="RFF213" s="537"/>
      <c r="RFG213" s="537"/>
      <c r="RFH213" s="537"/>
      <c r="RFI213" s="537"/>
      <c r="RFJ213" s="537"/>
      <c r="RFK213" s="537"/>
      <c r="RFL213" s="537"/>
      <c r="RFM213" s="537"/>
      <c r="RFN213" s="537"/>
      <c r="RFO213" s="537"/>
      <c r="RFP213" s="537"/>
      <c r="RFQ213" s="537"/>
      <c r="RFR213" s="537"/>
      <c r="RFS213" s="537"/>
      <c r="RFT213" s="537"/>
      <c r="RFU213" s="537"/>
      <c r="RFV213" s="537"/>
      <c r="RFW213" s="537"/>
      <c r="RFX213" s="537"/>
      <c r="RFY213" s="537"/>
      <c r="RFZ213" s="537"/>
      <c r="RGA213" s="537"/>
      <c r="RGB213" s="537"/>
      <c r="RGC213" s="537"/>
      <c r="RGD213" s="537"/>
      <c r="RGE213" s="537"/>
      <c r="RGF213" s="537"/>
      <c r="RGG213" s="537"/>
      <c r="RGH213" s="537"/>
      <c r="RGI213" s="537"/>
      <c r="RGJ213" s="537"/>
      <c r="RGK213" s="537"/>
      <c r="RGL213" s="537"/>
      <c r="RGM213" s="537"/>
      <c r="RGN213" s="537"/>
      <c r="RGO213" s="537"/>
      <c r="RGP213" s="537"/>
      <c r="RGQ213" s="537"/>
      <c r="RGR213" s="537"/>
      <c r="RGS213" s="537"/>
      <c r="RGT213" s="537"/>
      <c r="RGU213" s="537"/>
      <c r="RGV213" s="537"/>
      <c r="RGW213" s="537"/>
      <c r="RGX213" s="537"/>
      <c r="RGY213" s="537"/>
      <c r="RGZ213" s="537"/>
      <c r="RHA213" s="537"/>
      <c r="RHB213" s="537"/>
      <c r="RHC213" s="537"/>
      <c r="RHD213" s="537"/>
      <c r="RHE213" s="537"/>
      <c r="RHF213" s="537"/>
      <c r="RHG213" s="537"/>
      <c r="RHH213" s="537"/>
      <c r="RHI213" s="537"/>
      <c r="RHJ213" s="537"/>
      <c r="RHK213" s="537"/>
      <c r="RHL213" s="537"/>
      <c r="RHM213" s="537"/>
      <c r="RHN213" s="537"/>
      <c r="RHO213" s="537"/>
      <c r="RHP213" s="537"/>
      <c r="RHQ213" s="537"/>
      <c r="RHR213" s="537"/>
      <c r="RHS213" s="537"/>
      <c r="RHT213" s="537"/>
      <c r="RHU213" s="537"/>
      <c r="RHV213" s="537"/>
      <c r="RHW213" s="537"/>
      <c r="RHX213" s="537"/>
      <c r="RHY213" s="537"/>
      <c r="RHZ213" s="537"/>
      <c r="RIA213" s="537"/>
      <c r="RIB213" s="537"/>
      <c r="RIC213" s="537"/>
      <c r="RID213" s="537"/>
      <c r="RIE213" s="537"/>
      <c r="RIF213" s="537"/>
      <c r="RIG213" s="537"/>
      <c r="RIH213" s="537"/>
      <c r="RII213" s="537"/>
      <c r="RIJ213" s="537"/>
      <c r="RIK213" s="537"/>
      <c r="RIL213" s="537"/>
      <c r="RIM213" s="537"/>
      <c r="RIN213" s="537"/>
      <c r="RIO213" s="537"/>
      <c r="RIP213" s="537"/>
      <c r="RIQ213" s="537"/>
      <c r="RIR213" s="537"/>
      <c r="RIS213" s="537"/>
      <c r="RIT213" s="537"/>
      <c r="RIU213" s="537"/>
      <c r="RIV213" s="537"/>
      <c r="RIW213" s="537"/>
      <c r="RIX213" s="537"/>
      <c r="RIY213" s="537"/>
      <c r="RIZ213" s="537"/>
      <c r="RJA213" s="537"/>
      <c r="RJB213" s="537"/>
      <c r="RJC213" s="537"/>
      <c r="RJD213" s="537"/>
      <c r="RJE213" s="537"/>
      <c r="RJF213" s="537"/>
      <c r="RJG213" s="537"/>
      <c r="RJH213" s="537"/>
      <c r="RJI213" s="537"/>
      <c r="RJJ213" s="537"/>
      <c r="RJK213" s="537"/>
      <c r="RJL213" s="537"/>
      <c r="RJM213" s="537"/>
      <c r="RJN213" s="537"/>
      <c r="RJO213" s="537"/>
      <c r="RJP213" s="537"/>
      <c r="RJQ213" s="537"/>
      <c r="RJR213" s="537"/>
      <c r="RJS213" s="537"/>
      <c r="RJT213" s="537"/>
      <c r="RJU213" s="537"/>
      <c r="RJV213" s="537"/>
      <c r="RJW213" s="537"/>
      <c r="RJX213" s="537"/>
      <c r="RJY213" s="537"/>
      <c r="RJZ213" s="537"/>
      <c r="RKA213" s="537"/>
      <c r="RKB213" s="537"/>
      <c r="RKC213" s="537"/>
      <c r="RKD213" s="537"/>
      <c r="RKE213" s="537"/>
      <c r="RKF213" s="537"/>
      <c r="RKG213" s="537"/>
      <c r="RKH213" s="537"/>
      <c r="RKI213" s="537"/>
      <c r="RKJ213" s="537"/>
      <c r="RKK213" s="537"/>
      <c r="RKL213" s="537"/>
      <c r="RKM213" s="537"/>
      <c r="RKN213" s="537"/>
      <c r="RKO213" s="537"/>
      <c r="RKP213" s="537"/>
      <c r="RKQ213" s="537"/>
      <c r="RKR213" s="537"/>
      <c r="RKS213" s="537"/>
      <c r="RKT213" s="537"/>
      <c r="RKU213" s="537"/>
      <c r="RKV213" s="537"/>
      <c r="RKW213" s="537"/>
      <c r="RKX213" s="537"/>
      <c r="RKY213" s="537"/>
      <c r="RKZ213" s="537"/>
      <c r="RLA213" s="537"/>
      <c r="RLB213" s="537"/>
      <c r="RLC213" s="537"/>
      <c r="RLD213" s="537"/>
      <c r="RLE213" s="537"/>
      <c r="RLF213" s="537"/>
      <c r="RLG213" s="537"/>
      <c r="RLH213" s="537"/>
      <c r="RLI213" s="537"/>
      <c r="RLJ213" s="537"/>
      <c r="RLK213" s="537"/>
      <c r="RLL213" s="537"/>
      <c r="RLM213" s="537"/>
      <c r="RLN213" s="537"/>
      <c r="RLO213" s="537"/>
      <c r="RLP213" s="537"/>
      <c r="RLQ213" s="537"/>
      <c r="RLR213" s="537"/>
      <c r="RLS213" s="537"/>
      <c r="RLT213" s="537"/>
      <c r="RLU213" s="537"/>
      <c r="RLV213" s="537"/>
      <c r="RLW213" s="537"/>
      <c r="RLX213" s="537"/>
      <c r="RLY213" s="537"/>
      <c r="RLZ213" s="537"/>
      <c r="RMA213" s="537"/>
      <c r="RMB213" s="537"/>
      <c r="RMC213" s="537"/>
      <c r="RMD213" s="537"/>
      <c r="RME213" s="537"/>
      <c r="RMF213" s="537"/>
      <c r="RMG213" s="537"/>
      <c r="RMH213" s="537"/>
      <c r="RMI213" s="537"/>
      <c r="RMJ213" s="537"/>
      <c r="RMK213" s="537"/>
      <c r="RML213" s="537"/>
      <c r="RMM213" s="537"/>
      <c r="RMN213" s="537"/>
      <c r="RMO213" s="537"/>
      <c r="RMP213" s="537"/>
      <c r="RMQ213" s="537"/>
      <c r="RMR213" s="537"/>
      <c r="RMS213" s="537"/>
      <c r="RMT213" s="537"/>
      <c r="RMU213" s="537"/>
      <c r="RMV213" s="537"/>
      <c r="RMW213" s="537"/>
      <c r="RMX213" s="537"/>
      <c r="RMY213" s="537"/>
      <c r="RMZ213" s="537"/>
      <c r="RNA213" s="537"/>
      <c r="RNB213" s="537"/>
      <c r="RNC213" s="537"/>
      <c r="RND213" s="537"/>
      <c r="RNE213" s="537"/>
      <c r="RNF213" s="537"/>
      <c r="RNG213" s="537"/>
      <c r="RNH213" s="537"/>
      <c r="RNI213" s="537"/>
      <c r="RNJ213" s="537"/>
      <c r="RNK213" s="537"/>
      <c r="RNL213" s="537"/>
      <c r="RNM213" s="537"/>
      <c r="RNN213" s="537"/>
      <c r="RNO213" s="537"/>
      <c r="RNP213" s="537"/>
      <c r="RNQ213" s="537"/>
      <c r="RNR213" s="537"/>
      <c r="RNS213" s="537"/>
      <c r="RNT213" s="537"/>
      <c r="RNU213" s="537"/>
      <c r="RNV213" s="537"/>
      <c r="RNW213" s="537"/>
      <c r="RNX213" s="537"/>
      <c r="RNY213" s="537"/>
      <c r="RNZ213" s="537"/>
      <c r="ROA213" s="537"/>
      <c r="ROB213" s="537"/>
      <c r="ROC213" s="537"/>
      <c r="ROD213" s="537"/>
      <c r="ROE213" s="537"/>
      <c r="ROF213" s="537"/>
      <c r="ROG213" s="537"/>
      <c r="ROH213" s="537"/>
      <c r="ROI213" s="537"/>
      <c r="ROJ213" s="537"/>
      <c r="ROK213" s="537"/>
      <c r="ROL213" s="537"/>
      <c r="ROM213" s="537"/>
      <c r="RON213" s="537"/>
      <c r="ROO213" s="537"/>
      <c r="ROP213" s="537"/>
      <c r="ROQ213" s="537"/>
      <c r="ROR213" s="537"/>
      <c r="ROS213" s="537"/>
      <c r="ROT213" s="537"/>
      <c r="ROU213" s="537"/>
      <c r="ROV213" s="537"/>
      <c r="ROW213" s="537"/>
      <c r="ROX213" s="537"/>
      <c r="ROY213" s="537"/>
      <c r="ROZ213" s="537"/>
      <c r="RPA213" s="537"/>
      <c r="RPB213" s="537"/>
      <c r="RPC213" s="537"/>
      <c r="RPD213" s="537"/>
      <c r="RPE213" s="537"/>
      <c r="RPF213" s="537"/>
      <c r="RPG213" s="537"/>
      <c r="RPH213" s="537"/>
      <c r="RPI213" s="537"/>
      <c r="RPJ213" s="537"/>
      <c r="RPK213" s="537"/>
      <c r="RPL213" s="537"/>
      <c r="RPM213" s="537"/>
      <c r="RPN213" s="537"/>
      <c r="RPO213" s="537"/>
      <c r="RPP213" s="537"/>
      <c r="RPQ213" s="537"/>
      <c r="RPR213" s="537"/>
      <c r="RPS213" s="537"/>
      <c r="RPT213" s="537"/>
      <c r="RPU213" s="537"/>
      <c r="RPV213" s="537"/>
      <c r="RPW213" s="537"/>
      <c r="RPX213" s="537"/>
      <c r="RPY213" s="537"/>
      <c r="RPZ213" s="537"/>
      <c r="RQA213" s="537"/>
      <c r="RQB213" s="537"/>
      <c r="RQC213" s="537"/>
      <c r="RQD213" s="537"/>
      <c r="RQE213" s="537"/>
      <c r="RQF213" s="537"/>
      <c r="RQG213" s="537"/>
      <c r="RQH213" s="537"/>
      <c r="RQI213" s="537"/>
      <c r="RQJ213" s="537"/>
      <c r="RQK213" s="537"/>
      <c r="RQL213" s="537"/>
      <c r="RQM213" s="537"/>
      <c r="RQN213" s="537"/>
      <c r="RQO213" s="537"/>
      <c r="RQP213" s="537"/>
      <c r="RQQ213" s="537"/>
      <c r="RQR213" s="537"/>
      <c r="RQS213" s="537"/>
      <c r="RQT213" s="537"/>
      <c r="RQU213" s="537"/>
      <c r="RQV213" s="537"/>
      <c r="RQW213" s="537"/>
      <c r="RQX213" s="537"/>
      <c r="RQY213" s="537"/>
      <c r="RQZ213" s="537"/>
      <c r="RRA213" s="537"/>
      <c r="RRB213" s="537"/>
      <c r="RRC213" s="537"/>
      <c r="RRD213" s="537"/>
      <c r="RRE213" s="537"/>
      <c r="RRF213" s="537"/>
      <c r="RRG213" s="537"/>
      <c r="RRH213" s="537"/>
      <c r="RRI213" s="537"/>
      <c r="RRJ213" s="537"/>
      <c r="RRK213" s="537"/>
      <c r="RRL213" s="537"/>
      <c r="RRM213" s="537"/>
      <c r="RRN213" s="537"/>
      <c r="RRO213" s="537"/>
      <c r="RRP213" s="537"/>
      <c r="RRQ213" s="537"/>
      <c r="RRR213" s="537"/>
      <c r="RRS213" s="537"/>
      <c r="RRT213" s="537"/>
      <c r="RRU213" s="537"/>
      <c r="RRV213" s="537"/>
      <c r="RRW213" s="537"/>
      <c r="RRX213" s="537"/>
      <c r="RRY213" s="537"/>
      <c r="RRZ213" s="537"/>
      <c r="RSA213" s="537"/>
      <c r="RSB213" s="537"/>
      <c r="RSC213" s="537"/>
      <c r="RSD213" s="537"/>
      <c r="RSE213" s="537"/>
      <c r="RSF213" s="537"/>
      <c r="RSG213" s="537"/>
      <c r="RSH213" s="537"/>
      <c r="RSI213" s="537"/>
      <c r="RSJ213" s="537"/>
      <c r="RSK213" s="537"/>
      <c r="RSL213" s="537"/>
      <c r="RSM213" s="537"/>
      <c r="RSN213" s="537"/>
      <c r="RSO213" s="537"/>
      <c r="RSP213" s="537"/>
      <c r="RSQ213" s="537"/>
      <c r="RSR213" s="537"/>
      <c r="RSS213" s="537"/>
      <c r="RST213" s="537"/>
      <c r="RSU213" s="537"/>
      <c r="RSV213" s="537"/>
      <c r="RSW213" s="537"/>
      <c r="RSX213" s="537"/>
      <c r="RSY213" s="537"/>
      <c r="RSZ213" s="537"/>
      <c r="RTA213" s="537"/>
      <c r="RTB213" s="537"/>
      <c r="RTC213" s="537"/>
      <c r="RTD213" s="537"/>
      <c r="RTE213" s="537"/>
      <c r="RTF213" s="537"/>
      <c r="RTG213" s="537"/>
      <c r="RTH213" s="537"/>
      <c r="RTI213" s="537"/>
      <c r="RTJ213" s="537"/>
      <c r="RTK213" s="537"/>
      <c r="RTL213" s="537"/>
      <c r="RTM213" s="537"/>
      <c r="RTN213" s="537"/>
      <c r="RTO213" s="537"/>
      <c r="RTP213" s="537"/>
      <c r="RTQ213" s="537"/>
      <c r="RTR213" s="537"/>
      <c r="RTS213" s="537"/>
      <c r="RTT213" s="537"/>
      <c r="RTU213" s="537"/>
      <c r="RTV213" s="537"/>
      <c r="RTW213" s="537"/>
      <c r="RTX213" s="537"/>
      <c r="RTY213" s="537"/>
      <c r="RTZ213" s="537"/>
      <c r="RUA213" s="537"/>
      <c r="RUB213" s="537"/>
      <c r="RUC213" s="537"/>
      <c r="RUD213" s="537"/>
      <c r="RUE213" s="537"/>
      <c r="RUF213" s="537"/>
      <c r="RUG213" s="537"/>
      <c r="RUH213" s="537"/>
      <c r="RUI213" s="537"/>
      <c r="RUJ213" s="537"/>
      <c r="RUK213" s="537"/>
      <c r="RUL213" s="537"/>
      <c r="RUM213" s="537"/>
      <c r="RUN213" s="537"/>
      <c r="RUO213" s="537"/>
      <c r="RUP213" s="537"/>
      <c r="RUQ213" s="537"/>
      <c r="RUR213" s="537"/>
      <c r="RUS213" s="537"/>
      <c r="RUT213" s="537"/>
      <c r="RUU213" s="537"/>
      <c r="RUV213" s="537"/>
      <c r="RUW213" s="537"/>
      <c r="RUX213" s="537"/>
      <c r="RUY213" s="537"/>
      <c r="RUZ213" s="537"/>
      <c r="RVA213" s="537"/>
      <c r="RVB213" s="537"/>
      <c r="RVC213" s="537"/>
      <c r="RVD213" s="537"/>
      <c r="RVE213" s="537"/>
      <c r="RVF213" s="537"/>
      <c r="RVG213" s="537"/>
      <c r="RVH213" s="537"/>
      <c r="RVI213" s="537"/>
      <c r="RVJ213" s="537"/>
      <c r="RVK213" s="537"/>
      <c r="RVL213" s="537"/>
      <c r="RVM213" s="537"/>
      <c r="RVN213" s="537"/>
      <c r="RVO213" s="537"/>
      <c r="RVP213" s="537"/>
      <c r="RVQ213" s="537"/>
      <c r="RVR213" s="537"/>
      <c r="RVS213" s="537"/>
      <c r="RVT213" s="537"/>
      <c r="RVU213" s="537"/>
      <c r="RVV213" s="537"/>
      <c r="RVW213" s="537"/>
      <c r="RVX213" s="537"/>
      <c r="RVY213" s="537"/>
      <c r="RVZ213" s="537"/>
      <c r="RWA213" s="537"/>
      <c r="RWB213" s="537"/>
      <c r="RWC213" s="537"/>
      <c r="RWD213" s="537"/>
      <c r="RWE213" s="537"/>
      <c r="RWF213" s="537"/>
      <c r="RWG213" s="537"/>
      <c r="RWH213" s="537"/>
      <c r="RWI213" s="537"/>
      <c r="RWJ213" s="537"/>
      <c r="RWK213" s="537"/>
      <c r="RWL213" s="537"/>
      <c r="RWM213" s="537"/>
      <c r="RWN213" s="537"/>
      <c r="RWO213" s="537"/>
      <c r="RWP213" s="537"/>
      <c r="RWQ213" s="537"/>
      <c r="RWR213" s="537"/>
      <c r="RWS213" s="537"/>
      <c r="RWT213" s="537"/>
      <c r="RWU213" s="537"/>
      <c r="RWV213" s="537"/>
      <c r="RWW213" s="537"/>
      <c r="RWX213" s="537"/>
      <c r="RWY213" s="537"/>
      <c r="RWZ213" s="537"/>
      <c r="RXA213" s="537"/>
      <c r="RXB213" s="537"/>
      <c r="RXC213" s="537"/>
      <c r="RXD213" s="537"/>
      <c r="RXE213" s="537"/>
      <c r="RXF213" s="537"/>
      <c r="RXG213" s="537"/>
      <c r="RXH213" s="537"/>
      <c r="RXI213" s="537"/>
      <c r="RXJ213" s="537"/>
      <c r="RXK213" s="537"/>
      <c r="RXL213" s="537"/>
      <c r="RXM213" s="537"/>
      <c r="RXN213" s="537"/>
      <c r="RXO213" s="537"/>
      <c r="RXP213" s="537"/>
      <c r="RXQ213" s="537"/>
      <c r="RXR213" s="537"/>
      <c r="RXS213" s="537"/>
      <c r="RXT213" s="537"/>
      <c r="RXU213" s="537"/>
      <c r="RXV213" s="537"/>
      <c r="RXW213" s="537"/>
      <c r="RXX213" s="537"/>
      <c r="RXY213" s="537"/>
      <c r="RXZ213" s="537"/>
      <c r="RYA213" s="537"/>
      <c r="RYB213" s="537"/>
      <c r="RYC213" s="537"/>
      <c r="RYD213" s="537"/>
      <c r="RYE213" s="537"/>
      <c r="RYF213" s="537"/>
      <c r="RYG213" s="537"/>
      <c r="RYH213" s="537"/>
      <c r="RYI213" s="537"/>
      <c r="RYJ213" s="537"/>
      <c r="RYK213" s="537"/>
      <c r="RYL213" s="537"/>
      <c r="RYM213" s="537"/>
      <c r="RYN213" s="537"/>
      <c r="RYO213" s="537"/>
      <c r="RYP213" s="537"/>
      <c r="RYQ213" s="537"/>
      <c r="RYR213" s="537"/>
      <c r="RYS213" s="537"/>
      <c r="RYT213" s="537"/>
      <c r="RYU213" s="537"/>
      <c r="RYV213" s="537"/>
      <c r="RYW213" s="537"/>
      <c r="RYX213" s="537"/>
      <c r="RYY213" s="537"/>
      <c r="RYZ213" s="537"/>
      <c r="RZA213" s="537"/>
      <c r="RZB213" s="537"/>
      <c r="RZC213" s="537"/>
      <c r="RZD213" s="537"/>
      <c r="RZE213" s="537"/>
      <c r="RZF213" s="537"/>
      <c r="RZG213" s="537"/>
      <c r="RZH213" s="537"/>
      <c r="RZI213" s="537"/>
      <c r="RZJ213" s="537"/>
      <c r="RZK213" s="537"/>
      <c r="RZL213" s="537"/>
      <c r="RZM213" s="537"/>
      <c r="RZN213" s="537"/>
      <c r="RZO213" s="537"/>
      <c r="RZP213" s="537"/>
      <c r="RZQ213" s="537"/>
      <c r="RZR213" s="537"/>
      <c r="RZS213" s="537"/>
      <c r="RZT213" s="537"/>
      <c r="RZU213" s="537"/>
      <c r="RZV213" s="537"/>
      <c r="RZW213" s="537"/>
      <c r="RZX213" s="537"/>
      <c r="RZY213" s="537"/>
      <c r="RZZ213" s="537"/>
      <c r="SAA213" s="537"/>
      <c r="SAB213" s="537"/>
      <c r="SAC213" s="537"/>
      <c r="SAD213" s="537"/>
      <c r="SAE213" s="537"/>
      <c r="SAF213" s="537"/>
      <c r="SAG213" s="537"/>
      <c r="SAH213" s="537"/>
      <c r="SAI213" s="537"/>
      <c r="SAJ213" s="537"/>
      <c r="SAK213" s="537"/>
      <c r="SAL213" s="537"/>
      <c r="SAM213" s="537"/>
      <c r="SAN213" s="537"/>
      <c r="SAO213" s="537"/>
      <c r="SAP213" s="537"/>
      <c r="SAQ213" s="537"/>
      <c r="SAR213" s="537"/>
      <c r="SAS213" s="537"/>
      <c r="SAT213" s="537"/>
      <c r="SAU213" s="537"/>
      <c r="SAV213" s="537"/>
      <c r="SAW213" s="537"/>
      <c r="SAX213" s="537"/>
      <c r="SAY213" s="537"/>
      <c r="SAZ213" s="537"/>
      <c r="SBA213" s="537"/>
      <c r="SBB213" s="537"/>
      <c r="SBC213" s="537"/>
      <c r="SBD213" s="537"/>
      <c r="SBE213" s="537"/>
      <c r="SBF213" s="537"/>
      <c r="SBG213" s="537"/>
      <c r="SBH213" s="537"/>
      <c r="SBI213" s="537"/>
      <c r="SBJ213" s="537"/>
      <c r="SBK213" s="537"/>
      <c r="SBL213" s="537"/>
      <c r="SBM213" s="537"/>
      <c r="SBN213" s="537"/>
      <c r="SBO213" s="537"/>
      <c r="SBP213" s="537"/>
      <c r="SBQ213" s="537"/>
      <c r="SBR213" s="537"/>
      <c r="SBS213" s="537"/>
      <c r="SBT213" s="537"/>
      <c r="SBU213" s="537"/>
      <c r="SBV213" s="537"/>
      <c r="SBW213" s="537"/>
      <c r="SBX213" s="537"/>
      <c r="SBY213" s="537"/>
      <c r="SBZ213" s="537"/>
      <c r="SCA213" s="537"/>
      <c r="SCB213" s="537"/>
      <c r="SCC213" s="537"/>
      <c r="SCD213" s="537"/>
      <c r="SCE213" s="537"/>
      <c r="SCF213" s="537"/>
      <c r="SCG213" s="537"/>
      <c r="SCH213" s="537"/>
      <c r="SCI213" s="537"/>
      <c r="SCJ213" s="537"/>
      <c r="SCK213" s="537"/>
      <c r="SCL213" s="537"/>
      <c r="SCM213" s="537"/>
      <c r="SCN213" s="537"/>
      <c r="SCO213" s="537"/>
      <c r="SCP213" s="537"/>
      <c r="SCQ213" s="537"/>
      <c r="SCR213" s="537"/>
      <c r="SCS213" s="537"/>
      <c r="SCT213" s="537"/>
      <c r="SCU213" s="537"/>
      <c r="SCV213" s="537"/>
      <c r="SCW213" s="537"/>
      <c r="SCX213" s="537"/>
      <c r="SCY213" s="537"/>
      <c r="SCZ213" s="537"/>
      <c r="SDA213" s="537"/>
      <c r="SDB213" s="537"/>
      <c r="SDC213" s="537"/>
      <c r="SDD213" s="537"/>
      <c r="SDE213" s="537"/>
      <c r="SDF213" s="537"/>
      <c r="SDG213" s="537"/>
      <c r="SDH213" s="537"/>
      <c r="SDI213" s="537"/>
      <c r="SDJ213" s="537"/>
      <c r="SDK213" s="537"/>
      <c r="SDL213" s="537"/>
      <c r="SDM213" s="537"/>
      <c r="SDN213" s="537"/>
      <c r="SDO213" s="537"/>
      <c r="SDP213" s="537"/>
      <c r="SDQ213" s="537"/>
      <c r="SDR213" s="537"/>
      <c r="SDS213" s="537"/>
      <c r="SDT213" s="537"/>
      <c r="SDU213" s="537"/>
      <c r="SDV213" s="537"/>
      <c r="SDW213" s="537"/>
      <c r="SDX213" s="537"/>
      <c r="SDY213" s="537"/>
      <c r="SDZ213" s="537"/>
      <c r="SEA213" s="537"/>
      <c r="SEB213" s="537"/>
      <c r="SEC213" s="537"/>
      <c r="SED213" s="537"/>
      <c r="SEE213" s="537"/>
      <c r="SEF213" s="537"/>
      <c r="SEG213" s="537"/>
      <c r="SEH213" s="537"/>
      <c r="SEI213" s="537"/>
      <c r="SEJ213" s="537"/>
      <c r="SEK213" s="537"/>
      <c r="SEL213" s="537"/>
      <c r="SEM213" s="537"/>
      <c r="SEN213" s="537"/>
      <c r="SEO213" s="537"/>
      <c r="SEP213" s="537"/>
      <c r="SEQ213" s="537"/>
      <c r="SER213" s="537"/>
      <c r="SES213" s="537"/>
      <c r="SET213" s="537"/>
      <c r="SEU213" s="537"/>
      <c r="SEV213" s="537"/>
      <c r="SEW213" s="537"/>
      <c r="SEX213" s="537"/>
      <c r="SEY213" s="537"/>
      <c r="SEZ213" s="537"/>
      <c r="SFA213" s="537"/>
      <c r="SFB213" s="537"/>
      <c r="SFC213" s="537"/>
      <c r="SFD213" s="537"/>
      <c r="SFE213" s="537"/>
      <c r="SFF213" s="537"/>
      <c r="SFG213" s="537"/>
      <c r="SFH213" s="537"/>
      <c r="SFI213" s="537"/>
      <c r="SFJ213" s="537"/>
      <c r="SFK213" s="537"/>
      <c r="SFL213" s="537"/>
      <c r="SFM213" s="537"/>
      <c r="SFN213" s="537"/>
      <c r="SFO213" s="537"/>
      <c r="SFP213" s="537"/>
      <c r="SFQ213" s="537"/>
      <c r="SFR213" s="537"/>
      <c r="SFS213" s="537"/>
      <c r="SFT213" s="537"/>
      <c r="SFU213" s="537"/>
      <c r="SFV213" s="537"/>
      <c r="SFW213" s="537"/>
      <c r="SFX213" s="537"/>
      <c r="SFY213" s="537"/>
      <c r="SFZ213" s="537"/>
      <c r="SGA213" s="537"/>
      <c r="SGB213" s="537"/>
      <c r="SGC213" s="537"/>
      <c r="SGD213" s="537"/>
      <c r="SGE213" s="537"/>
      <c r="SGF213" s="537"/>
      <c r="SGG213" s="537"/>
      <c r="SGH213" s="537"/>
      <c r="SGI213" s="537"/>
      <c r="SGJ213" s="537"/>
      <c r="SGK213" s="537"/>
      <c r="SGL213" s="537"/>
      <c r="SGM213" s="537"/>
      <c r="SGN213" s="537"/>
      <c r="SGO213" s="537"/>
      <c r="SGP213" s="537"/>
      <c r="SGQ213" s="537"/>
      <c r="SGR213" s="537"/>
      <c r="SGS213" s="537"/>
      <c r="SGT213" s="537"/>
      <c r="SGU213" s="537"/>
      <c r="SGV213" s="537"/>
      <c r="SGW213" s="537"/>
      <c r="SGX213" s="537"/>
      <c r="SGY213" s="537"/>
      <c r="SGZ213" s="537"/>
      <c r="SHA213" s="537"/>
      <c r="SHB213" s="537"/>
      <c r="SHC213" s="537"/>
      <c r="SHD213" s="537"/>
      <c r="SHE213" s="537"/>
      <c r="SHF213" s="537"/>
      <c r="SHG213" s="537"/>
      <c r="SHH213" s="537"/>
      <c r="SHI213" s="537"/>
      <c r="SHJ213" s="537"/>
      <c r="SHK213" s="537"/>
      <c r="SHL213" s="537"/>
      <c r="SHM213" s="537"/>
      <c r="SHN213" s="537"/>
      <c r="SHO213" s="537"/>
      <c r="SHP213" s="537"/>
      <c r="SHQ213" s="537"/>
      <c r="SHR213" s="537"/>
      <c r="SHS213" s="537"/>
      <c r="SHT213" s="537"/>
      <c r="SHU213" s="537"/>
      <c r="SHV213" s="537"/>
      <c r="SHW213" s="537"/>
      <c r="SHX213" s="537"/>
      <c r="SHY213" s="537"/>
      <c r="SHZ213" s="537"/>
      <c r="SIA213" s="537"/>
      <c r="SIB213" s="537"/>
      <c r="SIC213" s="537"/>
      <c r="SID213" s="537"/>
      <c r="SIE213" s="537"/>
      <c r="SIF213" s="537"/>
      <c r="SIG213" s="537"/>
      <c r="SIH213" s="537"/>
      <c r="SII213" s="537"/>
      <c r="SIJ213" s="537"/>
      <c r="SIK213" s="537"/>
      <c r="SIL213" s="537"/>
      <c r="SIM213" s="537"/>
      <c r="SIN213" s="537"/>
      <c r="SIO213" s="537"/>
      <c r="SIP213" s="537"/>
      <c r="SIQ213" s="537"/>
      <c r="SIR213" s="537"/>
      <c r="SIS213" s="537"/>
      <c r="SIT213" s="537"/>
      <c r="SIU213" s="537"/>
      <c r="SIV213" s="537"/>
      <c r="SIW213" s="537"/>
      <c r="SIX213" s="537"/>
      <c r="SIY213" s="537"/>
      <c r="SIZ213" s="537"/>
      <c r="SJA213" s="537"/>
      <c r="SJB213" s="537"/>
      <c r="SJC213" s="537"/>
      <c r="SJD213" s="537"/>
      <c r="SJE213" s="537"/>
      <c r="SJF213" s="537"/>
      <c r="SJG213" s="537"/>
      <c r="SJH213" s="537"/>
      <c r="SJI213" s="537"/>
      <c r="SJJ213" s="537"/>
      <c r="SJK213" s="537"/>
      <c r="SJL213" s="537"/>
      <c r="SJM213" s="537"/>
      <c r="SJN213" s="537"/>
      <c r="SJO213" s="537"/>
      <c r="SJP213" s="537"/>
      <c r="SJQ213" s="537"/>
      <c r="SJR213" s="537"/>
      <c r="SJS213" s="537"/>
      <c r="SJT213" s="537"/>
      <c r="SJU213" s="537"/>
      <c r="SJV213" s="537"/>
      <c r="SJW213" s="537"/>
      <c r="SJX213" s="537"/>
      <c r="SJY213" s="537"/>
      <c r="SJZ213" s="537"/>
      <c r="SKA213" s="537"/>
      <c r="SKB213" s="537"/>
      <c r="SKC213" s="537"/>
      <c r="SKD213" s="537"/>
      <c r="SKE213" s="537"/>
      <c r="SKF213" s="537"/>
      <c r="SKG213" s="537"/>
      <c r="SKH213" s="537"/>
      <c r="SKI213" s="537"/>
      <c r="SKJ213" s="537"/>
      <c r="SKK213" s="537"/>
      <c r="SKL213" s="537"/>
      <c r="SKM213" s="537"/>
      <c r="SKN213" s="537"/>
      <c r="SKO213" s="537"/>
      <c r="SKP213" s="537"/>
      <c r="SKQ213" s="537"/>
      <c r="SKR213" s="537"/>
      <c r="SKS213" s="537"/>
      <c r="SKT213" s="537"/>
      <c r="SKU213" s="537"/>
      <c r="SKV213" s="537"/>
      <c r="SKW213" s="537"/>
      <c r="SKX213" s="537"/>
      <c r="SKY213" s="537"/>
      <c r="SKZ213" s="537"/>
      <c r="SLA213" s="537"/>
      <c r="SLB213" s="537"/>
      <c r="SLC213" s="537"/>
      <c r="SLD213" s="537"/>
      <c r="SLE213" s="537"/>
      <c r="SLF213" s="537"/>
      <c r="SLG213" s="537"/>
      <c r="SLH213" s="537"/>
      <c r="SLI213" s="537"/>
      <c r="SLJ213" s="537"/>
      <c r="SLK213" s="537"/>
      <c r="SLL213" s="537"/>
      <c r="SLM213" s="537"/>
      <c r="SLN213" s="537"/>
      <c r="SLO213" s="537"/>
      <c r="SLP213" s="537"/>
      <c r="SLQ213" s="537"/>
      <c r="SLR213" s="537"/>
      <c r="SLS213" s="537"/>
      <c r="SLT213" s="537"/>
      <c r="SLU213" s="537"/>
      <c r="SLV213" s="537"/>
      <c r="SLW213" s="537"/>
      <c r="SLX213" s="537"/>
      <c r="SLY213" s="537"/>
      <c r="SLZ213" s="537"/>
      <c r="SMA213" s="537"/>
      <c r="SMB213" s="537"/>
      <c r="SMC213" s="537"/>
      <c r="SMD213" s="537"/>
      <c r="SME213" s="537"/>
      <c r="SMF213" s="537"/>
      <c r="SMG213" s="537"/>
      <c r="SMH213" s="537"/>
      <c r="SMI213" s="537"/>
      <c r="SMJ213" s="537"/>
      <c r="SMK213" s="537"/>
      <c r="SML213" s="537"/>
      <c r="SMM213" s="537"/>
      <c r="SMN213" s="537"/>
      <c r="SMO213" s="537"/>
      <c r="SMP213" s="537"/>
      <c r="SMQ213" s="537"/>
      <c r="SMR213" s="537"/>
      <c r="SMS213" s="537"/>
      <c r="SMT213" s="537"/>
      <c r="SMU213" s="537"/>
      <c r="SMV213" s="537"/>
      <c r="SMW213" s="537"/>
      <c r="SMX213" s="537"/>
      <c r="SMY213" s="537"/>
      <c r="SMZ213" s="537"/>
      <c r="SNA213" s="537"/>
      <c r="SNB213" s="537"/>
      <c r="SNC213" s="537"/>
      <c r="SND213" s="537"/>
      <c r="SNE213" s="537"/>
      <c r="SNF213" s="537"/>
      <c r="SNG213" s="537"/>
      <c r="SNH213" s="537"/>
      <c r="SNI213" s="537"/>
      <c r="SNJ213" s="537"/>
      <c r="SNK213" s="537"/>
      <c r="SNL213" s="537"/>
      <c r="SNM213" s="537"/>
      <c r="SNN213" s="537"/>
      <c r="SNO213" s="537"/>
      <c r="SNP213" s="537"/>
      <c r="SNQ213" s="537"/>
      <c r="SNR213" s="537"/>
      <c r="SNS213" s="537"/>
      <c r="SNT213" s="537"/>
      <c r="SNU213" s="537"/>
      <c r="SNV213" s="537"/>
      <c r="SNW213" s="537"/>
      <c r="SNX213" s="537"/>
      <c r="SNY213" s="537"/>
      <c r="SNZ213" s="537"/>
      <c r="SOA213" s="537"/>
      <c r="SOB213" s="537"/>
      <c r="SOC213" s="537"/>
      <c r="SOD213" s="537"/>
      <c r="SOE213" s="537"/>
      <c r="SOF213" s="537"/>
      <c r="SOG213" s="537"/>
      <c r="SOH213" s="537"/>
      <c r="SOI213" s="537"/>
      <c r="SOJ213" s="537"/>
      <c r="SOK213" s="537"/>
      <c r="SOL213" s="537"/>
      <c r="SOM213" s="537"/>
      <c r="SON213" s="537"/>
      <c r="SOO213" s="537"/>
      <c r="SOP213" s="537"/>
      <c r="SOQ213" s="537"/>
      <c r="SOR213" s="537"/>
      <c r="SOS213" s="537"/>
      <c r="SOT213" s="537"/>
      <c r="SOU213" s="537"/>
      <c r="SOV213" s="537"/>
      <c r="SOW213" s="537"/>
      <c r="SOX213" s="537"/>
      <c r="SOY213" s="537"/>
      <c r="SOZ213" s="537"/>
      <c r="SPA213" s="537"/>
      <c r="SPB213" s="537"/>
      <c r="SPC213" s="537"/>
      <c r="SPD213" s="537"/>
      <c r="SPE213" s="537"/>
      <c r="SPF213" s="537"/>
      <c r="SPG213" s="537"/>
      <c r="SPH213" s="537"/>
      <c r="SPI213" s="537"/>
      <c r="SPJ213" s="537"/>
      <c r="SPK213" s="537"/>
      <c r="SPL213" s="537"/>
      <c r="SPM213" s="537"/>
      <c r="SPN213" s="537"/>
      <c r="SPO213" s="537"/>
      <c r="SPP213" s="537"/>
      <c r="SPQ213" s="537"/>
      <c r="SPR213" s="537"/>
      <c r="SPS213" s="537"/>
      <c r="SPT213" s="537"/>
      <c r="SPU213" s="537"/>
      <c r="SPV213" s="537"/>
      <c r="SPW213" s="537"/>
      <c r="SPX213" s="537"/>
      <c r="SPY213" s="537"/>
      <c r="SPZ213" s="537"/>
      <c r="SQA213" s="537"/>
      <c r="SQB213" s="537"/>
      <c r="SQC213" s="537"/>
      <c r="SQD213" s="537"/>
      <c r="SQE213" s="537"/>
      <c r="SQF213" s="537"/>
      <c r="SQG213" s="537"/>
      <c r="SQH213" s="537"/>
      <c r="SQI213" s="537"/>
      <c r="SQJ213" s="537"/>
      <c r="SQK213" s="537"/>
      <c r="SQL213" s="537"/>
      <c r="SQM213" s="537"/>
      <c r="SQN213" s="537"/>
      <c r="SQO213" s="537"/>
      <c r="SQP213" s="537"/>
      <c r="SQQ213" s="537"/>
      <c r="SQR213" s="537"/>
      <c r="SQS213" s="537"/>
      <c r="SQT213" s="537"/>
      <c r="SQU213" s="537"/>
      <c r="SQV213" s="537"/>
      <c r="SQW213" s="537"/>
      <c r="SQX213" s="537"/>
      <c r="SQY213" s="537"/>
      <c r="SQZ213" s="537"/>
      <c r="SRA213" s="537"/>
      <c r="SRB213" s="537"/>
      <c r="SRC213" s="537"/>
      <c r="SRD213" s="537"/>
      <c r="SRE213" s="537"/>
      <c r="SRF213" s="537"/>
      <c r="SRG213" s="537"/>
      <c r="SRH213" s="537"/>
      <c r="SRI213" s="537"/>
      <c r="SRJ213" s="537"/>
      <c r="SRK213" s="537"/>
      <c r="SRL213" s="537"/>
      <c r="SRM213" s="537"/>
      <c r="SRN213" s="537"/>
      <c r="SRO213" s="537"/>
      <c r="SRP213" s="537"/>
      <c r="SRQ213" s="537"/>
      <c r="SRR213" s="537"/>
      <c r="SRS213" s="537"/>
      <c r="SRT213" s="537"/>
      <c r="SRU213" s="537"/>
      <c r="SRV213" s="537"/>
      <c r="SRW213" s="537"/>
      <c r="SRX213" s="537"/>
      <c r="SRY213" s="537"/>
      <c r="SRZ213" s="537"/>
      <c r="SSA213" s="537"/>
      <c r="SSB213" s="537"/>
      <c r="SSC213" s="537"/>
      <c r="SSD213" s="537"/>
      <c r="SSE213" s="537"/>
      <c r="SSF213" s="537"/>
      <c r="SSG213" s="537"/>
      <c r="SSH213" s="537"/>
      <c r="SSI213" s="537"/>
      <c r="SSJ213" s="537"/>
      <c r="SSK213" s="537"/>
      <c r="SSL213" s="537"/>
      <c r="SSM213" s="537"/>
      <c r="SSN213" s="537"/>
      <c r="SSO213" s="537"/>
      <c r="SSP213" s="537"/>
      <c r="SSQ213" s="537"/>
      <c r="SSR213" s="537"/>
      <c r="SSS213" s="537"/>
      <c r="SST213" s="537"/>
      <c r="SSU213" s="537"/>
      <c r="SSV213" s="537"/>
      <c r="SSW213" s="537"/>
      <c r="SSX213" s="537"/>
      <c r="SSY213" s="537"/>
      <c r="SSZ213" s="537"/>
      <c r="STA213" s="537"/>
      <c r="STB213" s="537"/>
      <c r="STC213" s="537"/>
      <c r="STD213" s="537"/>
      <c r="STE213" s="537"/>
      <c r="STF213" s="537"/>
      <c r="STG213" s="537"/>
      <c r="STH213" s="537"/>
      <c r="STI213" s="537"/>
      <c r="STJ213" s="537"/>
      <c r="STK213" s="537"/>
      <c r="STL213" s="537"/>
      <c r="STM213" s="537"/>
      <c r="STN213" s="537"/>
      <c r="STO213" s="537"/>
      <c r="STP213" s="537"/>
      <c r="STQ213" s="537"/>
      <c r="STR213" s="537"/>
      <c r="STS213" s="537"/>
      <c r="STT213" s="537"/>
      <c r="STU213" s="537"/>
      <c r="STV213" s="537"/>
      <c r="STW213" s="537"/>
      <c r="STX213" s="537"/>
      <c r="STY213" s="537"/>
      <c r="STZ213" s="537"/>
      <c r="SUA213" s="537"/>
      <c r="SUB213" s="537"/>
      <c r="SUC213" s="537"/>
      <c r="SUD213" s="537"/>
      <c r="SUE213" s="537"/>
      <c r="SUF213" s="537"/>
      <c r="SUG213" s="537"/>
      <c r="SUH213" s="537"/>
      <c r="SUI213" s="537"/>
      <c r="SUJ213" s="537"/>
      <c r="SUK213" s="537"/>
      <c r="SUL213" s="537"/>
      <c r="SUM213" s="537"/>
      <c r="SUN213" s="537"/>
      <c r="SUO213" s="537"/>
      <c r="SUP213" s="537"/>
      <c r="SUQ213" s="537"/>
      <c r="SUR213" s="537"/>
      <c r="SUS213" s="537"/>
      <c r="SUT213" s="537"/>
      <c r="SUU213" s="537"/>
      <c r="SUV213" s="537"/>
      <c r="SUW213" s="537"/>
      <c r="SUX213" s="537"/>
      <c r="SUY213" s="537"/>
      <c r="SUZ213" s="537"/>
      <c r="SVA213" s="537"/>
      <c r="SVB213" s="537"/>
      <c r="SVC213" s="537"/>
      <c r="SVD213" s="537"/>
      <c r="SVE213" s="537"/>
      <c r="SVF213" s="537"/>
      <c r="SVG213" s="537"/>
      <c r="SVH213" s="537"/>
      <c r="SVI213" s="537"/>
      <c r="SVJ213" s="537"/>
      <c r="SVK213" s="537"/>
      <c r="SVL213" s="537"/>
      <c r="SVM213" s="537"/>
      <c r="SVN213" s="537"/>
      <c r="SVO213" s="537"/>
      <c r="SVP213" s="537"/>
      <c r="SVQ213" s="537"/>
      <c r="SVR213" s="537"/>
      <c r="SVS213" s="537"/>
      <c r="SVT213" s="537"/>
      <c r="SVU213" s="537"/>
      <c r="SVV213" s="537"/>
      <c r="SVW213" s="537"/>
      <c r="SVX213" s="537"/>
      <c r="SVY213" s="537"/>
      <c r="SVZ213" s="537"/>
      <c r="SWA213" s="537"/>
      <c r="SWB213" s="537"/>
      <c r="SWC213" s="537"/>
      <c r="SWD213" s="537"/>
      <c r="SWE213" s="537"/>
      <c r="SWF213" s="537"/>
      <c r="SWG213" s="537"/>
      <c r="SWH213" s="537"/>
      <c r="SWI213" s="537"/>
      <c r="SWJ213" s="537"/>
      <c r="SWK213" s="537"/>
      <c r="SWL213" s="537"/>
      <c r="SWM213" s="537"/>
      <c r="SWN213" s="537"/>
      <c r="SWO213" s="537"/>
      <c r="SWP213" s="537"/>
      <c r="SWQ213" s="537"/>
      <c r="SWR213" s="537"/>
      <c r="SWS213" s="537"/>
      <c r="SWT213" s="537"/>
      <c r="SWU213" s="537"/>
      <c r="SWV213" s="537"/>
      <c r="SWW213" s="537"/>
      <c r="SWX213" s="537"/>
      <c r="SWY213" s="537"/>
      <c r="SWZ213" s="537"/>
      <c r="SXA213" s="537"/>
      <c r="SXB213" s="537"/>
      <c r="SXC213" s="537"/>
      <c r="SXD213" s="537"/>
      <c r="SXE213" s="537"/>
      <c r="SXF213" s="537"/>
      <c r="SXG213" s="537"/>
      <c r="SXH213" s="537"/>
      <c r="SXI213" s="537"/>
      <c r="SXJ213" s="537"/>
      <c r="SXK213" s="537"/>
      <c r="SXL213" s="537"/>
      <c r="SXM213" s="537"/>
      <c r="SXN213" s="537"/>
      <c r="SXO213" s="537"/>
      <c r="SXP213" s="537"/>
      <c r="SXQ213" s="537"/>
      <c r="SXR213" s="537"/>
      <c r="SXS213" s="537"/>
      <c r="SXT213" s="537"/>
      <c r="SXU213" s="537"/>
      <c r="SXV213" s="537"/>
      <c r="SXW213" s="537"/>
      <c r="SXX213" s="537"/>
      <c r="SXY213" s="537"/>
      <c r="SXZ213" s="537"/>
      <c r="SYA213" s="537"/>
      <c r="SYB213" s="537"/>
      <c r="SYC213" s="537"/>
      <c r="SYD213" s="537"/>
      <c r="SYE213" s="537"/>
      <c r="SYF213" s="537"/>
      <c r="SYG213" s="537"/>
      <c r="SYH213" s="537"/>
      <c r="SYI213" s="537"/>
      <c r="SYJ213" s="537"/>
      <c r="SYK213" s="537"/>
      <c r="SYL213" s="537"/>
      <c r="SYM213" s="537"/>
      <c r="SYN213" s="537"/>
      <c r="SYO213" s="537"/>
      <c r="SYP213" s="537"/>
      <c r="SYQ213" s="537"/>
      <c r="SYR213" s="537"/>
      <c r="SYS213" s="537"/>
      <c r="SYT213" s="537"/>
      <c r="SYU213" s="537"/>
      <c r="SYV213" s="537"/>
      <c r="SYW213" s="537"/>
      <c r="SYX213" s="537"/>
      <c r="SYY213" s="537"/>
      <c r="SYZ213" s="537"/>
      <c r="SZA213" s="537"/>
      <c r="SZB213" s="537"/>
      <c r="SZC213" s="537"/>
      <c r="SZD213" s="537"/>
      <c r="SZE213" s="537"/>
      <c r="SZF213" s="537"/>
      <c r="SZG213" s="537"/>
      <c r="SZH213" s="537"/>
      <c r="SZI213" s="537"/>
      <c r="SZJ213" s="537"/>
      <c r="SZK213" s="537"/>
      <c r="SZL213" s="537"/>
      <c r="SZM213" s="537"/>
      <c r="SZN213" s="537"/>
      <c r="SZO213" s="537"/>
      <c r="SZP213" s="537"/>
      <c r="SZQ213" s="537"/>
      <c r="SZR213" s="537"/>
      <c r="SZS213" s="537"/>
      <c r="SZT213" s="537"/>
      <c r="SZU213" s="537"/>
      <c r="SZV213" s="537"/>
      <c r="SZW213" s="537"/>
      <c r="SZX213" s="537"/>
      <c r="SZY213" s="537"/>
      <c r="SZZ213" s="537"/>
      <c r="TAA213" s="537"/>
      <c r="TAB213" s="537"/>
      <c r="TAC213" s="537"/>
      <c r="TAD213" s="537"/>
      <c r="TAE213" s="537"/>
      <c r="TAF213" s="537"/>
      <c r="TAG213" s="537"/>
      <c r="TAH213" s="537"/>
      <c r="TAI213" s="537"/>
      <c r="TAJ213" s="537"/>
      <c r="TAK213" s="537"/>
      <c r="TAL213" s="537"/>
      <c r="TAM213" s="537"/>
      <c r="TAN213" s="537"/>
      <c r="TAO213" s="537"/>
      <c r="TAP213" s="537"/>
      <c r="TAQ213" s="537"/>
      <c r="TAR213" s="537"/>
      <c r="TAS213" s="537"/>
      <c r="TAT213" s="537"/>
      <c r="TAU213" s="537"/>
      <c r="TAV213" s="537"/>
      <c r="TAW213" s="537"/>
      <c r="TAX213" s="537"/>
      <c r="TAY213" s="537"/>
      <c r="TAZ213" s="537"/>
      <c r="TBA213" s="537"/>
      <c r="TBB213" s="537"/>
      <c r="TBC213" s="537"/>
      <c r="TBD213" s="537"/>
      <c r="TBE213" s="537"/>
      <c r="TBF213" s="537"/>
      <c r="TBG213" s="537"/>
      <c r="TBH213" s="537"/>
      <c r="TBI213" s="537"/>
      <c r="TBJ213" s="537"/>
      <c r="TBK213" s="537"/>
      <c r="TBL213" s="537"/>
      <c r="TBM213" s="537"/>
      <c r="TBN213" s="537"/>
      <c r="TBO213" s="537"/>
      <c r="TBP213" s="537"/>
      <c r="TBQ213" s="537"/>
      <c r="TBR213" s="537"/>
      <c r="TBS213" s="537"/>
      <c r="TBT213" s="537"/>
      <c r="TBU213" s="537"/>
      <c r="TBV213" s="537"/>
      <c r="TBW213" s="537"/>
      <c r="TBX213" s="537"/>
      <c r="TBY213" s="537"/>
      <c r="TBZ213" s="537"/>
      <c r="TCA213" s="537"/>
      <c r="TCB213" s="537"/>
      <c r="TCC213" s="537"/>
      <c r="TCD213" s="537"/>
      <c r="TCE213" s="537"/>
      <c r="TCF213" s="537"/>
      <c r="TCG213" s="537"/>
      <c r="TCH213" s="537"/>
      <c r="TCI213" s="537"/>
      <c r="TCJ213" s="537"/>
      <c r="TCK213" s="537"/>
      <c r="TCL213" s="537"/>
      <c r="TCM213" s="537"/>
      <c r="TCN213" s="537"/>
      <c r="TCO213" s="537"/>
      <c r="TCP213" s="537"/>
      <c r="TCQ213" s="537"/>
      <c r="TCR213" s="537"/>
      <c r="TCS213" s="537"/>
      <c r="TCT213" s="537"/>
      <c r="TCU213" s="537"/>
      <c r="TCV213" s="537"/>
      <c r="TCW213" s="537"/>
      <c r="TCX213" s="537"/>
      <c r="TCY213" s="537"/>
      <c r="TCZ213" s="537"/>
      <c r="TDA213" s="537"/>
      <c r="TDB213" s="537"/>
      <c r="TDC213" s="537"/>
      <c r="TDD213" s="537"/>
      <c r="TDE213" s="537"/>
      <c r="TDF213" s="537"/>
      <c r="TDG213" s="537"/>
      <c r="TDH213" s="537"/>
      <c r="TDI213" s="537"/>
      <c r="TDJ213" s="537"/>
      <c r="TDK213" s="537"/>
      <c r="TDL213" s="537"/>
      <c r="TDM213" s="537"/>
      <c r="TDN213" s="537"/>
      <c r="TDO213" s="537"/>
      <c r="TDP213" s="537"/>
      <c r="TDQ213" s="537"/>
      <c r="TDR213" s="537"/>
      <c r="TDS213" s="537"/>
      <c r="TDT213" s="537"/>
      <c r="TDU213" s="537"/>
      <c r="TDV213" s="537"/>
      <c r="TDW213" s="537"/>
      <c r="TDX213" s="537"/>
      <c r="TDY213" s="537"/>
      <c r="TDZ213" s="537"/>
      <c r="TEA213" s="537"/>
      <c r="TEB213" s="537"/>
      <c r="TEC213" s="537"/>
      <c r="TED213" s="537"/>
      <c r="TEE213" s="537"/>
      <c r="TEF213" s="537"/>
      <c r="TEG213" s="537"/>
      <c r="TEH213" s="537"/>
      <c r="TEI213" s="537"/>
      <c r="TEJ213" s="537"/>
      <c r="TEK213" s="537"/>
      <c r="TEL213" s="537"/>
      <c r="TEM213" s="537"/>
      <c r="TEN213" s="537"/>
      <c r="TEO213" s="537"/>
      <c r="TEP213" s="537"/>
      <c r="TEQ213" s="537"/>
      <c r="TER213" s="537"/>
      <c r="TES213" s="537"/>
      <c r="TET213" s="537"/>
      <c r="TEU213" s="537"/>
      <c r="TEV213" s="537"/>
      <c r="TEW213" s="537"/>
      <c r="TEX213" s="537"/>
      <c r="TEY213" s="537"/>
      <c r="TEZ213" s="537"/>
      <c r="TFA213" s="537"/>
      <c r="TFB213" s="537"/>
      <c r="TFC213" s="537"/>
      <c r="TFD213" s="537"/>
      <c r="TFE213" s="537"/>
      <c r="TFF213" s="537"/>
      <c r="TFG213" s="537"/>
      <c r="TFH213" s="537"/>
      <c r="TFI213" s="537"/>
      <c r="TFJ213" s="537"/>
      <c r="TFK213" s="537"/>
      <c r="TFL213" s="537"/>
      <c r="TFM213" s="537"/>
      <c r="TFN213" s="537"/>
      <c r="TFO213" s="537"/>
      <c r="TFP213" s="537"/>
      <c r="TFQ213" s="537"/>
      <c r="TFR213" s="537"/>
      <c r="TFS213" s="537"/>
      <c r="TFT213" s="537"/>
      <c r="TFU213" s="537"/>
      <c r="TFV213" s="537"/>
      <c r="TFW213" s="537"/>
      <c r="TFX213" s="537"/>
      <c r="TFY213" s="537"/>
      <c r="TFZ213" s="537"/>
      <c r="TGA213" s="537"/>
      <c r="TGB213" s="537"/>
      <c r="TGC213" s="537"/>
      <c r="TGD213" s="537"/>
      <c r="TGE213" s="537"/>
      <c r="TGF213" s="537"/>
      <c r="TGG213" s="537"/>
      <c r="TGH213" s="537"/>
      <c r="TGI213" s="537"/>
      <c r="TGJ213" s="537"/>
      <c r="TGK213" s="537"/>
      <c r="TGL213" s="537"/>
      <c r="TGM213" s="537"/>
      <c r="TGN213" s="537"/>
      <c r="TGO213" s="537"/>
      <c r="TGP213" s="537"/>
      <c r="TGQ213" s="537"/>
      <c r="TGR213" s="537"/>
      <c r="TGS213" s="537"/>
      <c r="TGT213" s="537"/>
      <c r="TGU213" s="537"/>
      <c r="TGV213" s="537"/>
      <c r="TGW213" s="537"/>
      <c r="TGX213" s="537"/>
      <c r="TGY213" s="537"/>
      <c r="TGZ213" s="537"/>
      <c r="THA213" s="537"/>
      <c r="THB213" s="537"/>
      <c r="THC213" s="537"/>
      <c r="THD213" s="537"/>
      <c r="THE213" s="537"/>
      <c r="THF213" s="537"/>
      <c r="THG213" s="537"/>
      <c r="THH213" s="537"/>
      <c r="THI213" s="537"/>
      <c r="THJ213" s="537"/>
      <c r="THK213" s="537"/>
      <c r="THL213" s="537"/>
      <c r="THM213" s="537"/>
      <c r="THN213" s="537"/>
      <c r="THO213" s="537"/>
      <c r="THP213" s="537"/>
      <c r="THQ213" s="537"/>
      <c r="THR213" s="537"/>
      <c r="THS213" s="537"/>
      <c r="THT213" s="537"/>
      <c r="THU213" s="537"/>
      <c r="THV213" s="537"/>
      <c r="THW213" s="537"/>
      <c r="THX213" s="537"/>
      <c r="THY213" s="537"/>
      <c r="THZ213" s="537"/>
      <c r="TIA213" s="537"/>
      <c r="TIB213" s="537"/>
      <c r="TIC213" s="537"/>
      <c r="TID213" s="537"/>
      <c r="TIE213" s="537"/>
      <c r="TIF213" s="537"/>
      <c r="TIG213" s="537"/>
      <c r="TIH213" s="537"/>
      <c r="TII213" s="537"/>
      <c r="TIJ213" s="537"/>
      <c r="TIK213" s="537"/>
      <c r="TIL213" s="537"/>
      <c r="TIM213" s="537"/>
      <c r="TIN213" s="537"/>
      <c r="TIO213" s="537"/>
      <c r="TIP213" s="537"/>
      <c r="TIQ213" s="537"/>
      <c r="TIR213" s="537"/>
      <c r="TIS213" s="537"/>
      <c r="TIT213" s="537"/>
      <c r="TIU213" s="537"/>
      <c r="TIV213" s="537"/>
      <c r="TIW213" s="537"/>
      <c r="TIX213" s="537"/>
      <c r="TIY213" s="537"/>
      <c r="TIZ213" s="537"/>
      <c r="TJA213" s="537"/>
      <c r="TJB213" s="537"/>
      <c r="TJC213" s="537"/>
      <c r="TJD213" s="537"/>
      <c r="TJE213" s="537"/>
      <c r="TJF213" s="537"/>
      <c r="TJG213" s="537"/>
      <c r="TJH213" s="537"/>
      <c r="TJI213" s="537"/>
      <c r="TJJ213" s="537"/>
      <c r="TJK213" s="537"/>
      <c r="TJL213" s="537"/>
      <c r="TJM213" s="537"/>
      <c r="TJN213" s="537"/>
      <c r="TJO213" s="537"/>
      <c r="TJP213" s="537"/>
      <c r="TJQ213" s="537"/>
      <c r="TJR213" s="537"/>
      <c r="TJS213" s="537"/>
      <c r="TJT213" s="537"/>
      <c r="TJU213" s="537"/>
      <c r="TJV213" s="537"/>
      <c r="TJW213" s="537"/>
      <c r="TJX213" s="537"/>
      <c r="TJY213" s="537"/>
      <c r="TJZ213" s="537"/>
      <c r="TKA213" s="537"/>
      <c r="TKB213" s="537"/>
      <c r="TKC213" s="537"/>
      <c r="TKD213" s="537"/>
      <c r="TKE213" s="537"/>
      <c r="TKF213" s="537"/>
      <c r="TKG213" s="537"/>
      <c r="TKH213" s="537"/>
      <c r="TKI213" s="537"/>
      <c r="TKJ213" s="537"/>
      <c r="TKK213" s="537"/>
      <c r="TKL213" s="537"/>
      <c r="TKM213" s="537"/>
      <c r="TKN213" s="537"/>
      <c r="TKO213" s="537"/>
      <c r="TKP213" s="537"/>
      <c r="TKQ213" s="537"/>
      <c r="TKR213" s="537"/>
      <c r="TKS213" s="537"/>
      <c r="TKT213" s="537"/>
      <c r="TKU213" s="537"/>
      <c r="TKV213" s="537"/>
      <c r="TKW213" s="537"/>
      <c r="TKX213" s="537"/>
      <c r="TKY213" s="537"/>
      <c r="TKZ213" s="537"/>
      <c r="TLA213" s="537"/>
      <c r="TLB213" s="537"/>
      <c r="TLC213" s="537"/>
      <c r="TLD213" s="537"/>
      <c r="TLE213" s="537"/>
      <c r="TLF213" s="537"/>
      <c r="TLG213" s="537"/>
      <c r="TLH213" s="537"/>
      <c r="TLI213" s="537"/>
      <c r="TLJ213" s="537"/>
      <c r="TLK213" s="537"/>
      <c r="TLL213" s="537"/>
      <c r="TLM213" s="537"/>
      <c r="TLN213" s="537"/>
      <c r="TLO213" s="537"/>
      <c r="TLP213" s="537"/>
      <c r="TLQ213" s="537"/>
      <c r="TLR213" s="537"/>
      <c r="TLS213" s="537"/>
      <c r="TLT213" s="537"/>
      <c r="TLU213" s="537"/>
      <c r="TLV213" s="537"/>
      <c r="TLW213" s="537"/>
      <c r="TLX213" s="537"/>
      <c r="TLY213" s="537"/>
      <c r="TLZ213" s="537"/>
      <c r="TMA213" s="537"/>
      <c r="TMB213" s="537"/>
      <c r="TMC213" s="537"/>
      <c r="TMD213" s="537"/>
      <c r="TME213" s="537"/>
      <c r="TMF213" s="537"/>
      <c r="TMG213" s="537"/>
      <c r="TMH213" s="537"/>
      <c r="TMI213" s="537"/>
      <c r="TMJ213" s="537"/>
      <c r="TMK213" s="537"/>
      <c r="TML213" s="537"/>
      <c r="TMM213" s="537"/>
      <c r="TMN213" s="537"/>
      <c r="TMO213" s="537"/>
      <c r="TMP213" s="537"/>
      <c r="TMQ213" s="537"/>
      <c r="TMR213" s="537"/>
      <c r="TMS213" s="537"/>
      <c r="TMT213" s="537"/>
      <c r="TMU213" s="537"/>
      <c r="TMV213" s="537"/>
      <c r="TMW213" s="537"/>
      <c r="TMX213" s="537"/>
      <c r="TMY213" s="537"/>
      <c r="TMZ213" s="537"/>
      <c r="TNA213" s="537"/>
      <c r="TNB213" s="537"/>
      <c r="TNC213" s="537"/>
      <c r="TND213" s="537"/>
      <c r="TNE213" s="537"/>
      <c r="TNF213" s="537"/>
      <c r="TNG213" s="537"/>
      <c r="TNH213" s="537"/>
      <c r="TNI213" s="537"/>
      <c r="TNJ213" s="537"/>
      <c r="TNK213" s="537"/>
      <c r="TNL213" s="537"/>
      <c r="TNM213" s="537"/>
      <c r="TNN213" s="537"/>
      <c r="TNO213" s="537"/>
      <c r="TNP213" s="537"/>
      <c r="TNQ213" s="537"/>
      <c r="TNR213" s="537"/>
      <c r="TNS213" s="537"/>
      <c r="TNT213" s="537"/>
      <c r="TNU213" s="537"/>
      <c r="TNV213" s="537"/>
      <c r="TNW213" s="537"/>
      <c r="TNX213" s="537"/>
      <c r="TNY213" s="537"/>
      <c r="TNZ213" s="537"/>
      <c r="TOA213" s="537"/>
      <c r="TOB213" s="537"/>
      <c r="TOC213" s="537"/>
      <c r="TOD213" s="537"/>
      <c r="TOE213" s="537"/>
      <c r="TOF213" s="537"/>
      <c r="TOG213" s="537"/>
      <c r="TOH213" s="537"/>
      <c r="TOI213" s="537"/>
      <c r="TOJ213" s="537"/>
      <c r="TOK213" s="537"/>
      <c r="TOL213" s="537"/>
      <c r="TOM213" s="537"/>
      <c r="TON213" s="537"/>
      <c r="TOO213" s="537"/>
      <c r="TOP213" s="537"/>
      <c r="TOQ213" s="537"/>
      <c r="TOR213" s="537"/>
      <c r="TOS213" s="537"/>
      <c r="TOT213" s="537"/>
      <c r="TOU213" s="537"/>
      <c r="TOV213" s="537"/>
      <c r="TOW213" s="537"/>
      <c r="TOX213" s="537"/>
      <c r="TOY213" s="537"/>
      <c r="TOZ213" s="537"/>
      <c r="TPA213" s="537"/>
      <c r="TPB213" s="537"/>
      <c r="TPC213" s="537"/>
      <c r="TPD213" s="537"/>
      <c r="TPE213" s="537"/>
      <c r="TPF213" s="537"/>
      <c r="TPG213" s="537"/>
      <c r="TPH213" s="537"/>
      <c r="TPI213" s="537"/>
      <c r="TPJ213" s="537"/>
      <c r="TPK213" s="537"/>
      <c r="TPL213" s="537"/>
      <c r="TPM213" s="537"/>
      <c r="TPN213" s="537"/>
      <c r="TPO213" s="537"/>
      <c r="TPP213" s="537"/>
      <c r="TPQ213" s="537"/>
      <c r="TPR213" s="537"/>
      <c r="TPS213" s="537"/>
      <c r="TPT213" s="537"/>
      <c r="TPU213" s="537"/>
      <c r="TPV213" s="537"/>
      <c r="TPW213" s="537"/>
      <c r="TPX213" s="537"/>
      <c r="TPY213" s="537"/>
      <c r="TPZ213" s="537"/>
      <c r="TQA213" s="537"/>
      <c r="TQB213" s="537"/>
      <c r="TQC213" s="537"/>
      <c r="TQD213" s="537"/>
      <c r="TQE213" s="537"/>
      <c r="TQF213" s="537"/>
      <c r="TQG213" s="537"/>
      <c r="TQH213" s="537"/>
      <c r="TQI213" s="537"/>
      <c r="TQJ213" s="537"/>
      <c r="TQK213" s="537"/>
      <c r="TQL213" s="537"/>
      <c r="TQM213" s="537"/>
      <c r="TQN213" s="537"/>
      <c r="TQO213" s="537"/>
      <c r="TQP213" s="537"/>
      <c r="TQQ213" s="537"/>
      <c r="TQR213" s="537"/>
      <c r="TQS213" s="537"/>
      <c r="TQT213" s="537"/>
      <c r="TQU213" s="537"/>
      <c r="TQV213" s="537"/>
      <c r="TQW213" s="537"/>
      <c r="TQX213" s="537"/>
      <c r="TQY213" s="537"/>
      <c r="TQZ213" s="537"/>
      <c r="TRA213" s="537"/>
      <c r="TRB213" s="537"/>
      <c r="TRC213" s="537"/>
      <c r="TRD213" s="537"/>
      <c r="TRE213" s="537"/>
      <c r="TRF213" s="537"/>
      <c r="TRG213" s="537"/>
      <c r="TRH213" s="537"/>
      <c r="TRI213" s="537"/>
      <c r="TRJ213" s="537"/>
      <c r="TRK213" s="537"/>
      <c r="TRL213" s="537"/>
      <c r="TRM213" s="537"/>
      <c r="TRN213" s="537"/>
      <c r="TRO213" s="537"/>
      <c r="TRP213" s="537"/>
      <c r="TRQ213" s="537"/>
      <c r="TRR213" s="537"/>
      <c r="TRS213" s="537"/>
      <c r="TRT213" s="537"/>
      <c r="TRU213" s="537"/>
      <c r="TRV213" s="537"/>
      <c r="TRW213" s="537"/>
      <c r="TRX213" s="537"/>
      <c r="TRY213" s="537"/>
      <c r="TRZ213" s="537"/>
      <c r="TSA213" s="537"/>
      <c r="TSB213" s="537"/>
      <c r="TSC213" s="537"/>
      <c r="TSD213" s="537"/>
      <c r="TSE213" s="537"/>
      <c r="TSF213" s="537"/>
      <c r="TSG213" s="537"/>
      <c r="TSH213" s="537"/>
      <c r="TSI213" s="537"/>
      <c r="TSJ213" s="537"/>
      <c r="TSK213" s="537"/>
      <c r="TSL213" s="537"/>
      <c r="TSM213" s="537"/>
      <c r="TSN213" s="537"/>
      <c r="TSO213" s="537"/>
      <c r="TSP213" s="537"/>
      <c r="TSQ213" s="537"/>
      <c r="TSR213" s="537"/>
      <c r="TSS213" s="537"/>
      <c r="TST213" s="537"/>
      <c r="TSU213" s="537"/>
      <c r="TSV213" s="537"/>
      <c r="TSW213" s="537"/>
      <c r="TSX213" s="537"/>
      <c r="TSY213" s="537"/>
      <c r="TSZ213" s="537"/>
      <c r="TTA213" s="537"/>
      <c r="TTB213" s="537"/>
      <c r="TTC213" s="537"/>
      <c r="TTD213" s="537"/>
      <c r="TTE213" s="537"/>
      <c r="TTF213" s="537"/>
      <c r="TTG213" s="537"/>
      <c r="TTH213" s="537"/>
      <c r="TTI213" s="537"/>
      <c r="TTJ213" s="537"/>
      <c r="TTK213" s="537"/>
      <c r="TTL213" s="537"/>
      <c r="TTM213" s="537"/>
      <c r="TTN213" s="537"/>
      <c r="TTO213" s="537"/>
      <c r="TTP213" s="537"/>
      <c r="TTQ213" s="537"/>
      <c r="TTR213" s="537"/>
      <c r="TTS213" s="537"/>
      <c r="TTT213" s="537"/>
      <c r="TTU213" s="537"/>
      <c r="TTV213" s="537"/>
      <c r="TTW213" s="537"/>
      <c r="TTX213" s="537"/>
      <c r="TTY213" s="537"/>
      <c r="TTZ213" s="537"/>
      <c r="TUA213" s="537"/>
      <c r="TUB213" s="537"/>
      <c r="TUC213" s="537"/>
      <c r="TUD213" s="537"/>
      <c r="TUE213" s="537"/>
      <c r="TUF213" s="537"/>
      <c r="TUG213" s="537"/>
      <c r="TUH213" s="537"/>
      <c r="TUI213" s="537"/>
      <c r="TUJ213" s="537"/>
      <c r="TUK213" s="537"/>
      <c r="TUL213" s="537"/>
      <c r="TUM213" s="537"/>
      <c r="TUN213" s="537"/>
      <c r="TUO213" s="537"/>
      <c r="TUP213" s="537"/>
      <c r="TUQ213" s="537"/>
      <c r="TUR213" s="537"/>
      <c r="TUS213" s="537"/>
      <c r="TUT213" s="537"/>
      <c r="TUU213" s="537"/>
      <c r="TUV213" s="537"/>
      <c r="TUW213" s="537"/>
      <c r="TUX213" s="537"/>
      <c r="TUY213" s="537"/>
      <c r="TUZ213" s="537"/>
      <c r="TVA213" s="537"/>
      <c r="TVB213" s="537"/>
      <c r="TVC213" s="537"/>
      <c r="TVD213" s="537"/>
      <c r="TVE213" s="537"/>
      <c r="TVF213" s="537"/>
      <c r="TVG213" s="537"/>
      <c r="TVH213" s="537"/>
      <c r="TVI213" s="537"/>
      <c r="TVJ213" s="537"/>
      <c r="TVK213" s="537"/>
      <c r="TVL213" s="537"/>
      <c r="TVM213" s="537"/>
      <c r="TVN213" s="537"/>
      <c r="TVO213" s="537"/>
      <c r="TVP213" s="537"/>
      <c r="TVQ213" s="537"/>
      <c r="TVR213" s="537"/>
      <c r="TVS213" s="537"/>
      <c r="TVT213" s="537"/>
      <c r="TVU213" s="537"/>
      <c r="TVV213" s="537"/>
      <c r="TVW213" s="537"/>
      <c r="TVX213" s="537"/>
      <c r="TVY213" s="537"/>
      <c r="TVZ213" s="537"/>
      <c r="TWA213" s="537"/>
      <c r="TWB213" s="537"/>
      <c r="TWC213" s="537"/>
      <c r="TWD213" s="537"/>
      <c r="TWE213" s="537"/>
      <c r="TWF213" s="537"/>
      <c r="TWG213" s="537"/>
      <c r="TWH213" s="537"/>
      <c r="TWI213" s="537"/>
      <c r="TWJ213" s="537"/>
      <c r="TWK213" s="537"/>
      <c r="TWL213" s="537"/>
      <c r="TWM213" s="537"/>
      <c r="TWN213" s="537"/>
      <c r="TWO213" s="537"/>
      <c r="TWP213" s="537"/>
      <c r="TWQ213" s="537"/>
      <c r="TWR213" s="537"/>
      <c r="TWS213" s="537"/>
      <c r="TWT213" s="537"/>
      <c r="TWU213" s="537"/>
      <c r="TWV213" s="537"/>
      <c r="TWW213" s="537"/>
      <c r="TWX213" s="537"/>
      <c r="TWY213" s="537"/>
      <c r="TWZ213" s="537"/>
      <c r="TXA213" s="537"/>
      <c r="TXB213" s="537"/>
      <c r="TXC213" s="537"/>
      <c r="TXD213" s="537"/>
      <c r="TXE213" s="537"/>
      <c r="TXF213" s="537"/>
      <c r="TXG213" s="537"/>
      <c r="TXH213" s="537"/>
      <c r="TXI213" s="537"/>
      <c r="TXJ213" s="537"/>
      <c r="TXK213" s="537"/>
      <c r="TXL213" s="537"/>
      <c r="TXM213" s="537"/>
      <c r="TXN213" s="537"/>
      <c r="TXO213" s="537"/>
      <c r="TXP213" s="537"/>
      <c r="TXQ213" s="537"/>
      <c r="TXR213" s="537"/>
      <c r="TXS213" s="537"/>
      <c r="TXT213" s="537"/>
      <c r="TXU213" s="537"/>
      <c r="TXV213" s="537"/>
      <c r="TXW213" s="537"/>
      <c r="TXX213" s="537"/>
      <c r="TXY213" s="537"/>
      <c r="TXZ213" s="537"/>
      <c r="TYA213" s="537"/>
      <c r="TYB213" s="537"/>
      <c r="TYC213" s="537"/>
      <c r="TYD213" s="537"/>
      <c r="TYE213" s="537"/>
      <c r="TYF213" s="537"/>
      <c r="TYG213" s="537"/>
      <c r="TYH213" s="537"/>
      <c r="TYI213" s="537"/>
      <c r="TYJ213" s="537"/>
      <c r="TYK213" s="537"/>
      <c r="TYL213" s="537"/>
      <c r="TYM213" s="537"/>
      <c r="TYN213" s="537"/>
      <c r="TYO213" s="537"/>
      <c r="TYP213" s="537"/>
      <c r="TYQ213" s="537"/>
      <c r="TYR213" s="537"/>
      <c r="TYS213" s="537"/>
      <c r="TYT213" s="537"/>
      <c r="TYU213" s="537"/>
      <c r="TYV213" s="537"/>
      <c r="TYW213" s="537"/>
      <c r="TYX213" s="537"/>
      <c r="TYY213" s="537"/>
      <c r="TYZ213" s="537"/>
      <c r="TZA213" s="537"/>
      <c r="TZB213" s="537"/>
      <c r="TZC213" s="537"/>
      <c r="TZD213" s="537"/>
      <c r="TZE213" s="537"/>
      <c r="TZF213" s="537"/>
      <c r="TZG213" s="537"/>
      <c r="TZH213" s="537"/>
      <c r="TZI213" s="537"/>
      <c r="TZJ213" s="537"/>
      <c r="TZK213" s="537"/>
      <c r="TZL213" s="537"/>
      <c r="TZM213" s="537"/>
      <c r="TZN213" s="537"/>
      <c r="TZO213" s="537"/>
      <c r="TZP213" s="537"/>
      <c r="TZQ213" s="537"/>
      <c r="TZR213" s="537"/>
      <c r="TZS213" s="537"/>
      <c r="TZT213" s="537"/>
      <c r="TZU213" s="537"/>
      <c r="TZV213" s="537"/>
      <c r="TZW213" s="537"/>
      <c r="TZX213" s="537"/>
      <c r="TZY213" s="537"/>
      <c r="TZZ213" s="537"/>
      <c r="UAA213" s="537"/>
      <c r="UAB213" s="537"/>
      <c r="UAC213" s="537"/>
      <c r="UAD213" s="537"/>
      <c r="UAE213" s="537"/>
      <c r="UAF213" s="537"/>
      <c r="UAG213" s="537"/>
      <c r="UAH213" s="537"/>
      <c r="UAI213" s="537"/>
      <c r="UAJ213" s="537"/>
      <c r="UAK213" s="537"/>
      <c r="UAL213" s="537"/>
      <c r="UAM213" s="537"/>
      <c r="UAN213" s="537"/>
      <c r="UAO213" s="537"/>
      <c r="UAP213" s="537"/>
      <c r="UAQ213" s="537"/>
      <c r="UAR213" s="537"/>
      <c r="UAS213" s="537"/>
      <c r="UAT213" s="537"/>
      <c r="UAU213" s="537"/>
      <c r="UAV213" s="537"/>
      <c r="UAW213" s="537"/>
      <c r="UAX213" s="537"/>
      <c r="UAY213" s="537"/>
      <c r="UAZ213" s="537"/>
      <c r="UBA213" s="537"/>
      <c r="UBB213" s="537"/>
      <c r="UBC213" s="537"/>
      <c r="UBD213" s="537"/>
      <c r="UBE213" s="537"/>
      <c r="UBF213" s="537"/>
      <c r="UBG213" s="537"/>
      <c r="UBH213" s="537"/>
      <c r="UBI213" s="537"/>
      <c r="UBJ213" s="537"/>
      <c r="UBK213" s="537"/>
      <c r="UBL213" s="537"/>
      <c r="UBM213" s="537"/>
      <c r="UBN213" s="537"/>
      <c r="UBO213" s="537"/>
      <c r="UBP213" s="537"/>
      <c r="UBQ213" s="537"/>
      <c r="UBR213" s="537"/>
      <c r="UBS213" s="537"/>
      <c r="UBT213" s="537"/>
      <c r="UBU213" s="537"/>
      <c r="UBV213" s="537"/>
      <c r="UBW213" s="537"/>
      <c r="UBX213" s="537"/>
      <c r="UBY213" s="537"/>
      <c r="UBZ213" s="537"/>
      <c r="UCA213" s="537"/>
      <c r="UCB213" s="537"/>
      <c r="UCC213" s="537"/>
      <c r="UCD213" s="537"/>
      <c r="UCE213" s="537"/>
      <c r="UCF213" s="537"/>
      <c r="UCG213" s="537"/>
      <c r="UCH213" s="537"/>
      <c r="UCI213" s="537"/>
      <c r="UCJ213" s="537"/>
      <c r="UCK213" s="537"/>
      <c r="UCL213" s="537"/>
      <c r="UCM213" s="537"/>
      <c r="UCN213" s="537"/>
      <c r="UCO213" s="537"/>
      <c r="UCP213" s="537"/>
      <c r="UCQ213" s="537"/>
      <c r="UCR213" s="537"/>
      <c r="UCS213" s="537"/>
      <c r="UCT213" s="537"/>
      <c r="UCU213" s="537"/>
      <c r="UCV213" s="537"/>
      <c r="UCW213" s="537"/>
      <c r="UCX213" s="537"/>
      <c r="UCY213" s="537"/>
      <c r="UCZ213" s="537"/>
      <c r="UDA213" s="537"/>
      <c r="UDB213" s="537"/>
      <c r="UDC213" s="537"/>
      <c r="UDD213" s="537"/>
      <c r="UDE213" s="537"/>
      <c r="UDF213" s="537"/>
      <c r="UDG213" s="537"/>
      <c r="UDH213" s="537"/>
      <c r="UDI213" s="537"/>
      <c r="UDJ213" s="537"/>
      <c r="UDK213" s="537"/>
      <c r="UDL213" s="537"/>
      <c r="UDM213" s="537"/>
      <c r="UDN213" s="537"/>
      <c r="UDO213" s="537"/>
      <c r="UDP213" s="537"/>
      <c r="UDQ213" s="537"/>
      <c r="UDR213" s="537"/>
      <c r="UDS213" s="537"/>
      <c r="UDT213" s="537"/>
      <c r="UDU213" s="537"/>
      <c r="UDV213" s="537"/>
      <c r="UDW213" s="537"/>
      <c r="UDX213" s="537"/>
      <c r="UDY213" s="537"/>
      <c r="UDZ213" s="537"/>
      <c r="UEA213" s="537"/>
      <c r="UEB213" s="537"/>
      <c r="UEC213" s="537"/>
      <c r="UED213" s="537"/>
      <c r="UEE213" s="537"/>
      <c r="UEF213" s="537"/>
      <c r="UEG213" s="537"/>
      <c r="UEH213" s="537"/>
      <c r="UEI213" s="537"/>
      <c r="UEJ213" s="537"/>
      <c r="UEK213" s="537"/>
      <c r="UEL213" s="537"/>
      <c r="UEM213" s="537"/>
      <c r="UEN213" s="537"/>
      <c r="UEO213" s="537"/>
      <c r="UEP213" s="537"/>
      <c r="UEQ213" s="537"/>
      <c r="UER213" s="537"/>
      <c r="UES213" s="537"/>
      <c r="UET213" s="537"/>
      <c r="UEU213" s="537"/>
      <c r="UEV213" s="537"/>
      <c r="UEW213" s="537"/>
      <c r="UEX213" s="537"/>
      <c r="UEY213" s="537"/>
      <c r="UEZ213" s="537"/>
      <c r="UFA213" s="537"/>
      <c r="UFB213" s="537"/>
      <c r="UFC213" s="537"/>
      <c r="UFD213" s="537"/>
      <c r="UFE213" s="537"/>
      <c r="UFF213" s="537"/>
      <c r="UFG213" s="537"/>
      <c r="UFH213" s="537"/>
      <c r="UFI213" s="537"/>
      <c r="UFJ213" s="537"/>
      <c r="UFK213" s="537"/>
      <c r="UFL213" s="537"/>
      <c r="UFM213" s="537"/>
      <c r="UFN213" s="537"/>
      <c r="UFO213" s="537"/>
      <c r="UFP213" s="537"/>
      <c r="UFQ213" s="537"/>
      <c r="UFR213" s="537"/>
      <c r="UFS213" s="537"/>
      <c r="UFT213" s="537"/>
      <c r="UFU213" s="537"/>
      <c r="UFV213" s="537"/>
      <c r="UFW213" s="537"/>
      <c r="UFX213" s="537"/>
      <c r="UFY213" s="537"/>
      <c r="UFZ213" s="537"/>
      <c r="UGA213" s="537"/>
      <c r="UGB213" s="537"/>
      <c r="UGC213" s="537"/>
      <c r="UGD213" s="537"/>
      <c r="UGE213" s="537"/>
      <c r="UGF213" s="537"/>
      <c r="UGG213" s="537"/>
      <c r="UGH213" s="537"/>
      <c r="UGI213" s="537"/>
      <c r="UGJ213" s="537"/>
      <c r="UGK213" s="537"/>
      <c r="UGL213" s="537"/>
      <c r="UGM213" s="537"/>
      <c r="UGN213" s="537"/>
      <c r="UGO213" s="537"/>
      <c r="UGP213" s="537"/>
      <c r="UGQ213" s="537"/>
      <c r="UGR213" s="537"/>
      <c r="UGS213" s="537"/>
      <c r="UGT213" s="537"/>
      <c r="UGU213" s="537"/>
      <c r="UGV213" s="537"/>
      <c r="UGW213" s="537"/>
      <c r="UGX213" s="537"/>
      <c r="UGY213" s="537"/>
      <c r="UGZ213" s="537"/>
      <c r="UHA213" s="537"/>
      <c r="UHB213" s="537"/>
      <c r="UHC213" s="537"/>
      <c r="UHD213" s="537"/>
      <c r="UHE213" s="537"/>
      <c r="UHF213" s="537"/>
      <c r="UHG213" s="537"/>
      <c r="UHH213" s="537"/>
      <c r="UHI213" s="537"/>
      <c r="UHJ213" s="537"/>
      <c r="UHK213" s="537"/>
      <c r="UHL213" s="537"/>
      <c r="UHM213" s="537"/>
      <c r="UHN213" s="537"/>
      <c r="UHO213" s="537"/>
      <c r="UHP213" s="537"/>
      <c r="UHQ213" s="537"/>
      <c r="UHR213" s="537"/>
      <c r="UHS213" s="537"/>
      <c r="UHT213" s="537"/>
      <c r="UHU213" s="537"/>
      <c r="UHV213" s="537"/>
      <c r="UHW213" s="537"/>
      <c r="UHX213" s="537"/>
      <c r="UHY213" s="537"/>
      <c r="UHZ213" s="537"/>
      <c r="UIA213" s="537"/>
      <c r="UIB213" s="537"/>
      <c r="UIC213" s="537"/>
      <c r="UID213" s="537"/>
      <c r="UIE213" s="537"/>
      <c r="UIF213" s="537"/>
      <c r="UIG213" s="537"/>
      <c r="UIH213" s="537"/>
      <c r="UII213" s="537"/>
      <c r="UIJ213" s="537"/>
      <c r="UIK213" s="537"/>
      <c r="UIL213" s="537"/>
      <c r="UIM213" s="537"/>
      <c r="UIN213" s="537"/>
      <c r="UIO213" s="537"/>
      <c r="UIP213" s="537"/>
      <c r="UIQ213" s="537"/>
      <c r="UIR213" s="537"/>
      <c r="UIS213" s="537"/>
      <c r="UIT213" s="537"/>
      <c r="UIU213" s="537"/>
      <c r="UIV213" s="537"/>
      <c r="UIW213" s="537"/>
      <c r="UIX213" s="537"/>
      <c r="UIY213" s="537"/>
      <c r="UIZ213" s="537"/>
      <c r="UJA213" s="537"/>
      <c r="UJB213" s="537"/>
      <c r="UJC213" s="537"/>
      <c r="UJD213" s="537"/>
      <c r="UJE213" s="537"/>
      <c r="UJF213" s="537"/>
      <c r="UJG213" s="537"/>
      <c r="UJH213" s="537"/>
      <c r="UJI213" s="537"/>
      <c r="UJJ213" s="537"/>
      <c r="UJK213" s="537"/>
      <c r="UJL213" s="537"/>
      <c r="UJM213" s="537"/>
      <c r="UJN213" s="537"/>
      <c r="UJO213" s="537"/>
      <c r="UJP213" s="537"/>
      <c r="UJQ213" s="537"/>
      <c r="UJR213" s="537"/>
      <c r="UJS213" s="537"/>
      <c r="UJT213" s="537"/>
      <c r="UJU213" s="537"/>
      <c r="UJV213" s="537"/>
      <c r="UJW213" s="537"/>
      <c r="UJX213" s="537"/>
      <c r="UJY213" s="537"/>
      <c r="UJZ213" s="537"/>
      <c r="UKA213" s="537"/>
      <c r="UKB213" s="537"/>
      <c r="UKC213" s="537"/>
      <c r="UKD213" s="537"/>
      <c r="UKE213" s="537"/>
      <c r="UKF213" s="537"/>
      <c r="UKG213" s="537"/>
      <c r="UKH213" s="537"/>
      <c r="UKI213" s="537"/>
      <c r="UKJ213" s="537"/>
      <c r="UKK213" s="537"/>
      <c r="UKL213" s="537"/>
      <c r="UKM213" s="537"/>
      <c r="UKN213" s="537"/>
      <c r="UKO213" s="537"/>
      <c r="UKP213" s="537"/>
      <c r="UKQ213" s="537"/>
      <c r="UKR213" s="537"/>
      <c r="UKS213" s="537"/>
      <c r="UKT213" s="537"/>
      <c r="UKU213" s="537"/>
      <c r="UKV213" s="537"/>
      <c r="UKW213" s="537"/>
      <c r="UKX213" s="537"/>
      <c r="UKY213" s="537"/>
      <c r="UKZ213" s="537"/>
      <c r="ULA213" s="537"/>
      <c r="ULB213" s="537"/>
      <c r="ULC213" s="537"/>
      <c r="ULD213" s="537"/>
      <c r="ULE213" s="537"/>
      <c r="ULF213" s="537"/>
      <c r="ULG213" s="537"/>
      <c r="ULH213" s="537"/>
      <c r="ULI213" s="537"/>
      <c r="ULJ213" s="537"/>
      <c r="ULK213" s="537"/>
      <c r="ULL213" s="537"/>
      <c r="ULM213" s="537"/>
      <c r="ULN213" s="537"/>
      <c r="ULO213" s="537"/>
      <c r="ULP213" s="537"/>
      <c r="ULQ213" s="537"/>
      <c r="ULR213" s="537"/>
      <c r="ULS213" s="537"/>
      <c r="ULT213" s="537"/>
      <c r="ULU213" s="537"/>
      <c r="ULV213" s="537"/>
      <c r="ULW213" s="537"/>
      <c r="ULX213" s="537"/>
      <c r="ULY213" s="537"/>
      <c r="ULZ213" s="537"/>
      <c r="UMA213" s="537"/>
      <c r="UMB213" s="537"/>
      <c r="UMC213" s="537"/>
      <c r="UMD213" s="537"/>
      <c r="UME213" s="537"/>
      <c r="UMF213" s="537"/>
      <c r="UMG213" s="537"/>
      <c r="UMH213" s="537"/>
      <c r="UMI213" s="537"/>
      <c r="UMJ213" s="537"/>
      <c r="UMK213" s="537"/>
      <c r="UML213" s="537"/>
      <c r="UMM213" s="537"/>
      <c r="UMN213" s="537"/>
      <c r="UMO213" s="537"/>
      <c r="UMP213" s="537"/>
      <c r="UMQ213" s="537"/>
      <c r="UMR213" s="537"/>
      <c r="UMS213" s="537"/>
      <c r="UMT213" s="537"/>
      <c r="UMU213" s="537"/>
      <c r="UMV213" s="537"/>
      <c r="UMW213" s="537"/>
      <c r="UMX213" s="537"/>
      <c r="UMY213" s="537"/>
      <c r="UMZ213" s="537"/>
      <c r="UNA213" s="537"/>
      <c r="UNB213" s="537"/>
      <c r="UNC213" s="537"/>
      <c r="UND213" s="537"/>
      <c r="UNE213" s="537"/>
      <c r="UNF213" s="537"/>
      <c r="UNG213" s="537"/>
      <c r="UNH213" s="537"/>
      <c r="UNI213" s="537"/>
      <c r="UNJ213" s="537"/>
      <c r="UNK213" s="537"/>
      <c r="UNL213" s="537"/>
      <c r="UNM213" s="537"/>
      <c r="UNN213" s="537"/>
      <c r="UNO213" s="537"/>
      <c r="UNP213" s="537"/>
      <c r="UNQ213" s="537"/>
      <c r="UNR213" s="537"/>
      <c r="UNS213" s="537"/>
      <c r="UNT213" s="537"/>
      <c r="UNU213" s="537"/>
      <c r="UNV213" s="537"/>
      <c r="UNW213" s="537"/>
      <c r="UNX213" s="537"/>
      <c r="UNY213" s="537"/>
      <c r="UNZ213" s="537"/>
      <c r="UOA213" s="537"/>
      <c r="UOB213" s="537"/>
      <c r="UOC213" s="537"/>
      <c r="UOD213" s="537"/>
      <c r="UOE213" s="537"/>
      <c r="UOF213" s="537"/>
      <c r="UOG213" s="537"/>
      <c r="UOH213" s="537"/>
      <c r="UOI213" s="537"/>
      <c r="UOJ213" s="537"/>
      <c r="UOK213" s="537"/>
      <c r="UOL213" s="537"/>
      <c r="UOM213" s="537"/>
      <c r="UON213" s="537"/>
      <c r="UOO213" s="537"/>
      <c r="UOP213" s="537"/>
      <c r="UOQ213" s="537"/>
      <c r="UOR213" s="537"/>
      <c r="UOS213" s="537"/>
      <c r="UOT213" s="537"/>
      <c r="UOU213" s="537"/>
      <c r="UOV213" s="537"/>
      <c r="UOW213" s="537"/>
      <c r="UOX213" s="537"/>
      <c r="UOY213" s="537"/>
      <c r="UOZ213" s="537"/>
      <c r="UPA213" s="537"/>
      <c r="UPB213" s="537"/>
      <c r="UPC213" s="537"/>
      <c r="UPD213" s="537"/>
      <c r="UPE213" s="537"/>
      <c r="UPF213" s="537"/>
      <c r="UPG213" s="537"/>
      <c r="UPH213" s="537"/>
      <c r="UPI213" s="537"/>
      <c r="UPJ213" s="537"/>
      <c r="UPK213" s="537"/>
      <c r="UPL213" s="537"/>
      <c r="UPM213" s="537"/>
      <c r="UPN213" s="537"/>
      <c r="UPO213" s="537"/>
      <c r="UPP213" s="537"/>
      <c r="UPQ213" s="537"/>
      <c r="UPR213" s="537"/>
      <c r="UPS213" s="537"/>
      <c r="UPT213" s="537"/>
      <c r="UPU213" s="537"/>
      <c r="UPV213" s="537"/>
      <c r="UPW213" s="537"/>
      <c r="UPX213" s="537"/>
      <c r="UPY213" s="537"/>
      <c r="UPZ213" s="537"/>
      <c r="UQA213" s="537"/>
      <c r="UQB213" s="537"/>
      <c r="UQC213" s="537"/>
      <c r="UQD213" s="537"/>
      <c r="UQE213" s="537"/>
      <c r="UQF213" s="537"/>
      <c r="UQG213" s="537"/>
      <c r="UQH213" s="537"/>
      <c r="UQI213" s="537"/>
      <c r="UQJ213" s="537"/>
      <c r="UQK213" s="537"/>
      <c r="UQL213" s="537"/>
      <c r="UQM213" s="537"/>
      <c r="UQN213" s="537"/>
      <c r="UQO213" s="537"/>
      <c r="UQP213" s="537"/>
      <c r="UQQ213" s="537"/>
      <c r="UQR213" s="537"/>
      <c r="UQS213" s="537"/>
      <c r="UQT213" s="537"/>
      <c r="UQU213" s="537"/>
      <c r="UQV213" s="537"/>
      <c r="UQW213" s="537"/>
      <c r="UQX213" s="537"/>
      <c r="UQY213" s="537"/>
      <c r="UQZ213" s="537"/>
      <c r="URA213" s="537"/>
      <c r="URB213" s="537"/>
      <c r="URC213" s="537"/>
      <c r="URD213" s="537"/>
      <c r="URE213" s="537"/>
      <c r="URF213" s="537"/>
      <c r="URG213" s="537"/>
      <c r="URH213" s="537"/>
      <c r="URI213" s="537"/>
      <c r="URJ213" s="537"/>
      <c r="URK213" s="537"/>
      <c r="URL213" s="537"/>
      <c r="URM213" s="537"/>
      <c r="URN213" s="537"/>
      <c r="URO213" s="537"/>
      <c r="URP213" s="537"/>
      <c r="URQ213" s="537"/>
      <c r="URR213" s="537"/>
      <c r="URS213" s="537"/>
      <c r="URT213" s="537"/>
      <c r="URU213" s="537"/>
      <c r="URV213" s="537"/>
      <c r="URW213" s="537"/>
      <c r="URX213" s="537"/>
      <c r="URY213" s="537"/>
      <c r="URZ213" s="537"/>
      <c r="USA213" s="537"/>
      <c r="USB213" s="537"/>
      <c r="USC213" s="537"/>
      <c r="USD213" s="537"/>
      <c r="USE213" s="537"/>
      <c r="USF213" s="537"/>
      <c r="USG213" s="537"/>
      <c r="USH213" s="537"/>
      <c r="USI213" s="537"/>
      <c r="USJ213" s="537"/>
      <c r="USK213" s="537"/>
      <c r="USL213" s="537"/>
      <c r="USM213" s="537"/>
      <c r="USN213" s="537"/>
      <c r="USO213" s="537"/>
      <c r="USP213" s="537"/>
      <c r="USQ213" s="537"/>
      <c r="USR213" s="537"/>
      <c r="USS213" s="537"/>
      <c r="UST213" s="537"/>
      <c r="USU213" s="537"/>
      <c r="USV213" s="537"/>
      <c r="USW213" s="537"/>
      <c r="USX213" s="537"/>
      <c r="USY213" s="537"/>
      <c r="USZ213" s="537"/>
      <c r="UTA213" s="537"/>
      <c r="UTB213" s="537"/>
      <c r="UTC213" s="537"/>
      <c r="UTD213" s="537"/>
      <c r="UTE213" s="537"/>
      <c r="UTF213" s="537"/>
      <c r="UTG213" s="537"/>
      <c r="UTH213" s="537"/>
      <c r="UTI213" s="537"/>
      <c r="UTJ213" s="537"/>
      <c r="UTK213" s="537"/>
      <c r="UTL213" s="537"/>
      <c r="UTM213" s="537"/>
      <c r="UTN213" s="537"/>
      <c r="UTO213" s="537"/>
      <c r="UTP213" s="537"/>
      <c r="UTQ213" s="537"/>
      <c r="UTR213" s="537"/>
      <c r="UTS213" s="537"/>
      <c r="UTT213" s="537"/>
      <c r="UTU213" s="537"/>
      <c r="UTV213" s="537"/>
      <c r="UTW213" s="537"/>
      <c r="UTX213" s="537"/>
      <c r="UTY213" s="537"/>
      <c r="UTZ213" s="537"/>
      <c r="UUA213" s="537"/>
      <c r="UUB213" s="537"/>
      <c r="UUC213" s="537"/>
      <c r="UUD213" s="537"/>
      <c r="UUE213" s="537"/>
      <c r="UUF213" s="537"/>
      <c r="UUG213" s="537"/>
      <c r="UUH213" s="537"/>
      <c r="UUI213" s="537"/>
      <c r="UUJ213" s="537"/>
      <c r="UUK213" s="537"/>
      <c r="UUL213" s="537"/>
      <c r="UUM213" s="537"/>
      <c r="UUN213" s="537"/>
      <c r="UUO213" s="537"/>
      <c r="UUP213" s="537"/>
      <c r="UUQ213" s="537"/>
      <c r="UUR213" s="537"/>
      <c r="UUS213" s="537"/>
      <c r="UUT213" s="537"/>
      <c r="UUU213" s="537"/>
      <c r="UUV213" s="537"/>
      <c r="UUW213" s="537"/>
      <c r="UUX213" s="537"/>
      <c r="UUY213" s="537"/>
      <c r="UUZ213" s="537"/>
      <c r="UVA213" s="537"/>
      <c r="UVB213" s="537"/>
      <c r="UVC213" s="537"/>
      <c r="UVD213" s="537"/>
      <c r="UVE213" s="537"/>
      <c r="UVF213" s="537"/>
      <c r="UVG213" s="537"/>
      <c r="UVH213" s="537"/>
      <c r="UVI213" s="537"/>
      <c r="UVJ213" s="537"/>
      <c r="UVK213" s="537"/>
      <c r="UVL213" s="537"/>
      <c r="UVM213" s="537"/>
      <c r="UVN213" s="537"/>
      <c r="UVO213" s="537"/>
      <c r="UVP213" s="537"/>
      <c r="UVQ213" s="537"/>
      <c r="UVR213" s="537"/>
      <c r="UVS213" s="537"/>
      <c r="UVT213" s="537"/>
      <c r="UVU213" s="537"/>
      <c r="UVV213" s="537"/>
      <c r="UVW213" s="537"/>
      <c r="UVX213" s="537"/>
      <c r="UVY213" s="537"/>
      <c r="UVZ213" s="537"/>
      <c r="UWA213" s="537"/>
      <c r="UWB213" s="537"/>
      <c r="UWC213" s="537"/>
      <c r="UWD213" s="537"/>
      <c r="UWE213" s="537"/>
      <c r="UWF213" s="537"/>
      <c r="UWG213" s="537"/>
      <c r="UWH213" s="537"/>
      <c r="UWI213" s="537"/>
      <c r="UWJ213" s="537"/>
      <c r="UWK213" s="537"/>
      <c r="UWL213" s="537"/>
      <c r="UWM213" s="537"/>
      <c r="UWN213" s="537"/>
      <c r="UWO213" s="537"/>
      <c r="UWP213" s="537"/>
      <c r="UWQ213" s="537"/>
      <c r="UWR213" s="537"/>
      <c r="UWS213" s="537"/>
      <c r="UWT213" s="537"/>
      <c r="UWU213" s="537"/>
      <c r="UWV213" s="537"/>
      <c r="UWW213" s="537"/>
      <c r="UWX213" s="537"/>
      <c r="UWY213" s="537"/>
      <c r="UWZ213" s="537"/>
      <c r="UXA213" s="537"/>
      <c r="UXB213" s="537"/>
      <c r="UXC213" s="537"/>
      <c r="UXD213" s="537"/>
      <c r="UXE213" s="537"/>
      <c r="UXF213" s="537"/>
      <c r="UXG213" s="537"/>
      <c r="UXH213" s="537"/>
      <c r="UXI213" s="537"/>
      <c r="UXJ213" s="537"/>
      <c r="UXK213" s="537"/>
      <c r="UXL213" s="537"/>
      <c r="UXM213" s="537"/>
      <c r="UXN213" s="537"/>
      <c r="UXO213" s="537"/>
      <c r="UXP213" s="537"/>
      <c r="UXQ213" s="537"/>
      <c r="UXR213" s="537"/>
      <c r="UXS213" s="537"/>
      <c r="UXT213" s="537"/>
      <c r="UXU213" s="537"/>
      <c r="UXV213" s="537"/>
      <c r="UXW213" s="537"/>
      <c r="UXX213" s="537"/>
      <c r="UXY213" s="537"/>
      <c r="UXZ213" s="537"/>
      <c r="UYA213" s="537"/>
      <c r="UYB213" s="537"/>
      <c r="UYC213" s="537"/>
      <c r="UYD213" s="537"/>
      <c r="UYE213" s="537"/>
      <c r="UYF213" s="537"/>
      <c r="UYG213" s="537"/>
      <c r="UYH213" s="537"/>
      <c r="UYI213" s="537"/>
      <c r="UYJ213" s="537"/>
      <c r="UYK213" s="537"/>
      <c r="UYL213" s="537"/>
      <c r="UYM213" s="537"/>
      <c r="UYN213" s="537"/>
      <c r="UYO213" s="537"/>
      <c r="UYP213" s="537"/>
      <c r="UYQ213" s="537"/>
      <c r="UYR213" s="537"/>
      <c r="UYS213" s="537"/>
      <c r="UYT213" s="537"/>
      <c r="UYU213" s="537"/>
      <c r="UYV213" s="537"/>
      <c r="UYW213" s="537"/>
      <c r="UYX213" s="537"/>
      <c r="UYY213" s="537"/>
      <c r="UYZ213" s="537"/>
      <c r="UZA213" s="537"/>
      <c r="UZB213" s="537"/>
      <c r="UZC213" s="537"/>
      <c r="UZD213" s="537"/>
      <c r="UZE213" s="537"/>
      <c r="UZF213" s="537"/>
      <c r="UZG213" s="537"/>
      <c r="UZH213" s="537"/>
      <c r="UZI213" s="537"/>
      <c r="UZJ213" s="537"/>
      <c r="UZK213" s="537"/>
      <c r="UZL213" s="537"/>
      <c r="UZM213" s="537"/>
      <c r="UZN213" s="537"/>
      <c r="UZO213" s="537"/>
      <c r="UZP213" s="537"/>
      <c r="UZQ213" s="537"/>
      <c r="UZR213" s="537"/>
      <c r="UZS213" s="537"/>
      <c r="UZT213" s="537"/>
      <c r="UZU213" s="537"/>
      <c r="UZV213" s="537"/>
      <c r="UZW213" s="537"/>
      <c r="UZX213" s="537"/>
      <c r="UZY213" s="537"/>
      <c r="UZZ213" s="537"/>
      <c r="VAA213" s="537"/>
      <c r="VAB213" s="537"/>
      <c r="VAC213" s="537"/>
      <c r="VAD213" s="537"/>
      <c r="VAE213" s="537"/>
      <c r="VAF213" s="537"/>
      <c r="VAG213" s="537"/>
      <c r="VAH213" s="537"/>
      <c r="VAI213" s="537"/>
      <c r="VAJ213" s="537"/>
      <c r="VAK213" s="537"/>
      <c r="VAL213" s="537"/>
      <c r="VAM213" s="537"/>
      <c r="VAN213" s="537"/>
      <c r="VAO213" s="537"/>
      <c r="VAP213" s="537"/>
      <c r="VAQ213" s="537"/>
      <c r="VAR213" s="537"/>
      <c r="VAS213" s="537"/>
      <c r="VAT213" s="537"/>
      <c r="VAU213" s="537"/>
      <c r="VAV213" s="537"/>
      <c r="VAW213" s="537"/>
      <c r="VAX213" s="537"/>
      <c r="VAY213" s="537"/>
      <c r="VAZ213" s="537"/>
      <c r="VBA213" s="537"/>
      <c r="VBB213" s="537"/>
      <c r="VBC213" s="537"/>
      <c r="VBD213" s="537"/>
      <c r="VBE213" s="537"/>
      <c r="VBF213" s="537"/>
      <c r="VBG213" s="537"/>
      <c r="VBH213" s="537"/>
      <c r="VBI213" s="537"/>
      <c r="VBJ213" s="537"/>
      <c r="VBK213" s="537"/>
      <c r="VBL213" s="537"/>
      <c r="VBM213" s="537"/>
      <c r="VBN213" s="537"/>
      <c r="VBO213" s="537"/>
      <c r="VBP213" s="537"/>
      <c r="VBQ213" s="537"/>
      <c r="VBR213" s="537"/>
      <c r="VBS213" s="537"/>
      <c r="VBT213" s="537"/>
      <c r="VBU213" s="537"/>
      <c r="VBV213" s="537"/>
      <c r="VBW213" s="537"/>
      <c r="VBX213" s="537"/>
      <c r="VBY213" s="537"/>
      <c r="VBZ213" s="537"/>
      <c r="VCA213" s="537"/>
      <c r="VCB213" s="537"/>
      <c r="VCC213" s="537"/>
      <c r="VCD213" s="537"/>
      <c r="VCE213" s="537"/>
      <c r="VCF213" s="537"/>
      <c r="VCG213" s="537"/>
      <c r="VCH213" s="537"/>
      <c r="VCI213" s="537"/>
      <c r="VCJ213" s="537"/>
      <c r="VCK213" s="537"/>
      <c r="VCL213" s="537"/>
      <c r="VCM213" s="537"/>
      <c r="VCN213" s="537"/>
      <c r="VCO213" s="537"/>
      <c r="VCP213" s="537"/>
      <c r="VCQ213" s="537"/>
      <c r="VCR213" s="537"/>
      <c r="VCS213" s="537"/>
      <c r="VCT213" s="537"/>
      <c r="VCU213" s="537"/>
      <c r="VCV213" s="537"/>
      <c r="VCW213" s="537"/>
      <c r="VCX213" s="537"/>
      <c r="VCY213" s="537"/>
      <c r="VCZ213" s="537"/>
      <c r="VDA213" s="537"/>
      <c r="VDB213" s="537"/>
      <c r="VDC213" s="537"/>
      <c r="VDD213" s="537"/>
      <c r="VDE213" s="537"/>
      <c r="VDF213" s="537"/>
      <c r="VDG213" s="537"/>
      <c r="VDH213" s="537"/>
      <c r="VDI213" s="537"/>
      <c r="VDJ213" s="537"/>
      <c r="VDK213" s="537"/>
      <c r="VDL213" s="537"/>
      <c r="VDM213" s="537"/>
      <c r="VDN213" s="537"/>
      <c r="VDO213" s="537"/>
      <c r="VDP213" s="537"/>
      <c r="VDQ213" s="537"/>
      <c r="VDR213" s="537"/>
      <c r="VDS213" s="537"/>
      <c r="VDT213" s="537"/>
      <c r="VDU213" s="537"/>
      <c r="VDV213" s="537"/>
      <c r="VDW213" s="537"/>
      <c r="VDX213" s="537"/>
      <c r="VDY213" s="537"/>
      <c r="VDZ213" s="537"/>
      <c r="VEA213" s="537"/>
      <c r="VEB213" s="537"/>
      <c r="VEC213" s="537"/>
      <c r="VED213" s="537"/>
      <c r="VEE213" s="537"/>
      <c r="VEF213" s="537"/>
      <c r="VEG213" s="537"/>
      <c r="VEH213" s="537"/>
      <c r="VEI213" s="537"/>
      <c r="VEJ213" s="537"/>
      <c r="VEK213" s="537"/>
      <c r="VEL213" s="537"/>
      <c r="VEM213" s="537"/>
      <c r="VEN213" s="537"/>
      <c r="VEO213" s="537"/>
      <c r="VEP213" s="537"/>
      <c r="VEQ213" s="537"/>
      <c r="VER213" s="537"/>
      <c r="VES213" s="537"/>
      <c r="VET213" s="537"/>
      <c r="VEU213" s="537"/>
      <c r="VEV213" s="537"/>
      <c r="VEW213" s="537"/>
      <c r="VEX213" s="537"/>
      <c r="VEY213" s="537"/>
      <c r="VEZ213" s="537"/>
      <c r="VFA213" s="537"/>
      <c r="VFB213" s="537"/>
      <c r="VFC213" s="537"/>
      <c r="VFD213" s="537"/>
      <c r="VFE213" s="537"/>
      <c r="VFF213" s="537"/>
      <c r="VFG213" s="537"/>
      <c r="VFH213" s="537"/>
      <c r="VFI213" s="537"/>
      <c r="VFJ213" s="537"/>
      <c r="VFK213" s="537"/>
      <c r="VFL213" s="537"/>
      <c r="VFM213" s="537"/>
      <c r="VFN213" s="537"/>
      <c r="VFO213" s="537"/>
      <c r="VFP213" s="537"/>
      <c r="VFQ213" s="537"/>
      <c r="VFR213" s="537"/>
      <c r="VFS213" s="537"/>
      <c r="VFT213" s="537"/>
      <c r="VFU213" s="537"/>
      <c r="VFV213" s="537"/>
      <c r="VFW213" s="537"/>
      <c r="VFX213" s="537"/>
      <c r="VFY213" s="537"/>
      <c r="VFZ213" s="537"/>
      <c r="VGA213" s="537"/>
      <c r="VGB213" s="537"/>
      <c r="VGC213" s="537"/>
      <c r="VGD213" s="537"/>
      <c r="VGE213" s="537"/>
      <c r="VGF213" s="537"/>
      <c r="VGG213" s="537"/>
      <c r="VGH213" s="537"/>
      <c r="VGI213" s="537"/>
      <c r="VGJ213" s="537"/>
      <c r="VGK213" s="537"/>
      <c r="VGL213" s="537"/>
      <c r="VGM213" s="537"/>
      <c r="VGN213" s="537"/>
      <c r="VGO213" s="537"/>
      <c r="VGP213" s="537"/>
      <c r="VGQ213" s="537"/>
      <c r="VGR213" s="537"/>
      <c r="VGS213" s="537"/>
      <c r="VGT213" s="537"/>
      <c r="VGU213" s="537"/>
      <c r="VGV213" s="537"/>
      <c r="VGW213" s="537"/>
      <c r="VGX213" s="537"/>
      <c r="VGY213" s="537"/>
      <c r="VGZ213" s="537"/>
      <c r="VHA213" s="537"/>
      <c r="VHB213" s="537"/>
      <c r="VHC213" s="537"/>
      <c r="VHD213" s="537"/>
      <c r="VHE213" s="537"/>
      <c r="VHF213" s="537"/>
      <c r="VHG213" s="537"/>
      <c r="VHH213" s="537"/>
      <c r="VHI213" s="537"/>
      <c r="VHJ213" s="537"/>
      <c r="VHK213" s="537"/>
      <c r="VHL213" s="537"/>
      <c r="VHM213" s="537"/>
      <c r="VHN213" s="537"/>
      <c r="VHO213" s="537"/>
      <c r="VHP213" s="537"/>
      <c r="VHQ213" s="537"/>
      <c r="VHR213" s="537"/>
      <c r="VHS213" s="537"/>
      <c r="VHT213" s="537"/>
      <c r="VHU213" s="537"/>
      <c r="VHV213" s="537"/>
      <c r="VHW213" s="537"/>
      <c r="VHX213" s="537"/>
      <c r="VHY213" s="537"/>
      <c r="VHZ213" s="537"/>
      <c r="VIA213" s="537"/>
      <c r="VIB213" s="537"/>
      <c r="VIC213" s="537"/>
      <c r="VID213" s="537"/>
      <c r="VIE213" s="537"/>
      <c r="VIF213" s="537"/>
      <c r="VIG213" s="537"/>
      <c r="VIH213" s="537"/>
      <c r="VII213" s="537"/>
      <c r="VIJ213" s="537"/>
      <c r="VIK213" s="537"/>
      <c r="VIL213" s="537"/>
      <c r="VIM213" s="537"/>
      <c r="VIN213" s="537"/>
      <c r="VIO213" s="537"/>
      <c r="VIP213" s="537"/>
      <c r="VIQ213" s="537"/>
      <c r="VIR213" s="537"/>
      <c r="VIS213" s="537"/>
      <c r="VIT213" s="537"/>
      <c r="VIU213" s="537"/>
      <c r="VIV213" s="537"/>
      <c r="VIW213" s="537"/>
      <c r="VIX213" s="537"/>
      <c r="VIY213" s="537"/>
      <c r="VIZ213" s="537"/>
      <c r="VJA213" s="537"/>
      <c r="VJB213" s="537"/>
      <c r="VJC213" s="537"/>
      <c r="VJD213" s="537"/>
      <c r="VJE213" s="537"/>
      <c r="VJF213" s="537"/>
      <c r="VJG213" s="537"/>
      <c r="VJH213" s="537"/>
      <c r="VJI213" s="537"/>
      <c r="VJJ213" s="537"/>
      <c r="VJK213" s="537"/>
      <c r="VJL213" s="537"/>
      <c r="VJM213" s="537"/>
      <c r="VJN213" s="537"/>
      <c r="VJO213" s="537"/>
      <c r="VJP213" s="537"/>
      <c r="VJQ213" s="537"/>
      <c r="VJR213" s="537"/>
      <c r="VJS213" s="537"/>
      <c r="VJT213" s="537"/>
      <c r="VJU213" s="537"/>
      <c r="VJV213" s="537"/>
      <c r="VJW213" s="537"/>
      <c r="VJX213" s="537"/>
      <c r="VJY213" s="537"/>
      <c r="VJZ213" s="537"/>
      <c r="VKA213" s="537"/>
      <c r="VKB213" s="537"/>
      <c r="VKC213" s="537"/>
      <c r="VKD213" s="537"/>
      <c r="VKE213" s="537"/>
      <c r="VKF213" s="537"/>
      <c r="VKG213" s="537"/>
      <c r="VKH213" s="537"/>
      <c r="VKI213" s="537"/>
      <c r="VKJ213" s="537"/>
      <c r="VKK213" s="537"/>
      <c r="VKL213" s="537"/>
      <c r="VKM213" s="537"/>
      <c r="VKN213" s="537"/>
      <c r="VKO213" s="537"/>
      <c r="VKP213" s="537"/>
      <c r="VKQ213" s="537"/>
      <c r="VKR213" s="537"/>
      <c r="VKS213" s="537"/>
      <c r="VKT213" s="537"/>
      <c r="VKU213" s="537"/>
      <c r="VKV213" s="537"/>
      <c r="VKW213" s="537"/>
      <c r="VKX213" s="537"/>
      <c r="VKY213" s="537"/>
      <c r="VKZ213" s="537"/>
      <c r="VLA213" s="537"/>
      <c r="VLB213" s="537"/>
      <c r="VLC213" s="537"/>
      <c r="VLD213" s="537"/>
      <c r="VLE213" s="537"/>
      <c r="VLF213" s="537"/>
      <c r="VLG213" s="537"/>
      <c r="VLH213" s="537"/>
      <c r="VLI213" s="537"/>
      <c r="VLJ213" s="537"/>
      <c r="VLK213" s="537"/>
      <c r="VLL213" s="537"/>
      <c r="VLM213" s="537"/>
      <c r="VLN213" s="537"/>
      <c r="VLO213" s="537"/>
      <c r="VLP213" s="537"/>
      <c r="VLQ213" s="537"/>
      <c r="VLR213" s="537"/>
      <c r="VLS213" s="537"/>
      <c r="VLT213" s="537"/>
      <c r="VLU213" s="537"/>
      <c r="VLV213" s="537"/>
      <c r="VLW213" s="537"/>
      <c r="VLX213" s="537"/>
      <c r="VLY213" s="537"/>
      <c r="VLZ213" s="537"/>
      <c r="VMA213" s="537"/>
      <c r="VMB213" s="537"/>
      <c r="VMC213" s="537"/>
      <c r="VMD213" s="537"/>
      <c r="VME213" s="537"/>
      <c r="VMF213" s="537"/>
      <c r="VMG213" s="537"/>
      <c r="VMH213" s="537"/>
      <c r="VMI213" s="537"/>
      <c r="VMJ213" s="537"/>
      <c r="VMK213" s="537"/>
      <c r="VML213" s="537"/>
      <c r="VMM213" s="537"/>
      <c r="VMN213" s="537"/>
      <c r="VMO213" s="537"/>
      <c r="VMP213" s="537"/>
      <c r="VMQ213" s="537"/>
      <c r="VMR213" s="537"/>
      <c r="VMS213" s="537"/>
      <c r="VMT213" s="537"/>
      <c r="VMU213" s="537"/>
      <c r="VMV213" s="537"/>
      <c r="VMW213" s="537"/>
      <c r="VMX213" s="537"/>
      <c r="VMY213" s="537"/>
      <c r="VMZ213" s="537"/>
      <c r="VNA213" s="537"/>
      <c r="VNB213" s="537"/>
      <c r="VNC213" s="537"/>
      <c r="VND213" s="537"/>
      <c r="VNE213" s="537"/>
      <c r="VNF213" s="537"/>
      <c r="VNG213" s="537"/>
      <c r="VNH213" s="537"/>
      <c r="VNI213" s="537"/>
      <c r="VNJ213" s="537"/>
      <c r="VNK213" s="537"/>
      <c r="VNL213" s="537"/>
      <c r="VNM213" s="537"/>
      <c r="VNN213" s="537"/>
      <c r="VNO213" s="537"/>
      <c r="VNP213" s="537"/>
      <c r="VNQ213" s="537"/>
      <c r="VNR213" s="537"/>
      <c r="VNS213" s="537"/>
      <c r="VNT213" s="537"/>
      <c r="VNU213" s="537"/>
      <c r="VNV213" s="537"/>
      <c r="VNW213" s="537"/>
      <c r="VNX213" s="537"/>
      <c r="VNY213" s="537"/>
      <c r="VNZ213" s="537"/>
      <c r="VOA213" s="537"/>
      <c r="VOB213" s="537"/>
      <c r="VOC213" s="537"/>
      <c r="VOD213" s="537"/>
      <c r="VOE213" s="537"/>
      <c r="VOF213" s="537"/>
      <c r="VOG213" s="537"/>
      <c r="VOH213" s="537"/>
      <c r="VOI213" s="537"/>
      <c r="VOJ213" s="537"/>
      <c r="VOK213" s="537"/>
      <c r="VOL213" s="537"/>
      <c r="VOM213" s="537"/>
      <c r="VON213" s="537"/>
      <c r="VOO213" s="537"/>
      <c r="VOP213" s="537"/>
      <c r="VOQ213" s="537"/>
      <c r="VOR213" s="537"/>
      <c r="VOS213" s="537"/>
      <c r="VOT213" s="537"/>
      <c r="VOU213" s="537"/>
      <c r="VOV213" s="537"/>
      <c r="VOW213" s="537"/>
      <c r="VOX213" s="537"/>
      <c r="VOY213" s="537"/>
      <c r="VOZ213" s="537"/>
      <c r="VPA213" s="537"/>
      <c r="VPB213" s="537"/>
      <c r="VPC213" s="537"/>
      <c r="VPD213" s="537"/>
      <c r="VPE213" s="537"/>
      <c r="VPF213" s="537"/>
      <c r="VPG213" s="537"/>
      <c r="VPH213" s="537"/>
      <c r="VPI213" s="537"/>
      <c r="VPJ213" s="537"/>
      <c r="VPK213" s="537"/>
      <c r="VPL213" s="537"/>
      <c r="VPM213" s="537"/>
      <c r="VPN213" s="537"/>
      <c r="VPO213" s="537"/>
      <c r="VPP213" s="537"/>
      <c r="VPQ213" s="537"/>
      <c r="VPR213" s="537"/>
      <c r="VPS213" s="537"/>
      <c r="VPT213" s="537"/>
      <c r="VPU213" s="537"/>
      <c r="VPV213" s="537"/>
      <c r="VPW213" s="537"/>
      <c r="VPX213" s="537"/>
      <c r="VPY213" s="537"/>
      <c r="VPZ213" s="537"/>
      <c r="VQA213" s="537"/>
      <c r="VQB213" s="537"/>
      <c r="VQC213" s="537"/>
      <c r="VQD213" s="537"/>
      <c r="VQE213" s="537"/>
      <c r="VQF213" s="537"/>
      <c r="VQG213" s="537"/>
      <c r="VQH213" s="537"/>
      <c r="VQI213" s="537"/>
      <c r="VQJ213" s="537"/>
      <c r="VQK213" s="537"/>
      <c r="VQL213" s="537"/>
      <c r="VQM213" s="537"/>
      <c r="VQN213" s="537"/>
      <c r="VQO213" s="537"/>
      <c r="VQP213" s="537"/>
      <c r="VQQ213" s="537"/>
      <c r="VQR213" s="537"/>
      <c r="VQS213" s="537"/>
      <c r="VQT213" s="537"/>
      <c r="VQU213" s="537"/>
      <c r="VQV213" s="537"/>
      <c r="VQW213" s="537"/>
      <c r="VQX213" s="537"/>
      <c r="VQY213" s="537"/>
      <c r="VQZ213" s="537"/>
      <c r="VRA213" s="537"/>
      <c r="VRB213" s="537"/>
      <c r="VRC213" s="537"/>
      <c r="VRD213" s="537"/>
      <c r="VRE213" s="537"/>
      <c r="VRF213" s="537"/>
      <c r="VRG213" s="537"/>
      <c r="VRH213" s="537"/>
      <c r="VRI213" s="537"/>
      <c r="VRJ213" s="537"/>
      <c r="VRK213" s="537"/>
      <c r="VRL213" s="537"/>
      <c r="VRM213" s="537"/>
      <c r="VRN213" s="537"/>
      <c r="VRO213" s="537"/>
      <c r="VRP213" s="537"/>
      <c r="VRQ213" s="537"/>
      <c r="VRR213" s="537"/>
      <c r="VRS213" s="537"/>
      <c r="VRT213" s="537"/>
      <c r="VRU213" s="537"/>
      <c r="VRV213" s="537"/>
      <c r="VRW213" s="537"/>
      <c r="VRX213" s="537"/>
      <c r="VRY213" s="537"/>
      <c r="VRZ213" s="537"/>
      <c r="VSA213" s="537"/>
      <c r="VSB213" s="537"/>
      <c r="VSC213" s="537"/>
      <c r="VSD213" s="537"/>
      <c r="VSE213" s="537"/>
      <c r="VSF213" s="537"/>
      <c r="VSG213" s="537"/>
      <c r="VSH213" s="537"/>
      <c r="VSI213" s="537"/>
      <c r="VSJ213" s="537"/>
      <c r="VSK213" s="537"/>
      <c r="VSL213" s="537"/>
      <c r="VSM213" s="537"/>
      <c r="VSN213" s="537"/>
      <c r="VSO213" s="537"/>
      <c r="VSP213" s="537"/>
      <c r="VSQ213" s="537"/>
      <c r="VSR213" s="537"/>
      <c r="VSS213" s="537"/>
      <c r="VST213" s="537"/>
      <c r="VSU213" s="537"/>
      <c r="VSV213" s="537"/>
      <c r="VSW213" s="537"/>
      <c r="VSX213" s="537"/>
      <c r="VSY213" s="537"/>
      <c r="VSZ213" s="537"/>
      <c r="VTA213" s="537"/>
      <c r="VTB213" s="537"/>
      <c r="VTC213" s="537"/>
      <c r="VTD213" s="537"/>
      <c r="VTE213" s="537"/>
      <c r="VTF213" s="537"/>
      <c r="VTG213" s="537"/>
      <c r="VTH213" s="537"/>
      <c r="VTI213" s="537"/>
      <c r="VTJ213" s="537"/>
      <c r="VTK213" s="537"/>
      <c r="VTL213" s="537"/>
      <c r="VTM213" s="537"/>
      <c r="VTN213" s="537"/>
      <c r="VTO213" s="537"/>
      <c r="VTP213" s="537"/>
      <c r="VTQ213" s="537"/>
      <c r="VTR213" s="537"/>
      <c r="VTS213" s="537"/>
      <c r="VTT213" s="537"/>
      <c r="VTU213" s="537"/>
      <c r="VTV213" s="537"/>
      <c r="VTW213" s="537"/>
      <c r="VTX213" s="537"/>
      <c r="VTY213" s="537"/>
      <c r="VTZ213" s="537"/>
      <c r="VUA213" s="537"/>
      <c r="VUB213" s="537"/>
      <c r="VUC213" s="537"/>
      <c r="VUD213" s="537"/>
      <c r="VUE213" s="537"/>
      <c r="VUF213" s="537"/>
      <c r="VUG213" s="537"/>
      <c r="VUH213" s="537"/>
      <c r="VUI213" s="537"/>
      <c r="VUJ213" s="537"/>
      <c r="VUK213" s="537"/>
      <c r="VUL213" s="537"/>
      <c r="VUM213" s="537"/>
      <c r="VUN213" s="537"/>
      <c r="VUO213" s="537"/>
      <c r="VUP213" s="537"/>
      <c r="VUQ213" s="537"/>
      <c r="VUR213" s="537"/>
      <c r="VUS213" s="537"/>
      <c r="VUT213" s="537"/>
      <c r="VUU213" s="537"/>
      <c r="VUV213" s="537"/>
      <c r="VUW213" s="537"/>
      <c r="VUX213" s="537"/>
      <c r="VUY213" s="537"/>
      <c r="VUZ213" s="537"/>
      <c r="VVA213" s="537"/>
      <c r="VVB213" s="537"/>
      <c r="VVC213" s="537"/>
      <c r="VVD213" s="537"/>
      <c r="VVE213" s="537"/>
      <c r="VVF213" s="537"/>
      <c r="VVG213" s="537"/>
      <c r="VVH213" s="537"/>
      <c r="VVI213" s="537"/>
      <c r="VVJ213" s="537"/>
      <c r="VVK213" s="537"/>
      <c r="VVL213" s="537"/>
      <c r="VVM213" s="537"/>
      <c r="VVN213" s="537"/>
      <c r="VVO213" s="537"/>
      <c r="VVP213" s="537"/>
      <c r="VVQ213" s="537"/>
      <c r="VVR213" s="537"/>
      <c r="VVS213" s="537"/>
      <c r="VVT213" s="537"/>
      <c r="VVU213" s="537"/>
      <c r="VVV213" s="537"/>
      <c r="VVW213" s="537"/>
      <c r="VVX213" s="537"/>
      <c r="VVY213" s="537"/>
      <c r="VVZ213" s="537"/>
      <c r="VWA213" s="537"/>
      <c r="VWB213" s="537"/>
      <c r="VWC213" s="537"/>
      <c r="VWD213" s="537"/>
      <c r="VWE213" s="537"/>
      <c r="VWF213" s="537"/>
      <c r="VWG213" s="537"/>
      <c r="VWH213" s="537"/>
      <c r="VWI213" s="537"/>
      <c r="VWJ213" s="537"/>
      <c r="VWK213" s="537"/>
      <c r="VWL213" s="537"/>
      <c r="VWM213" s="537"/>
      <c r="VWN213" s="537"/>
      <c r="VWO213" s="537"/>
      <c r="VWP213" s="537"/>
      <c r="VWQ213" s="537"/>
      <c r="VWR213" s="537"/>
      <c r="VWS213" s="537"/>
      <c r="VWT213" s="537"/>
      <c r="VWU213" s="537"/>
      <c r="VWV213" s="537"/>
      <c r="VWW213" s="537"/>
      <c r="VWX213" s="537"/>
      <c r="VWY213" s="537"/>
      <c r="VWZ213" s="537"/>
      <c r="VXA213" s="537"/>
      <c r="VXB213" s="537"/>
      <c r="VXC213" s="537"/>
      <c r="VXD213" s="537"/>
      <c r="VXE213" s="537"/>
      <c r="VXF213" s="537"/>
      <c r="VXG213" s="537"/>
      <c r="VXH213" s="537"/>
      <c r="VXI213" s="537"/>
      <c r="VXJ213" s="537"/>
      <c r="VXK213" s="537"/>
      <c r="VXL213" s="537"/>
      <c r="VXM213" s="537"/>
      <c r="VXN213" s="537"/>
      <c r="VXO213" s="537"/>
      <c r="VXP213" s="537"/>
      <c r="VXQ213" s="537"/>
      <c r="VXR213" s="537"/>
      <c r="VXS213" s="537"/>
      <c r="VXT213" s="537"/>
      <c r="VXU213" s="537"/>
      <c r="VXV213" s="537"/>
      <c r="VXW213" s="537"/>
      <c r="VXX213" s="537"/>
      <c r="VXY213" s="537"/>
      <c r="VXZ213" s="537"/>
      <c r="VYA213" s="537"/>
      <c r="VYB213" s="537"/>
      <c r="VYC213" s="537"/>
      <c r="VYD213" s="537"/>
      <c r="VYE213" s="537"/>
      <c r="VYF213" s="537"/>
      <c r="VYG213" s="537"/>
      <c r="VYH213" s="537"/>
      <c r="VYI213" s="537"/>
      <c r="VYJ213" s="537"/>
      <c r="VYK213" s="537"/>
      <c r="VYL213" s="537"/>
      <c r="VYM213" s="537"/>
      <c r="VYN213" s="537"/>
      <c r="VYO213" s="537"/>
      <c r="VYP213" s="537"/>
      <c r="VYQ213" s="537"/>
      <c r="VYR213" s="537"/>
      <c r="VYS213" s="537"/>
      <c r="VYT213" s="537"/>
      <c r="VYU213" s="537"/>
      <c r="VYV213" s="537"/>
      <c r="VYW213" s="537"/>
      <c r="VYX213" s="537"/>
      <c r="VYY213" s="537"/>
      <c r="VYZ213" s="537"/>
      <c r="VZA213" s="537"/>
      <c r="VZB213" s="537"/>
      <c r="VZC213" s="537"/>
      <c r="VZD213" s="537"/>
      <c r="VZE213" s="537"/>
      <c r="VZF213" s="537"/>
      <c r="VZG213" s="537"/>
      <c r="VZH213" s="537"/>
      <c r="VZI213" s="537"/>
      <c r="VZJ213" s="537"/>
      <c r="VZK213" s="537"/>
      <c r="VZL213" s="537"/>
      <c r="VZM213" s="537"/>
      <c r="VZN213" s="537"/>
      <c r="VZO213" s="537"/>
      <c r="VZP213" s="537"/>
      <c r="VZQ213" s="537"/>
      <c r="VZR213" s="537"/>
      <c r="VZS213" s="537"/>
      <c r="VZT213" s="537"/>
      <c r="VZU213" s="537"/>
      <c r="VZV213" s="537"/>
      <c r="VZW213" s="537"/>
      <c r="VZX213" s="537"/>
      <c r="VZY213" s="537"/>
      <c r="VZZ213" s="537"/>
      <c r="WAA213" s="537"/>
      <c r="WAB213" s="537"/>
      <c r="WAC213" s="537"/>
      <c r="WAD213" s="537"/>
      <c r="WAE213" s="537"/>
      <c r="WAF213" s="537"/>
      <c r="WAG213" s="537"/>
      <c r="WAH213" s="537"/>
      <c r="WAI213" s="537"/>
      <c r="WAJ213" s="537"/>
      <c r="WAK213" s="537"/>
      <c r="WAL213" s="537"/>
      <c r="WAM213" s="537"/>
      <c r="WAN213" s="537"/>
      <c r="WAO213" s="537"/>
      <c r="WAP213" s="537"/>
      <c r="WAQ213" s="537"/>
      <c r="WAR213" s="537"/>
      <c r="WAS213" s="537"/>
      <c r="WAT213" s="537"/>
      <c r="WAU213" s="537"/>
      <c r="WAV213" s="537"/>
      <c r="WAW213" s="537"/>
      <c r="WAX213" s="537"/>
      <c r="WAY213" s="537"/>
      <c r="WAZ213" s="537"/>
      <c r="WBA213" s="537"/>
      <c r="WBB213" s="537"/>
      <c r="WBC213" s="537"/>
      <c r="WBD213" s="537"/>
      <c r="WBE213" s="537"/>
      <c r="WBF213" s="537"/>
      <c r="WBG213" s="537"/>
      <c r="WBH213" s="537"/>
      <c r="WBI213" s="537"/>
      <c r="WBJ213" s="537"/>
      <c r="WBK213" s="537"/>
      <c r="WBL213" s="537"/>
      <c r="WBM213" s="537"/>
      <c r="WBN213" s="537"/>
      <c r="WBO213" s="537"/>
      <c r="WBP213" s="537"/>
      <c r="WBQ213" s="537"/>
      <c r="WBR213" s="537"/>
      <c r="WBS213" s="537"/>
      <c r="WBT213" s="537"/>
      <c r="WBU213" s="537"/>
      <c r="WBV213" s="537"/>
      <c r="WBW213" s="537"/>
      <c r="WBX213" s="537"/>
      <c r="WBY213" s="537"/>
      <c r="WBZ213" s="537"/>
      <c r="WCA213" s="537"/>
      <c r="WCB213" s="537"/>
      <c r="WCC213" s="537"/>
      <c r="WCD213" s="537"/>
      <c r="WCE213" s="537"/>
      <c r="WCF213" s="537"/>
      <c r="WCG213" s="537"/>
      <c r="WCH213" s="537"/>
      <c r="WCI213" s="537"/>
      <c r="WCJ213" s="537"/>
      <c r="WCK213" s="537"/>
      <c r="WCL213" s="537"/>
      <c r="WCM213" s="537"/>
      <c r="WCN213" s="537"/>
      <c r="WCO213" s="537"/>
      <c r="WCP213" s="537"/>
      <c r="WCQ213" s="537"/>
      <c r="WCR213" s="537"/>
      <c r="WCS213" s="537"/>
      <c r="WCT213" s="537"/>
      <c r="WCU213" s="537"/>
      <c r="WCV213" s="537"/>
      <c r="WCW213" s="537"/>
      <c r="WCX213" s="537"/>
      <c r="WCY213" s="537"/>
      <c r="WCZ213" s="537"/>
      <c r="WDA213" s="537"/>
      <c r="WDB213" s="537"/>
      <c r="WDC213" s="537"/>
      <c r="WDD213" s="537"/>
      <c r="WDE213" s="537"/>
      <c r="WDF213" s="537"/>
      <c r="WDG213" s="537"/>
      <c r="WDH213" s="537"/>
      <c r="WDI213" s="537"/>
      <c r="WDJ213" s="537"/>
      <c r="WDK213" s="537"/>
      <c r="WDL213" s="537"/>
      <c r="WDM213" s="537"/>
      <c r="WDN213" s="537"/>
      <c r="WDO213" s="537"/>
      <c r="WDP213" s="537"/>
      <c r="WDQ213" s="537"/>
      <c r="WDR213" s="537"/>
      <c r="WDS213" s="537"/>
      <c r="WDT213" s="537"/>
      <c r="WDU213" s="537"/>
      <c r="WDV213" s="537"/>
      <c r="WDW213" s="537"/>
      <c r="WDX213" s="537"/>
      <c r="WDY213" s="537"/>
      <c r="WDZ213" s="537"/>
      <c r="WEA213" s="537"/>
      <c r="WEB213" s="537"/>
      <c r="WEC213" s="537"/>
      <c r="WED213" s="537"/>
      <c r="WEE213" s="537"/>
      <c r="WEF213" s="537"/>
      <c r="WEG213" s="537"/>
      <c r="WEH213" s="537"/>
      <c r="WEI213" s="537"/>
      <c r="WEJ213" s="537"/>
      <c r="WEK213" s="537"/>
      <c r="WEL213" s="537"/>
      <c r="WEM213" s="537"/>
      <c r="WEN213" s="537"/>
      <c r="WEO213" s="537"/>
      <c r="WEP213" s="537"/>
      <c r="WEQ213" s="537"/>
      <c r="WER213" s="537"/>
      <c r="WES213" s="537"/>
      <c r="WET213" s="537"/>
      <c r="WEU213" s="537"/>
      <c r="WEV213" s="537"/>
      <c r="WEW213" s="537"/>
      <c r="WEX213" s="537"/>
      <c r="WEY213" s="537"/>
      <c r="WEZ213" s="537"/>
      <c r="WFA213" s="537"/>
      <c r="WFB213" s="537"/>
      <c r="WFC213" s="537"/>
      <c r="WFD213" s="537"/>
      <c r="WFE213" s="537"/>
      <c r="WFF213" s="537"/>
      <c r="WFG213" s="537"/>
      <c r="WFH213" s="537"/>
      <c r="WFI213" s="537"/>
      <c r="WFJ213" s="537"/>
      <c r="WFK213" s="537"/>
      <c r="WFL213" s="537"/>
      <c r="WFM213" s="537"/>
      <c r="WFN213" s="537"/>
      <c r="WFO213" s="537"/>
      <c r="WFP213" s="537"/>
      <c r="WFQ213" s="537"/>
      <c r="WFR213" s="537"/>
      <c r="WFS213" s="537"/>
      <c r="WFT213" s="537"/>
      <c r="WFU213" s="537"/>
      <c r="WFV213" s="537"/>
      <c r="WFW213" s="537"/>
      <c r="WFX213" s="537"/>
      <c r="WFY213" s="537"/>
      <c r="WFZ213" s="537"/>
      <c r="WGA213" s="537"/>
      <c r="WGB213" s="537"/>
      <c r="WGC213" s="537"/>
      <c r="WGD213" s="537"/>
      <c r="WGE213" s="537"/>
      <c r="WGF213" s="537"/>
      <c r="WGG213" s="537"/>
      <c r="WGH213" s="537"/>
      <c r="WGI213" s="537"/>
      <c r="WGJ213" s="537"/>
      <c r="WGK213" s="537"/>
      <c r="WGL213" s="537"/>
      <c r="WGM213" s="537"/>
      <c r="WGN213" s="537"/>
      <c r="WGO213" s="537"/>
      <c r="WGP213" s="537"/>
      <c r="WGQ213" s="537"/>
      <c r="WGR213" s="537"/>
      <c r="WGS213" s="537"/>
      <c r="WGT213" s="537"/>
      <c r="WGU213" s="537"/>
      <c r="WGV213" s="537"/>
      <c r="WGW213" s="537"/>
      <c r="WGX213" s="537"/>
      <c r="WGY213" s="537"/>
      <c r="WGZ213" s="537"/>
      <c r="WHA213" s="537"/>
      <c r="WHB213" s="537"/>
      <c r="WHC213" s="537"/>
      <c r="WHD213" s="537"/>
      <c r="WHE213" s="537"/>
      <c r="WHF213" s="537"/>
      <c r="WHG213" s="537"/>
      <c r="WHH213" s="537"/>
      <c r="WHI213" s="537"/>
      <c r="WHJ213" s="537"/>
      <c r="WHK213" s="537"/>
      <c r="WHL213" s="537"/>
      <c r="WHM213" s="537"/>
      <c r="WHN213" s="537"/>
      <c r="WHO213" s="537"/>
      <c r="WHP213" s="537"/>
      <c r="WHQ213" s="537"/>
      <c r="WHR213" s="537"/>
      <c r="WHS213" s="537"/>
      <c r="WHT213" s="537"/>
      <c r="WHU213" s="537"/>
      <c r="WHV213" s="537"/>
      <c r="WHW213" s="537"/>
      <c r="WHX213" s="537"/>
      <c r="WHY213" s="537"/>
      <c r="WHZ213" s="537"/>
      <c r="WIA213" s="537"/>
      <c r="WIB213" s="537"/>
      <c r="WIC213" s="537"/>
      <c r="WID213" s="537"/>
      <c r="WIE213" s="537"/>
      <c r="WIF213" s="537"/>
      <c r="WIG213" s="537"/>
      <c r="WIH213" s="537"/>
      <c r="WII213" s="537"/>
      <c r="WIJ213" s="537"/>
      <c r="WIK213" s="537"/>
      <c r="WIL213" s="537"/>
      <c r="WIM213" s="537"/>
      <c r="WIN213" s="537"/>
      <c r="WIO213" s="537"/>
      <c r="WIP213" s="537"/>
      <c r="WIQ213" s="537"/>
      <c r="WIR213" s="537"/>
      <c r="WIS213" s="537"/>
      <c r="WIT213" s="537"/>
      <c r="WIU213" s="537"/>
      <c r="WIV213" s="537"/>
      <c r="WIW213" s="537"/>
      <c r="WIX213" s="537"/>
      <c r="WIY213" s="537"/>
      <c r="WIZ213" s="537"/>
      <c r="WJA213" s="537"/>
      <c r="WJB213" s="537"/>
      <c r="WJC213" s="537"/>
      <c r="WJD213" s="537"/>
      <c r="WJE213" s="537"/>
      <c r="WJF213" s="537"/>
      <c r="WJG213" s="537"/>
      <c r="WJH213" s="537"/>
      <c r="WJI213" s="537"/>
      <c r="WJJ213" s="537"/>
      <c r="WJK213" s="537"/>
      <c r="WJL213" s="537"/>
      <c r="WJM213" s="537"/>
      <c r="WJN213" s="537"/>
      <c r="WJO213" s="537"/>
      <c r="WJP213" s="537"/>
      <c r="WJQ213" s="537"/>
      <c r="WJR213" s="537"/>
      <c r="WJS213" s="537"/>
      <c r="WJT213" s="537"/>
      <c r="WJU213" s="537"/>
      <c r="WJV213" s="537"/>
      <c r="WJW213" s="537"/>
      <c r="WJX213" s="537"/>
      <c r="WJY213" s="537"/>
      <c r="WJZ213" s="537"/>
      <c r="WKA213" s="537"/>
      <c r="WKB213" s="537"/>
      <c r="WKC213" s="537"/>
      <c r="WKD213" s="537"/>
      <c r="WKE213" s="537"/>
      <c r="WKF213" s="537"/>
      <c r="WKG213" s="537"/>
      <c r="WKH213" s="537"/>
      <c r="WKI213" s="537"/>
      <c r="WKJ213" s="537"/>
      <c r="WKK213" s="537"/>
      <c r="WKL213" s="537"/>
      <c r="WKM213" s="537"/>
      <c r="WKN213" s="537"/>
      <c r="WKO213" s="537"/>
      <c r="WKP213" s="537"/>
      <c r="WKQ213" s="537"/>
      <c r="WKR213" s="537"/>
      <c r="WKS213" s="537"/>
      <c r="WKT213" s="537"/>
      <c r="WKU213" s="537"/>
      <c r="WKV213" s="537"/>
      <c r="WKW213" s="537"/>
      <c r="WKX213" s="537"/>
      <c r="WKY213" s="537"/>
      <c r="WKZ213" s="537"/>
      <c r="WLA213" s="537"/>
      <c r="WLB213" s="537"/>
      <c r="WLC213" s="537"/>
      <c r="WLD213" s="537"/>
      <c r="WLE213" s="537"/>
      <c r="WLF213" s="537"/>
      <c r="WLG213" s="537"/>
      <c r="WLH213" s="537"/>
      <c r="WLI213" s="537"/>
      <c r="WLJ213" s="537"/>
      <c r="WLK213" s="537"/>
      <c r="WLL213" s="537"/>
      <c r="WLM213" s="537"/>
      <c r="WLN213" s="537"/>
      <c r="WLO213" s="537"/>
      <c r="WLP213" s="537"/>
      <c r="WLQ213" s="537"/>
      <c r="WLR213" s="537"/>
      <c r="WLS213" s="537"/>
      <c r="WLT213" s="537"/>
      <c r="WLU213" s="537"/>
      <c r="WLV213" s="537"/>
      <c r="WLW213" s="537"/>
      <c r="WLX213" s="537"/>
      <c r="WLY213" s="537"/>
      <c r="WLZ213" s="537"/>
      <c r="WMA213" s="537"/>
      <c r="WMB213" s="537"/>
      <c r="WMC213" s="537"/>
      <c r="WMD213" s="537"/>
      <c r="WME213" s="537"/>
      <c r="WMF213" s="537"/>
      <c r="WMG213" s="537"/>
      <c r="WMH213" s="537"/>
      <c r="WMI213" s="537"/>
      <c r="WMJ213" s="537"/>
      <c r="WMK213" s="537"/>
      <c r="WML213" s="537"/>
      <c r="WMM213" s="537"/>
      <c r="WMN213" s="537"/>
      <c r="WMO213" s="537"/>
      <c r="WMP213" s="537"/>
      <c r="WMQ213" s="537"/>
      <c r="WMR213" s="537"/>
      <c r="WMS213" s="537"/>
      <c r="WMT213" s="537"/>
      <c r="WMU213" s="537"/>
      <c r="WMV213" s="537"/>
      <c r="WMW213" s="537"/>
      <c r="WMX213" s="537"/>
      <c r="WMY213" s="537"/>
      <c r="WMZ213" s="537"/>
      <c r="WNA213" s="537"/>
      <c r="WNB213" s="537"/>
      <c r="WNC213" s="537"/>
      <c r="WND213" s="537"/>
      <c r="WNE213" s="537"/>
      <c r="WNF213" s="537"/>
      <c r="WNG213" s="537"/>
      <c r="WNH213" s="537"/>
      <c r="WNI213" s="537"/>
      <c r="WNJ213" s="537"/>
      <c r="WNK213" s="537"/>
      <c r="WNL213" s="537"/>
      <c r="WNM213" s="537"/>
      <c r="WNN213" s="537"/>
      <c r="WNO213" s="537"/>
      <c r="WNP213" s="537"/>
      <c r="WNQ213" s="537"/>
      <c r="WNR213" s="537"/>
      <c r="WNS213" s="537"/>
      <c r="WNT213" s="537"/>
      <c r="WNU213" s="537"/>
      <c r="WNV213" s="537"/>
      <c r="WNW213" s="537"/>
      <c r="WNX213" s="537"/>
      <c r="WNY213" s="537"/>
      <c r="WNZ213" s="537"/>
      <c r="WOA213" s="537"/>
      <c r="WOB213" s="537"/>
      <c r="WOC213" s="537"/>
      <c r="WOD213" s="537"/>
      <c r="WOE213" s="537"/>
      <c r="WOF213" s="537"/>
      <c r="WOG213" s="537"/>
      <c r="WOH213" s="537"/>
      <c r="WOI213" s="537"/>
      <c r="WOJ213" s="537"/>
      <c r="WOK213" s="537"/>
      <c r="WOL213" s="537"/>
      <c r="WOM213" s="537"/>
      <c r="WON213" s="537"/>
      <c r="WOO213" s="537"/>
      <c r="WOP213" s="537"/>
      <c r="WOQ213" s="537"/>
      <c r="WOR213" s="537"/>
      <c r="WOS213" s="537"/>
      <c r="WOT213" s="537"/>
      <c r="WOU213" s="537"/>
      <c r="WOV213" s="537"/>
      <c r="WOW213" s="537"/>
      <c r="WOX213" s="537"/>
      <c r="WOY213" s="537"/>
      <c r="WOZ213" s="537"/>
      <c r="WPA213" s="537"/>
      <c r="WPB213" s="537"/>
      <c r="WPC213" s="537"/>
      <c r="WPD213" s="537"/>
      <c r="WPE213" s="537"/>
      <c r="WPF213" s="537"/>
      <c r="WPG213" s="537"/>
      <c r="WPH213" s="537"/>
      <c r="WPI213" s="537"/>
      <c r="WPJ213" s="537"/>
      <c r="WPK213" s="537"/>
      <c r="WPL213" s="537"/>
      <c r="WPM213" s="537"/>
      <c r="WPN213" s="537"/>
      <c r="WPO213" s="537"/>
      <c r="WPP213" s="537"/>
      <c r="WPQ213" s="537"/>
      <c r="WPR213" s="537"/>
      <c r="WPS213" s="537"/>
      <c r="WPT213" s="537"/>
      <c r="WPU213" s="537"/>
      <c r="WPV213" s="537"/>
      <c r="WPW213" s="537"/>
      <c r="WPX213" s="537"/>
      <c r="WPY213" s="537"/>
      <c r="WPZ213" s="537"/>
      <c r="WQA213" s="537"/>
      <c r="WQB213" s="537"/>
      <c r="WQC213" s="537"/>
      <c r="WQD213" s="537"/>
      <c r="WQE213" s="537"/>
      <c r="WQF213" s="537"/>
      <c r="WQG213" s="537"/>
      <c r="WQH213" s="537"/>
      <c r="WQI213" s="537"/>
      <c r="WQJ213" s="537"/>
      <c r="WQK213" s="537"/>
      <c r="WQL213" s="537"/>
      <c r="WQM213" s="537"/>
      <c r="WQN213" s="537"/>
      <c r="WQO213" s="537"/>
      <c r="WQP213" s="537"/>
      <c r="WQQ213" s="537"/>
      <c r="WQR213" s="537"/>
      <c r="WQS213" s="537"/>
      <c r="WQT213" s="537"/>
      <c r="WQU213" s="537"/>
      <c r="WQV213" s="537"/>
      <c r="WQW213" s="537"/>
      <c r="WQX213" s="537"/>
      <c r="WQY213" s="537"/>
      <c r="WQZ213" s="537"/>
      <c r="WRA213" s="537"/>
      <c r="WRB213" s="537"/>
      <c r="WRC213" s="537"/>
      <c r="WRD213" s="537"/>
      <c r="WRE213" s="537"/>
      <c r="WRF213" s="537"/>
      <c r="WRG213" s="537"/>
      <c r="WRH213" s="537"/>
      <c r="WRI213" s="537"/>
      <c r="WRJ213" s="537"/>
      <c r="WRK213" s="537"/>
      <c r="WRL213" s="537"/>
      <c r="WRM213" s="537"/>
      <c r="WRN213" s="537"/>
      <c r="WRO213" s="537"/>
      <c r="WRP213" s="537"/>
      <c r="WRQ213" s="537"/>
      <c r="WRR213" s="537"/>
      <c r="WRS213" s="537"/>
      <c r="WRT213" s="537"/>
      <c r="WRU213" s="537"/>
      <c r="WRV213" s="537"/>
      <c r="WRW213" s="537"/>
      <c r="WRX213" s="537"/>
      <c r="WRY213" s="537"/>
      <c r="WRZ213" s="537"/>
      <c r="WSA213" s="537"/>
      <c r="WSB213" s="537"/>
      <c r="WSC213" s="537"/>
      <c r="WSD213" s="537"/>
      <c r="WSE213" s="537"/>
      <c r="WSF213" s="537"/>
      <c r="WSG213" s="537"/>
      <c r="WSH213" s="537"/>
      <c r="WSI213" s="537"/>
      <c r="WSJ213" s="537"/>
      <c r="WSK213" s="537"/>
      <c r="WSL213" s="537"/>
      <c r="WSM213" s="537"/>
      <c r="WSN213" s="537"/>
      <c r="WSO213" s="537"/>
      <c r="WSP213" s="537"/>
      <c r="WSQ213" s="537"/>
      <c r="WSR213" s="537"/>
      <c r="WSS213" s="537"/>
      <c r="WST213" s="537"/>
      <c r="WSU213" s="537"/>
      <c r="WSV213" s="537"/>
      <c r="WSW213" s="537"/>
      <c r="WSX213" s="537"/>
      <c r="WSY213" s="537"/>
      <c r="WSZ213" s="537"/>
      <c r="WTA213" s="537"/>
      <c r="WTB213" s="537"/>
      <c r="WTC213" s="537"/>
      <c r="WTD213" s="537"/>
      <c r="WTE213" s="537"/>
      <c r="WTF213" s="537"/>
      <c r="WTG213" s="537"/>
      <c r="WTH213" s="537"/>
      <c r="WTI213" s="537"/>
      <c r="WTJ213" s="537"/>
      <c r="WTK213" s="537"/>
      <c r="WTL213" s="537"/>
      <c r="WTM213" s="537"/>
      <c r="WTN213" s="537"/>
      <c r="WTO213" s="537"/>
      <c r="WTP213" s="537"/>
      <c r="WTQ213" s="537"/>
      <c r="WTR213" s="537"/>
      <c r="WTS213" s="537"/>
      <c r="WTT213" s="537"/>
      <c r="WTU213" s="537"/>
      <c r="WTV213" s="537"/>
      <c r="WTW213" s="537"/>
      <c r="WTX213" s="537"/>
      <c r="WTY213" s="537"/>
      <c r="WTZ213" s="537"/>
      <c r="WUA213" s="537"/>
      <c r="WUB213" s="537"/>
      <c r="WUC213" s="537"/>
      <c r="WUD213" s="537"/>
      <c r="WUE213" s="537"/>
      <c r="WUF213" s="537"/>
      <c r="WUG213" s="537"/>
      <c r="WUH213" s="537"/>
      <c r="WUI213" s="537"/>
      <c r="WUJ213" s="537"/>
      <c r="WUK213" s="537"/>
      <c r="WUL213" s="537"/>
      <c r="WUM213" s="537"/>
      <c r="WUN213" s="537"/>
      <c r="WUO213" s="537"/>
      <c r="WUP213" s="537"/>
      <c r="WUQ213" s="537"/>
      <c r="WUR213" s="537"/>
      <c r="WUS213" s="537"/>
      <c r="WUT213" s="537"/>
      <c r="WUU213" s="537"/>
      <c r="WUV213" s="537"/>
      <c r="WUW213" s="537"/>
      <c r="WUX213" s="537"/>
      <c r="WUY213" s="537"/>
      <c r="WUZ213" s="537"/>
      <c r="WVA213" s="537"/>
      <c r="WVB213" s="537"/>
      <c r="WVC213" s="537"/>
      <c r="WVD213" s="537"/>
      <c r="WVE213" s="537"/>
      <c r="WVF213" s="537"/>
      <c r="WVG213" s="537"/>
      <c r="WVH213" s="537"/>
      <c r="WVI213" s="537"/>
      <c r="WVJ213" s="537"/>
      <c r="WVK213" s="537"/>
      <c r="WVL213" s="537"/>
      <c r="WVM213" s="537"/>
      <c r="WVN213" s="537"/>
      <c r="WVO213" s="537"/>
      <c r="WVP213" s="537"/>
      <c r="WVQ213" s="537"/>
      <c r="WVR213" s="537"/>
      <c r="WVS213" s="537"/>
      <c r="WVT213" s="537"/>
      <c r="WVU213" s="537"/>
      <c r="WVV213" s="537"/>
      <c r="WVW213" s="537"/>
      <c r="WVX213" s="537"/>
      <c r="WVY213" s="537"/>
      <c r="WVZ213" s="537"/>
      <c r="WWA213" s="537"/>
      <c r="WWB213" s="537"/>
      <c r="WWC213" s="537"/>
      <c r="WWD213" s="537"/>
      <c r="WWE213" s="537"/>
      <c r="WWF213" s="537"/>
      <c r="WWG213" s="537"/>
      <c r="WWH213" s="537"/>
      <c r="WWI213" s="537"/>
      <c r="WWJ213" s="537"/>
      <c r="WWK213" s="537"/>
      <c r="WWL213" s="537"/>
      <c r="WWM213" s="537"/>
      <c r="WWN213" s="537"/>
      <c r="WWO213" s="537"/>
      <c r="WWP213" s="537"/>
      <c r="WWQ213" s="537"/>
      <c r="WWR213" s="537"/>
      <c r="WWS213" s="537"/>
      <c r="WWT213" s="537"/>
      <c r="WWU213" s="537"/>
      <c r="WWV213" s="537"/>
      <c r="WWW213" s="537"/>
      <c r="WWX213" s="537"/>
      <c r="WWY213" s="537"/>
      <c r="WWZ213" s="537"/>
      <c r="WXA213" s="537"/>
      <c r="WXB213" s="537"/>
      <c r="WXC213" s="537"/>
      <c r="WXD213" s="537"/>
      <c r="WXE213" s="537"/>
      <c r="WXF213" s="537"/>
      <c r="WXG213" s="537"/>
      <c r="WXH213" s="537"/>
      <c r="WXI213" s="537"/>
      <c r="WXJ213" s="537"/>
      <c r="WXK213" s="537"/>
      <c r="WXL213" s="537"/>
      <c r="WXM213" s="537"/>
      <c r="WXN213" s="537"/>
      <c r="WXO213" s="537"/>
      <c r="WXP213" s="537"/>
      <c r="WXQ213" s="537"/>
      <c r="WXR213" s="537"/>
      <c r="WXS213" s="537"/>
      <c r="WXT213" s="537"/>
      <c r="WXU213" s="537"/>
      <c r="WXV213" s="537"/>
      <c r="WXW213" s="537"/>
      <c r="WXX213" s="537"/>
      <c r="WXY213" s="537"/>
      <c r="WXZ213" s="537"/>
      <c r="WYA213" s="537"/>
      <c r="WYB213" s="537"/>
      <c r="WYC213" s="537"/>
      <c r="WYD213" s="537"/>
      <c r="WYE213" s="537"/>
      <c r="WYF213" s="537"/>
      <c r="WYG213" s="537"/>
      <c r="WYH213" s="537"/>
      <c r="WYI213" s="537"/>
      <c r="WYJ213" s="537"/>
      <c r="WYK213" s="537"/>
      <c r="WYL213" s="537"/>
      <c r="WYM213" s="537"/>
      <c r="WYN213" s="537"/>
      <c r="WYO213" s="537"/>
      <c r="WYP213" s="537"/>
      <c r="WYQ213" s="537"/>
      <c r="WYR213" s="537"/>
      <c r="WYS213" s="537"/>
      <c r="WYT213" s="537"/>
      <c r="WYU213" s="537"/>
      <c r="WYV213" s="537"/>
      <c r="WYW213" s="537"/>
      <c r="WYX213" s="537"/>
      <c r="WYY213" s="537"/>
      <c r="WYZ213" s="537"/>
      <c r="WZA213" s="537"/>
      <c r="WZB213" s="537"/>
      <c r="WZC213" s="537"/>
      <c r="WZD213" s="537"/>
      <c r="WZE213" s="537"/>
      <c r="WZF213" s="537"/>
      <c r="WZG213" s="537"/>
      <c r="WZH213" s="537"/>
      <c r="WZI213" s="537"/>
      <c r="WZJ213" s="537"/>
      <c r="WZK213" s="537"/>
      <c r="WZL213" s="537"/>
      <c r="WZM213" s="537"/>
      <c r="WZN213" s="537"/>
      <c r="WZO213" s="537"/>
      <c r="WZP213" s="537"/>
      <c r="WZQ213" s="537"/>
      <c r="WZR213" s="537"/>
      <c r="WZS213" s="537"/>
      <c r="WZT213" s="537"/>
      <c r="WZU213" s="537"/>
      <c r="WZV213" s="537"/>
      <c r="WZW213" s="537"/>
      <c r="WZX213" s="537"/>
      <c r="WZY213" s="537"/>
      <c r="WZZ213" s="537"/>
      <c r="XAA213" s="537"/>
      <c r="XAB213" s="537"/>
      <c r="XAC213" s="537"/>
      <c r="XAD213" s="537"/>
      <c r="XAE213" s="537"/>
      <c r="XAF213" s="537"/>
      <c r="XAG213" s="537"/>
      <c r="XAH213" s="537"/>
      <c r="XAI213" s="537"/>
      <c r="XAJ213" s="537"/>
      <c r="XAK213" s="537"/>
      <c r="XAL213" s="537"/>
      <c r="XAM213" s="537"/>
      <c r="XAN213" s="537"/>
      <c r="XAO213" s="537"/>
      <c r="XAP213" s="537"/>
      <c r="XAQ213" s="537"/>
      <c r="XAR213" s="537"/>
      <c r="XAS213" s="537"/>
      <c r="XAT213" s="537"/>
      <c r="XAU213" s="537"/>
      <c r="XAV213" s="537"/>
      <c r="XAW213" s="537"/>
      <c r="XAX213" s="537"/>
      <c r="XAY213" s="537"/>
      <c r="XAZ213" s="537"/>
      <c r="XBA213" s="537"/>
      <c r="XBB213" s="537"/>
      <c r="XBC213" s="537"/>
      <c r="XBD213" s="537"/>
      <c r="XBE213" s="537"/>
      <c r="XBF213" s="537"/>
      <c r="XBG213" s="537"/>
      <c r="XBH213" s="537"/>
      <c r="XBI213" s="537"/>
      <c r="XBJ213" s="537"/>
      <c r="XBK213" s="537"/>
      <c r="XBL213" s="537"/>
      <c r="XBM213" s="537"/>
      <c r="XBN213" s="537"/>
      <c r="XBO213" s="537"/>
      <c r="XBP213" s="537"/>
      <c r="XBQ213" s="537"/>
      <c r="XBR213" s="537"/>
      <c r="XBS213" s="537"/>
      <c r="XBT213" s="537"/>
      <c r="XBU213" s="537"/>
      <c r="XBV213" s="537"/>
      <c r="XBW213" s="537"/>
      <c r="XBX213" s="537"/>
      <c r="XBY213" s="537"/>
      <c r="XBZ213" s="537"/>
      <c r="XCA213" s="537"/>
      <c r="XCB213" s="537"/>
      <c r="XCC213" s="537"/>
      <c r="XCD213" s="537"/>
      <c r="XCE213" s="537"/>
      <c r="XCF213" s="537"/>
      <c r="XCG213" s="537"/>
      <c r="XCH213" s="537"/>
      <c r="XCI213" s="537"/>
      <c r="XCJ213" s="537"/>
      <c r="XCK213" s="537"/>
      <c r="XCL213" s="537"/>
      <c r="XCM213" s="537"/>
      <c r="XCN213" s="537"/>
      <c r="XCO213" s="537"/>
      <c r="XCP213" s="537"/>
      <c r="XCQ213" s="537"/>
      <c r="XCR213" s="537"/>
      <c r="XCS213" s="537"/>
      <c r="XCT213" s="537"/>
      <c r="XCU213" s="537"/>
      <c r="XCV213" s="537"/>
      <c r="XCW213" s="537"/>
      <c r="XCX213" s="537"/>
      <c r="XCY213" s="537"/>
      <c r="XCZ213" s="537"/>
      <c r="XDA213" s="537"/>
      <c r="XDB213" s="537"/>
      <c r="XDC213" s="537"/>
      <c r="XDD213" s="537"/>
      <c r="XDE213" s="537"/>
      <c r="XDF213" s="537"/>
      <c r="XDG213" s="537"/>
      <c r="XDH213" s="537"/>
      <c r="XDI213" s="537"/>
      <c r="XDJ213" s="537"/>
      <c r="XDK213" s="537"/>
      <c r="XDL213" s="537"/>
      <c r="XDM213" s="537"/>
      <c r="XDN213" s="537"/>
      <c r="XDO213" s="537"/>
      <c r="XDP213" s="537"/>
      <c r="XDQ213" s="537"/>
      <c r="XDR213" s="537"/>
      <c r="XDS213" s="537"/>
      <c r="XDT213" s="537"/>
      <c r="XDU213" s="537"/>
      <c r="XDV213" s="537"/>
      <c r="XDW213" s="537"/>
      <c r="XDX213" s="537"/>
      <c r="XDY213" s="537"/>
      <c r="XDZ213" s="537"/>
      <c r="XEA213" s="537"/>
      <c r="XEB213" s="537"/>
      <c r="XEC213" s="537"/>
      <c r="XED213" s="537"/>
      <c r="XEE213" s="537"/>
      <c r="XEF213" s="537"/>
      <c r="XEG213" s="537"/>
      <c r="XEH213" s="537"/>
      <c r="XEI213" s="537"/>
      <c r="XEJ213" s="537"/>
      <c r="XEK213" s="537"/>
      <c r="XEL213" s="537"/>
      <c r="XEM213" s="537"/>
      <c r="XEN213" s="537"/>
      <c r="XEO213" s="537"/>
      <c r="XEP213" s="537"/>
      <c r="XEQ213" s="537"/>
      <c r="XER213" s="537"/>
      <c r="XES213" s="537"/>
      <c r="XET213" s="537"/>
      <c r="XEU213" s="537"/>
      <c r="XEV213" s="537"/>
      <c r="XEW213" s="537"/>
      <c r="XEX213" s="537"/>
      <c r="XEY213" s="537"/>
      <c r="XEZ213" s="537"/>
      <c r="XFA213" s="537"/>
      <c r="XFB213" s="537"/>
      <c r="XFC213" s="537"/>
      <c r="XFD213" s="537"/>
    </row>
    <row r="214" spans="1:16384">
      <c r="A214" s="279">
        <v>44197</v>
      </c>
      <c r="B214" s="26">
        <v>59.106999999999999</v>
      </c>
      <c r="C214" s="26">
        <v>10.211</v>
      </c>
      <c r="D214" s="26">
        <v>40.271000000000001</v>
      </c>
      <c r="E214" s="26">
        <v>64.680999999999997</v>
      </c>
      <c r="F214" s="26">
        <v>64.688999999999993</v>
      </c>
      <c r="G214" s="26">
        <v>10.51</v>
      </c>
      <c r="H214" s="26">
        <v>52.884</v>
      </c>
      <c r="I214" s="26">
        <v>68.850999999999999</v>
      </c>
      <c r="J214" s="26">
        <v>64.17</v>
      </c>
      <c r="K214" s="26">
        <v>66.004999999999995</v>
      </c>
      <c r="L214" s="26">
        <v>48.332000000000001</v>
      </c>
      <c r="M214" s="26">
        <v>0</v>
      </c>
      <c r="N214" s="26">
        <v>32.866999999999997</v>
      </c>
      <c r="O214" s="26">
        <v>36.383000000000003</v>
      </c>
      <c r="P214" s="26">
        <v>0</v>
      </c>
      <c r="Q214" s="26">
        <v>9.3187999999999995</v>
      </c>
      <c r="R214" s="26">
        <v>10.535</v>
      </c>
      <c r="S214" s="26">
        <v>42.765000000000001</v>
      </c>
      <c r="T214" s="26">
        <v>1.8383</v>
      </c>
      <c r="U214" s="26">
        <v>3.7724000000000002</v>
      </c>
      <c r="V214" s="26">
        <v>63.283999999999999</v>
      </c>
      <c r="W214" s="26">
        <v>3.7667999999999999</v>
      </c>
      <c r="X214" s="26">
        <v>42.085000000000001</v>
      </c>
      <c r="Y214" s="26">
        <v>172.87</v>
      </c>
      <c r="Z214" s="26">
        <v>76.212000000000003</v>
      </c>
      <c r="AA214" s="26">
        <v>11.529</v>
      </c>
      <c r="AB214" s="26">
        <v>5.6928999999999998</v>
      </c>
      <c r="AC214" s="26">
        <v>58.326999999999998</v>
      </c>
      <c r="AD214" s="26">
        <v>43.421999999999997</v>
      </c>
      <c r="AE214" s="26">
        <v>1.3675999999999999</v>
      </c>
      <c r="AF214" s="26">
        <v>39.901000000000003</v>
      </c>
      <c r="AG214" s="26">
        <v>61.277000000000001</v>
      </c>
      <c r="AH214" s="26">
        <v>52.923000000000002</v>
      </c>
      <c r="AI214" s="26">
        <v>65.644000000000005</v>
      </c>
      <c r="AJ214" s="26">
        <v>32.994</v>
      </c>
      <c r="AK214" s="26">
        <v>61.383000000000003</v>
      </c>
      <c r="AL214" s="26">
        <v>0</v>
      </c>
      <c r="AM214" s="26">
        <v>0</v>
      </c>
      <c r="AN214" s="26">
        <v>9.3026999999999997</v>
      </c>
      <c r="AO214" s="26">
        <v>44.350999999999999</v>
      </c>
      <c r="AP214" s="26">
        <v>66.004999999999995</v>
      </c>
      <c r="AQ214" s="26">
        <v>23.65</v>
      </c>
      <c r="AR214" s="26">
        <v>46.887999999999998</v>
      </c>
      <c r="AS214" s="26">
        <v>10.114000000000001</v>
      </c>
      <c r="AT214" s="26">
        <v>64.373000000000005</v>
      </c>
      <c r="AU214" s="26">
        <v>3.3820000000000001</v>
      </c>
      <c r="AV214" s="26">
        <v>7.0895999999999999</v>
      </c>
      <c r="AW214" s="26">
        <v>3.762</v>
      </c>
      <c r="AX214" s="26">
        <v>1.3802000000000001</v>
      </c>
      <c r="AY214" s="26">
        <v>65.600999999999999</v>
      </c>
      <c r="AZ214" s="26">
        <v>10.973000000000001</v>
      </c>
      <c r="BA214" s="26">
        <v>34.213999999999999</v>
      </c>
      <c r="BB214" s="26">
        <v>63.863999999999997</v>
      </c>
      <c r="BC214" s="26">
        <v>42.295000000000002</v>
      </c>
      <c r="BD214" s="26">
        <v>59.149000000000001</v>
      </c>
      <c r="BE214" s="26">
        <v>42.667000000000002</v>
      </c>
      <c r="BF214" s="26">
        <v>18.465</v>
      </c>
      <c r="BG214" s="26">
        <v>1.3865000000000001</v>
      </c>
      <c r="BH214" s="26">
        <v>5.5099</v>
      </c>
      <c r="BI214" s="26">
        <v>44.814</v>
      </c>
      <c r="BJ214" s="26">
        <v>68.727000000000004</v>
      </c>
      <c r="BK214" s="26">
        <v>65.867000000000004</v>
      </c>
      <c r="BL214" s="26">
        <v>36.423999999999999</v>
      </c>
      <c r="BM214" s="26">
        <v>63.7</v>
      </c>
      <c r="BN214" s="26">
        <v>10.053000000000001</v>
      </c>
      <c r="BO214" s="26">
        <v>2.3820000000000001</v>
      </c>
      <c r="BP214" s="26">
        <v>42.668999999999997</v>
      </c>
      <c r="BQ214" s="26">
        <v>35.759</v>
      </c>
      <c r="BR214" s="26">
        <v>59.186999999999998</v>
      </c>
      <c r="BS214" s="26">
        <v>45.148000000000003</v>
      </c>
      <c r="BT214" s="26">
        <v>7.5334000000000003</v>
      </c>
      <c r="BU214" s="26">
        <v>42.765000000000001</v>
      </c>
      <c r="BV214" s="26">
        <v>42.774999999999999</v>
      </c>
      <c r="BW214" s="26">
        <v>44.216000000000001</v>
      </c>
      <c r="BX214" s="26">
        <v>55.62</v>
      </c>
      <c r="BY214" s="26">
        <v>1.3764000000000001</v>
      </c>
      <c r="BZ214" s="26">
        <v>0</v>
      </c>
      <c r="CA214" s="26">
        <v>48.491</v>
      </c>
      <c r="CB214" s="26">
        <v>34.573999999999998</v>
      </c>
      <c r="CC214" s="26">
        <v>71.754999999999995</v>
      </c>
      <c r="CD214" s="26">
        <v>5.7712000000000003</v>
      </c>
      <c r="CE214" s="26">
        <v>60.427999999999997</v>
      </c>
      <c r="CF214" s="26">
        <v>2.3759999999999999</v>
      </c>
      <c r="CG214" s="26">
        <v>29.228000000000002</v>
      </c>
      <c r="CH214" s="26">
        <v>16.460999999999999</v>
      </c>
      <c r="CI214" s="26">
        <v>60.417000000000002</v>
      </c>
      <c r="CJ214" s="26">
        <v>76.212000000000003</v>
      </c>
      <c r="CK214" s="26">
        <v>2.3751000000000002</v>
      </c>
      <c r="CL214" s="26">
        <v>10.266</v>
      </c>
      <c r="CM214" s="26">
        <v>3.3347000000000002</v>
      </c>
      <c r="CN214" s="26">
        <v>5.7992999999999997</v>
      </c>
      <c r="CO214" s="26">
        <v>3.3820000000000001</v>
      </c>
      <c r="CP214" s="26">
        <v>9.9100999999999999</v>
      </c>
      <c r="CQ214" s="26">
        <v>9.8038000000000007</v>
      </c>
      <c r="CR214" s="26">
        <v>10.512</v>
      </c>
      <c r="CS214" s="26">
        <v>33.479999999999997</v>
      </c>
      <c r="CT214" s="26">
        <v>3.3334999999999999</v>
      </c>
      <c r="CU214" s="26">
        <v>5.6045999999999996</v>
      </c>
      <c r="CV214" s="26">
        <v>7.1885000000000003</v>
      </c>
      <c r="CW214" s="26">
        <v>59.872</v>
      </c>
      <c r="CX214" s="26">
        <v>40.773000000000003</v>
      </c>
      <c r="CY214" s="61"/>
      <c r="CZ214" s="537"/>
      <c r="DA214" s="61"/>
    </row>
    <row r="215" spans="1:16384">
      <c r="A215" s="279">
        <v>44228</v>
      </c>
      <c r="B215" s="26">
        <v>52.573</v>
      </c>
      <c r="C215" s="26">
        <v>22.300999999999998</v>
      </c>
      <c r="D215" s="26">
        <v>45.915999999999997</v>
      </c>
      <c r="E215" s="26">
        <v>89.17</v>
      </c>
      <c r="F215" s="26">
        <v>68.825999999999993</v>
      </c>
      <c r="G215" s="26">
        <v>42.667000000000002</v>
      </c>
      <c r="H215" s="26">
        <v>71.617999999999995</v>
      </c>
      <c r="I215" s="26">
        <v>90.477000000000004</v>
      </c>
      <c r="J215" s="26">
        <v>78.566000000000003</v>
      </c>
      <c r="K215" s="26">
        <v>90.477000000000004</v>
      </c>
      <c r="L215" s="26">
        <v>76.159000000000006</v>
      </c>
      <c r="M215" s="26">
        <v>8.7387999999999993E-2</v>
      </c>
      <c r="N215" s="26">
        <v>1.4306000000000001</v>
      </c>
      <c r="O215" s="26">
        <v>43.320999999999998</v>
      </c>
      <c r="P215" s="26">
        <v>0</v>
      </c>
      <c r="Q215" s="26">
        <v>13.752000000000001</v>
      </c>
      <c r="R215" s="26">
        <v>8.7881</v>
      </c>
      <c r="S215" s="26">
        <v>61.353999999999999</v>
      </c>
      <c r="T215" s="26">
        <v>2.3471000000000002</v>
      </c>
      <c r="U215" s="26">
        <v>1.4427000000000001</v>
      </c>
      <c r="V215" s="26">
        <v>73.921999999999997</v>
      </c>
      <c r="W215" s="26">
        <v>12.428000000000001</v>
      </c>
      <c r="X215" s="26">
        <v>55.152999999999999</v>
      </c>
      <c r="Y215" s="26">
        <v>190.75</v>
      </c>
      <c r="Z215" s="26">
        <v>102.3</v>
      </c>
      <c r="AA215" s="26">
        <v>45.915999999999997</v>
      </c>
      <c r="AB215" s="26">
        <v>35.140999999999998</v>
      </c>
      <c r="AC215" s="26">
        <v>42.765000000000001</v>
      </c>
      <c r="AD215" s="26">
        <v>59.335999999999999</v>
      </c>
      <c r="AE215" s="26">
        <v>1.0694999999999999E-3</v>
      </c>
      <c r="AF215" s="26">
        <v>8.7982999999999993</v>
      </c>
      <c r="AG215" s="26">
        <v>61.353999999999999</v>
      </c>
      <c r="AH215" s="26">
        <v>71.617999999999995</v>
      </c>
      <c r="AI215" s="26">
        <v>90.364999999999995</v>
      </c>
      <c r="AJ215" s="26">
        <v>47.118000000000002</v>
      </c>
      <c r="AK215" s="26">
        <v>72.98</v>
      </c>
      <c r="AL215" s="26">
        <v>0</v>
      </c>
      <c r="AM215" s="26">
        <v>1.0369999999999999E-3</v>
      </c>
      <c r="AN215" s="26">
        <v>8.7289999999999992</v>
      </c>
      <c r="AO215" s="26">
        <v>60.350999999999999</v>
      </c>
      <c r="AP215" s="26">
        <v>90.477000000000004</v>
      </c>
      <c r="AQ215" s="26">
        <v>43.320999999999998</v>
      </c>
      <c r="AR215" s="26">
        <v>56.616</v>
      </c>
      <c r="AS215" s="26">
        <v>8.7881</v>
      </c>
      <c r="AT215" s="26">
        <v>87.418000000000006</v>
      </c>
      <c r="AU215" s="26">
        <v>2.4773000000000001</v>
      </c>
      <c r="AV215" s="26">
        <v>7.5701000000000001</v>
      </c>
      <c r="AW215" s="26">
        <v>1.4267000000000001</v>
      </c>
      <c r="AX215" s="26">
        <v>2.9476</v>
      </c>
      <c r="AY215" s="26">
        <v>87.926000000000002</v>
      </c>
      <c r="AZ215" s="26">
        <v>42.765000000000001</v>
      </c>
      <c r="BA215" s="26">
        <v>42.667000000000002</v>
      </c>
      <c r="BB215" s="26">
        <v>88.531000000000006</v>
      </c>
      <c r="BC215" s="26">
        <v>42.78</v>
      </c>
      <c r="BD215" s="26">
        <v>73.921999999999997</v>
      </c>
      <c r="BE215" s="26">
        <v>66.174999999999997</v>
      </c>
      <c r="BF215" s="26">
        <v>12.744999999999999</v>
      </c>
      <c r="BG215" s="26">
        <v>2.4316</v>
      </c>
      <c r="BH215" s="26">
        <v>12.75</v>
      </c>
      <c r="BI215" s="26">
        <v>55.62</v>
      </c>
      <c r="BJ215" s="26">
        <v>81.381</v>
      </c>
      <c r="BK215" s="26">
        <v>193.84</v>
      </c>
      <c r="BL215" s="26">
        <v>13.702</v>
      </c>
      <c r="BM215" s="26">
        <v>78.566000000000003</v>
      </c>
      <c r="BN215" s="26">
        <v>7.7323000000000004</v>
      </c>
      <c r="BO215" s="26">
        <v>2.9285000000000001</v>
      </c>
      <c r="BP215" s="26">
        <v>66.174999999999997</v>
      </c>
      <c r="BQ215" s="26">
        <v>52.923000000000002</v>
      </c>
      <c r="BR215" s="26">
        <v>73.921999999999997</v>
      </c>
      <c r="BS215" s="26">
        <v>56.463999999999999</v>
      </c>
      <c r="BT215" s="26">
        <v>12.762</v>
      </c>
      <c r="BU215" s="26">
        <v>56.616</v>
      </c>
      <c r="BV215" s="26">
        <v>65.034999999999997</v>
      </c>
      <c r="BW215" s="26">
        <v>71.617999999999995</v>
      </c>
      <c r="BX215" s="26">
        <v>73.921999999999997</v>
      </c>
      <c r="BY215" s="26">
        <v>2.4883999999999999</v>
      </c>
      <c r="BZ215" s="26">
        <v>7.3468000000000003E-4</v>
      </c>
      <c r="CA215" s="26">
        <v>49.51</v>
      </c>
      <c r="CB215" s="26">
        <v>52.223999999999997</v>
      </c>
      <c r="CC215" s="26">
        <v>89.064999999999998</v>
      </c>
      <c r="CD215" s="26">
        <v>11.558999999999999</v>
      </c>
      <c r="CE215" s="26">
        <v>58.301000000000002</v>
      </c>
      <c r="CF215" s="26">
        <v>3.5720000000000001</v>
      </c>
      <c r="CG215" s="26">
        <v>43.396000000000001</v>
      </c>
      <c r="CH215" s="26">
        <v>22.300999999999998</v>
      </c>
      <c r="CI215" s="26">
        <v>59.923000000000002</v>
      </c>
      <c r="CJ215" s="26">
        <v>190.77</v>
      </c>
      <c r="CK215" s="26">
        <v>2.9601000000000002</v>
      </c>
      <c r="CL215" s="26">
        <v>15.102</v>
      </c>
      <c r="CM215" s="26">
        <v>0.81659000000000004</v>
      </c>
      <c r="CN215" s="26">
        <v>43.396000000000001</v>
      </c>
      <c r="CO215" s="26">
        <v>2.4026000000000001</v>
      </c>
      <c r="CP215" s="26">
        <v>13.13</v>
      </c>
      <c r="CQ215" s="26">
        <v>42.667000000000002</v>
      </c>
      <c r="CR215" s="26">
        <v>13.936999999999999</v>
      </c>
      <c r="CS215" s="26">
        <v>52.923000000000002</v>
      </c>
      <c r="CT215" s="26">
        <v>4.7988999999999997</v>
      </c>
      <c r="CU215" s="26">
        <v>7.5651999999999999</v>
      </c>
      <c r="CV215" s="26">
        <v>43.320999999999998</v>
      </c>
      <c r="CW215" s="26">
        <v>78.566000000000003</v>
      </c>
      <c r="CX215" s="26">
        <v>46.856999999999999</v>
      </c>
      <c r="CY215" s="61"/>
      <c r="CZ215" s="537"/>
      <c r="DA215" s="61"/>
    </row>
    <row r="216" spans="1:16384">
      <c r="A216" s="279">
        <v>44256</v>
      </c>
      <c r="B216" s="26">
        <v>60.43</v>
      </c>
      <c r="C216" s="26">
        <v>48.423000000000002</v>
      </c>
      <c r="D216" s="26">
        <v>22.795999999999999</v>
      </c>
      <c r="E216" s="26">
        <v>69.537000000000006</v>
      </c>
      <c r="F216" s="26">
        <v>73.766999999999996</v>
      </c>
      <c r="G216" s="26">
        <v>44.526000000000003</v>
      </c>
      <c r="H216" s="26">
        <v>65.875</v>
      </c>
      <c r="I216" s="26">
        <v>68.468000000000004</v>
      </c>
      <c r="J216" s="26">
        <v>63.271999999999998</v>
      </c>
      <c r="K216" s="26">
        <v>66.834999999999994</v>
      </c>
      <c r="L216" s="26">
        <v>55.764000000000003</v>
      </c>
      <c r="M216" s="26">
        <v>0.14076</v>
      </c>
      <c r="N216" s="26">
        <v>0</v>
      </c>
      <c r="O216" s="26">
        <v>44.752000000000002</v>
      </c>
      <c r="P216" s="26">
        <v>1.0326</v>
      </c>
      <c r="Q216" s="26">
        <v>20.588999999999999</v>
      </c>
      <c r="R216" s="26">
        <v>15.379</v>
      </c>
      <c r="S216" s="26">
        <v>63.283999999999999</v>
      </c>
      <c r="T216" s="26">
        <v>3.2206999999999999</v>
      </c>
      <c r="U216" s="26">
        <v>4.9348999999999998</v>
      </c>
      <c r="V216" s="26">
        <v>65.875</v>
      </c>
      <c r="W216" s="26">
        <v>13.661</v>
      </c>
      <c r="X216" s="26">
        <v>43.396000000000001</v>
      </c>
      <c r="Y216" s="26">
        <v>74.566999999999993</v>
      </c>
      <c r="Z216" s="26">
        <v>78.397000000000006</v>
      </c>
      <c r="AA216" s="26">
        <v>42.765000000000001</v>
      </c>
      <c r="AB216" s="26">
        <v>52.923000000000002</v>
      </c>
      <c r="AC216" s="26">
        <v>46.436</v>
      </c>
      <c r="AD216" s="26">
        <v>42.667000000000002</v>
      </c>
      <c r="AE216" s="26">
        <v>0.68633</v>
      </c>
      <c r="AF216" s="26">
        <v>13.028</v>
      </c>
      <c r="AG216" s="26">
        <v>65.875</v>
      </c>
      <c r="AH216" s="26">
        <v>78.397000000000006</v>
      </c>
      <c r="AI216" s="26">
        <v>67.421000000000006</v>
      </c>
      <c r="AJ216" s="26">
        <v>48.396999999999998</v>
      </c>
      <c r="AK216" s="26">
        <v>71.281999999999996</v>
      </c>
      <c r="AL216" s="26">
        <v>1.0348999999999999</v>
      </c>
      <c r="AM216" s="26">
        <v>6.7555000000000002E-3</v>
      </c>
      <c r="AN216" s="26">
        <v>13.445</v>
      </c>
      <c r="AO216" s="26">
        <v>65.875</v>
      </c>
      <c r="AP216" s="26">
        <v>66.991</v>
      </c>
      <c r="AQ216" s="26">
        <v>73.766999999999996</v>
      </c>
      <c r="AR216" s="26">
        <v>65.875</v>
      </c>
      <c r="AS216" s="26">
        <v>11.204000000000001</v>
      </c>
      <c r="AT216" s="26">
        <v>68.328999999999994</v>
      </c>
      <c r="AU216" s="26">
        <v>3.1888000000000001</v>
      </c>
      <c r="AV216" s="26">
        <v>3.2162999999999999</v>
      </c>
      <c r="AW216" s="26">
        <v>2.0676000000000001</v>
      </c>
      <c r="AX216" s="26">
        <v>0</v>
      </c>
      <c r="AY216" s="26">
        <v>72.308000000000007</v>
      </c>
      <c r="AZ216" s="26">
        <v>63.283999999999999</v>
      </c>
      <c r="BA216" s="26">
        <v>55.62</v>
      </c>
      <c r="BB216" s="26">
        <v>55.735999999999997</v>
      </c>
      <c r="BC216" s="26">
        <v>43.762</v>
      </c>
      <c r="BD216" s="26">
        <v>63.283999999999999</v>
      </c>
      <c r="BE216" s="26">
        <v>65.875</v>
      </c>
      <c r="BF216" s="26">
        <v>42.680999999999997</v>
      </c>
      <c r="BG216" s="26">
        <v>4.9347000000000003</v>
      </c>
      <c r="BH216" s="26">
        <v>37.03</v>
      </c>
      <c r="BI216" s="26">
        <v>61.353999999999999</v>
      </c>
      <c r="BJ216" s="26">
        <v>71.281999999999996</v>
      </c>
      <c r="BK216" s="26">
        <v>78.397000000000006</v>
      </c>
      <c r="BL216" s="26">
        <v>49.014000000000003</v>
      </c>
      <c r="BM216" s="26">
        <v>71.281999999999996</v>
      </c>
      <c r="BN216" s="26">
        <v>42.765000000000001</v>
      </c>
      <c r="BO216" s="26">
        <v>2.1076999999999999</v>
      </c>
      <c r="BP216" s="26">
        <v>70.076999999999998</v>
      </c>
      <c r="BQ216" s="26">
        <v>65.875</v>
      </c>
      <c r="BR216" s="26">
        <v>64.858999999999995</v>
      </c>
      <c r="BS216" s="26">
        <v>71.281999999999996</v>
      </c>
      <c r="BT216" s="26">
        <v>18.885999999999999</v>
      </c>
      <c r="BU216" s="26">
        <v>56.616</v>
      </c>
      <c r="BV216" s="26">
        <v>45.002000000000002</v>
      </c>
      <c r="BW216" s="26">
        <v>66.989999999999995</v>
      </c>
      <c r="BX216" s="26">
        <v>43.320999999999998</v>
      </c>
      <c r="BY216" s="26">
        <v>2.1941000000000002</v>
      </c>
      <c r="BZ216" s="26">
        <v>1.0361</v>
      </c>
      <c r="CA216" s="26">
        <v>57.482999999999997</v>
      </c>
      <c r="CB216" s="26">
        <v>45.002000000000002</v>
      </c>
      <c r="CC216" s="26">
        <v>63.164999999999999</v>
      </c>
      <c r="CD216" s="26">
        <v>42.668999999999997</v>
      </c>
      <c r="CE216" s="26">
        <v>39.374000000000002</v>
      </c>
      <c r="CF216" s="26">
        <v>4.7183999999999999</v>
      </c>
      <c r="CG216" s="26">
        <v>42.765000000000001</v>
      </c>
      <c r="CH216" s="26">
        <v>11.298</v>
      </c>
      <c r="CI216" s="26">
        <v>65.475999999999999</v>
      </c>
      <c r="CJ216" s="26">
        <v>66.56</v>
      </c>
      <c r="CK216" s="26">
        <v>4.7183999999999999</v>
      </c>
      <c r="CL216" s="26">
        <v>42.668999999999997</v>
      </c>
      <c r="CM216" s="26">
        <v>1.5296000000000001</v>
      </c>
      <c r="CN216" s="26">
        <v>45.915999999999997</v>
      </c>
      <c r="CO216" s="26">
        <v>6.6764999999999999</v>
      </c>
      <c r="CP216" s="26">
        <v>15.222</v>
      </c>
      <c r="CQ216" s="26">
        <v>55.62</v>
      </c>
      <c r="CR216" s="26">
        <v>41.095999999999997</v>
      </c>
      <c r="CS216" s="26">
        <v>65.875</v>
      </c>
      <c r="CT216" s="26">
        <v>5.2759999999999998</v>
      </c>
      <c r="CU216" s="26">
        <v>25.384</v>
      </c>
      <c r="CV216" s="26">
        <v>3.4432</v>
      </c>
      <c r="CW216" s="26">
        <v>78.397000000000006</v>
      </c>
      <c r="CX216" s="26">
        <v>44.463999999999999</v>
      </c>
      <c r="CY216" s="61"/>
      <c r="CZ216" s="537"/>
      <c r="DA216" s="61"/>
    </row>
    <row r="217" spans="1:16384">
      <c r="A217" s="279">
        <v>44287</v>
      </c>
      <c r="B217" s="26">
        <v>18.335999999999999</v>
      </c>
      <c r="C217" s="26">
        <v>49.51</v>
      </c>
      <c r="D217" s="26">
        <v>42.685000000000002</v>
      </c>
      <c r="E217" s="26">
        <v>61.353999999999999</v>
      </c>
      <c r="F217" s="26">
        <v>42.765000000000001</v>
      </c>
      <c r="G217" s="26">
        <v>35.491</v>
      </c>
      <c r="H217" s="26">
        <v>38.317</v>
      </c>
      <c r="I217" s="26">
        <v>63.283999999999999</v>
      </c>
      <c r="J217" s="26">
        <v>28.998000000000001</v>
      </c>
      <c r="K217" s="26">
        <v>42.746000000000002</v>
      </c>
      <c r="L217" s="26">
        <v>27.131</v>
      </c>
      <c r="M217" s="26">
        <v>0.19875999999999999</v>
      </c>
      <c r="N217" s="26">
        <v>0.29319000000000001</v>
      </c>
      <c r="O217" s="26">
        <v>23.879000000000001</v>
      </c>
      <c r="P217" s="26">
        <v>0.16733000000000001</v>
      </c>
      <c r="Q217" s="26">
        <v>26.684999999999999</v>
      </c>
      <c r="R217" s="26">
        <v>43.396000000000001</v>
      </c>
      <c r="S217" s="26">
        <v>27.463000000000001</v>
      </c>
      <c r="T217" s="26">
        <v>4.6820000000000004</v>
      </c>
      <c r="U217" s="26">
        <v>22.795999999999999</v>
      </c>
      <c r="V217" s="26">
        <v>61.353999999999999</v>
      </c>
      <c r="W217" s="26">
        <v>5.9667000000000003</v>
      </c>
      <c r="X217" s="26">
        <v>14.22</v>
      </c>
      <c r="Y217" s="26">
        <v>66.625</v>
      </c>
      <c r="Z217" s="26">
        <v>61.353999999999999</v>
      </c>
      <c r="AA217" s="26">
        <v>6.6909999999999998</v>
      </c>
      <c r="AB217" s="26">
        <v>12.654999999999999</v>
      </c>
      <c r="AC217" s="26">
        <v>33.473999999999997</v>
      </c>
      <c r="AD217" s="26">
        <v>25.294</v>
      </c>
      <c r="AE217" s="26">
        <v>0.51588999999999996</v>
      </c>
      <c r="AF217" s="26">
        <v>5.9786999999999999</v>
      </c>
      <c r="AG217" s="26">
        <v>35.203000000000003</v>
      </c>
      <c r="AH217" s="26">
        <v>79.069999999999993</v>
      </c>
      <c r="AI217" s="26">
        <v>36.253</v>
      </c>
      <c r="AJ217" s="26">
        <v>30.321000000000002</v>
      </c>
      <c r="AK217" s="26">
        <v>43.688000000000002</v>
      </c>
      <c r="AL217" s="26">
        <v>0</v>
      </c>
      <c r="AM217" s="26">
        <v>0.28899000000000002</v>
      </c>
      <c r="AN217" s="26">
        <v>13.55</v>
      </c>
      <c r="AO217" s="26">
        <v>42.927999999999997</v>
      </c>
      <c r="AP217" s="26">
        <v>63.674999999999997</v>
      </c>
      <c r="AQ217" s="26">
        <v>74.385999999999996</v>
      </c>
      <c r="AR217" s="26">
        <v>33.869999999999997</v>
      </c>
      <c r="AS217" s="26">
        <v>23.408000000000001</v>
      </c>
      <c r="AT217" s="26">
        <v>42.841000000000001</v>
      </c>
      <c r="AU217" s="26">
        <v>4.7239000000000004</v>
      </c>
      <c r="AV217" s="26">
        <v>4.8037000000000001</v>
      </c>
      <c r="AW217" s="26">
        <v>1.9676</v>
      </c>
      <c r="AX217" s="26">
        <v>1.2124999999999999</v>
      </c>
      <c r="AY217" s="26">
        <v>43.692</v>
      </c>
      <c r="AZ217" s="26">
        <v>42.841000000000001</v>
      </c>
      <c r="BA217" s="26">
        <v>22.959</v>
      </c>
      <c r="BB217" s="26">
        <v>8.3396000000000008</v>
      </c>
      <c r="BC217" s="26">
        <v>22.867999999999999</v>
      </c>
      <c r="BD217" s="26">
        <v>11.930999999999999</v>
      </c>
      <c r="BE217" s="26">
        <v>63.283999999999999</v>
      </c>
      <c r="BF217" s="26">
        <v>26.491</v>
      </c>
      <c r="BG217" s="26">
        <v>5.0483000000000002</v>
      </c>
      <c r="BH217" s="26">
        <v>66.625</v>
      </c>
      <c r="BI217" s="26">
        <v>23.138999999999999</v>
      </c>
      <c r="BJ217" s="26">
        <v>26.946000000000002</v>
      </c>
      <c r="BK217" s="26">
        <v>63.283999999999999</v>
      </c>
      <c r="BL217" s="26">
        <v>52.923000000000002</v>
      </c>
      <c r="BM217" s="26">
        <v>19.809000000000001</v>
      </c>
      <c r="BN217" s="26">
        <v>22.812000000000001</v>
      </c>
      <c r="BO217" s="26">
        <v>4.843</v>
      </c>
      <c r="BP217" s="26">
        <v>43.457000000000001</v>
      </c>
      <c r="BQ217" s="26">
        <v>42.927999999999997</v>
      </c>
      <c r="BR217" s="26">
        <v>66.625</v>
      </c>
      <c r="BS217" s="26">
        <v>43.444000000000003</v>
      </c>
      <c r="BT217" s="26">
        <v>43.457000000000001</v>
      </c>
      <c r="BU217" s="26">
        <v>25.968</v>
      </c>
      <c r="BV217" s="26">
        <v>45.915999999999997</v>
      </c>
      <c r="BW217" s="26">
        <v>36.543999999999997</v>
      </c>
      <c r="BX217" s="26">
        <v>13.493</v>
      </c>
      <c r="BY217" s="26">
        <v>3.1501999999999999</v>
      </c>
      <c r="BZ217" s="26">
        <v>1.0502</v>
      </c>
      <c r="CA217" s="26">
        <v>5.4484000000000004</v>
      </c>
      <c r="CB217" s="26">
        <v>31.079000000000001</v>
      </c>
      <c r="CC217" s="26">
        <v>22.812000000000001</v>
      </c>
      <c r="CD217" s="26">
        <v>35.462000000000003</v>
      </c>
      <c r="CE217" s="26">
        <v>17.445</v>
      </c>
      <c r="CF217" s="26">
        <v>4.9332000000000003</v>
      </c>
      <c r="CG217" s="26">
        <v>35.984999999999999</v>
      </c>
      <c r="CH217" s="26">
        <v>18.05</v>
      </c>
      <c r="CI217" s="26">
        <v>25.321999999999999</v>
      </c>
      <c r="CJ217" s="26">
        <v>43.011000000000003</v>
      </c>
      <c r="CK217" s="26">
        <v>3.9723000000000002</v>
      </c>
      <c r="CL217" s="26">
        <v>32.204999999999998</v>
      </c>
      <c r="CM217" s="26">
        <v>3.5924999999999998</v>
      </c>
      <c r="CN217" s="26">
        <v>42.832999999999998</v>
      </c>
      <c r="CO217" s="26">
        <v>2.1762999999999999</v>
      </c>
      <c r="CP217" s="26">
        <v>23.288</v>
      </c>
      <c r="CQ217" s="26">
        <v>61.353999999999999</v>
      </c>
      <c r="CR217" s="26">
        <v>19.454000000000001</v>
      </c>
      <c r="CS217" s="26">
        <v>55.478000000000002</v>
      </c>
      <c r="CT217" s="26">
        <v>4.9417</v>
      </c>
      <c r="CU217" s="26">
        <v>32.314999999999998</v>
      </c>
      <c r="CV217" s="26">
        <v>4.0603999999999996</v>
      </c>
      <c r="CW217" s="26">
        <v>63.283999999999999</v>
      </c>
      <c r="CX217" s="26">
        <v>34.427</v>
      </c>
      <c r="CY217" s="61"/>
      <c r="CZ217" s="537"/>
      <c r="DA217" s="61"/>
    </row>
    <row r="218" spans="1:16384">
      <c r="A218" s="279">
        <v>44317</v>
      </c>
      <c r="B218" s="26">
        <v>23.521000000000001</v>
      </c>
      <c r="C218" s="26">
        <v>13.077</v>
      </c>
      <c r="D218" s="26">
        <v>11.494999999999999</v>
      </c>
      <c r="E218" s="26">
        <v>43.314999999999998</v>
      </c>
      <c r="F218" s="26">
        <v>25.968</v>
      </c>
      <c r="G218" s="26">
        <v>13.106</v>
      </c>
      <c r="H218" s="26">
        <v>62.338000000000001</v>
      </c>
      <c r="I218" s="26">
        <v>36.137</v>
      </c>
      <c r="J218" s="26">
        <v>26.081</v>
      </c>
      <c r="K218" s="26">
        <v>44.133000000000003</v>
      </c>
      <c r="L218" s="26">
        <v>36.301000000000002</v>
      </c>
      <c r="M218" s="26">
        <v>0</v>
      </c>
      <c r="N218" s="26">
        <v>2.6126999999999998</v>
      </c>
      <c r="O218" s="26">
        <v>29.341999999999999</v>
      </c>
      <c r="P218" s="26">
        <v>1.6027999999999999E-3</v>
      </c>
      <c r="Q218" s="26">
        <v>24.727</v>
      </c>
      <c r="R218" s="26">
        <v>32.261000000000003</v>
      </c>
      <c r="S218" s="26">
        <v>26.375</v>
      </c>
      <c r="T218" s="26">
        <v>2.6061999999999999</v>
      </c>
      <c r="U218" s="26">
        <v>12.025</v>
      </c>
      <c r="V218" s="26">
        <v>46.146999999999998</v>
      </c>
      <c r="W218" s="26">
        <v>5.7324999999999999</v>
      </c>
      <c r="X218" s="26">
        <v>3.6920000000000002</v>
      </c>
      <c r="Y218" s="26">
        <v>48.783000000000001</v>
      </c>
      <c r="Z218" s="26">
        <v>61.454000000000001</v>
      </c>
      <c r="AA218" s="26">
        <v>3.6886000000000001</v>
      </c>
      <c r="AB218" s="26">
        <v>14.66</v>
      </c>
      <c r="AC218" s="26">
        <v>18.571000000000002</v>
      </c>
      <c r="AD218" s="26">
        <v>23.646000000000001</v>
      </c>
      <c r="AE218" s="26">
        <v>2.11</v>
      </c>
      <c r="AF218" s="26">
        <v>6.5568</v>
      </c>
      <c r="AG218" s="26">
        <v>21.157</v>
      </c>
      <c r="AH218" s="26">
        <v>19.108000000000001</v>
      </c>
      <c r="AI218" s="26">
        <v>32.595999999999997</v>
      </c>
      <c r="AJ218" s="26">
        <v>35.46</v>
      </c>
      <c r="AK218" s="26">
        <v>63.338000000000001</v>
      </c>
      <c r="AL218" s="26">
        <v>1.0326</v>
      </c>
      <c r="AM218" s="26">
        <v>0</v>
      </c>
      <c r="AN218" s="26">
        <v>23.087</v>
      </c>
      <c r="AO218" s="26">
        <v>31.5</v>
      </c>
      <c r="AP218" s="26">
        <v>43.314999999999998</v>
      </c>
      <c r="AQ218" s="26">
        <v>56.616</v>
      </c>
      <c r="AR218" s="26">
        <v>28.143999999999998</v>
      </c>
      <c r="AS218" s="26">
        <v>12.103999999999999</v>
      </c>
      <c r="AT218" s="26">
        <v>32.557000000000002</v>
      </c>
      <c r="AU218" s="26">
        <v>19.744</v>
      </c>
      <c r="AV218" s="26">
        <v>11.571</v>
      </c>
      <c r="AW218" s="26">
        <v>2.1334</v>
      </c>
      <c r="AX218" s="26">
        <v>0.86639999999999995</v>
      </c>
      <c r="AY218" s="26">
        <v>43.119</v>
      </c>
      <c r="AZ218" s="26">
        <v>17.027000000000001</v>
      </c>
      <c r="BA218" s="26">
        <v>25.998999999999999</v>
      </c>
      <c r="BB218" s="26">
        <v>22.72</v>
      </c>
      <c r="BC218" s="26">
        <v>32.588999999999999</v>
      </c>
      <c r="BD218" s="26">
        <v>20.431999999999999</v>
      </c>
      <c r="BE218" s="26">
        <v>37.33</v>
      </c>
      <c r="BF218" s="26">
        <v>22.794</v>
      </c>
      <c r="BG218" s="26">
        <v>7.7659000000000002</v>
      </c>
      <c r="BH218" s="26">
        <v>33.652000000000001</v>
      </c>
      <c r="BI218" s="26">
        <v>27.065999999999999</v>
      </c>
      <c r="BJ218" s="26">
        <v>10.997999999999999</v>
      </c>
      <c r="BK218" s="26">
        <v>63.338000000000001</v>
      </c>
      <c r="BL218" s="26">
        <v>36.521000000000001</v>
      </c>
      <c r="BM218" s="26">
        <v>23.675000000000001</v>
      </c>
      <c r="BN218" s="26">
        <v>5.3998999999999997</v>
      </c>
      <c r="BO218" s="26">
        <v>10.196</v>
      </c>
      <c r="BP218" s="26">
        <v>24.713999999999999</v>
      </c>
      <c r="BQ218" s="26">
        <v>19.108000000000001</v>
      </c>
      <c r="BR218" s="26">
        <v>43.877000000000002</v>
      </c>
      <c r="BS218" s="26">
        <v>46.174999999999997</v>
      </c>
      <c r="BT218" s="26">
        <v>23.238</v>
      </c>
      <c r="BU218" s="26">
        <v>2.7642000000000002</v>
      </c>
      <c r="BV218" s="26">
        <v>22.795999999999999</v>
      </c>
      <c r="BW218" s="26">
        <v>34.518999999999998</v>
      </c>
      <c r="BX218" s="26">
        <v>4.2054</v>
      </c>
      <c r="BY218" s="26">
        <v>2.5695000000000001</v>
      </c>
      <c r="BZ218" s="26">
        <v>0</v>
      </c>
      <c r="CA218" s="26">
        <v>1.1245000000000001</v>
      </c>
      <c r="CB218" s="26">
        <v>23.37</v>
      </c>
      <c r="CC218" s="26">
        <v>32.228999999999999</v>
      </c>
      <c r="CD218" s="26">
        <v>37.761000000000003</v>
      </c>
      <c r="CE218" s="26">
        <v>8.0475999999999992</v>
      </c>
      <c r="CF218" s="26">
        <v>3.7136</v>
      </c>
      <c r="CG218" s="26">
        <v>24.166</v>
      </c>
      <c r="CH218" s="26">
        <v>9.0358000000000001</v>
      </c>
      <c r="CI218" s="26">
        <v>10.573</v>
      </c>
      <c r="CJ218" s="26">
        <v>43.165999999999997</v>
      </c>
      <c r="CK218" s="26">
        <v>3.7179000000000002</v>
      </c>
      <c r="CL218" s="26">
        <v>12.532</v>
      </c>
      <c r="CM218" s="26">
        <v>6.2888000000000002</v>
      </c>
      <c r="CN218" s="26">
        <v>8.4823000000000004</v>
      </c>
      <c r="CO218" s="26">
        <v>2.9870999999999999</v>
      </c>
      <c r="CP218" s="26">
        <v>33.518000000000001</v>
      </c>
      <c r="CQ218" s="26">
        <v>26.484999999999999</v>
      </c>
      <c r="CR218" s="26">
        <v>16.195</v>
      </c>
      <c r="CS218" s="26">
        <v>38.395000000000003</v>
      </c>
      <c r="CT218" s="26">
        <v>2.1339999999999999</v>
      </c>
      <c r="CU218" s="26">
        <v>4.4539999999999997</v>
      </c>
      <c r="CV218" s="26">
        <v>2.8022</v>
      </c>
      <c r="CW218" s="26">
        <v>57.006</v>
      </c>
      <c r="CX218" s="26">
        <v>30.510999999999999</v>
      </c>
      <c r="CY218" s="61"/>
      <c r="CZ218" s="537"/>
      <c r="DA218" s="61"/>
    </row>
    <row r="219" spans="1:16384">
      <c r="A219" s="279">
        <v>44348</v>
      </c>
      <c r="B219" s="26">
        <v>16.196000000000002</v>
      </c>
      <c r="C219" s="26">
        <v>10.153</v>
      </c>
      <c r="D219" s="26">
        <v>42.183999999999997</v>
      </c>
      <c r="E219" s="26">
        <v>22.119</v>
      </c>
      <c r="F219" s="26">
        <v>48.491999999999997</v>
      </c>
      <c r="G219" s="26">
        <v>16.866</v>
      </c>
      <c r="H219" s="26">
        <v>51.679000000000002</v>
      </c>
      <c r="I219" s="26">
        <v>26.59</v>
      </c>
      <c r="J219" s="26">
        <v>35.966999999999999</v>
      </c>
      <c r="K219" s="26">
        <v>16.515000000000001</v>
      </c>
      <c r="L219" s="26">
        <v>47.055</v>
      </c>
      <c r="M219" s="26">
        <v>0</v>
      </c>
      <c r="N219" s="26">
        <v>0</v>
      </c>
      <c r="O219" s="26">
        <v>46.902000000000001</v>
      </c>
      <c r="P219" s="26">
        <v>0</v>
      </c>
      <c r="Q219" s="26">
        <v>10.766999999999999</v>
      </c>
      <c r="R219" s="26">
        <v>35.585999999999999</v>
      </c>
      <c r="S219" s="26">
        <v>34.78</v>
      </c>
      <c r="T219" s="26">
        <v>5.0663</v>
      </c>
      <c r="U219" s="26">
        <v>3.6328999999999998</v>
      </c>
      <c r="V219" s="26">
        <v>42.765999999999998</v>
      </c>
      <c r="W219" s="26">
        <v>2.2176</v>
      </c>
      <c r="X219" s="26">
        <v>0.16001000000000001</v>
      </c>
      <c r="Y219" s="26">
        <v>48.448999999999998</v>
      </c>
      <c r="Z219" s="26">
        <v>31.026</v>
      </c>
      <c r="AA219" s="26">
        <v>17.498999999999999</v>
      </c>
      <c r="AB219" s="26">
        <v>13.874000000000001</v>
      </c>
      <c r="AC219" s="26">
        <v>26.954999999999998</v>
      </c>
      <c r="AD219" s="26">
        <v>23.071999999999999</v>
      </c>
      <c r="AE219" s="26">
        <v>3.0148999999999999</v>
      </c>
      <c r="AF219" s="26">
        <v>9.1896000000000004</v>
      </c>
      <c r="AG219" s="26">
        <v>26.065999999999999</v>
      </c>
      <c r="AH219" s="26">
        <v>22.795999999999999</v>
      </c>
      <c r="AI219" s="26">
        <v>35.548000000000002</v>
      </c>
      <c r="AJ219" s="26">
        <v>20.186</v>
      </c>
      <c r="AK219" s="26">
        <v>72.203999999999994</v>
      </c>
      <c r="AL219" s="26">
        <v>7.0372000000000004E-3</v>
      </c>
      <c r="AM219" s="26">
        <v>0</v>
      </c>
      <c r="AN219" s="26">
        <v>35.179000000000002</v>
      </c>
      <c r="AO219" s="26">
        <v>46.131999999999998</v>
      </c>
      <c r="AP219" s="26">
        <v>23.292999999999999</v>
      </c>
      <c r="AQ219" s="26">
        <v>44.753</v>
      </c>
      <c r="AR219" s="26">
        <v>38.156999999999996</v>
      </c>
      <c r="AS219" s="26">
        <v>16.692</v>
      </c>
      <c r="AT219" s="26">
        <v>27.527000000000001</v>
      </c>
      <c r="AU219" s="26">
        <v>3.1316000000000002</v>
      </c>
      <c r="AV219" s="26">
        <v>9.6984999999999992</v>
      </c>
      <c r="AW219" s="26">
        <v>2.0832000000000002</v>
      </c>
      <c r="AX219" s="26">
        <v>2.0701999999999998</v>
      </c>
      <c r="AY219" s="26">
        <v>66.7</v>
      </c>
      <c r="AZ219" s="26">
        <v>26.568999999999999</v>
      </c>
      <c r="BA219" s="26">
        <v>27.524999999999999</v>
      </c>
      <c r="BB219" s="26">
        <v>50.570999999999998</v>
      </c>
      <c r="BC219" s="26">
        <v>15.817</v>
      </c>
      <c r="BD219" s="26">
        <v>9.5747</v>
      </c>
      <c r="BE219" s="26">
        <v>46.16</v>
      </c>
      <c r="BF219" s="26">
        <v>37.076000000000001</v>
      </c>
      <c r="BG219" s="26">
        <v>22.927</v>
      </c>
      <c r="BH219" s="26">
        <v>39.604999999999997</v>
      </c>
      <c r="BI219" s="26">
        <v>31.265000000000001</v>
      </c>
      <c r="BJ219" s="26">
        <v>54.496000000000002</v>
      </c>
      <c r="BK219" s="26">
        <v>56.564</v>
      </c>
      <c r="BL219" s="26">
        <v>27.515999999999998</v>
      </c>
      <c r="BM219" s="26">
        <v>22.709</v>
      </c>
      <c r="BN219" s="26">
        <v>2.2198000000000002</v>
      </c>
      <c r="BO219" s="26">
        <v>16.667000000000002</v>
      </c>
      <c r="BP219" s="26">
        <v>53.351999999999997</v>
      </c>
      <c r="BQ219" s="26">
        <v>3.5668000000000002</v>
      </c>
      <c r="BR219" s="26">
        <v>46.265999999999998</v>
      </c>
      <c r="BS219" s="26">
        <v>46.38</v>
      </c>
      <c r="BT219" s="26">
        <v>10.147</v>
      </c>
      <c r="BU219" s="26">
        <v>0</v>
      </c>
      <c r="BV219" s="26">
        <v>10.199999999999999</v>
      </c>
      <c r="BW219" s="26">
        <v>39.604999999999997</v>
      </c>
      <c r="BX219" s="26">
        <v>0</v>
      </c>
      <c r="BY219" s="26">
        <v>4.17</v>
      </c>
      <c r="BZ219" s="26">
        <v>0</v>
      </c>
      <c r="CA219" s="26">
        <v>1.6867000000000001</v>
      </c>
      <c r="CB219" s="26">
        <v>36.204999999999998</v>
      </c>
      <c r="CC219" s="26">
        <v>42.843000000000004</v>
      </c>
      <c r="CD219" s="26">
        <v>26.789000000000001</v>
      </c>
      <c r="CE219" s="26">
        <v>26.661999999999999</v>
      </c>
      <c r="CF219" s="26">
        <v>9.2881999999999998</v>
      </c>
      <c r="CG219" s="26">
        <v>22.423999999999999</v>
      </c>
      <c r="CH219" s="26">
        <v>10.913</v>
      </c>
      <c r="CI219" s="26">
        <v>9.7218</v>
      </c>
      <c r="CJ219" s="26">
        <v>27.077999999999999</v>
      </c>
      <c r="CK219" s="26">
        <v>0.49640000000000001</v>
      </c>
      <c r="CL219" s="26">
        <v>41.115000000000002</v>
      </c>
      <c r="CM219" s="26">
        <v>5.9180000000000001</v>
      </c>
      <c r="CN219" s="26">
        <v>5.4755000000000003</v>
      </c>
      <c r="CO219" s="26">
        <v>1.9908999999999999</v>
      </c>
      <c r="CP219" s="26">
        <v>28.983000000000001</v>
      </c>
      <c r="CQ219" s="26">
        <v>11.188000000000001</v>
      </c>
      <c r="CR219" s="26">
        <v>19.863</v>
      </c>
      <c r="CS219" s="26">
        <v>36.000999999999998</v>
      </c>
      <c r="CT219" s="26">
        <v>4.2145000000000001</v>
      </c>
      <c r="CU219" s="26">
        <v>6.3665000000000003</v>
      </c>
      <c r="CV219" s="26">
        <v>9.9152000000000005</v>
      </c>
      <c r="CW219" s="26">
        <v>71.186999999999998</v>
      </c>
      <c r="CX219" s="26">
        <v>29.986000000000001</v>
      </c>
      <c r="CY219" s="61"/>
      <c r="CZ219" s="537"/>
      <c r="DA219" s="61"/>
    </row>
    <row r="220" spans="1:16384">
      <c r="A220" s="279">
        <v>44378</v>
      </c>
      <c r="B220" s="26">
        <v>1.7155</v>
      </c>
      <c r="C220" s="26">
        <v>27.204000000000001</v>
      </c>
      <c r="D220" s="26">
        <v>47.253999999999998</v>
      </c>
      <c r="E220" s="26">
        <v>11.922000000000001</v>
      </c>
      <c r="F220" s="26">
        <v>48.539000000000001</v>
      </c>
      <c r="G220" s="26">
        <v>20.207999999999998</v>
      </c>
      <c r="H220" s="26">
        <v>44.881</v>
      </c>
      <c r="I220" s="26">
        <v>29.616</v>
      </c>
      <c r="J220" s="26">
        <v>43.823</v>
      </c>
      <c r="K220" s="26">
        <v>41.087000000000003</v>
      </c>
      <c r="L220" s="26">
        <v>55.508000000000003</v>
      </c>
      <c r="M220" s="26">
        <v>0.70750000000000002</v>
      </c>
      <c r="N220" s="26">
        <v>0</v>
      </c>
      <c r="O220" s="26">
        <v>46.406999999999996</v>
      </c>
      <c r="P220" s="26">
        <v>0</v>
      </c>
      <c r="Q220" s="26">
        <v>12.481</v>
      </c>
      <c r="R220" s="26">
        <v>30.885999999999999</v>
      </c>
      <c r="S220" s="26">
        <v>28.747</v>
      </c>
      <c r="T220" s="26">
        <v>7.2847999999999997</v>
      </c>
      <c r="U220" s="26">
        <v>1.8005</v>
      </c>
      <c r="V220" s="26">
        <v>51.008000000000003</v>
      </c>
      <c r="W220" s="26">
        <v>1.6352</v>
      </c>
      <c r="X220" s="26">
        <v>0</v>
      </c>
      <c r="Y220" s="26">
        <v>50.177999999999997</v>
      </c>
      <c r="Z220" s="26">
        <v>12.236000000000001</v>
      </c>
      <c r="AA220" s="26">
        <v>7.7217000000000002</v>
      </c>
      <c r="AB220" s="26">
        <v>9.6097000000000001</v>
      </c>
      <c r="AC220" s="26">
        <v>28.459</v>
      </c>
      <c r="AD220" s="26">
        <v>27.893000000000001</v>
      </c>
      <c r="AE220" s="26">
        <v>6.5831</v>
      </c>
      <c r="AF220" s="26">
        <v>1.6642999999999999</v>
      </c>
      <c r="AG220" s="26">
        <v>40.716999999999999</v>
      </c>
      <c r="AH220" s="26">
        <v>28.753</v>
      </c>
      <c r="AI220" s="26">
        <v>35.216000000000001</v>
      </c>
      <c r="AJ220" s="26">
        <v>21.100999999999999</v>
      </c>
      <c r="AK220" s="26">
        <v>66.849999999999994</v>
      </c>
      <c r="AL220" s="26">
        <v>1.9174E-2</v>
      </c>
      <c r="AM220" s="26">
        <v>0</v>
      </c>
      <c r="AN220" s="26">
        <v>21.25</v>
      </c>
      <c r="AO220" s="26">
        <v>61.353999999999999</v>
      </c>
      <c r="AP220" s="26">
        <v>43.509</v>
      </c>
      <c r="AQ220" s="26">
        <v>56.616</v>
      </c>
      <c r="AR220" s="26">
        <v>29.18</v>
      </c>
      <c r="AS220" s="26">
        <v>21.216999999999999</v>
      </c>
      <c r="AT220" s="26">
        <v>11.955</v>
      </c>
      <c r="AU220" s="26">
        <v>2.6907999999999999</v>
      </c>
      <c r="AV220" s="26">
        <v>37.250999999999998</v>
      </c>
      <c r="AW220" s="26">
        <v>5.9846000000000004</v>
      </c>
      <c r="AX220" s="26">
        <v>0</v>
      </c>
      <c r="AY220" s="26">
        <v>72.372</v>
      </c>
      <c r="AZ220" s="26">
        <v>13.141999999999999</v>
      </c>
      <c r="BA220" s="26">
        <v>15.593999999999999</v>
      </c>
      <c r="BB220" s="26">
        <v>31.204999999999998</v>
      </c>
      <c r="BC220" s="26">
        <v>2.5539999999999998</v>
      </c>
      <c r="BD220" s="26">
        <v>26.931000000000001</v>
      </c>
      <c r="BE220" s="26">
        <v>50.021999999999998</v>
      </c>
      <c r="BF220" s="26">
        <v>37.323999999999998</v>
      </c>
      <c r="BG220" s="26">
        <v>18.992000000000001</v>
      </c>
      <c r="BH220" s="26">
        <v>47.241</v>
      </c>
      <c r="BI220" s="26">
        <v>34.973999999999997</v>
      </c>
      <c r="BJ220" s="26">
        <v>67.685000000000002</v>
      </c>
      <c r="BK220" s="26">
        <v>46.185000000000002</v>
      </c>
      <c r="BL220" s="26">
        <v>27.707999999999998</v>
      </c>
      <c r="BM220" s="26">
        <v>28.135999999999999</v>
      </c>
      <c r="BN220" s="26">
        <v>1.3389</v>
      </c>
      <c r="BO220" s="26">
        <v>37.668999999999997</v>
      </c>
      <c r="BP220" s="26">
        <v>29.792999999999999</v>
      </c>
      <c r="BQ220" s="26">
        <v>7.8436000000000003</v>
      </c>
      <c r="BR220" s="26">
        <v>54.252000000000002</v>
      </c>
      <c r="BS220" s="26">
        <v>21.295999999999999</v>
      </c>
      <c r="BT220" s="26">
        <v>18.454999999999998</v>
      </c>
      <c r="BU220" s="26">
        <v>0.53247</v>
      </c>
      <c r="BV220" s="26">
        <v>13.118</v>
      </c>
      <c r="BW220" s="26">
        <v>42.8</v>
      </c>
      <c r="BX220" s="26">
        <v>0.52347999999999995</v>
      </c>
      <c r="BY220" s="26">
        <v>2.6577000000000002</v>
      </c>
      <c r="BZ220" s="26">
        <v>0</v>
      </c>
      <c r="CA220" s="26">
        <v>2.5165000000000002</v>
      </c>
      <c r="CB220" s="26">
        <v>28.521000000000001</v>
      </c>
      <c r="CC220" s="26">
        <v>48.677</v>
      </c>
      <c r="CD220" s="26">
        <v>13.722</v>
      </c>
      <c r="CE220" s="26">
        <v>15.977</v>
      </c>
      <c r="CF220" s="26">
        <v>8.1584000000000003</v>
      </c>
      <c r="CG220" s="26">
        <v>42.777999999999999</v>
      </c>
      <c r="CH220" s="26">
        <v>13.574</v>
      </c>
      <c r="CI220" s="26">
        <v>9.6957000000000004</v>
      </c>
      <c r="CJ220" s="26">
        <v>35.966999999999999</v>
      </c>
      <c r="CK220" s="26">
        <v>2.0955000000000001E-3</v>
      </c>
      <c r="CL220" s="26">
        <v>44.241</v>
      </c>
      <c r="CM220" s="26">
        <v>2.4908000000000001</v>
      </c>
      <c r="CN220" s="26">
        <v>6.8270999999999997</v>
      </c>
      <c r="CO220" s="26">
        <v>0.62509999999999999</v>
      </c>
      <c r="CP220" s="26">
        <v>45.97</v>
      </c>
      <c r="CQ220" s="26">
        <v>2.6484000000000001</v>
      </c>
      <c r="CR220" s="26">
        <v>28.856999999999999</v>
      </c>
      <c r="CS220" s="26">
        <v>37.162999999999997</v>
      </c>
      <c r="CT220" s="26">
        <v>12.212999999999999</v>
      </c>
      <c r="CU220" s="26">
        <v>12.678000000000001</v>
      </c>
      <c r="CV220" s="26">
        <v>2.7317</v>
      </c>
      <c r="CW220" s="26">
        <v>61.933</v>
      </c>
      <c r="CX220" s="26">
        <v>30.279</v>
      </c>
      <c r="CY220" s="61"/>
      <c r="CZ220" s="537"/>
      <c r="DA220" s="61"/>
    </row>
    <row r="221" spans="1:16384">
      <c r="A221" s="279">
        <v>44409</v>
      </c>
      <c r="B221" s="26">
        <v>3.2376</v>
      </c>
      <c r="C221" s="26">
        <v>30.093</v>
      </c>
      <c r="D221" s="26">
        <v>47.085999999999999</v>
      </c>
      <c r="E221" s="26">
        <v>13.743</v>
      </c>
      <c r="F221" s="26">
        <v>47.725000000000001</v>
      </c>
      <c r="G221" s="26">
        <v>23.306999999999999</v>
      </c>
      <c r="H221" s="26">
        <v>46.831000000000003</v>
      </c>
      <c r="I221" s="26">
        <v>45.218000000000004</v>
      </c>
      <c r="J221" s="26">
        <v>50.475999999999999</v>
      </c>
      <c r="K221" s="26">
        <v>18.553000000000001</v>
      </c>
      <c r="L221" s="26">
        <v>67.825000000000003</v>
      </c>
      <c r="M221" s="26">
        <v>1.5306</v>
      </c>
      <c r="N221" s="26">
        <v>0</v>
      </c>
      <c r="O221" s="26">
        <v>46.771000000000001</v>
      </c>
      <c r="P221" s="26">
        <v>0</v>
      </c>
      <c r="Q221" s="26">
        <v>3.4628999999999999</v>
      </c>
      <c r="R221" s="26">
        <v>44.103000000000002</v>
      </c>
      <c r="S221" s="26">
        <v>23.367000000000001</v>
      </c>
      <c r="T221" s="26">
        <v>7.1993</v>
      </c>
      <c r="U221" s="26">
        <v>15.052</v>
      </c>
      <c r="V221" s="26">
        <v>67.212000000000003</v>
      </c>
      <c r="W221" s="26">
        <v>7.8601000000000001</v>
      </c>
      <c r="X221" s="26">
        <v>0</v>
      </c>
      <c r="Y221" s="26">
        <v>55.478000000000002</v>
      </c>
      <c r="Z221" s="26">
        <v>14.298999999999999</v>
      </c>
      <c r="AA221" s="26">
        <v>16.273</v>
      </c>
      <c r="AB221" s="26">
        <v>2.7601</v>
      </c>
      <c r="AC221" s="26">
        <v>30.844000000000001</v>
      </c>
      <c r="AD221" s="26">
        <v>31.247</v>
      </c>
      <c r="AE221" s="26">
        <v>9.1403999999999996</v>
      </c>
      <c r="AF221" s="26">
        <v>14.757</v>
      </c>
      <c r="AG221" s="26">
        <v>48.176000000000002</v>
      </c>
      <c r="AH221" s="26">
        <v>53.866999999999997</v>
      </c>
      <c r="AI221" s="26">
        <v>37.659999999999997</v>
      </c>
      <c r="AJ221" s="26">
        <v>36.89</v>
      </c>
      <c r="AK221" s="26">
        <v>63.674999999999997</v>
      </c>
      <c r="AL221" s="26">
        <v>4.0250000000000003E-4</v>
      </c>
      <c r="AM221" s="26">
        <v>0</v>
      </c>
      <c r="AN221" s="26">
        <v>11.43</v>
      </c>
      <c r="AO221" s="26">
        <v>63.283999999999999</v>
      </c>
      <c r="AP221" s="26">
        <v>67.930000000000007</v>
      </c>
      <c r="AQ221" s="26">
        <v>67.825000000000003</v>
      </c>
      <c r="AR221" s="26">
        <v>23.206</v>
      </c>
      <c r="AS221" s="26">
        <v>5.4237000000000002</v>
      </c>
      <c r="AT221" s="26">
        <v>8.9876000000000005</v>
      </c>
      <c r="AU221" s="26">
        <v>6.5190000000000001</v>
      </c>
      <c r="AV221" s="26">
        <v>23.625</v>
      </c>
      <c r="AW221" s="26">
        <v>2.5055000000000001</v>
      </c>
      <c r="AX221" s="26">
        <v>0</v>
      </c>
      <c r="AY221" s="26">
        <v>80.498999999999995</v>
      </c>
      <c r="AZ221" s="26">
        <v>8.6079000000000008</v>
      </c>
      <c r="BA221" s="26">
        <v>15.753</v>
      </c>
      <c r="BB221" s="26">
        <v>13.038</v>
      </c>
      <c r="BC221" s="26">
        <v>0</v>
      </c>
      <c r="BD221" s="26">
        <v>30.55</v>
      </c>
      <c r="BE221" s="26">
        <v>48.439</v>
      </c>
      <c r="BF221" s="26">
        <v>39.058</v>
      </c>
      <c r="BG221" s="26">
        <v>13.983000000000001</v>
      </c>
      <c r="BH221" s="26">
        <v>53.063000000000002</v>
      </c>
      <c r="BI221" s="26">
        <v>42.683</v>
      </c>
      <c r="BJ221" s="26">
        <v>57.36</v>
      </c>
      <c r="BK221" s="26">
        <v>11.590999999999999</v>
      </c>
      <c r="BL221" s="26">
        <v>37.593000000000004</v>
      </c>
      <c r="BM221" s="26">
        <v>42.832999999999998</v>
      </c>
      <c r="BN221" s="26">
        <v>6.1898999999999997</v>
      </c>
      <c r="BO221" s="26">
        <v>14.039</v>
      </c>
      <c r="BP221" s="26">
        <v>18.440000000000001</v>
      </c>
      <c r="BQ221" s="26">
        <v>7.0976999999999997</v>
      </c>
      <c r="BR221" s="26">
        <v>59.362000000000002</v>
      </c>
      <c r="BS221" s="26">
        <v>30.193999999999999</v>
      </c>
      <c r="BT221" s="26">
        <v>16.547999999999998</v>
      </c>
      <c r="BU221" s="26">
        <v>3.5676999999999999</v>
      </c>
      <c r="BV221" s="26">
        <v>3.6978</v>
      </c>
      <c r="BW221" s="26">
        <v>54.984000000000002</v>
      </c>
      <c r="BX221" s="26">
        <v>0.15562000000000001</v>
      </c>
      <c r="BY221" s="26">
        <v>1.7847</v>
      </c>
      <c r="BZ221" s="26">
        <v>0.60806000000000004</v>
      </c>
      <c r="CA221" s="26">
        <v>1.7695000000000001</v>
      </c>
      <c r="CB221" s="26">
        <v>38.752000000000002</v>
      </c>
      <c r="CC221" s="26">
        <v>55.646000000000001</v>
      </c>
      <c r="CD221" s="26">
        <v>4.4268999999999998</v>
      </c>
      <c r="CE221" s="26">
        <v>3.7193000000000001</v>
      </c>
      <c r="CF221" s="26">
        <v>2.7930000000000001</v>
      </c>
      <c r="CG221" s="26">
        <v>17.303000000000001</v>
      </c>
      <c r="CH221" s="26">
        <v>9.0404999999999998</v>
      </c>
      <c r="CI221" s="26">
        <v>11.367000000000001</v>
      </c>
      <c r="CJ221" s="26">
        <v>37.232999999999997</v>
      </c>
      <c r="CK221" s="26">
        <v>0</v>
      </c>
      <c r="CL221" s="26">
        <v>38.78</v>
      </c>
      <c r="CM221" s="26">
        <v>2.6413000000000002</v>
      </c>
      <c r="CN221" s="26">
        <v>6.3791000000000002</v>
      </c>
      <c r="CO221" s="26">
        <v>0.87712999999999997</v>
      </c>
      <c r="CP221" s="26">
        <v>36.737000000000002</v>
      </c>
      <c r="CQ221" s="26">
        <v>0.36448999999999998</v>
      </c>
      <c r="CR221" s="26">
        <v>22.795999999999999</v>
      </c>
      <c r="CS221" s="26">
        <v>37.055999999999997</v>
      </c>
      <c r="CT221" s="26">
        <v>7.5122999999999998</v>
      </c>
      <c r="CU221" s="26">
        <v>0.86639999999999995</v>
      </c>
      <c r="CV221" s="26">
        <v>0.11144999999999999</v>
      </c>
      <c r="CW221" s="26">
        <v>56.616</v>
      </c>
      <c r="CX221" s="26">
        <v>35.078000000000003</v>
      </c>
      <c r="CY221" s="61"/>
      <c r="CZ221" s="537"/>
      <c r="DA221" s="61"/>
    </row>
    <row r="222" spans="1:16384">
      <c r="A222" s="279">
        <v>44440</v>
      </c>
      <c r="B222" s="26">
        <v>15.712</v>
      </c>
      <c r="C222" s="26">
        <v>42.667000000000002</v>
      </c>
      <c r="D222" s="26">
        <v>43.9</v>
      </c>
      <c r="E222" s="26">
        <v>21.672000000000001</v>
      </c>
      <c r="F222" s="26">
        <v>52.859000000000002</v>
      </c>
      <c r="G222" s="26">
        <v>35.572000000000003</v>
      </c>
      <c r="H222" s="26">
        <v>44.697000000000003</v>
      </c>
      <c r="I222" s="26">
        <v>22.023</v>
      </c>
      <c r="J222" s="26">
        <v>22.295000000000002</v>
      </c>
      <c r="K222" s="26">
        <v>35.966999999999999</v>
      </c>
      <c r="L222" s="26">
        <v>62.311</v>
      </c>
      <c r="M222" s="26">
        <v>3.0790999999999999</v>
      </c>
      <c r="N222" s="26">
        <v>0</v>
      </c>
      <c r="O222" s="26">
        <v>47.734000000000002</v>
      </c>
      <c r="P222" s="26">
        <v>0</v>
      </c>
      <c r="Q222" s="26">
        <v>5.8528000000000002</v>
      </c>
      <c r="R222" s="26">
        <v>43.575000000000003</v>
      </c>
      <c r="S222" s="26">
        <v>43.494999999999997</v>
      </c>
      <c r="T222" s="26">
        <v>15.891999999999999</v>
      </c>
      <c r="U222" s="26">
        <v>16.602</v>
      </c>
      <c r="V222" s="26">
        <v>81.507000000000005</v>
      </c>
      <c r="W222" s="26">
        <v>5.6012000000000004</v>
      </c>
      <c r="X222" s="26">
        <v>0</v>
      </c>
      <c r="Y222" s="26">
        <v>68.8</v>
      </c>
      <c r="Z222" s="26">
        <v>9.2658000000000005</v>
      </c>
      <c r="AA222" s="26">
        <v>21.896999999999998</v>
      </c>
      <c r="AB222" s="26">
        <v>7.3666999999999998</v>
      </c>
      <c r="AC222" s="26">
        <v>43.988999999999997</v>
      </c>
      <c r="AD222" s="26">
        <v>35.719000000000001</v>
      </c>
      <c r="AE222" s="26">
        <v>15.336</v>
      </c>
      <c r="AF222" s="26">
        <v>22.1</v>
      </c>
      <c r="AG222" s="26">
        <v>61.671999999999997</v>
      </c>
      <c r="AH222" s="26">
        <v>62.645000000000003</v>
      </c>
      <c r="AI222" s="26">
        <v>34.926000000000002</v>
      </c>
      <c r="AJ222" s="26">
        <v>42.667000000000002</v>
      </c>
      <c r="AK222" s="26">
        <v>62.311</v>
      </c>
      <c r="AL222" s="26">
        <v>0</v>
      </c>
      <c r="AM222" s="26">
        <v>0.34522000000000003</v>
      </c>
      <c r="AN222" s="26">
        <v>10.808</v>
      </c>
      <c r="AO222" s="26">
        <v>81.507000000000005</v>
      </c>
      <c r="AP222" s="26">
        <v>53.055</v>
      </c>
      <c r="AQ222" s="26">
        <v>55.62</v>
      </c>
      <c r="AR222" s="26">
        <v>13.864000000000001</v>
      </c>
      <c r="AS222" s="26">
        <v>18.731000000000002</v>
      </c>
      <c r="AT222" s="26">
        <v>17.466000000000001</v>
      </c>
      <c r="AU222" s="26">
        <v>6.7388000000000003</v>
      </c>
      <c r="AV222" s="26">
        <v>28.332000000000001</v>
      </c>
      <c r="AW222" s="26">
        <v>3.7042000000000002</v>
      </c>
      <c r="AX222" s="26">
        <v>0</v>
      </c>
      <c r="AY222" s="26">
        <v>86.578000000000003</v>
      </c>
      <c r="AZ222" s="26">
        <v>4.3175999999999997</v>
      </c>
      <c r="BA222" s="26">
        <v>5.3749000000000002</v>
      </c>
      <c r="BB222" s="26">
        <v>36.225000000000001</v>
      </c>
      <c r="BC222" s="26">
        <v>0</v>
      </c>
      <c r="BD222" s="26">
        <v>37.886000000000003</v>
      </c>
      <c r="BE222" s="26">
        <v>55.598999999999997</v>
      </c>
      <c r="BF222" s="26">
        <v>54.792999999999999</v>
      </c>
      <c r="BG222" s="26">
        <v>29.93</v>
      </c>
      <c r="BH222" s="26">
        <v>68.495000000000005</v>
      </c>
      <c r="BI222" s="26">
        <v>54.304000000000002</v>
      </c>
      <c r="BJ222" s="26">
        <v>37.642000000000003</v>
      </c>
      <c r="BK222" s="26">
        <v>37.250999999999998</v>
      </c>
      <c r="BL222" s="26">
        <v>43.417000000000002</v>
      </c>
      <c r="BM222" s="26">
        <v>42.927999999999997</v>
      </c>
      <c r="BN222" s="26">
        <v>6.8479000000000001</v>
      </c>
      <c r="BO222" s="26">
        <v>8.4041999999999994</v>
      </c>
      <c r="BP222" s="26">
        <v>22.547000000000001</v>
      </c>
      <c r="BQ222" s="26">
        <v>21.257999999999999</v>
      </c>
      <c r="BR222" s="26">
        <v>74.551000000000002</v>
      </c>
      <c r="BS222" s="26">
        <v>21.07</v>
      </c>
      <c r="BT222" s="26">
        <v>21.867000000000001</v>
      </c>
      <c r="BU222" s="26">
        <v>1.7055</v>
      </c>
      <c r="BV222" s="26">
        <v>16.155000000000001</v>
      </c>
      <c r="BW222" s="26">
        <v>54.186</v>
      </c>
      <c r="BX222" s="26">
        <v>1.4317</v>
      </c>
      <c r="BY222" s="26">
        <v>1.9</v>
      </c>
      <c r="BZ222" s="26">
        <v>0</v>
      </c>
      <c r="CA222" s="26">
        <v>4.5057</v>
      </c>
      <c r="CB222" s="26">
        <v>34.465000000000003</v>
      </c>
      <c r="CC222" s="26">
        <v>68.8</v>
      </c>
      <c r="CD222" s="26">
        <v>7.6012000000000004</v>
      </c>
      <c r="CE222" s="26">
        <v>8.4171999999999993</v>
      </c>
      <c r="CF222" s="26">
        <v>8.8355999999999995</v>
      </c>
      <c r="CG222" s="26">
        <v>21.923999999999999</v>
      </c>
      <c r="CH222" s="26">
        <v>19.059999999999999</v>
      </c>
      <c r="CI222" s="26">
        <v>43.426000000000002</v>
      </c>
      <c r="CJ222" s="26">
        <v>46.819000000000003</v>
      </c>
      <c r="CK222" s="26">
        <v>0</v>
      </c>
      <c r="CL222" s="26">
        <v>54.738999999999997</v>
      </c>
      <c r="CM222" s="26">
        <v>3.0935999999999999</v>
      </c>
      <c r="CN222" s="26">
        <v>16.254999999999999</v>
      </c>
      <c r="CO222" s="26">
        <v>0</v>
      </c>
      <c r="CP222" s="26">
        <v>22.148</v>
      </c>
      <c r="CQ222" s="26">
        <v>2.0348000000000002</v>
      </c>
      <c r="CR222" s="26">
        <v>9.6915999999999993</v>
      </c>
      <c r="CS222" s="26">
        <v>36.863999999999997</v>
      </c>
      <c r="CT222" s="26">
        <v>14.791</v>
      </c>
      <c r="CU222" s="26">
        <v>0</v>
      </c>
      <c r="CV222" s="26">
        <v>1.1731</v>
      </c>
      <c r="CW222" s="26">
        <v>63.674999999999997</v>
      </c>
      <c r="CX222" s="26">
        <v>37.341000000000001</v>
      </c>
      <c r="CY222" s="61"/>
      <c r="CZ222" s="537"/>
      <c r="DA222" s="61"/>
    </row>
    <row r="223" spans="1:16384">
      <c r="A223" s="279">
        <v>44470</v>
      </c>
      <c r="B223" s="26">
        <v>24.966999999999999</v>
      </c>
      <c r="C223" s="26">
        <v>37.454000000000001</v>
      </c>
      <c r="D223" s="26">
        <v>37.451000000000001</v>
      </c>
      <c r="E223" s="26">
        <v>30.116</v>
      </c>
      <c r="F223" s="26">
        <v>65.947000000000003</v>
      </c>
      <c r="G223" s="26">
        <v>30.667000000000002</v>
      </c>
      <c r="H223" s="26">
        <v>30.143000000000001</v>
      </c>
      <c r="I223" s="26">
        <v>42.390999999999998</v>
      </c>
      <c r="J223" s="26">
        <v>28.962</v>
      </c>
      <c r="K223" s="26">
        <v>30.478999999999999</v>
      </c>
      <c r="L223" s="26">
        <v>66.498999999999995</v>
      </c>
      <c r="M223" s="26">
        <v>3.2176</v>
      </c>
      <c r="N223" s="26">
        <v>0</v>
      </c>
      <c r="O223" s="26">
        <v>55.222999999999999</v>
      </c>
      <c r="P223" s="26">
        <v>0</v>
      </c>
      <c r="Q223" s="26">
        <v>1.4334</v>
      </c>
      <c r="R223" s="26">
        <v>41.234000000000002</v>
      </c>
      <c r="S223" s="26">
        <v>29.562000000000001</v>
      </c>
      <c r="T223" s="26">
        <v>19.138000000000002</v>
      </c>
      <c r="U223" s="26">
        <v>25.084</v>
      </c>
      <c r="V223" s="26">
        <v>67.375</v>
      </c>
      <c r="W223" s="26">
        <v>18.109000000000002</v>
      </c>
      <c r="X223" s="26">
        <v>0.13585</v>
      </c>
      <c r="Y223" s="26">
        <v>67.375</v>
      </c>
      <c r="Z223" s="26">
        <v>9.3751999999999995</v>
      </c>
      <c r="AA223" s="26">
        <v>17.759</v>
      </c>
      <c r="AB223" s="26">
        <v>9.5312999999999999</v>
      </c>
      <c r="AC223" s="26">
        <v>48.545000000000002</v>
      </c>
      <c r="AD223" s="26">
        <v>42.783999999999999</v>
      </c>
      <c r="AE223" s="26">
        <v>5.1128999999999998</v>
      </c>
      <c r="AF223" s="26">
        <v>27.81</v>
      </c>
      <c r="AG223" s="26">
        <v>57.262</v>
      </c>
      <c r="AH223" s="26">
        <v>44.267000000000003</v>
      </c>
      <c r="AI223" s="26">
        <v>43.465000000000003</v>
      </c>
      <c r="AJ223" s="26">
        <v>57.335000000000001</v>
      </c>
      <c r="AK223" s="26">
        <v>53.646999999999998</v>
      </c>
      <c r="AL223" s="26">
        <v>4.1440999999999999</v>
      </c>
      <c r="AM223" s="26">
        <v>0</v>
      </c>
      <c r="AN223" s="26">
        <v>17.629000000000001</v>
      </c>
      <c r="AO223" s="26">
        <v>72.959000000000003</v>
      </c>
      <c r="AP223" s="26">
        <v>54.384999999999998</v>
      </c>
      <c r="AQ223" s="26">
        <v>56.616</v>
      </c>
      <c r="AR223" s="26">
        <v>5.4577</v>
      </c>
      <c r="AS223" s="26">
        <v>29.971</v>
      </c>
      <c r="AT223" s="26">
        <v>9.8177000000000003</v>
      </c>
      <c r="AU223" s="26">
        <v>17.946999999999999</v>
      </c>
      <c r="AV223" s="26">
        <v>26.818000000000001</v>
      </c>
      <c r="AW223" s="26">
        <v>9.3435000000000006</v>
      </c>
      <c r="AX223" s="26">
        <v>0</v>
      </c>
      <c r="AY223" s="26">
        <v>55.561999999999998</v>
      </c>
      <c r="AZ223" s="26">
        <v>10.031000000000001</v>
      </c>
      <c r="BA223" s="26">
        <v>5.9768999999999997</v>
      </c>
      <c r="BB223" s="26">
        <v>13.78</v>
      </c>
      <c r="BC223" s="26">
        <v>3.2296</v>
      </c>
      <c r="BD223" s="26">
        <v>45.390999999999998</v>
      </c>
      <c r="BE223" s="26">
        <v>55.292999999999999</v>
      </c>
      <c r="BF223" s="26">
        <v>58.308</v>
      </c>
      <c r="BG223" s="26">
        <v>37.411999999999999</v>
      </c>
      <c r="BH223" s="26">
        <v>61.369</v>
      </c>
      <c r="BI223" s="26">
        <v>45.417999999999999</v>
      </c>
      <c r="BJ223" s="26">
        <v>43.323</v>
      </c>
      <c r="BK223" s="26">
        <v>31.196000000000002</v>
      </c>
      <c r="BL223" s="26">
        <v>50.116</v>
      </c>
      <c r="BM223" s="26">
        <v>25.512</v>
      </c>
      <c r="BN223" s="26">
        <v>10.340999999999999</v>
      </c>
      <c r="BO223" s="26">
        <v>9.6013999999999999</v>
      </c>
      <c r="BP223" s="26">
        <v>4.1741000000000001</v>
      </c>
      <c r="BQ223" s="26">
        <v>26.135000000000002</v>
      </c>
      <c r="BR223" s="26">
        <v>80.245999999999995</v>
      </c>
      <c r="BS223" s="26">
        <v>9.4007000000000005</v>
      </c>
      <c r="BT223" s="26">
        <v>19.420999999999999</v>
      </c>
      <c r="BU223" s="26">
        <v>0.50614000000000003</v>
      </c>
      <c r="BV223" s="26">
        <v>22.02</v>
      </c>
      <c r="BW223" s="26">
        <v>45.292999999999999</v>
      </c>
      <c r="BX223" s="26">
        <v>1.048</v>
      </c>
      <c r="BY223" s="26">
        <v>1.2783</v>
      </c>
      <c r="BZ223" s="26">
        <v>0</v>
      </c>
      <c r="CA223" s="26">
        <v>0.86639999999999995</v>
      </c>
      <c r="CB223" s="26">
        <v>30.116</v>
      </c>
      <c r="CC223" s="26">
        <v>50.597000000000001</v>
      </c>
      <c r="CD223" s="26">
        <v>20.219000000000001</v>
      </c>
      <c r="CE223" s="26">
        <v>6.1710000000000003</v>
      </c>
      <c r="CF223" s="26">
        <v>17.620999999999999</v>
      </c>
      <c r="CG223" s="26">
        <v>42.667000000000002</v>
      </c>
      <c r="CH223" s="26">
        <v>18.088000000000001</v>
      </c>
      <c r="CI223" s="26">
        <v>31.363</v>
      </c>
      <c r="CJ223" s="26">
        <v>31.213999999999999</v>
      </c>
      <c r="CK223" s="26">
        <v>1.2431000000000001</v>
      </c>
      <c r="CL223" s="26">
        <v>55.817999999999998</v>
      </c>
      <c r="CM223" s="26">
        <v>2.2808999999999999</v>
      </c>
      <c r="CN223" s="26">
        <v>5.5415999999999999</v>
      </c>
      <c r="CO223" s="26">
        <v>1.0326</v>
      </c>
      <c r="CP223" s="26">
        <v>19.122</v>
      </c>
      <c r="CQ223" s="26">
        <v>2.2709000000000001</v>
      </c>
      <c r="CR223" s="26">
        <v>26.173999999999999</v>
      </c>
      <c r="CS223" s="26">
        <v>30.731000000000002</v>
      </c>
      <c r="CT223" s="26">
        <v>3.8814000000000002</v>
      </c>
      <c r="CU223" s="26">
        <v>0.79610999999999998</v>
      </c>
      <c r="CV223" s="26">
        <v>6.2347999999999999</v>
      </c>
      <c r="CW223" s="26">
        <v>63.898000000000003</v>
      </c>
      <c r="CX223" s="26">
        <v>40</v>
      </c>
      <c r="CY223" s="61"/>
      <c r="CZ223" s="537"/>
      <c r="DA223" s="61"/>
    </row>
    <row r="224" spans="1:16384">
      <c r="A224" s="279">
        <v>44501</v>
      </c>
      <c r="B224" s="26">
        <v>32.704999999999998</v>
      </c>
      <c r="C224" s="26">
        <v>7.1120000000000001</v>
      </c>
      <c r="D224" s="26">
        <v>54.2</v>
      </c>
      <c r="E224" s="26">
        <v>45.939</v>
      </c>
      <c r="F224" s="26">
        <v>57.204999999999998</v>
      </c>
      <c r="G224" s="26">
        <v>23.219000000000001</v>
      </c>
      <c r="H224" s="26">
        <v>43.357999999999997</v>
      </c>
      <c r="I224" s="26">
        <v>43.951999999999998</v>
      </c>
      <c r="J224" s="26">
        <v>42.871000000000002</v>
      </c>
      <c r="K224" s="26">
        <v>32.347999999999999</v>
      </c>
      <c r="L224" s="26">
        <v>74.832999999999998</v>
      </c>
      <c r="M224" s="26">
        <v>8.8808000000000007</v>
      </c>
      <c r="N224" s="26">
        <v>2.1514999999999999E-2</v>
      </c>
      <c r="O224" s="26">
        <v>56.087000000000003</v>
      </c>
      <c r="P224" s="26">
        <v>4.8053999999999999E-2</v>
      </c>
      <c r="Q224" s="26">
        <v>8.1907999999999994</v>
      </c>
      <c r="R224" s="26">
        <v>17.594000000000001</v>
      </c>
      <c r="S224" s="26">
        <v>54.442</v>
      </c>
      <c r="T224" s="26">
        <v>21.116</v>
      </c>
      <c r="U224" s="26">
        <v>30.314</v>
      </c>
      <c r="V224" s="26">
        <v>63.332999999999998</v>
      </c>
      <c r="W224" s="26">
        <v>21.248999999999999</v>
      </c>
      <c r="X224" s="26">
        <v>8.9002999999999997</v>
      </c>
      <c r="Y224" s="26">
        <v>74.832999999999998</v>
      </c>
      <c r="Z224" s="26">
        <v>7.181</v>
      </c>
      <c r="AA224" s="26">
        <v>32.68</v>
      </c>
      <c r="AB224" s="26">
        <v>5.4762000000000004</v>
      </c>
      <c r="AC224" s="26">
        <v>54.055</v>
      </c>
      <c r="AD224" s="26">
        <v>54.692999999999998</v>
      </c>
      <c r="AE224" s="26">
        <v>2.7018</v>
      </c>
      <c r="AF224" s="26">
        <v>17.593</v>
      </c>
      <c r="AG224" s="26">
        <v>71.296000000000006</v>
      </c>
      <c r="AH224" s="26">
        <v>47.97</v>
      </c>
      <c r="AI224" s="26">
        <v>52.746000000000002</v>
      </c>
      <c r="AJ224" s="26">
        <v>56.741999999999997</v>
      </c>
      <c r="AK224" s="26">
        <v>55.579000000000001</v>
      </c>
      <c r="AL224" s="26">
        <v>7.2808999999999999</v>
      </c>
      <c r="AM224" s="26">
        <v>2.0316000000000001E-2</v>
      </c>
      <c r="AN224" s="26">
        <v>14.577</v>
      </c>
      <c r="AO224" s="26">
        <v>72.891999999999996</v>
      </c>
      <c r="AP224" s="26">
        <v>54.276000000000003</v>
      </c>
      <c r="AQ224" s="26">
        <v>72.844999999999999</v>
      </c>
      <c r="AR224" s="26">
        <v>9.3890999999999991</v>
      </c>
      <c r="AS224" s="26">
        <v>42.878</v>
      </c>
      <c r="AT224" s="26">
        <v>20.574999999999999</v>
      </c>
      <c r="AU224" s="26">
        <v>5.5377000000000001</v>
      </c>
      <c r="AV224" s="26">
        <v>18.349</v>
      </c>
      <c r="AW224" s="26">
        <v>13.807</v>
      </c>
      <c r="AX224" s="26">
        <v>0</v>
      </c>
      <c r="AY224" s="26">
        <v>45.951999999999998</v>
      </c>
      <c r="AZ224" s="26">
        <v>14.637</v>
      </c>
      <c r="BA224" s="26">
        <v>5.1772999999999998</v>
      </c>
      <c r="BB224" s="26">
        <v>43.408000000000001</v>
      </c>
      <c r="BC224" s="26">
        <v>2.9782000000000002</v>
      </c>
      <c r="BD224" s="26">
        <v>48.476999999999997</v>
      </c>
      <c r="BE224" s="26">
        <v>66.572999999999993</v>
      </c>
      <c r="BF224" s="26">
        <v>23.183</v>
      </c>
      <c r="BG224" s="26">
        <v>48.070999999999998</v>
      </c>
      <c r="BH224" s="26">
        <v>66.587000000000003</v>
      </c>
      <c r="BI224" s="26">
        <v>14.176</v>
      </c>
      <c r="BJ224" s="26">
        <v>56.603999999999999</v>
      </c>
      <c r="BK224" s="26">
        <v>56.62</v>
      </c>
      <c r="BL224" s="26">
        <v>56.225000000000001</v>
      </c>
      <c r="BM224" s="26">
        <v>43.215000000000003</v>
      </c>
      <c r="BN224" s="26">
        <v>5.7823000000000002</v>
      </c>
      <c r="BO224" s="26">
        <v>14.08</v>
      </c>
      <c r="BP224" s="26">
        <v>8.2719000000000005</v>
      </c>
      <c r="BQ224" s="26">
        <v>32.280999999999999</v>
      </c>
      <c r="BR224" s="26">
        <v>80.158000000000001</v>
      </c>
      <c r="BS224" s="26">
        <v>1.3512999999999999</v>
      </c>
      <c r="BT224" s="26">
        <v>32.692999999999998</v>
      </c>
      <c r="BU224" s="26">
        <v>0.40472000000000002</v>
      </c>
      <c r="BV224" s="26">
        <v>33.665999999999997</v>
      </c>
      <c r="BW224" s="26">
        <v>43.374000000000002</v>
      </c>
      <c r="BX224" s="26">
        <v>1.4324E-2</v>
      </c>
      <c r="BY224" s="26">
        <v>1.9362000000000001E-2</v>
      </c>
      <c r="BZ224" s="26">
        <v>3.8246000000000002E-2</v>
      </c>
      <c r="CA224" s="26">
        <v>4.1409000000000001E-2</v>
      </c>
      <c r="CB224" s="26">
        <v>55.616999999999997</v>
      </c>
      <c r="CC224" s="26">
        <v>47.802</v>
      </c>
      <c r="CD224" s="26">
        <v>35.828000000000003</v>
      </c>
      <c r="CE224" s="26">
        <v>16.567</v>
      </c>
      <c r="CF224" s="26">
        <v>40.432000000000002</v>
      </c>
      <c r="CG224" s="26">
        <v>54.966999999999999</v>
      </c>
      <c r="CH224" s="26">
        <v>22.997</v>
      </c>
      <c r="CI224" s="26">
        <v>53.183999999999997</v>
      </c>
      <c r="CJ224" s="26">
        <v>42.765000000000001</v>
      </c>
      <c r="CK224" s="26">
        <v>7.7131000000000005E-2</v>
      </c>
      <c r="CL224" s="26">
        <v>63.674999999999997</v>
      </c>
      <c r="CM224" s="26">
        <v>5.4394</v>
      </c>
      <c r="CN224" s="26">
        <v>14.476000000000001</v>
      </c>
      <c r="CO224" s="26">
        <v>1.7266E-2</v>
      </c>
      <c r="CP224" s="26">
        <v>37.500999999999998</v>
      </c>
      <c r="CQ224" s="26">
        <v>0.37925999999999999</v>
      </c>
      <c r="CR224" s="26">
        <v>24.945</v>
      </c>
      <c r="CS224" s="26">
        <v>23.228999999999999</v>
      </c>
      <c r="CT224" s="26">
        <v>0.11882</v>
      </c>
      <c r="CU224" s="26">
        <v>2.8658000000000001</v>
      </c>
      <c r="CV224" s="26">
        <v>10.131</v>
      </c>
      <c r="CW224" s="26">
        <v>73.709000000000003</v>
      </c>
      <c r="CX224" s="26">
        <v>43.917000000000002</v>
      </c>
      <c r="CY224" s="61"/>
      <c r="CZ224" s="537"/>
      <c r="DA224" s="61"/>
    </row>
    <row r="225" spans="1:16384">
      <c r="A225" s="279">
        <v>44531</v>
      </c>
      <c r="B225" s="26">
        <v>43.018000000000001</v>
      </c>
      <c r="C225" s="26">
        <v>9.1189</v>
      </c>
      <c r="D225" s="26">
        <v>61.515000000000001</v>
      </c>
      <c r="E225" s="26">
        <v>59.420999999999999</v>
      </c>
      <c r="F225" s="26">
        <v>49.295000000000002</v>
      </c>
      <c r="G225" s="26">
        <v>6.6833</v>
      </c>
      <c r="H225" s="26">
        <v>19.033999999999999</v>
      </c>
      <c r="I225" s="26">
        <v>61.353999999999999</v>
      </c>
      <c r="J225" s="26">
        <v>45.915999999999997</v>
      </c>
      <c r="K225" s="26">
        <v>18.661999999999999</v>
      </c>
      <c r="L225" s="26">
        <v>75.856999999999999</v>
      </c>
      <c r="M225" s="26">
        <v>8.8882999999999992</v>
      </c>
      <c r="N225" s="26">
        <v>1.0879000000000001</v>
      </c>
      <c r="O225" s="26">
        <v>49.152000000000001</v>
      </c>
      <c r="P225" s="26">
        <v>2.3746</v>
      </c>
      <c r="Q225" s="26">
        <v>6.8141999999999996</v>
      </c>
      <c r="R225" s="26">
        <v>7.5067000000000004</v>
      </c>
      <c r="S225" s="26">
        <v>64.430000000000007</v>
      </c>
      <c r="T225" s="26">
        <v>34.249000000000002</v>
      </c>
      <c r="U225" s="26">
        <v>42.765000000000001</v>
      </c>
      <c r="V225" s="26">
        <v>60.386000000000003</v>
      </c>
      <c r="W225" s="26">
        <v>33.542999999999999</v>
      </c>
      <c r="X225" s="26">
        <v>10.129</v>
      </c>
      <c r="Y225" s="26">
        <v>73.938999999999993</v>
      </c>
      <c r="Z225" s="26">
        <v>8.8682999999999996</v>
      </c>
      <c r="AA225" s="26">
        <v>43.405000000000001</v>
      </c>
      <c r="AB225" s="26">
        <v>6.3430999999999997</v>
      </c>
      <c r="AC225" s="26">
        <v>58.981000000000002</v>
      </c>
      <c r="AD225" s="26">
        <v>48.889000000000003</v>
      </c>
      <c r="AE225" s="26">
        <v>1.073</v>
      </c>
      <c r="AF225" s="26">
        <v>32.533999999999999</v>
      </c>
      <c r="AG225" s="26">
        <v>74.537000000000006</v>
      </c>
      <c r="AH225" s="26">
        <v>63.283999999999999</v>
      </c>
      <c r="AI225" s="26">
        <v>48.030999999999999</v>
      </c>
      <c r="AJ225" s="26">
        <v>61.706000000000003</v>
      </c>
      <c r="AK225" s="26">
        <v>63.319000000000003</v>
      </c>
      <c r="AL225" s="26">
        <v>10.052</v>
      </c>
      <c r="AM225" s="26">
        <v>1.3425</v>
      </c>
      <c r="AN225" s="26">
        <v>18.388999999999999</v>
      </c>
      <c r="AO225" s="26">
        <v>74.444000000000003</v>
      </c>
      <c r="AP225" s="26">
        <v>60.326999999999998</v>
      </c>
      <c r="AQ225" s="26">
        <v>74.744</v>
      </c>
      <c r="AR225" s="26">
        <v>32.94</v>
      </c>
      <c r="AS225" s="26">
        <v>45.915999999999997</v>
      </c>
      <c r="AT225" s="26">
        <v>6.9093</v>
      </c>
      <c r="AU225" s="26">
        <v>6.0323000000000002</v>
      </c>
      <c r="AV225" s="26">
        <v>19.202999999999999</v>
      </c>
      <c r="AW225" s="26">
        <v>6.8967000000000001</v>
      </c>
      <c r="AX225" s="26">
        <v>1.2665</v>
      </c>
      <c r="AY225" s="26">
        <v>41.371000000000002</v>
      </c>
      <c r="AZ225" s="26">
        <v>9.1885999999999992</v>
      </c>
      <c r="BA225" s="26">
        <v>3.9216000000000002</v>
      </c>
      <c r="BB225" s="26">
        <v>63.686</v>
      </c>
      <c r="BC225" s="26">
        <v>1.3715999999999999</v>
      </c>
      <c r="BD225" s="26">
        <v>18.882000000000001</v>
      </c>
      <c r="BE225" s="26">
        <v>67.753</v>
      </c>
      <c r="BF225" s="26">
        <v>34.636000000000003</v>
      </c>
      <c r="BG225" s="26">
        <v>42.667000000000002</v>
      </c>
      <c r="BH225" s="26">
        <v>64.936999999999998</v>
      </c>
      <c r="BI225" s="26">
        <v>10.196999999999999</v>
      </c>
      <c r="BJ225" s="26">
        <v>64.23</v>
      </c>
      <c r="BK225" s="26">
        <v>64.043000000000006</v>
      </c>
      <c r="BL225" s="26">
        <v>67.753</v>
      </c>
      <c r="BM225" s="26">
        <v>32.082999999999998</v>
      </c>
      <c r="BN225" s="26">
        <v>5.1294000000000004</v>
      </c>
      <c r="BO225" s="26">
        <v>10.132999999999999</v>
      </c>
      <c r="BP225" s="26">
        <v>6.9062999999999999</v>
      </c>
      <c r="BQ225" s="26">
        <v>43.314999999999998</v>
      </c>
      <c r="BR225" s="26">
        <v>75.912000000000006</v>
      </c>
      <c r="BS225" s="26">
        <v>2.4093</v>
      </c>
      <c r="BT225" s="26">
        <v>18.995000000000001</v>
      </c>
      <c r="BU225" s="26">
        <v>0.33123999999999998</v>
      </c>
      <c r="BV225" s="26">
        <v>38.752000000000002</v>
      </c>
      <c r="BW225" s="26">
        <v>54.024000000000001</v>
      </c>
      <c r="BX225" s="26">
        <v>6.7860000000000004E-3</v>
      </c>
      <c r="BY225" s="26">
        <v>1.3423</v>
      </c>
      <c r="BZ225" s="26">
        <v>1.3434999999999999</v>
      </c>
      <c r="CA225" s="26">
        <v>1.7968999999999999</v>
      </c>
      <c r="CB225" s="26">
        <v>60.085999999999999</v>
      </c>
      <c r="CC225" s="26">
        <v>34.591999999999999</v>
      </c>
      <c r="CD225" s="26">
        <v>35.478999999999999</v>
      </c>
      <c r="CE225" s="26">
        <v>24.579000000000001</v>
      </c>
      <c r="CF225" s="26">
        <v>34.058999999999997</v>
      </c>
      <c r="CG225" s="26">
        <v>7.6384999999999996</v>
      </c>
      <c r="CH225" s="26">
        <v>40.442999999999998</v>
      </c>
      <c r="CI225" s="26">
        <v>2.6640000000000001</v>
      </c>
      <c r="CJ225" s="26">
        <v>48.643000000000001</v>
      </c>
      <c r="CK225" s="26">
        <v>1.5135000000000001</v>
      </c>
      <c r="CL225" s="26">
        <v>63.753999999999998</v>
      </c>
      <c r="CM225" s="26">
        <v>4.0206</v>
      </c>
      <c r="CN225" s="26">
        <v>9.1079000000000008</v>
      </c>
      <c r="CO225" s="26">
        <v>0.61126000000000003</v>
      </c>
      <c r="CP225" s="26">
        <v>22.337</v>
      </c>
      <c r="CQ225" s="26">
        <v>0.33076</v>
      </c>
      <c r="CR225" s="26">
        <v>9.2001000000000008</v>
      </c>
      <c r="CS225" s="26">
        <v>18.765000000000001</v>
      </c>
      <c r="CT225" s="26">
        <v>3.9253999999999998</v>
      </c>
      <c r="CU225" s="26">
        <v>1.2626999999999999</v>
      </c>
      <c r="CV225" s="26">
        <v>16.306999999999999</v>
      </c>
      <c r="CW225" s="26">
        <v>75.492999999999995</v>
      </c>
      <c r="CX225" s="26">
        <v>45.808</v>
      </c>
      <c r="CY225" s="61"/>
      <c r="CZ225" s="537"/>
      <c r="DA225" s="61"/>
    </row>
    <row r="226" spans="1:16384" s="540" customFormat="1">
      <c r="A226" s="538" t="s">
        <v>126</v>
      </c>
      <c r="B226" s="539">
        <f t="shared" ref="B226:AG226" si="28">AVERAGE(B214:B225)</f>
        <v>29.293175000000002</v>
      </c>
      <c r="C226" s="539">
        <f t="shared" si="28"/>
        <v>25.610325</v>
      </c>
      <c r="D226" s="539">
        <f t="shared" si="28"/>
        <v>41.39608333333333</v>
      </c>
      <c r="E226" s="539">
        <f t="shared" si="28"/>
        <v>44.41575000000001</v>
      </c>
      <c r="F226" s="539">
        <f t="shared" si="28"/>
        <v>53.839750000000002</v>
      </c>
      <c r="G226" s="539">
        <f t="shared" si="28"/>
        <v>25.235191666666662</v>
      </c>
      <c r="H226" s="539">
        <f t="shared" si="28"/>
        <v>47.637916666666662</v>
      </c>
      <c r="I226" s="539">
        <f t="shared" si="28"/>
        <v>49.863416666666673</v>
      </c>
      <c r="J226" s="539">
        <f t="shared" si="28"/>
        <v>44.28308333333333</v>
      </c>
      <c r="K226" s="539">
        <f t="shared" si="28"/>
        <v>41.983916666666659</v>
      </c>
      <c r="L226" s="539">
        <f t="shared" si="28"/>
        <v>57.797916666666659</v>
      </c>
      <c r="M226" s="539">
        <f t="shared" si="28"/>
        <v>2.2275673333333335</v>
      </c>
      <c r="N226" s="539">
        <f t="shared" si="28"/>
        <v>3.1927420833333326</v>
      </c>
      <c r="O226" s="539">
        <f t="shared" si="28"/>
        <v>43.829416666666667</v>
      </c>
      <c r="P226" s="539">
        <f t="shared" si="28"/>
        <v>0.30201556666666668</v>
      </c>
      <c r="Q226" s="539">
        <f t="shared" si="28"/>
        <v>12.006158333333332</v>
      </c>
      <c r="R226" s="539">
        <f t="shared" si="28"/>
        <v>27.57031666666667</v>
      </c>
      <c r="S226" s="539">
        <f t="shared" si="28"/>
        <v>41.672000000000004</v>
      </c>
      <c r="T226" s="539">
        <f t="shared" si="28"/>
        <v>10.386641666666668</v>
      </c>
      <c r="U226" s="539">
        <f t="shared" si="28"/>
        <v>15.018450000000001</v>
      </c>
      <c r="V226" s="539">
        <f t="shared" si="28"/>
        <v>62.014083333333332</v>
      </c>
      <c r="W226" s="539">
        <f t="shared" si="28"/>
        <v>10.980841666666668</v>
      </c>
      <c r="X226" s="539">
        <f t="shared" si="28"/>
        <v>14.822596666666668</v>
      </c>
      <c r="Y226" s="539">
        <f t="shared" si="28"/>
        <v>82.720583333333323</v>
      </c>
      <c r="Z226" s="539">
        <f t="shared" si="28"/>
        <v>39.33069166666666</v>
      </c>
      <c r="AA226" s="539">
        <f t="shared" si="28"/>
        <v>22.318691666666666</v>
      </c>
      <c r="AB226" s="539">
        <f t="shared" si="28"/>
        <v>14.669416666666665</v>
      </c>
      <c r="AC226" s="539">
        <f t="shared" si="28"/>
        <v>40.950083333333332</v>
      </c>
      <c r="AD226" s="539">
        <f t="shared" si="28"/>
        <v>38.221833333333329</v>
      </c>
      <c r="AE226" s="539">
        <f t="shared" si="28"/>
        <v>3.970249125</v>
      </c>
      <c r="AF226" s="539">
        <f t="shared" si="28"/>
        <v>16.659224999999999</v>
      </c>
      <c r="AG226" s="539">
        <f t="shared" si="28"/>
        <v>52.04933333333333</v>
      </c>
      <c r="AH226" s="539">
        <f t="shared" ref="AH226:BM226" si="29">AVERAGE(AH214:AH225)</f>
        <v>52.058166666666665</v>
      </c>
      <c r="AI226" s="539">
        <f t="shared" si="29"/>
        <v>48.32258333333332</v>
      </c>
      <c r="AJ226" s="539">
        <f t="shared" si="29"/>
        <v>40.909750000000003</v>
      </c>
      <c r="AK226" s="539">
        <f t="shared" si="29"/>
        <v>62.521333333333331</v>
      </c>
      <c r="AL226" s="539">
        <f t="shared" si="29"/>
        <v>1.9642594749999998</v>
      </c>
      <c r="AM226" s="539">
        <f t="shared" si="29"/>
        <v>0.16706820833333333</v>
      </c>
      <c r="AN226" s="539">
        <f t="shared" si="29"/>
        <v>16.447975</v>
      </c>
      <c r="AO226" s="539">
        <f t="shared" si="29"/>
        <v>59.798083333333331</v>
      </c>
      <c r="AP226" s="539">
        <f t="shared" si="29"/>
        <v>57.269833333333331</v>
      </c>
      <c r="AQ226" s="539">
        <f t="shared" si="29"/>
        <v>58.396583333333332</v>
      </c>
      <c r="AR226" s="539">
        <f t="shared" si="29"/>
        <v>31.965566666666664</v>
      </c>
      <c r="AS226" s="539">
        <f t="shared" si="29"/>
        <v>20.537233333333333</v>
      </c>
      <c r="AT226" s="539">
        <f t="shared" si="29"/>
        <v>33.229633333333332</v>
      </c>
      <c r="AU226" s="539">
        <f t="shared" si="29"/>
        <v>6.8427666666666669</v>
      </c>
      <c r="AV226" s="539">
        <f t="shared" si="29"/>
        <v>16.460599999999999</v>
      </c>
      <c r="AW226" s="539">
        <f t="shared" si="29"/>
        <v>4.6401666666666674</v>
      </c>
      <c r="AX226" s="539">
        <f t="shared" si="29"/>
        <v>0.81195000000000006</v>
      </c>
      <c r="AY226" s="539">
        <f t="shared" si="29"/>
        <v>63.473333333333329</v>
      </c>
      <c r="AZ226" s="539">
        <f t="shared" si="29"/>
        <v>21.948591666666662</v>
      </c>
      <c r="BA226" s="539">
        <f t="shared" si="29"/>
        <v>21.731808333333333</v>
      </c>
      <c r="BB226" s="539">
        <f t="shared" si="29"/>
        <v>40.9253</v>
      </c>
      <c r="BC226" s="539">
        <f t="shared" si="29"/>
        <v>17.520366666666664</v>
      </c>
      <c r="BD226" s="539">
        <f t="shared" si="29"/>
        <v>37.200808333333335</v>
      </c>
      <c r="BE226" s="539">
        <f t="shared" si="29"/>
        <v>55.430833333333332</v>
      </c>
      <c r="BF226" s="539">
        <f t="shared" si="29"/>
        <v>33.962833333333329</v>
      </c>
      <c r="BG226" s="539">
        <f t="shared" si="29"/>
        <v>19.629083333333334</v>
      </c>
      <c r="BH226" s="539">
        <f t="shared" si="29"/>
        <v>46.405324999999998</v>
      </c>
      <c r="BI226" s="539">
        <f t="shared" si="29"/>
        <v>37.084166666666668</v>
      </c>
      <c r="BJ226" s="539">
        <f t="shared" si="29"/>
        <v>53.389500000000005</v>
      </c>
      <c r="BK226" s="539">
        <f t="shared" si="29"/>
        <v>64.014666666666656</v>
      </c>
      <c r="BL226" s="539">
        <f t="shared" si="29"/>
        <v>41.576000000000001</v>
      </c>
      <c r="BM226" s="539">
        <f t="shared" si="29"/>
        <v>41.204000000000001</v>
      </c>
      <c r="BN226" s="539">
        <f t="shared" ref="BN226:CS226" si="30">AVERAGE(BN214:BN225)</f>
        <v>10.55095</v>
      </c>
      <c r="BO226" s="539">
        <f t="shared" si="30"/>
        <v>11.087566666666667</v>
      </c>
      <c r="BP226" s="539">
        <f t="shared" si="30"/>
        <v>32.548025000000003</v>
      </c>
      <c r="BQ226" s="539">
        <f t="shared" si="30"/>
        <v>29.840841666666666</v>
      </c>
      <c r="BR226" s="539">
        <f t="shared" si="30"/>
        <v>64.934750000000008</v>
      </c>
      <c r="BS226" s="539">
        <f t="shared" si="30"/>
        <v>32.884524999999996</v>
      </c>
      <c r="BT226" s="539">
        <f t="shared" si="30"/>
        <v>20.333533333333332</v>
      </c>
      <c r="BU226" s="539">
        <f t="shared" si="30"/>
        <v>15.981414166666665</v>
      </c>
      <c r="BV226" s="539">
        <f t="shared" si="30"/>
        <v>29.927733333333332</v>
      </c>
      <c r="BW226" s="539">
        <f t="shared" si="30"/>
        <v>49.012750000000004</v>
      </c>
      <c r="BX226" s="539">
        <f t="shared" si="30"/>
        <v>16.145109166666668</v>
      </c>
      <c r="BY226" s="539">
        <f t="shared" si="30"/>
        <v>2.0775801666666669</v>
      </c>
      <c r="BZ226" s="539">
        <f t="shared" si="30"/>
        <v>0.33973672333333332</v>
      </c>
      <c r="CA226" s="539">
        <f t="shared" si="30"/>
        <v>14.603334083333332</v>
      </c>
      <c r="CB226" s="539">
        <f t="shared" si="30"/>
        <v>39.167583333333333</v>
      </c>
      <c r="CC226" s="539">
        <f t="shared" si="30"/>
        <v>52.331916666666672</v>
      </c>
      <c r="CD226" s="539">
        <f t="shared" si="30"/>
        <v>23.107274999999998</v>
      </c>
      <c r="CE226" s="539">
        <f t="shared" si="30"/>
        <v>23.80734166666667</v>
      </c>
      <c r="CF226" s="539">
        <f t="shared" si="30"/>
        <v>11.708366666666668</v>
      </c>
      <c r="CG226" s="539">
        <f t="shared" si="30"/>
        <v>32.103458333333329</v>
      </c>
      <c r="CH226" s="539">
        <f t="shared" si="30"/>
        <v>17.60510833333333</v>
      </c>
      <c r="CI226" s="539">
        <f t="shared" si="30"/>
        <v>31.927708333333328</v>
      </c>
      <c r="CJ226" s="539">
        <f t="shared" si="30"/>
        <v>57.453166666666668</v>
      </c>
      <c r="CK226" s="539">
        <f t="shared" si="30"/>
        <v>1.7563355416666671</v>
      </c>
      <c r="CL226" s="539">
        <f t="shared" si="30"/>
        <v>39.574666666666666</v>
      </c>
      <c r="CM226" s="539">
        <f t="shared" si="30"/>
        <v>3.4538991666666665</v>
      </c>
      <c r="CN226" s="539">
        <f t="shared" si="30"/>
        <v>17.540733333333332</v>
      </c>
      <c r="CO226" s="539">
        <f t="shared" si="30"/>
        <v>1.8982296666666665</v>
      </c>
      <c r="CP226" s="539">
        <f t="shared" si="30"/>
        <v>25.65550833333333</v>
      </c>
      <c r="CQ226" s="539">
        <f t="shared" si="30"/>
        <v>17.928867499999999</v>
      </c>
      <c r="CR226" s="539">
        <f t="shared" si="30"/>
        <v>20.226724999999998</v>
      </c>
      <c r="CS226" s="539">
        <f t="shared" si="30"/>
        <v>38.829999999999991</v>
      </c>
      <c r="CT226" s="539">
        <f>AVERAGE(CT214:CT225)</f>
        <v>5.5950433333333329</v>
      </c>
      <c r="CU226" s="539">
        <f>AVERAGE(CU214:CU225)</f>
        <v>8.346525833333331</v>
      </c>
      <c r="CV226" s="539">
        <f>AVERAGE(CV214:CV225)</f>
        <v>8.9516291666666667</v>
      </c>
      <c r="CW226" s="539">
        <f>AVERAGE(CW214:CW225)</f>
        <v>66.969666666666669</v>
      </c>
      <c r="CX226" s="539">
        <f>AVERAGE(CX214:CX225)</f>
        <v>38.286750000000005</v>
      </c>
      <c r="CY226" s="61"/>
      <c r="CZ226" s="537"/>
      <c r="DA226" s="537"/>
      <c r="DB226" s="537"/>
      <c r="DC226" s="537"/>
      <c r="DD226" s="537"/>
      <c r="DE226" s="537"/>
      <c r="DF226" s="537"/>
      <c r="DG226" s="537"/>
      <c r="DH226" s="537"/>
      <c r="DI226" s="537"/>
      <c r="DJ226" s="537"/>
      <c r="DK226" s="537"/>
      <c r="DL226" s="537"/>
      <c r="DM226" s="537"/>
      <c r="DN226" s="537"/>
      <c r="DO226" s="537"/>
      <c r="DP226" s="537"/>
      <c r="DQ226" s="537"/>
      <c r="DR226" s="537"/>
      <c r="DS226" s="537"/>
      <c r="DT226" s="537"/>
      <c r="DU226" s="537"/>
      <c r="DV226" s="537"/>
      <c r="DW226" s="537"/>
      <c r="DX226" s="537"/>
      <c r="DY226" s="537"/>
      <c r="DZ226" s="537"/>
      <c r="EA226" s="537"/>
      <c r="EB226" s="537"/>
      <c r="EC226" s="537"/>
      <c r="ED226" s="537"/>
      <c r="EE226" s="537"/>
      <c r="EF226" s="537"/>
      <c r="EG226" s="537"/>
      <c r="EH226" s="537"/>
      <c r="EI226" s="537"/>
      <c r="EJ226" s="537"/>
      <c r="EK226" s="537"/>
      <c r="EL226" s="537"/>
      <c r="EM226" s="537"/>
      <c r="EN226" s="537"/>
      <c r="EO226" s="537"/>
      <c r="EP226" s="537"/>
      <c r="EQ226" s="537"/>
      <c r="ER226" s="537"/>
      <c r="ES226" s="537"/>
      <c r="ET226" s="537"/>
      <c r="EU226" s="537"/>
      <c r="EV226" s="537"/>
      <c r="EW226" s="537"/>
      <c r="EX226" s="537"/>
      <c r="EY226" s="537"/>
      <c r="EZ226" s="537"/>
      <c r="FA226" s="537"/>
      <c r="FB226" s="537"/>
      <c r="FC226" s="537"/>
      <c r="FD226" s="537"/>
      <c r="FE226" s="537"/>
      <c r="FF226" s="537"/>
      <c r="FG226" s="537"/>
      <c r="FH226" s="537"/>
      <c r="FI226" s="537"/>
      <c r="FJ226" s="537"/>
      <c r="FK226" s="537"/>
      <c r="FL226" s="537"/>
      <c r="FM226" s="537"/>
      <c r="FN226" s="537"/>
      <c r="FO226" s="537"/>
      <c r="FP226" s="537"/>
      <c r="FQ226" s="537"/>
      <c r="FR226" s="537"/>
      <c r="FS226" s="537"/>
      <c r="FT226" s="537"/>
      <c r="FU226" s="537"/>
      <c r="FV226" s="537"/>
      <c r="FW226" s="537"/>
      <c r="FX226" s="537"/>
      <c r="FY226" s="537"/>
      <c r="FZ226" s="537"/>
      <c r="GA226" s="537"/>
      <c r="GB226" s="537"/>
      <c r="GC226" s="537"/>
      <c r="GD226" s="537"/>
      <c r="GE226" s="537"/>
      <c r="GF226" s="537"/>
      <c r="GG226" s="537"/>
      <c r="GH226" s="537"/>
      <c r="GI226" s="537"/>
      <c r="GJ226" s="537"/>
      <c r="GK226" s="537"/>
      <c r="GL226" s="537"/>
      <c r="GM226" s="537"/>
      <c r="GN226" s="537"/>
      <c r="GO226" s="537"/>
      <c r="GP226" s="537"/>
      <c r="GQ226" s="537"/>
      <c r="GR226" s="537"/>
      <c r="GS226" s="537"/>
      <c r="GT226" s="537"/>
      <c r="GU226" s="537"/>
      <c r="GV226" s="537"/>
      <c r="GW226" s="537"/>
      <c r="GX226" s="537"/>
      <c r="GY226" s="537"/>
      <c r="GZ226" s="537"/>
      <c r="HA226" s="537"/>
      <c r="HB226" s="537"/>
      <c r="HC226" s="537"/>
      <c r="HD226" s="537"/>
      <c r="HE226" s="537"/>
      <c r="HF226" s="537"/>
      <c r="HG226" s="537"/>
      <c r="HH226" s="537"/>
      <c r="HI226" s="537"/>
      <c r="HJ226" s="537"/>
      <c r="HK226" s="537"/>
      <c r="HL226" s="537"/>
      <c r="HM226" s="537"/>
      <c r="HN226" s="537"/>
      <c r="HO226" s="537"/>
      <c r="HP226" s="537"/>
      <c r="HQ226" s="537"/>
      <c r="HR226" s="537"/>
      <c r="HS226" s="537"/>
      <c r="HT226" s="537"/>
      <c r="HU226" s="537"/>
      <c r="HV226" s="537"/>
      <c r="HW226" s="537"/>
      <c r="HX226" s="537"/>
      <c r="HY226" s="537"/>
      <c r="HZ226" s="537"/>
      <c r="IA226" s="537"/>
      <c r="IB226" s="537"/>
      <c r="IC226" s="537"/>
      <c r="ID226" s="537"/>
      <c r="IE226" s="537"/>
      <c r="IF226" s="537"/>
      <c r="IG226" s="537"/>
      <c r="IH226" s="537"/>
      <c r="II226" s="537"/>
      <c r="IJ226" s="537"/>
      <c r="IK226" s="537"/>
      <c r="IL226" s="537"/>
      <c r="IM226" s="537"/>
      <c r="IN226" s="537"/>
      <c r="IO226" s="537"/>
      <c r="IP226" s="537"/>
      <c r="IQ226" s="537"/>
      <c r="IR226" s="537"/>
      <c r="IS226" s="537"/>
      <c r="IT226" s="537"/>
      <c r="IU226" s="537"/>
      <c r="IV226" s="537"/>
      <c r="IW226" s="537"/>
      <c r="IX226" s="537"/>
      <c r="IY226" s="537"/>
      <c r="IZ226" s="537"/>
      <c r="JA226" s="537"/>
      <c r="JB226" s="537"/>
      <c r="JC226" s="537"/>
      <c r="JD226" s="537"/>
      <c r="JE226" s="537"/>
      <c r="JF226" s="537"/>
      <c r="JG226" s="537"/>
      <c r="JH226" s="537"/>
      <c r="JI226" s="537"/>
      <c r="JJ226" s="537"/>
      <c r="JK226" s="537"/>
      <c r="JL226" s="537"/>
      <c r="JM226" s="537"/>
      <c r="JN226" s="537"/>
      <c r="JO226" s="537"/>
      <c r="JP226" s="537"/>
      <c r="JQ226" s="537"/>
      <c r="JR226" s="537"/>
      <c r="JS226" s="537"/>
      <c r="JT226" s="537"/>
      <c r="JU226" s="537"/>
      <c r="JV226" s="537"/>
      <c r="JW226" s="537"/>
      <c r="JX226" s="537"/>
      <c r="JY226" s="537"/>
      <c r="JZ226" s="537"/>
      <c r="KA226" s="537"/>
      <c r="KB226" s="537"/>
      <c r="KC226" s="537"/>
      <c r="KD226" s="537"/>
      <c r="KE226" s="537"/>
      <c r="KF226" s="537"/>
      <c r="KG226" s="537"/>
      <c r="KH226" s="537"/>
      <c r="KI226" s="537"/>
      <c r="KJ226" s="537"/>
      <c r="KK226" s="537"/>
      <c r="KL226" s="537"/>
      <c r="KM226" s="537"/>
      <c r="KN226" s="537"/>
      <c r="KO226" s="537"/>
      <c r="KP226" s="537"/>
      <c r="KQ226" s="537"/>
      <c r="KR226" s="537"/>
      <c r="KS226" s="537"/>
      <c r="KT226" s="537"/>
      <c r="KU226" s="537"/>
      <c r="KV226" s="537"/>
      <c r="KW226" s="537"/>
      <c r="KX226" s="537"/>
      <c r="KY226" s="537"/>
      <c r="KZ226" s="537"/>
      <c r="LA226" s="537"/>
      <c r="LB226" s="537"/>
      <c r="LC226" s="537"/>
      <c r="LD226" s="537"/>
      <c r="LE226" s="537"/>
      <c r="LF226" s="537"/>
      <c r="LG226" s="537"/>
      <c r="LH226" s="537"/>
      <c r="LI226" s="537"/>
      <c r="LJ226" s="537"/>
      <c r="LK226" s="537"/>
      <c r="LL226" s="537"/>
      <c r="LM226" s="537"/>
      <c r="LN226" s="537"/>
      <c r="LO226" s="537"/>
      <c r="LP226" s="537"/>
      <c r="LQ226" s="537"/>
      <c r="LR226" s="537"/>
      <c r="LS226" s="537"/>
      <c r="LT226" s="537"/>
      <c r="LU226" s="537"/>
      <c r="LV226" s="537"/>
      <c r="LW226" s="537"/>
      <c r="LX226" s="537"/>
      <c r="LY226" s="537"/>
      <c r="LZ226" s="537"/>
      <c r="MA226" s="537"/>
      <c r="MB226" s="537"/>
      <c r="MC226" s="537"/>
      <c r="MD226" s="537"/>
      <c r="ME226" s="537"/>
      <c r="MF226" s="537"/>
      <c r="MG226" s="537"/>
      <c r="MH226" s="537"/>
      <c r="MI226" s="537"/>
      <c r="MJ226" s="537"/>
      <c r="MK226" s="537"/>
      <c r="ML226" s="537"/>
      <c r="MM226" s="537"/>
      <c r="MN226" s="537"/>
      <c r="MO226" s="537"/>
      <c r="MP226" s="537"/>
      <c r="MQ226" s="537"/>
      <c r="MR226" s="537"/>
      <c r="MS226" s="537"/>
      <c r="MT226" s="537"/>
      <c r="MU226" s="537"/>
      <c r="MV226" s="537"/>
      <c r="MW226" s="537"/>
      <c r="MX226" s="537"/>
      <c r="MY226" s="537"/>
      <c r="MZ226" s="537"/>
      <c r="NA226" s="537"/>
      <c r="NB226" s="537"/>
      <c r="NC226" s="537"/>
      <c r="ND226" s="537"/>
      <c r="NE226" s="537"/>
      <c r="NF226" s="537"/>
      <c r="NG226" s="537"/>
      <c r="NH226" s="537"/>
      <c r="NI226" s="537"/>
      <c r="NJ226" s="537"/>
      <c r="NK226" s="537"/>
      <c r="NL226" s="537"/>
      <c r="NM226" s="537"/>
      <c r="NN226" s="537"/>
      <c r="NO226" s="537"/>
      <c r="NP226" s="537"/>
      <c r="NQ226" s="537"/>
      <c r="NR226" s="537"/>
      <c r="NS226" s="537"/>
      <c r="NT226" s="537"/>
      <c r="NU226" s="537"/>
      <c r="NV226" s="537"/>
      <c r="NW226" s="537"/>
      <c r="NX226" s="537"/>
      <c r="NY226" s="537"/>
      <c r="NZ226" s="537"/>
      <c r="OA226" s="537"/>
      <c r="OB226" s="537"/>
      <c r="OC226" s="537"/>
      <c r="OD226" s="537"/>
      <c r="OE226" s="537"/>
      <c r="OF226" s="537"/>
      <c r="OG226" s="537"/>
      <c r="OH226" s="537"/>
      <c r="OI226" s="537"/>
      <c r="OJ226" s="537"/>
      <c r="OK226" s="537"/>
      <c r="OL226" s="537"/>
      <c r="OM226" s="537"/>
      <c r="ON226" s="537"/>
      <c r="OO226" s="537"/>
      <c r="OP226" s="537"/>
      <c r="OQ226" s="537"/>
      <c r="OR226" s="537"/>
      <c r="OS226" s="537"/>
      <c r="OT226" s="537"/>
      <c r="OU226" s="537"/>
      <c r="OV226" s="537"/>
      <c r="OW226" s="537"/>
      <c r="OX226" s="537"/>
      <c r="OY226" s="537"/>
      <c r="OZ226" s="537"/>
      <c r="PA226" s="537"/>
      <c r="PB226" s="537"/>
      <c r="PC226" s="537"/>
      <c r="PD226" s="537"/>
      <c r="PE226" s="537"/>
      <c r="PF226" s="537"/>
      <c r="PG226" s="537"/>
      <c r="PH226" s="537"/>
      <c r="PI226" s="537"/>
      <c r="PJ226" s="537"/>
      <c r="PK226" s="537"/>
      <c r="PL226" s="537"/>
      <c r="PM226" s="537"/>
      <c r="PN226" s="537"/>
      <c r="PO226" s="537"/>
      <c r="PP226" s="537"/>
      <c r="PQ226" s="537"/>
      <c r="PR226" s="537"/>
      <c r="PS226" s="537"/>
      <c r="PT226" s="537"/>
      <c r="PU226" s="537"/>
      <c r="PV226" s="537"/>
      <c r="PW226" s="537"/>
      <c r="PX226" s="537"/>
      <c r="PY226" s="537"/>
      <c r="PZ226" s="537"/>
      <c r="QA226" s="537"/>
      <c r="QB226" s="537"/>
      <c r="QC226" s="537"/>
      <c r="QD226" s="537"/>
      <c r="QE226" s="537"/>
      <c r="QF226" s="537"/>
      <c r="QG226" s="537"/>
      <c r="QH226" s="537"/>
      <c r="QI226" s="537"/>
      <c r="QJ226" s="537"/>
      <c r="QK226" s="537"/>
      <c r="QL226" s="537"/>
      <c r="QM226" s="537"/>
      <c r="QN226" s="537"/>
      <c r="QO226" s="537"/>
      <c r="QP226" s="537"/>
      <c r="QQ226" s="537"/>
      <c r="QR226" s="537"/>
      <c r="QS226" s="537"/>
      <c r="QT226" s="537"/>
      <c r="QU226" s="537"/>
      <c r="QV226" s="537"/>
      <c r="QW226" s="537"/>
      <c r="QX226" s="537"/>
      <c r="QY226" s="537"/>
      <c r="QZ226" s="537"/>
      <c r="RA226" s="537"/>
      <c r="RB226" s="537"/>
      <c r="RC226" s="537"/>
      <c r="RD226" s="537"/>
      <c r="RE226" s="537"/>
      <c r="RF226" s="537"/>
      <c r="RG226" s="537"/>
      <c r="RH226" s="537"/>
      <c r="RI226" s="537"/>
      <c r="RJ226" s="537"/>
      <c r="RK226" s="537"/>
      <c r="RL226" s="537"/>
      <c r="RM226" s="537"/>
      <c r="RN226" s="537"/>
      <c r="RO226" s="537"/>
      <c r="RP226" s="537"/>
      <c r="RQ226" s="537"/>
      <c r="RR226" s="537"/>
      <c r="RS226" s="537"/>
      <c r="RT226" s="537"/>
      <c r="RU226" s="537"/>
      <c r="RV226" s="537"/>
      <c r="RW226" s="537"/>
      <c r="RX226" s="537"/>
      <c r="RY226" s="537"/>
      <c r="RZ226" s="537"/>
      <c r="SA226" s="537"/>
      <c r="SB226" s="537"/>
      <c r="SC226" s="537"/>
      <c r="SD226" s="537"/>
      <c r="SE226" s="537"/>
      <c r="SF226" s="537"/>
      <c r="SG226" s="537"/>
      <c r="SH226" s="537"/>
      <c r="SI226" s="537"/>
      <c r="SJ226" s="537"/>
      <c r="SK226" s="537"/>
      <c r="SL226" s="537"/>
      <c r="SM226" s="537"/>
      <c r="SN226" s="537"/>
      <c r="SO226" s="537"/>
      <c r="SP226" s="537"/>
      <c r="SQ226" s="537"/>
      <c r="SR226" s="537"/>
      <c r="SS226" s="537"/>
      <c r="ST226" s="537"/>
      <c r="SU226" s="537"/>
      <c r="SV226" s="537"/>
      <c r="SW226" s="537"/>
      <c r="SX226" s="537"/>
      <c r="SY226" s="537"/>
      <c r="SZ226" s="537"/>
      <c r="TA226" s="537"/>
      <c r="TB226" s="537"/>
      <c r="TC226" s="537"/>
      <c r="TD226" s="537"/>
      <c r="TE226" s="537"/>
      <c r="TF226" s="537"/>
      <c r="TG226" s="537"/>
      <c r="TH226" s="537"/>
      <c r="TI226" s="537"/>
      <c r="TJ226" s="537"/>
      <c r="TK226" s="537"/>
      <c r="TL226" s="537"/>
      <c r="TM226" s="537"/>
      <c r="TN226" s="537"/>
      <c r="TO226" s="537"/>
      <c r="TP226" s="537"/>
      <c r="TQ226" s="537"/>
      <c r="TR226" s="537"/>
      <c r="TS226" s="537"/>
      <c r="TT226" s="537"/>
      <c r="TU226" s="537"/>
      <c r="TV226" s="537"/>
      <c r="TW226" s="537"/>
      <c r="TX226" s="537"/>
      <c r="TY226" s="537"/>
      <c r="TZ226" s="537"/>
      <c r="UA226" s="537"/>
      <c r="UB226" s="537"/>
      <c r="UC226" s="537"/>
      <c r="UD226" s="537"/>
      <c r="UE226" s="537"/>
      <c r="UF226" s="537"/>
      <c r="UG226" s="537"/>
      <c r="UH226" s="537"/>
      <c r="UI226" s="537"/>
      <c r="UJ226" s="537"/>
      <c r="UK226" s="537"/>
      <c r="UL226" s="537"/>
      <c r="UM226" s="537"/>
      <c r="UN226" s="537"/>
      <c r="UO226" s="537"/>
      <c r="UP226" s="537"/>
      <c r="UQ226" s="537"/>
      <c r="UR226" s="537"/>
      <c r="US226" s="537"/>
      <c r="UT226" s="537"/>
      <c r="UU226" s="537"/>
      <c r="UV226" s="537"/>
      <c r="UW226" s="537"/>
      <c r="UX226" s="537"/>
      <c r="UY226" s="537"/>
      <c r="UZ226" s="537"/>
      <c r="VA226" s="537"/>
      <c r="VB226" s="537"/>
      <c r="VC226" s="537"/>
      <c r="VD226" s="537"/>
      <c r="VE226" s="537"/>
      <c r="VF226" s="537"/>
      <c r="VG226" s="537"/>
      <c r="VH226" s="537"/>
      <c r="VI226" s="537"/>
      <c r="VJ226" s="537"/>
      <c r="VK226" s="537"/>
      <c r="VL226" s="537"/>
      <c r="VM226" s="537"/>
      <c r="VN226" s="537"/>
      <c r="VO226" s="537"/>
      <c r="VP226" s="537"/>
      <c r="VQ226" s="537"/>
      <c r="VR226" s="537"/>
      <c r="VS226" s="537"/>
      <c r="VT226" s="537"/>
      <c r="VU226" s="537"/>
      <c r="VV226" s="537"/>
      <c r="VW226" s="537"/>
      <c r="VX226" s="537"/>
      <c r="VY226" s="537"/>
      <c r="VZ226" s="537"/>
      <c r="WA226" s="537"/>
      <c r="WB226" s="537"/>
      <c r="WC226" s="537"/>
      <c r="WD226" s="537"/>
      <c r="WE226" s="537"/>
      <c r="WF226" s="537"/>
      <c r="WG226" s="537"/>
      <c r="WH226" s="537"/>
      <c r="WI226" s="537"/>
      <c r="WJ226" s="537"/>
      <c r="WK226" s="537"/>
      <c r="WL226" s="537"/>
      <c r="WM226" s="537"/>
      <c r="WN226" s="537"/>
      <c r="WO226" s="537"/>
      <c r="WP226" s="537"/>
      <c r="WQ226" s="537"/>
      <c r="WR226" s="537"/>
      <c r="WS226" s="537"/>
      <c r="WT226" s="537"/>
      <c r="WU226" s="537"/>
      <c r="WV226" s="537"/>
      <c r="WW226" s="537"/>
      <c r="WX226" s="537"/>
      <c r="WY226" s="537"/>
      <c r="WZ226" s="537"/>
      <c r="XA226" s="537"/>
      <c r="XB226" s="537"/>
      <c r="XC226" s="537"/>
      <c r="XD226" s="537"/>
      <c r="XE226" s="537"/>
      <c r="XF226" s="537"/>
      <c r="XG226" s="537"/>
      <c r="XH226" s="537"/>
      <c r="XI226" s="537"/>
      <c r="XJ226" s="537"/>
      <c r="XK226" s="537"/>
      <c r="XL226" s="537"/>
      <c r="XM226" s="537"/>
      <c r="XN226" s="537"/>
      <c r="XO226" s="537"/>
      <c r="XP226" s="537"/>
      <c r="XQ226" s="537"/>
      <c r="XR226" s="537"/>
      <c r="XS226" s="537"/>
      <c r="XT226" s="537"/>
      <c r="XU226" s="537"/>
      <c r="XV226" s="537"/>
      <c r="XW226" s="537"/>
      <c r="XX226" s="537"/>
      <c r="XY226" s="537"/>
      <c r="XZ226" s="537"/>
      <c r="YA226" s="537"/>
      <c r="YB226" s="537"/>
      <c r="YC226" s="537"/>
      <c r="YD226" s="537"/>
      <c r="YE226" s="537"/>
      <c r="YF226" s="537"/>
      <c r="YG226" s="537"/>
      <c r="YH226" s="537"/>
      <c r="YI226" s="537"/>
      <c r="YJ226" s="537"/>
      <c r="YK226" s="537"/>
      <c r="YL226" s="537"/>
      <c r="YM226" s="537"/>
      <c r="YN226" s="537"/>
      <c r="YO226" s="537"/>
      <c r="YP226" s="537"/>
      <c r="YQ226" s="537"/>
      <c r="YR226" s="537"/>
      <c r="YS226" s="537"/>
      <c r="YT226" s="537"/>
      <c r="YU226" s="537"/>
      <c r="YV226" s="537"/>
      <c r="YW226" s="537"/>
      <c r="YX226" s="537"/>
      <c r="YY226" s="537"/>
      <c r="YZ226" s="537"/>
      <c r="ZA226" s="537"/>
      <c r="ZB226" s="537"/>
      <c r="ZC226" s="537"/>
      <c r="ZD226" s="537"/>
      <c r="ZE226" s="537"/>
      <c r="ZF226" s="537"/>
      <c r="ZG226" s="537"/>
      <c r="ZH226" s="537"/>
      <c r="ZI226" s="537"/>
      <c r="ZJ226" s="537"/>
      <c r="ZK226" s="537"/>
      <c r="ZL226" s="537"/>
      <c r="ZM226" s="537"/>
      <c r="ZN226" s="537"/>
      <c r="ZO226" s="537"/>
      <c r="ZP226" s="537"/>
      <c r="ZQ226" s="537"/>
      <c r="ZR226" s="537"/>
      <c r="ZS226" s="537"/>
      <c r="ZT226" s="537"/>
      <c r="ZU226" s="537"/>
      <c r="ZV226" s="537"/>
      <c r="ZW226" s="537"/>
      <c r="ZX226" s="537"/>
      <c r="ZY226" s="537"/>
      <c r="ZZ226" s="537"/>
      <c r="AAA226" s="537"/>
      <c r="AAB226" s="537"/>
      <c r="AAC226" s="537"/>
      <c r="AAD226" s="537"/>
      <c r="AAE226" s="537"/>
      <c r="AAF226" s="537"/>
      <c r="AAG226" s="537"/>
      <c r="AAH226" s="537"/>
      <c r="AAI226" s="537"/>
      <c r="AAJ226" s="537"/>
      <c r="AAK226" s="537"/>
      <c r="AAL226" s="537"/>
      <c r="AAM226" s="537"/>
      <c r="AAN226" s="537"/>
      <c r="AAO226" s="537"/>
      <c r="AAP226" s="537"/>
      <c r="AAQ226" s="537"/>
      <c r="AAR226" s="537"/>
      <c r="AAS226" s="537"/>
      <c r="AAT226" s="537"/>
      <c r="AAU226" s="537"/>
      <c r="AAV226" s="537"/>
      <c r="AAW226" s="537"/>
      <c r="AAX226" s="537"/>
      <c r="AAY226" s="537"/>
      <c r="AAZ226" s="537"/>
      <c r="ABA226" s="537"/>
      <c r="ABB226" s="537"/>
      <c r="ABC226" s="537"/>
      <c r="ABD226" s="537"/>
      <c r="ABE226" s="537"/>
      <c r="ABF226" s="537"/>
      <c r="ABG226" s="537"/>
      <c r="ABH226" s="537"/>
      <c r="ABI226" s="537"/>
      <c r="ABJ226" s="537"/>
      <c r="ABK226" s="537"/>
      <c r="ABL226" s="537"/>
      <c r="ABM226" s="537"/>
      <c r="ABN226" s="537"/>
      <c r="ABO226" s="537"/>
      <c r="ABP226" s="537"/>
      <c r="ABQ226" s="537"/>
      <c r="ABR226" s="537"/>
      <c r="ABS226" s="537"/>
      <c r="ABT226" s="537"/>
      <c r="ABU226" s="537"/>
      <c r="ABV226" s="537"/>
      <c r="ABW226" s="537"/>
      <c r="ABX226" s="537"/>
      <c r="ABY226" s="537"/>
      <c r="ABZ226" s="537"/>
      <c r="ACA226" s="537"/>
      <c r="ACB226" s="537"/>
      <c r="ACC226" s="537"/>
      <c r="ACD226" s="537"/>
      <c r="ACE226" s="537"/>
      <c r="ACF226" s="537"/>
      <c r="ACG226" s="537"/>
      <c r="ACH226" s="537"/>
      <c r="ACI226" s="537"/>
      <c r="ACJ226" s="537"/>
      <c r="ACK226" s="537"/>
      <c r="ACL226" s="537"/>
      <c r="ACM226" s="537"/>
      <c r="ACN226" s="537"/>
      <c r="ACO226" s="537"/>
      <c r="ACP226" s="537"/>
      <c r="ACQ226" s="537"/>
      <c r="ACR226" s="537"/>
      <c r="ACS226" s="537"/>
      <c r="ACT226" s="537"/>
      <c r="ACU226" s="537"/>
      <c r="ACV226" s="537"/>
      <c r="ACW226" s="537"/>
      <c r="ACX226" s="537"/>
      <c r="ACY226" s="537"/>
      <c r="ACZ226" s="537"/>
      <c r="ADA226" s="537"/>
      <c r="ADB226" s="537"/>
      <c r="ADC226" s="537"/>
      <c r="ADD226" s="537"/>
      <c r="ADE226" s="537"/>
      <c r="ADF226" s="537"/>
      <c r="ADG226" s="537"/>
      <c r="ADH226" s="537"/>
      <c r="ADI226" s="537"/>
      <c r="ADJ226" s="537"/>
      <c r="ADK226" s="537"/>
      <c r="ADL226" s="537"/>
      <c r="ADM226" s="537"/>
      <c r="ADN226" s="537"/>
      <c r="ADO226" s="537"/>
      <c r="ADP226" s="537"/>
      <c r="ADQ226" s="537"/>
      <c r="ADR226" s="537"/>
      <c r="ADS226" s="537"/>
      <c r="ADT226" s="537"/>
      <c r="ADU226" s="537"/>
      <c r="ADV226" s="537"/>
      <c r="ADW226" s="537"/>
      <c r="ADX226" s="537"/>
      <c r="ADY226" s="537"/>
      <c r="ADZ226" s="537"/>
      <c r="AEA226" s="537"/>
      <c r="AEB226" s="537"/>
      <c r="AEC226" s="537"/>
      <c r="AED226" s="537"/>
      <c r="AEE226" s="537"/>
      <c r="AEF226" s="537"/>
      <c r="AEG226" s="537"/>
      <c r="AEH226" s="537"/>
      <c r="AEI226" s="537"/>
      <c r="AEJ226" s="537"/>
      <c r="AEK226" s="537"/>
      <c r="AEL226" s="537"/>
      <c r="AEM226" s="537"/>
      <c r="AEN226" s="537"/>
      <c r="AEO226" s="537"/>
      <c r="AEP226" s="537"/>
      <c r="AEQ226" s="537"/>
      <c r="AER226" s="537"/>
      <c r="AES226" s="537"/>
      <c r="AET226" s="537"/>
      <c r="AEU226" s="537"/>
      <c r="AEV226" s="537"/>
      <c r="AEW226" s="537"/>
      <c r="AEX226" s="537"/>
      <c r="AEY226" s="537"/>
      <c r="AEZ226" s="537"/>
      <c r="AFA226" s="537"/>
      <c r="AFB226" s="537"/>
      <c r="AFC226" s="537"/>
      <c r="AFD226" s="537"/>
      <c r="AFE226" s="537"/>
      <c r="AFF226" s="537"/>
      <c r="AFG226" s="537"/>
      <c r="AFH226" s="537"/>
      <c r="AFI226" s="537"/>
      <c r="AFJ226" s="537"/>
      <c r="AFK226" s="537"/>
      <c r="AFL226" s="537"/>
      <c r="AFM226" s="537"/>
      <c r="AFN226" s="537"/>
      <c r="AFO226" s="537"/>
      <c r="AFP226" s="537"/>
      <c r="AFQ226" s="537"/>
      <c r="AFR226" s="537"/>
      <c r="AFS226" s="537"/>
      <c r="AFT226" s="537"/>
      <c r="AFU226" s="537"/>
      <c r="AFV226" s="537"/>
      <c r="AFW226" s="537"/>
      <c r="AFX226" s="537"/>
      <c r="AFY226" s="537"/>
      <c r="AFZ226" s="537"/>
      <c r="AGA226" s="537"/>
      <c r="AGB226" s="537"/>
      <c r="AGC226" s="537"/>
      <c r="AGD226" s="537"/>
      <c r="AGE226" s="537"/>
      <c r="AGF226" s="537"/>
      <c r="AGG226" s="537"/>
      <c r="AGH226" s="537"/>
      <c r="AGI226" s="537"/>
      <c r="AGJ226" s="537"/>
      <c r="AGK226" s="537"/>
      <c r="AGL226" s="537"/>
      <c r="AGM226" s="537"/>
      <c r="AGN226" s="537"/>
      <c r="AGO226" s="537"/>
      <c r="AGP226" s="537"/>
      <c r="AGQ226" s="537"/>
      <c r="AGR226" s="537"/>
      <c r="AGS226" s="537"/>
      <c r="AGT226" s="537"/>
      <c r="AGU226" s="537"/>
      <c r="AGV226" s="537"/>
      <c r="AGW226" s="537"/>
      <c r="AGX226" s="537"/>
      <c r="AGY226" s="537"/>
      <c r="AGZ226" s="537"/>
      <c r="AHA226" s="537"/>
      <c r="AHB226" s="537"/>
      <c r="AHC226" s="537"/>
      <c r="AHD226" s="537"/>
      <c r="AHE226" s="537"/>
      <c r="AHF226" s="537"/>
      <c r="AHG226" s="537"/>
      <c r="AHH226" s="537"/>
      <c r="AHI226" s="537"/>
      <c r="AHJ226" s="537"/>
      <c r="AHK226" s="537"/>
      <c r="AHL226" s="537"/>
      <c r="AHM226" s="537"/>
      <c r="AHN226" s="537"/>
      <c r="AHO226" s="537"/>
      <c r="AHP226" s="537"/>
      <c r="AHQ226" s="537"/>
      <c r="AHR226" s="537"/>
      <c r="AHS226" s="537"/>
      <c r="AHT226" s="537"/>
      <c r="AHU226" s="537"/>
      <c r="AHV226" s="537"/>
      <c r="AHW226" s="537"/>
      <c r="AHX226" s="537"/>
      <c r="AHY226" s="537"/>
      <c r="AHZ226" s="537"/>
      <c r="AIA226" s="537"/>
      <c r="AIB226" s="537"/>
      <c r="AIC226" s="537"/>
      <c r="AID226" s="537"/>
      <c r="AIE226" s="537"/>
      <c r="AIF226" s="537"/>
      <c r="AIG226" s="537"/>
      <c r="AIH226" s="537"/>
      <c r="AII226" s="537"/>
      <c r="AIJ226" s="537"/>
      <c r="AIK226" s="537"/>
      <c r="AIL226" s="537"/>
      <c r="AIM226" s="537"/>
      <c r="AIN226" s="537"/>
      <c r="AIO226" s="537"/>
      <c r="AIP226" s="537"/>
      <c r="AIQ226" s="537"/>
      <c r="AIR226" s="537"/>
      <c r="AIS226" s="537"/>
      <c r="AIT226" s="537"/>
      <c r="AIU226" s="537"/>
      <c r="AIV226" s="537"/>
      <c r="AIW226" s="537"/>
      <c r="AIX226" s="537"/>
      <c r="AIY226" s="537"/>
      <c r="AIZ226" s="537"/>
      <c r="AJA226" s="537"/>
      <c r="AJB226" s="537"/>
      <c r="AJC226" s="537"/>
      <c r="AJD226" s="537"/>
      <c r="AJE226" s="537"/>
      <c r="AJF226" s="537"/>
      <c r="AJG226" s="537"/>
      <c r="AJH226" s="537"/>
      <c r="AJI226" s="537"/>
      <c r="AJJ226" s="537"/>
      <c r="AJK226" s="537"/>
      <c r="AJL226" s="537"/>
      <c r="AJM226" s="537"/>
      <c r="AJN226" s="537"/>
      <c r="AJO226" s="537"/>
      <c r="AJP226" s="537"/>
      <c r="AJQ226" s="537"/>
      <c r="AJR226" s="537"/>
      <c r="AJS226" s="537"/>
      <c r="AJT226" s="537"/>
      <c r="AJU226" s="537"/>
      <c r="AJV226" s="537"/>
      <c r="AJW226" s="537"/>
      <c r="AJX226" s="537"/>
      <c r="AJY226" s="537"/>
      <c r="AJZ226" s="537"/>
      <c r="AKA226" s="537"/>
      <c r="AKB226" s="537"/>
      <c r="AKC226" s="537"/>
      <c r="AKD226" s="537"/>
      <c r="AKE226" s="537"/>
      <c r="AKF226" s="537"/>
      <c r="AKG226" s="537"/>
      <c r="AKH226" s="537"/>
      <c r="AKI226" s="537"/>
      <c r="AKJ226" s="537"/>
      <c r="AKK226" s="537"/>
      <c r="AKL226" s="537"/>
      <c r="AKM226" s="537"/>
      <c r="AKN226" s="537"/>
      <c r="AKO226" s="537"/>
      <c r="AKP226" s="537"/>
      <c r="AKQ226" s="537"/>
      <c r="AKR226" s="537"/>
      <c r="AKS226" s="537"/>
      <c r="AKT226" s="537"/>
      <c r="AKU226" s="537"/>
      <c r="AKV226" s="537"/>
      <c r="AKW226" s="537"/>
      <c r="AKX226" s="537"/>
      <c r="AKY226" s="537"/>
      <c r="AKZ226" s="537"/>
      <c r="ALA226" s="537"/>
      <c r="ALB226" s="537"/>
      <c r="ALC226" s="537"/>
      <c r="ALD226" s="537"/>
      <c r="ALE226" s="537"/>
      <c r="ALF226" s="537"/>
      <c r="ALG226" s="537"/>
      <c r="ALH226" s="537"/>
      <c r="ALI226" s="537"/>
      <c r="ALJ226" s="537"/>
      <c r="ALK226" s="537"/>
      <c r="ALL226" s="537"/>
      <c r="ALM226" s="537"/>
      <c r="ALN226" s="537"/>
      <c r="ALO226" s="537"/>
      <c r="ALP226" s="537"/>
      <c r="ALQ226" s="537"/>
      <c r="ALR226" s="537"/>
      <c r="ALS226" s="537"/>
      <c r="ALT226" s="537"/>
      <c r="ALU226" s="537"/>
      <c r="ALV226" s="537"/>
      <c r="ALW226" s="537"/>
      <c r="ALX226" s="537"/>
      <c r="ALY226" s="537"/>
      <c r="ALZ226" s="537"/>
      <c r="AMA226" s="537"/>
      <c r="AMB226" s="537"/>
      <c r="AMC226" s="537"/>
      <c r="AMD226" s="537"/>
      <c r="AME226" s="537"/>
      <c r="AMF226" s="537"/>
      <c r="AMG226" s="537"/>
      <c r="AMH226" s="537"/>
      <c r="AMI226" s="537"/>
      <c r="AMJ226" s="537"/>
      <c r="AMK226" s="537"/>
      <c r="AML226" s="537"/>
      <c r="AMM226" s="537"/>
      <c r="AMN226" s="537"/>
      <c r="AMO226" s="537"/>
      <c r="AMP226" s="537"/>
      <c r="AMQ226" s="537"/>
      <c r="AMR226" s="537"/>
      <c r="AMS226" s="537"/>
      <c r="AMT226" s="537"/>
      <c r="AMU226" s="537"/>
      <c r="AMV226" s="537"/>
      <c r="AMW226" s="537"/>
      <c r="AMX226" s="537"/>
      <c r="AMY226" s="537"/>
      <c r="AMZ226" s="537"/>
      <c r="ANA226" s="537"/>
      <c r="ANB226" s="537"/>
      <c r="ANC226" s="537"/>
      <c r="AND226" s="537"/>
      <c r="ANE226" s="537"/>
      <c r="ANF226" s="537"/>
      <c r="ANG226" s="537"/>
      <c r="ANH226" s="537"/>
      <c r="ANI226" s="537"/>
      <c r="ANJ226" s="537"/>
      <c r="ANK226" s="537"/>
      <c r="ANL226" s="537"/>
      <c r="ANM226" s="537"/>
      <c r="ANN226" s="537"/>
      <c r="ANO226" s="537"/>
      <c r="ANP226" s="537"/>
      <c r="ANQ226" s="537"/>
      <c r="ANR226" s="537"/>
      <c r="ANS226" s="537"/>
      <c r="ANT226" s="537"/>
      <c r="ANU226" s="537"/>
      <c r="ANV226" s="537"/>
      <c r="ANW226" s="537"/>
      <c r="ANX226" s="537"/>
      <c r="ANY226" s="537"/>
      <c r="ANZ226" s="537"/>
      <c r="AOA226" s="537"/>
      <c r="AOB226" s="537"/>
      <c r="AOC226" s="537"/>
      <c r="AOD226" s="537"/>
      <c r="AOE226" s="537"/>
      <c r="AOF226" s="537"/>
      <c r="AOG226" s="537"/>
      <c r="AOH226" s="537"/>
      <c r="AOI226" s="537"/>
      <c r="AOJ226" s="537"/>
      <c r="AOK226" s="537"/>
      <c r="AOL226" s="537"/>
      <c r="AOM226" s="537"/>
      <c r="AON226" s="537"/>
      <c r="AOO226" s="537"/>
      <c r="AOP226" s="537"/>
      <c r="AOQ226" s="537"/>
      <c r="AOR226" s="537"/>
      <c r="AOS226" s="537"/>
      <c r="AOT226" s="537"/>
      <c r="AOU226" s="537"/>
      <c r="AOV226" s="537"/>
      <c r="AOW226" s="537"/>
      <c r="AOX226" s="537"/>
      <c r="AOY226" s="537"/>
      <c r="AOZ226" s="537"/>
      <c r="APA226" s="537"/>
      <c r="APB226" s="537"/>
      <c r="APC226" s="537"/>
      <c r="APD226" s="537"/>
      <c r="APE226" s="537"/>
      <c r="APF226" s="537"/>
      <c r="APG226" s="537"/>
      <c r="APH226" s="537"/>
      <c r="API226" s="537"/>
      <c r="APJ226" s="537"/>
      <c r="APK226" s="537"/>
      <c r="APL226" s="537"/>
      <c r="APM226" s="537"/>
      <c r="APN226" s="537"/>
      <c r="APO226" s="537"/>
      <c r="APP226" s="537"/>
      <c r="APQ226" s="537"/>
      <c r="APR226" s="537"/>
      <c r="APS226" s="537"/>
      <c r="APT226" s="537"/>
      <c r="APU226" s="537"/>
      <c r="APV226" s="537"/>
      <c r="APW226" s="537"/>
      <c r="APX226" s="537"/>
      <c r="APY226" s="537"/>
      <c r="APZ226" s="537"/>
      <c r="AQA226" s="537"/>
      <c r="AQB226" s="537"/>
      <c r="AQC226" s="537"/>
      <c r="AQD226" s="537"/>
      <c r="AQE226" s="537"/>
      <c r="AQF226" s="537"/>
      <c r="AQG226" s="537"/>
      <c r="AQH226" s="537"/>
      <c r="AQI226" s="537"/>
      <c r="AQJ226" s="537"/>
      <c r="AQK226" s="537"/>
      <c r="AQL226" s="537"/>
      <c r="AQM226" s="537"/>
      <c r="AQN226" s="537"/>
      <c r="AQO226" s="537"/>
      <c r="AQP226" s="537"/>
      <c r="AQQ226" s="537"/>
      <c r="AQR226" s="537"/>
      <c r="AQS226" s="537"/>
      <c r="AQT226" s="537"/>
      <c r="AQU226" s="537"/>
      <c r="AQV226" s="537"/>
      <c r="AQW226" s="537"/>
      <c r="AQX226" s="537"/>
      <c r="AQY226" s="537"/>
      <c r="AQZ226" s="537"/>
      <c r="ARA226" s="537"/>
      <c r="ARB226" s="537"/>
      <c r="ARC226" s="537"/>
      <c r="ARD226" s="537"/>
      <c r="ARE226" s="537"/>
      <c r="ARF226" s="537"/>
      <c r="ARG226" s="537"/>
      <c r="ARH226" s="537"/>
      <c r="ARI226" s="537"/>
      <c r="ARJ226" s="537"/>
      <c r="ARK226" s="537"/>
      <c r="ARL226" s="537"/>
      <c r="ARM226" s="537"/>
      <c r="ARN226" s="537"/>
      <c r="ARO226" s="537"/>
      <c r="ARP226" s="537"/>
      <c r="ARQ226" s="537"/>
      <c r="ARR226" s="537"/>
      <c r="ARS226" s="537"/>
      <c r="ART226" s="537"/>
      <c r="ARU226" s="537"/>
      <c r="ARV226" s="537"/>
      <c r="ARW226" s="537"/>
      <c r="ARX226" s="537"/>
      <c r="ARY226" s="537"/>
      <c r="ARZ226" s="537"/>
      <c r="ASA226" s="537"/>
      <c r="ASB226" s="537"/>
      <c r="ASC226" s="537"/>
      <c r="ASD226" s="537"/>
      <c r="ASE226" s="537"/>
      <c r="ASF226" s="537"/>
      <c r="ASG226" s="537"/>
      <c r="ASH226" s="537"/>
      <c r="ASI226" s="537"/>
      <c r="ASJ226" s="537"/>
      <c r="ASK226" s="537"/>
      <c r="ASL226" s="537"/>
      <c r="ASM226" s="537"/>
      <c r="ASN226" s="537"/>
      <c r="ASO226" s="537"/>
      <c r="ASP226" s="537"/>
      <c r="ASQ226" s="537"/>
      <c r="ASR226" s="537"/>
      <c r="ASS226" s="537"/>
      <c r="AST226" s="537"/>
      <c r="ASU226" s="537"/>
      <c r="ASV226" s="537"/>
      <c r="ASW226" s="537"/>
      <c r="ASX226" s="537"/>
      <c r="ASY226" s="537"/>
      <c r="ASZ226" s="537"/>
      <c r="ATA226" s="537"/>
      <c r="ATB226" s="537"/>
      <c r="ATC226" s="537"/>
      <c r="ATD226" s="537"/>
      <c r="ATE226" s="537"/>
      <c r="ATF226" s="537"/>
      <c r="ATG226" s="537"/>
      <c r="ATH226" s="537"/>
      <c r="ATI226" s="537"/>
      <c r="ATJ226" s="537"/>
      <c r="ATK226" s="537"/>
      <c r="ATL226" s="537"/>
      <c r="ATM226" s="537"/>
      <c r="ATN226" s="537"/>
      <c r="ATO226" s="537"/>
      <c r="ATP226" s="537"/>
      <c r="ATQ226" s="537"/>
      <c r="ATR226" s="537"/>
      <c r="ATS226" s="537"/>
      <c r="ATT226" s="537"/>
      <c r="ATU226" s="537"/>
      <c r="ATV226" s="537"/>
      <c r="ATW226" s="537"/>
      <c r="ATX226" s="537"/>
      <c r="ATY226" s="537"/>
      <c r="ATZ226" s="537"/>
      <c r="AUA226" s="537"/>
      <c r="AUB226" s="537"/>
      <c r="AUC226" s="537"/>
      <c r="AUD226" s="537"/>
      <c r="AUE226" s="537"/>
      <c r="AUF226" s="537"/>
      <c r="AUG226" s="537"/>
      <c r="AUH226" s="537"/>
      <c r="AUI226" s="537"/>
      <c r="AUJ226" s="537"/>
      <c r="AUK226" s="537"/>
      <c r="AUL226" s="537"/>
      <c r="AUM226" s="537"/>
      <c r="AUN226" s="537"/>
      <c r="AUO226" s="537"/>
      <c r="AUP226" s="537"/>
      <c r="AUQ226" s="537"/>
      <c r="AUR226" s="537"/>
      <c r="AUS226" s="537"/>
      <c r="AUT226" s="537"/>
      <c r="AUU226" s="537"/>
      <c r="AUV226" s="537"/>
      <c r="AUW226" s="537"/>
      <c r="AUX226" s="537"/>
      <c r="AUY226" s="537"/>
      <c r="AUZ226" s="537"/>
      <c r="AVA226" s="537"/>
      <c r="AVB226" s="537"/>
      <c r="AVC226" s="537"/>
      <c r="AVD226" s="537"/>
      <c r="AVE226" s="537"/>
      <c r="AVF226" s="537"/>
      <c r="AVG226" s="537"/>
      <c r="AVH226" s="537"/>
      <c r="AVI226" s="537"/>
      <c r="AVJ226" s="537"/>
      <c r="AVK226" s="537"/>
      <c r="AVL226" s="537"/>
      <c r="AVM226" s="537"/>
      <c r="AVN226" s="537"/>
      <c r="AVO226" s="537"/>
      <c r="AVP226" s="537"/>
      <c r="AVQ226" s="537"/>
      <c r="AVR226" s="537"/>
      <c r="AVS226" s="537"/>
      <c r="AVT226" s="537"/>
      <c r="AVU226" s="537"/>
      <c r="AVV226" s="537"/>
      <c r="AVW226" s="537"/>
      <c r="AVX226" s="537"/>
      <c r="AVY226" s="537"/>
      <c r="AVZ226" s="537"/>
      <c r="AWA226" s="537"/>
      <c r="AWB226" s="537"/>
      <c r="AWC226" s="537"/>
      <c r="AWD226" s="537"/>
      <c r="AWE226" s="537"/>
      <c r="AWF226" s="537"/>
      <c r="AWG226" s="537"/>
      <c r="AWH226" s="537"/>
      <c r="AWI226" s="537"/>
      <c r="AWJ226" s="537"/>
      <c r="AWK226" s="537"/>
      <c r="AWL226" s="537"/>
      <c r="AWM226" s="537"/>
      <c r="AWN226" s="537"/>
      <c r="AWO226" s="537"/>
      <c r="AWP226" s="537"/>
      <c r="AWQ226" s="537"/>
      <c r="AWR226" s="537"/>
      <c r="AWS226" s="537"/>
      <c r="AWT226" s="537"/>
      <c r="AWU226" s="537"/>
      <c r="AWV226" s="537"/>
      <c r="AWW226" s="537"/>
      <c r="AWX226" s="537"/>
      <c r="AWY226" s="537"/>
      <c r="AWZ226" s="537"/>
      <c r="AXA226" s="537"/>
      <c r="AXB226" s="537"/>
      <c r="AXC226" s="537"/>
      <c r="AXD226" s="537"/>
      <c r="AXE226" s="537"/>
      <c r="AXF226" s="537"/>
      <c r="AXG226" s="537"/>
      <c r="AXH226" s="537"/>
      <c r="AXI226" s="537"/>
      <c r="AXJ226" s="537"/>
      <c r="AXK226" s="537"/>
      <c r="AXL226" s="537"/>
      <c r="AXM226" s="537"/>
      <c r="AXN226" s="537"/>
      <c r="AXO226" s="537"/>
      <c r="AXP226" s="537"/>
      <c r="AXQ226" s="537"/>
      <c r="AXR226" s="537"/>
      <c r="AXS226" s="537"/>
      <c r="AXT226" s="537"/>
      <c r="AXU226" s="537"/>
      <c r="AXV226" s="537"/>
      <c r="AXW226" s="537"/>
      <c r="AXX226" s="537"/>
      <c r="AXY226" s="537"/>
      <c r="AXZ226" s="537"/>
      <c r="AYA226" s="537"/>
      <c r="AYB226" s="537"/>
      <c r="AYC226" s="537"/>
      <c r="AYD226" s="537"/>
      <c r="AYE226" s="537"/>
      <c r="AYF226" s="537"/>
      <c r="AYG226" s="537"/>
      <c r="AYH226" s="537"/>
      <c r="AYI226" s="537"/>
      <c r="AYJ226" s="537"/>
      <c r="AYK226" s="537"/>
      <c r="AYL226" s="537"/>
      <c r="AYM226" s="537"/>
      <c r="AYN226" s="537"/>
      <c r="AYO226" s="537"/>
      <c r="AYP226" s="537"/>
      <c r="AYQ226" s="537"/>
      <c r="AYR226" s="537"/>
      <c r="AYS226" s="537"/>
      <c r="AYT226" s="537"/>
      <c r="AYU226" s="537"/>
      <c r="AYV226" s="537"/>
      <c r="AYW226" s="537"/>
      <c r="AYX226" s="537"/>
      <c r="AYY226" s="537"/>
      <c r="AYZ226" s="537"/>
      <c r="AZA226" s="537"/>
      <c r="AZB226" s="537"/>
      <c r="AZC226" s="537"/>
      <c r="AZD226" s="537"/>
      <c r="AZE226" s="537"/>
      <c r="AZF226" s="537"/>
      <c r="AZG226" s="537"/>
      <c r="AZH226" s="537"/>
      <c r="AZI226" s="537"/>
      <c r="AZJ226" s="537"/>
      <c r="AZK226" s="537"/>
      <c r="AZL226" s="537"/>
      <c r="AZM226" s="537"/>
      <c r="AZN226" s="537"/>
      <c r="AZO226" s="537"/>
      <c r="AZP226" s="537"/>
      <c r="AZQ226" s="537"/>
      <c r="AZR226" s="537"/>
      <c r="AZS226" s="537"/>
      <c r="AZT226" s="537"/>
      <c r="AZU226" s="537"/>
      <c r="AZV226" s="537"/>
      <c r="AZW226" s="537"/>
      <c r="AZX226" s="537"/>
      <c r="AZY226" s="537"/>
      <c r="AZZ226" s="537"/>
      <c r="BAA226" s="537"/>
      <c r="BAB226" s="537"/>
      <c r="BAC226" s="537"/>
      <c r="BAD226" s="537"/>
      <c r="BAE226" s="537"/>
      <c r="BAF226" s="537"/>
      <c r="BAG226" s="537"/>
      <c r="BAH226" s="537"/>
      <c r="BAI226" s="537"/>
      <c r="BAJ226" s="537"/>
      <c r="BAK226" s="537"/>
      <c r="BAL226" s="537"/>
      <c r="BAM226" s="537"/>
      <c r="BAN226" s="537"/>
      <c r="BAO226" s="537"/>
      <c r="BAP226" s="537"/>
      <c r="BAQ226" s="537"/>
      <c r="BAR226" s="537"/>
      <c r="BAS226" s="537"/>
      <c r="BAT226" s="537"/>
      <c r="BAU226" s="537"/>
      <c r="BAV226" s="537"/>
      <c r="BAW226" s="537"/>
      <c r="BAX226" s="537"/>
      <c r="BAY226" s="537"/>
      <c r="BAZ226" s="537"/>
      <c r="BBA226" s="537"/>
      <c r="BBB226" s="537"/>
      <c r="BBC226" s="537"/>
      <c r="BBD226" s="537"/>
      <c r="BBE226" s="537"/>
      <c r="BBF226" s="537"/>
      <c r="BBG226" s="537"/>
      <c r="BBH226" s="537"/>
      <c r="BBI226" s="537"/>
      <c r="BBJ226" s="537"/>
      <c r="BBK226" s="537"/>
      <c r="BBL226" s="537"/>
      <c r="BBM226" s="537"/>
      <c r="BBN226" s="537"/>
      <c r="BBO226" s="537"/>
      <c r="BBP226" s="537"/>
      <c r="BBQ226" s="537"/>
      <c r="BBR226" s="537"/>
      <c r="BBS226" s="537"/>
      <c r="BBT226" s="537"/>
      <c r="BBU226" s="537"/>
      <c r="BBV226" s="537"/>
      <c r="BBW226" s="537"/>
      <c r="BBX226" s="537"/>
      <c r="BBY226" s="537"/>
      <c r="BBZ226" s="537"/>
      <c r="BCA226" s="537"/>
      <c r="BCB226" s="537"/>
      <c r="BCC226" s="537"/>
      <c r="BCD226" s="537"/>
      <c r="BCE226" s="537"/>
      <c r="BCF226" s="537"/>
      <c r="BCG226" s="537"/>
      <c r="BCH226" s="537"/>
      <c r="BCI226" s="537"/>
      <c r="BCJ226" s="537"/>
      <c r="BCK226" s="537"/>
      <c r="BCL226" s="537"/>
      <c r="BCM226" s="537"/>
      <c r="BCN226" s="537"/>
      <c r="BCO226" s="537"/>
      <c r="BCP226" s="537"/>
      <c r="BCQ226" s="537"/>
      <c r="BCR226" s="537"/>
      <c r="BCS226" s="537"/>
      <c r="BCT226" s="537"/>
      <c r="BCU226" s="537"/>
      <c r="BCV226" s="537"/>
      <c r="BCW226" s="537"/>
      <c r="BCX226" s="537"/>
      <c r="BCY226" s="537"/>
      <c r="BCZ226" s="537"/>
      <c r="BDA226" s="537"/>
      <c r="BDB226" s="537"/>
      <c r="BDC226" s="537"/>
      <c r="BDD226" s="537"/>
      <c r="BDE226" s="537"/>
      <c r="BDF226" s="537"/>
      <c r="BDG226" s="537"/>
      <c r="BDH226" s="537"/>
      <c r="BDI226" s="537"/>
      <c r="BDJ226" s="537"/>
      <c r="BDK226" s="537"/>
      <c r="BDL226" s="537"/>
      <c r="BDM226" s="537"/>
      <c r="BDN226" s="537"/>
      <c r="BDO226" s="537"/>
      <c r="BDP226" s="537"/>
      <c r="BDQ226" s="537"/>
      <c r="BDR226" s="537"/>
      <c r="BDS226" s="537"/>
      <c r="BDT226" s="537"/>
      <c r="BDU226" s="537"/>
      <c r="BDV226" s="537"/>
      <c r="BDW226" s="537"/>
      <c r="BDX226" s="537"/>
      <c r="BDY226" s="537"/>
      <c r="BDZ226" s="537"/>
      <c r="BEA226" s="537"/>
      <c r="BEB226" s="537"/>
      <c r="BEC226" s="537"/>
      <c r="BED226" s="537"/>
      <c r="BEE226" s="537"/>
      <c r="BEF226" s="537"/>
      <c r="BEG226" s="537"/>
      <c r="BEH226" s="537"/>
      <c r="BEI226" s="537"/>
      <c r="BEJ226" s="537"/>
      <c r="BEK226" s="537"/>
      <c r="BEL226" s="537"/>
      <c r="BEM226" s="537"/>
      <c r="BEN226" s="537"/>
      <c r="BEO226" s="537"/>
      <c r="BEP226" s="537"/>
      <c r="BEQ226" s="537"/>
      <c r="BER226" s="537"/>
      <c r="BES226" s="537"/>
      <c r="BET226" s="537"/>
      <c r="BEU226" s="537"/>
      <c r="BEV226" s="537"/>
      <c r="BEW226" s="537"/>
      <c r="BEX226" s="537"/>
      <c r="BEY226" s="537"/>
      <c r="BEZ226" s="537"/>
      <c r="BFA226" s="537"/>
      <c r="BFB226" s="537"/>
      <c r="BFC226" s="537"/>
      <c r="BFD226" s="537"/>
      <c r="BFE226" s="537"/>
      <c r="BFF226" s="537"/>
      <c r="BFG226" s="537"/>
      <c r="BFH226" s="537"/>
      <c r="BFI226" s="537"/>
      <c r="BFJ226" s="537"/>
      <c r="BFK226" s="537"/>
      <c r="BFL226" s="537"/>
      <c r="BFM226" s="537"/>
      <c r="BFN226" s="537"/>
      <c r="BFO226" s="537"/>
      <c r="BFP226" s="537"/>
      <c r="BFQ226" s="537"/>
      <c r="BFR226" s="537"/>
      <c r="BFS226" s="537"/>
      <c r="BFT226" s="537"/>
      <c r="BFU226" s="537"/>
      <c r="BFV226" s="537"/>
      <c r="BFW226" s="537"/>
      <c r="BFX226" s="537"/>
      <c r="BFY226" s="537"/>
      <c r="BFZ226" s="537"/>
      <c r="BGA226" s="537"/>
      <c r="BGB226" s="537"/>
      <c r="BGC226" s="537"/>
      <c r="BGD226" s="537"/>
      <c r="BGE226" s="537"/>
      <c r="BGF226" s="537"/>
      <c r="BGG226" s="537"/>
      <c r="BGH226" s="537"/>
      <c r="BGI226" s="537"/>
      <c r="BGJ226" s="537"/>
      <c r="BGK226" s="537"/>
      <c r="BGL226" s="537"/>
      <c r="BGM226" s="537"/>
      <c r="BGN226" s="537"/>
      <c r="BGO226" s="537"/>
      <c r="BGP226" s="537"/>
      <c r="BGQ226" s="537"/>
      <c r="BGR226" s="537"/>
      <c r="BGS226" s="537"/>
      <c r="BGT226" s="537"/>
      <c r="BGU226" s="537"/>
      <c r="BGV226" s="537"/>
      <c r="BGW226" s="537"/>
      <c r="BGX226" s="537"/>
      <c r="BGY226" s="537"/>
      <c r="BGZ226" s="537"/>
      <c r="BHA226" s="537"/>
      <c r="BHB226" s="537"/>
      <c r="BHC226" s="537"/>
      <c r="BHD226" s="537"/>
      <c r="BHE226" s="537"/>
      <c r="BHF226" s="537"/>
      <c r="BHG226" s="537"/>
      <c r="BHH226" s="537"/>
      <c r="BHI226" s="537"/>
      <c r="BHJ226" s="537"/>
      <c r="BHK226" s="537"/>
      <c r="BHL226" s="537"/>
      <c r="BHM226" s="537"/>
      <c r="BHN226" s="537"/>
      <c r="BHO226" s="537"/>
      <c r="BHP226" s="537"/>
      <c r="BHQ226" s="537"/>
      <c r="BHR226" s="537"/>
      <c r="BHS226" s="537"/>
      <c r="BHT226" s="537"/>
      <c r="BHU226" s="537"/>
      <c r="BHV226" s="537"/>
      <c r="BHW226" s="537"/>
      <c r="BHX226" s="537"/>
      <c r="BHY226" s="537"/>
      <c r="BHZ226" s="537"/>
      <c r="BIA226" s="537"/>
      <c r="BIB226" s="537"/>
      <c r="BIC226" s="537"/>
      <c r="BID226" s="537"/>
      <c r="BIE226" s="537"/>
      <c r="BIF226" s="537"/>
      <c r="BIG226" s="537"/>
      <c r="BIH226" s="537"/>
      <c r="BII226" s="537"/>
      <c r="BIJ226" s="537"/>
      <c r="BIK226" s="537"/>
      <c r="BIL226" s="537"/>
      <c r="BIM226" s="537"/>
      <c r="BIN226" s="537"/>
      <c r="BIO226" s="537"/>
      <c r="BIP226" s="537"/>
      <c r="BIQ226" s="537"/>
      <c r="BIR226" s="537"/>
      <c r="BIS226" s="537"/>
      <c r="BIT226" s="537"/>
      <c r="BIU226" s="537"/>
      <c r="BIV226" s="537"/>
      <c r="BIW226" s="537"/>
      <c r="BIX226" s="537"/>
      <c r="BIY226" s="537"/>
      <c r="BIZ226" s="537"/>
      <c r="BJA226" s="537"/>
      <c r="BJB226" s="537"/>
      <c r="BJC226" s="537"/>
      <c r="BJD226" s="537"/>
      <c r="BJE226" s="537"/>
      <c r="BJF226" s="537"/>
      <c r="BJG226" s="537"/>
      <c r="BJH226" s="537"/>
      <c r="BJI226" s="537"/>
      <c r="BJJ226" s="537"/>
      <c r="BJK226" s="537"/>
      <c r="BJL226" s="537"/>
      <c r="BJM226" s="537"/>
      <c r="BJN226" s="537"/>
      <c r="BJO226" s="537"/>
      <c r="BJP226" s="537"/>
      <c r="BJQ226" s="537"/>
      <c r="BJR226" s="537"/>
      <c r="BJS226" s="537"/>
      <c r="BJT226" s="537"/>
      <c r="BJU226" s="537"/>
      <c r="BJV226" s="537"/>
      <c r="BJW226" s="537"/>
      <c r="BJX226" s="537"/>
      <c r="BJY226" s="537"/>
      <c r="BJZ226" s="537"/>
      <c r="BKA226" s="537"/>
      <c r="BKB226" s="537"/>
      <c r="BKC226" s="537"/>
      <c r="BKD226" s="537"/>
      <c r="BKE226" s="537"/>
      <c r="BKF226" s="537"/>
      <c r="BKG226" s="537"/>
      <c r="BKH226" s="537"/>
      <c r="BKI226" s="537"/>
      <c r="BKJ226" s="537"/>
      <c r="BKK226" s="537"/>
      <c r="BKL226" s="537"/>
      <c r="BKM226" s="537"/>
      <c r="BKN226" s="537"/>
      <c r="BKO226" s="537"/>
      <c r="BKP226" s="537"/>
      <c r="BKQ226" s="537"/>
      <c r="BKR226" s="537"/>
      <c r="BKS226" s="537"/>
      <c r="BKT226" s="537"/>
      <c r="BKU226" s="537"/>
      <c r="BKV226" s="537"/>
      <c r="BKW226" s="537"/>
      <c r="BKX226" s="537"/>
      <c r="BKY226" s="537"/>
      <c r="BKZ226" s="537"/>
      <c r="BLA226" s="537"/>
      <c r="BLB226" s="537"/>
      <c r="BLC226" s="537"/>
      <c r="BLD226" s="537"/>
      <c r="BLE226" s="537"/>
      <c r="BLF226" s="537"/>
      <c r="BLG226" s="537"/>
      <c r="BLH226" s="537"/>
      <c r="BLI226" s="537"/>
      <c r="BLJ226" s="537"/>
      <c r="BLK226" s="537"/>
      <c r="BLL226" s="537"/>
      <c r="BLM226" s="537"/>
      <c r="BLN226" s="537"/>
      <c r="BLO226" s="537"/>
      <c r="BLP226" s="537"/>
      <c r="BLQ226" s="537"/>
      <c r="BLR226" s="537"/>
      <c r="BLS226" s="537"/>
      <c r="BLT226" s="537"/>
      <c r="BLU226" s="537"/>
      <c r="BLV226" s="537"/>
      <c r="BLW226" s="537"/>
      <c r="BLX226" s="537"/>
      <c r="BLY226" s="537"/>
      <c r="BLZ226" s="537"/>
      <c r="BMA226" s="537"/>
      <c r="BMB226" s="537"/>
      <c r="BMC226" s="537"/>
      <c r="BMD226" s="537"/>
      <c r="BME226" s="537"/>
      <c r="BMF226" s="537"/>
      <c r="BMG226" s="537"/>
      <c r="BMH226" s="537"/>
      <c r="BMI226" s="537"/>
      <c r="BMJ226" s="537"/>
      <c r="BMK226" s="537"/>
      <c r="BML226" s="537"/>
      <c r="BMM226" s="537"/>
      <c r="BMN226" s="537"/>
      <c r="BMO226" s="537"/>
      <c r="BMP226" s="537"/>
      <c r="BMQ226" s="537"/>
      <c r="BMR226" s="537"/>
      <c r="BMS226" s="537"/>
      <c r="BMT226" s="537"/>
      <c r="BMU226" s="537"/>
      <c r="BMV226" s="537"/>
      <c r="BMW226" s="537"/>
      <c r="BMX226" s="537"/>
      <c r="BMY226" s="537"/>
      <c r="BMZ226" s="537"/>
      <c r="BNA226" s="537"/>
      <c r="BNB226" s="537"/>
      <c r="BNC226" s="537"/>
      <c r="BND226" s="537"/>
      <c r="BNE226" s="537"/>
      <c r="BNF226" s="537"/>
      <c r="BNG226" s="537"/>
      <c r="BNH226" s="537"/>
      <c r="BNI226" s="537"/>
      <c r="BNJ226" s="537"/>
      <c r="BNK226" s="537"/>
      <c r="BNL226" s="537"/>
      <c r="BNM226" s="537"/>
      <c r="BNN226" s="537"/>
      <c r="BNO226" s="537"/>
      <c r="BNP226" s="537"/>
      <c r="BNQ226" s="537"/>
      <c r="BNR226" s="537"/>
      <c r="BNS226" s="537"/>
      <c r="BNT226" s="537"/>
      <c r="BNU226" s="537"/>
      <c r="BNV226" s="537"/>
      <c r="BNW226" s="537"/>
      <c r="BNX226" s="537"/>
      <c r="BNY226" s="537"/>
      <c r="BNZ226" s="537"/>
      <c r="BOA226" s="537"/>
      <c r="BOB226" s="537"/>
      <c r="BOC226" s="537"/>
      <c r="BOD226" s="537"/>
      <c r="BOE226" s="537"/>
      <c r="BOF226" s="537"/>
      <c r="BOG226" s="537"/>
      <c r="BOH226" s="537"/>
      <c r="BOI226" s="537"/>
      <c r="BOJ226" s="537"/>
      <c r="BOK226" s="537"/>
      <c r="BOL226" s="537"/>
      <c r="BOM226" s="537"/>
      <c r="BON226" s="537"/>
      <c r="BOO226" s="537"/>
      <c r="BOP226" s="537"/>
      <c r="BOQ226" s="537"/>
      <c r="BOR226" s="537"/>
      <c r="BOS226" s="537"/>
      <c r="BOT226" s="537"/>
      <c r="BOU226" s="537"/>
      <c r="BOV226" s="537"/>
      <c r="BOW226" s="537"/>
      <c r="BOX226" s="537"/>
      <c r="BOY226" s="537"/>
      <c r="BOZ226" s="537"/>
      <c r="BPA226" s="537"/>
      <c r="BPB226" s="537"/>
      <c r="BPC226" s="537"/>
      <c r="BPD226" s="537"/>
      <c r="BPE226" s="537"/>
      <c r="BPF226" s="537"/>
      <c r="BPG226" s="537"/>
      <c r="BPH226" s="537"/>
      <c r="BPI226" s="537"/>
      <c r="BPJ226" s="537"/>
      <c r="BPK226" s="537"/>
      <c r="BPL226" s="537"/>
      <c r="BPM226" s="537"/>
      <c r="BPN226" s="537"/>
      <c r="BPO226" s="537"/>
      <c r="BPP226" s="537"/>
      <c r="BPQ226" s="537"/>
      <c r="BPR226" s="537"/>
      <c r="BPS226" s="537"/>
      <c r="BPT226" s="537"/>
      <c r="BPU226" s="537"/>
      <c r="BPV226" s="537"/>
      <c r="BPW226" s="537"/>
      <c r="BPX226" s="537"/>
      <c r="BPY226" s="537"/>
      <c r="BPZ226" s="537"/>
      <c r="BQA226" s="537"/>
      <c r="BQB226" s="537"/>
      <c r="BQC226" s="537"/>
      <c r="BQD226" s="537"/>
      <c r="BQE226" s="537"/>
      <c r="BQF226" s="537"/>
      <c r="BQG226" s="537"/>
      <c r="BQH226" s="537"/>
      <c r="BQI226" s="537"/>
      <c r="BQJ226" s="537"/>
      <c r="BQK226" s="537"/>
      <c r="BQL226" s="537"/>
      <c r="BQM226" s="537"/>
      <c r="BQN226" s="537"/>
      <c r="BQO226" s="537"/>
      <c r="BQP226" s="537"/>
      <c r="BQQ226" s="537"/>
      <c r="BQR226" s="537"/>
      <c r="BQS226" s="537"/>
      <c r="BQT226" s="537"/>
      <c r="BQU226" s="537"/>
      <c r="BQV226" s="537"/>
      <c r="BQW226" s="537"/>
      <c r="BQX226" s="537"/>
      <c r="BQY226" s="537"/>
      <c r="BQZ226" s="537"/>
      <c r="BRA226" s="537"/>
      <c r="BRB226" s="537"/>
      <c r="BRC226" s="537"/>
      <c r="BRD226" s="537"/>
      <c r="BRE226" s="537"/>
      <c r="BRF226" s="537"/>
      <c r="BRG226" s="537"/>
      <c r="BRH226" s="537"/>
      <c r="BRI226" s="537"/>
      <c r="BRJ226" s="537"/>
      <c r="BRK226" s="537"/>
      <c r="BRL226" s="537"/>
      <c r="BRM226" s="537"/>
      <c r="BRN226" s="537"/>
      <c r="BRO226" s="537"/>
      <c r="BRP226" s="537"/>
      <c r="BRQ226" s="537"/>
      <c r="BRR226" s="537"/>
      <c r="BRS226" s="537"/>
      <c r="BRT226" s="537"/>
      <c r="BRU226" s="537"/>
      <c r="BRV226" s="537"/>
      <c r="BRW226" s="537"/>
      <c r="BRX226" s="537"/>
      <c r="BRY226" s="537"/>
      <c r="BRZ226" s="537"/>
      <c r="BSA226" s="537"/>
      <c r="BSB226" s="537"/>
      <c r="BSC226" s="537"/>
      <c r="BSD226" s="537"/>
      <c r="BSE226" s="537"/>
      <c r="BSF226" s="537"/>
      <c r="BSG226" s="537"/>
      <c r="BSH226" s="537"/>
      <c r="BSI226" s="537"/>
      <c r="BSJ226" s="537"/>
      <c r="BSK226" s="537"/>
      <c r="BSL226" s="537"/>
      <c r="BSM226" s="537"/>
      <c r="BSN226" s="537"/>
      <c r="BSO226" s="537"/>
      <c r="BSP226" s="537"/>
      <c r="BSQ226" s="537"/>
      <c r="BSR226" s="537"/>
      <c r="BSS226" s="537"/>
      <c r="BST226" s="537"/>
      <c r="BSU226" s="537"/>
      <c r="BSV226" s="537"/>
      <c r="BSW226" s="537"/>
      <c r="BSX226" s="537"/>
      <c r="BSY226" s="537"/>
      <c r="BSZ226" s="537"/>
      <c r="BTA226" s="537"/>
      <c r="BTB226" s="537"/>
      <c r="BTC226" s="537"/>
      <c r="BTD226" s="537"/>
      <c r="BTE226" s="537"/>
      <c r="BTF226" s="537"/>
      <c r="BTG226" s="537"/>
      <c r="BTH226" s="537"/>
      <c r="BTI226" s="537"/>
      <c r="BTJ226" s="537"/>
      <c r="BTK226" s="537"/>
      <c r="BTL226" s="537"/>
      <c r="BTM226" s="537"/>
      <c r="BTN226" s="537"/>
      <c r="BTO226" s="537"/>
      <c r="BTP226" s="537"/>
      <c r="BTQ226" s="537"/>
      <c r="BTR226" s="537"/>
      <c r="BTS226" s="537"/>
      <c r="BTT226" s="537"/>
      <c r="BTU226" s="537"/>
      <c r="BTV226" s="537"/>
      <c r="BTW226" s="537"/>
      <c r="BTX226" s="537"/>
      <c r="BTY226" s="537"/>
      <c r="BTZ226" s="537"/>
      <c r="BUA226" s="537"/>
      <c r="BUB226" s="537"/>
      <c r="BUC226" s="537"/>
      <c r="BUD226" s="537"/>
      <c r="BUE226" s="537"/>
      <c r="BUF226" s="537"/>
      <c r="BUG226" s="537"/>
      <c r="BUH226" s="537"/>
      <c r="BUI226" s="537"/>
      <c r="BUJ226" s="537"/>
      <c r="BUK226" s="537"/>
      <c r="BUL226" s="537"/>
      <c r="BUM226" s="537"/>
      <c r="BUN226" s="537"/>
      <c r="BUO226" s="537"/>
      <c r="BUP226" s="537"/>
      <c r="BUQ226" s="537"/>
      <c r="BUR226" s="537"/>
      <c r="BUS226" s="537"/>
      <c r="BUT226" s="537"/>
      <c r="BUU226" s="537"/>
      <c r="BUV226" s="537"/>
      <c r="BUW226" s="537"/>
      <c r="BUX226" s="537"/>
      <c r="BUY226" s="537"/>
      <c r="BUZ226" s="537"/>
      <c r="BVA226" s="537"/>
      <c r="BVB226" s="537"/>
      <c r="BVC226" s="537"/>
      <c r="BVD226" s="537"/>
      <c r="BVE226" s="537"/>
      <c r="BVF226" s="537"/>
      <c r="BVG226" s="537"/>
      <c r="BVH226" s="537"/>
      <c r="BVI226" s="537"/>
      <c r="BVJ226" s="537"/>
      <c r="BVK226" s="537"/>
      <c r="BVL226" s="537"/>
      <c r="BVM226" s="537"/>
      <c r="BVN226" s="537"/>
      <c r="BVO226" s="537"/>
      <c r="BVP226" s="537"/>
      <c r="BVQ226" s="537"/>
      <c r="BVR226" s="537"/>
      <c r="BVS226" s="537"/>
      <c r="BVT226" s="537"/>
      <c r="BVU226" s="537"/>
      <c r="BVV226" s="537"/>
      <c r="BVW226" s="537"/>
      <c r="BVX226" s="537"/>
      <c r="BVY226" s="537"/>
      <c r="BVZ226" s="537"/>
      <c r="BWA226" s="537"/>
      <c r="BWB226" s="537"/>
      <c r="BWC226" s="537"/>
      <c r="BWD226" s="537"/>
      <c r="BWE226" s="537"/>
      <c r="BWF226" s="537"/>
      <c r="BWG226" s="537"/>
      <c r="BWH226" s="537"/>
      <c r="BWI226" s="537"/>
      <c r="BWJ226" s="537"/>
      <c r="BWK226" s="537"/>
      <c r="BWL226" s="537"/>
      <c r="BWM226" s="537"/>
      <c r="BWN226" s="537"/>
      <c r="BWO226" s="537"/>
      <c r="BWP226" s="537"/>
      <c r="BWQ226" s="537"/>
      <c r="BWR226" s="537"/>
      <c r="BWS226" s="537"/>
      <c r="BWT226" s="537"/>
      <c r="BWU226" s="537"/>
      <c r="BWV226" s="537"/>
      <c r="BWW226" s="537"/>
      <c r="BWX226" s="537"/>
      <c r="BWY226" s="537"/>
      <c r="BWZ226" s="537"/>
      <c r="BXA226" s="537"/>
      <c r="BXB226" s="537"/>
      <c r="BXC226" s="537"/>
      <c r="BXD226" s="537"/>
      <c r="BXE226" s="537"/>
      <c r="BXF226" s="537"/>
      <c r="BXG226" s="537"/>
      <c r="BXH226" s="537"/>
      <c r="BXI226" s="537"/>
      <c r="BXJ226" s="537"/>
      <c r="BXK226" s="537"/>
      <c r="BXL226" s="537"/>
      <c r="BXM226" s="537"/>
      <c r="BXN226" s="537"/>
      <c r="BXO226" s="537"/>
      <c r="BXP226" s="537"/>
      <c r="BXQ226" s="537"/>
      <c r="BXR226" s="537"/>
      <c r="BXS226" s="537"/>
      <c r="BXT226" s="537"/>
      <c r="BXU226" s="537"/>
      <c r="BXV226" s="537"/>
      <c r="BXW226" s="537"/>
      <c r="BXX226" s="537"/>
      <c r="BXY226" s="537"/>
      <c r="BXZ226" s="537"/>
      <c r="BYA226" s="537"/>
      <c r="BYB226" s="537"/>
      <c r="BYC226" s="537"/>
      <c r="BYD226" s="537"/>
      <c r="BYE226" s="537"/>
      <c r="BYF226" s="537"/>
      <c r="BYG226" s="537"/>
      <c r="BYH226" s="537"/>
      <c r="BYI226" s="537"/>
      <c r="BYJ226" s="537"/>
      <c r="BYK226" s="537"/>
      <c r="BYL226" s="537"/>
      <c r="BYM226" s="537"/>
      <c r="BYN226" s="537"/>
      <c r="BYO226" s="537"/>
      <c r="BYP226" s="537"/>
      <c r="BYQ226" s="537"/>
      <c r="BYR226" s="537"/>
      <c r="BYS226" s="537"/>
      <c r="BYT226" s="537"/>
      <c r="BYU226" s="537"/>
      <c r="BYV226" s="537"/>
      <c r="BYW226" s="537"/>
      <c r="BYX226" s="537"/>
      <c r="BYY226" s="537"/>
      <c r="BYZ226" s="537"/>
      <c r="BZA226" s="537"/>
      <c r="BZB226" s="537"/>
      <c r="BZC226" s="537"/>
      <c r="BZD226" s="537"/>
      <c r="BZE226" s="537"/>
      <c r="BZF226" s="537"/>
      <c r="BZG226" s="537"/>
      <c r="BZH226" s="537"/>
      <c r="BZI226" s="537"/>
      <c r="BZJ226" s="537"/>
      <c r="BZK226" s="537"/>
      <c r="BZL226" s="537"/>
      <c r="BZM226" s="537"/>
      <c r="BZN226" s="537"/>
      <c r="BZO226" s="537"/>
      <c r="BZP226" s="537"/>
      <c r="BZQ226" s="537"/>
      <c r="BZR226" s="537"/>
      <c r="BZS226" s="537"/>
      <c r="BZT226" s="537"/>
      <c r="BZU226" s="537"/>
      <c r="BZV226" s="537"/>
      <c r="BZW226" s="537"/>
      <c r="BZX226" s="537"/>
      <c r="BZY226" s="537"/>
      <c r="BZZ226" s="537"/>
      <c r="CAA226" s="537"/>
      <c r="CAB226" s="537"/>
      <c r="CAC226" s="537"/>
      <c r="CAD226" s="537"/>
      <c r="CAE226" s="537"/>
      <c r="CAF226" s="537"/>
      <c r="CAG226" s="537"/>
      <c r="CAH226" s="537"/>
      <c r="CAI226" s="537"/>
      <c r="CAJ226" s="537"/>
      <c r="CAK226" s="537"/>
      <c r="CAL226" s="537"/>
      <c r="CAM226" s="537"/>
      <c r="CAN226" s="537"/>
      <c r="CAO226" s="537"/>
      <c r="CAP226" s="537"/>
      <c r="CAQ226" s="537"/>
      <c r="CAR226" s="537"/>
      <c r="CAS226" s="537"/>
      <c r="CAT226" s="537"/>
      <c r="CAU226" s="537"/>
      <c r="CAV226" s="537"/>
      <c r="CAW226" s="537"/>
      <c r="CAX226" s="537"/>
      <c r="CAY226" s="537"/>
      <c r="CAZ226" s="537"/>
      <c r="CBA226" s="537"/>
      <c r="CBB226" s="537"/>
      <c r="CBC226" s="537"/>
      <c r="CBD226" s="537"/>
      <c r="CBE226" s="537"/>
      <c r="CBF226" s="537"/>
      <c r="CBG226" s="537"/>
      <c r="CBH226" s="537"/>
      <c r="CBI226" s="537"/>
      <c r="CBJ226" s="537"/>
      <c r="CBK226" s="537"/>
      <c r="CBL226" s="537"/>
      <c r="CBM226" s="537"/>
      <c r="CBN226" s="537"/>
      <c r="CBO226" s="537"/>
      <c r="CBP226" s="537"/>
      <c r="CBQ226" s="537"/>
      <c r="CBR226" s="537"/>
      <c r="CBS226" s="537"/>
      <c r="CBT226" s="537"/>
      <c r="CBU226" s="537"/>
      <c r="CBV226" s="537"/>
      <c r="CBW226" s="537"/>
      <c r="CBX226" s="537"/>
      <c r="CBY226" s="537"/>
      <c r="CBZ226" s="537"/>
      <c r="CCA226" s="537"/>
      <c r="CCB226" s="537"/>
      <c r="CCC226" s="537"/>
      <c r="CCD226" s="537"/>
      <c r="CCE226" s="537"/>
      <c r="CCF226" s="537"/>
      <c r="CCG226" s="537"/>
      <c r="CCH226" s="537"/>
      <c r="CCI226" s="537"/>
      <c r="CCJ226" s="537"/>
      <c r="CCK226" s="537"/>
      <c r="CCL226" s="537"/>
      <c r="CCM226" s="537"/>
      <c r="CCN226" s="537"/>
      <c r="CCO226" s="537"/>
      <c r="CCP226" s="537"/>
      <c r="CCQ226" s="537"/>
      <c r="CCR226" s="537"/>
      <c r="CCS226" s="537"/>
      <c r="CCT226" s="537"/>
      <c r="CCU226" s="537"/>
      <c r="CCV226" s="537"/>
      <c r="CCW226" s="537"/>
      <c r="CCX226" s="537"/>
      <c r="CCY226" s="537"/>
      <c r="CCZ226" s="537"/>
      <c r="CDA226" s="537"/>
      <c r="CDB226" s="537"/>
      <c r="CDC226" s="537"/>
      <c r="CDD226" s="537"/>
      <c r="CDE226" s="537"/>
      <c r="CDF226" s="537"/>
      <c r="CDG226" s="537"/>
      <c r="CDH226" s="537"/>
      <c r="CDI226" s="537"/>
      <c r="CDJ226" s="537"/>
      <c r="CDK226" s="537"/>
      <c r="CDL226" s="537"/>
      <c r="CDM226" s="537"/>
      <c r="CDN226" s="537"/>
      <c r="CDO226" s="537"/>
      <c r="CDP226" s="537"/>
      <c r="CDQ226" s="537"/>
      <c r="CDR226" s="537"/>
      <c r="CDS226" s="537"/>
      <c r="CDT226" s="537"/>
      <c r="CDU226" s="537"/>
      <c r="CDV226" s="537"/>
      <c r="CDW226" s="537"/>
      <c r="CDX226" s="537"/>
      <c r="CDY226" s="537"/>
      <c r="CDZ226" s="537"/>
      <c r="CEA226" s="537"/>
      <c r="CEB226" s="537"/>
      <c r="CEC226" s="537"/>
      <c r="CED226" s="537"/>
      <c r="CEE226" s="537"/>
      <c r="CEF226" s="537"/>
      <c r="CEG226" s="537"/>
      <c r="CEH226" s="537"/>
      <c r="CEI226" s="537"/>
      <c r="CEJ226" s="537"/>
      <c r="CEK226" s="537"/>
      <c r="CEL226" s="537"/>
      <c r="CEM226" s="537"/>
      <c r="CEN226" s="537"/>
      <c r="CEO226" s="537"/>
      <c r="CEP226" s="537"/>
      <c r="CEQ226" s="537"/>
      <c r="CER226" s="537"/>
      <c r="CES226" s="537"/>
      <c r="CET226" s="537"/>
      <c r="CEU226" s="537"/>
      <c r="CEV226" s="537"/>
      <c r="CEW226" s="537"/>
      <c r="CEX226" s="537"/>
      <c r="CEY226" s="537"/>
      <c r="CEZ226" s="537"/>
      <c r="CFA226" s="537"/>
      <c r="CFB226" s="537"/>
      <c r="CFC226" s="537"/>
      <c r="CFD226" s="537"/>
      <c r="CFE226" s="537"/>
      <c r="CFF226" s="537"/>
      <c r="CFG226" s="537"/>
      <c r="CFH226" s="537"/>
      <c r="CFI226" s="537"/>
      <c r="CFJ226" s="537"/>
      <c r="CFK226" s="537"/>
      <c r="CFL226" s="537"/>
      <c r="CFM226" s="537"/>
      <c r="CFN226" s="537"/>
      <c r="CFO226" s="537"/>
      <c r="CFP226" s="537"/>
      <c r="CFQ226" s="537"/>
      <c r="CFR226" s="537"/>
      <c r="CFS226" s="537"/>
      <c r="CFT226" s="537"/>
      <c r="CFU226" s="537"/>
      <c r="CFV226" s="537"/>
      <c r="CFW226" s="537"/>
      <c r="CFX226" s="537"/>
      <c r="CFY226" s="537"/>
      <c r="CFZ226" s="537"/>
      <c r="CGA226" s="537"/>
      <c r="CGB226" s="537"/>
      <c r="CGC226" s="537"/>
      <c r="CGD226" s="537"/>
      <c r="CGE226" s="537"/>
      <c r="CGF226" s="537"/>
      <c r="CGG226" s="537"/>
      <c r="CGH226" s="537"/>
      <c r="CGI226" s="537"/>
      <c r="CGJ226" s="537"/>
      <c r="CGK226" s="537"/>
      <c r="CGL226" s="537"/>
      <c r="CGM226" s="537"/>
      <c r="CGN226" s="537"/>
      <c r="CGO226" s="537"/>
      <c r="CGP226" s="537"/>
      <c r="CGQ226" s="537"/>
      <c r="CGR226" s="537"/>
      <c r="CGS226" s="537"/>
      <c r="CGT226" s="537"/>
      <c r="CGU226" s="537"/>
      <c r="CGV226" s="537"/>
      <c r="CGW226" s="537"/>
      <c r="CGX226" s="537"/>
      <c r="CGY226" s="537"/>
      <c r="CGZ226" s="537"/>
      <c r="CHA226" s="537"/>
      <c r="CHB226" s="537"/>
      <c r="CHC226" s="537"/>
      <c r="CHD226" s="537"/>
      <c r="CHE226" s="537"/>
      <c r="CHF226" s="537"/>
      <c r="CHG226" s="537"/>
      <c r="CHH226" s="537"/>
      <c r="CHI226" s="537"/>
      <c r="CHJ226" s="537"/>
      <c r="CHK226" s="537"/>
      <c r="CHL226" s="537"/>
      <c r="CHM226" s="537"/>
      <c r="CHN226" s="537"/>
      <c r="CHO226" s="537"/>
      <c r="CHP226" s="537"/>
      <c r="CHQ226" s="537"/>
      <c r="CHR226" s="537"/>
      <c r="CHS226" s="537"/>
      <c r="CHT226" s="537"/>
      <c r="CHU226" s="537"/>
      <c r="CHV226" s="537"/>
      <c r="CHW226" s="537"/>
      <c r="CHX226" s="537"/>
      <c r="CHY226" s="537"/>
      <c r="CHZ226" s="537"/>
      <c r="CIA226" s="537"/>
      <c r="CIB226" s="537"/>
      <c r="CIC226" s="537"/>
      <c r="CID226" s="537"/>
      <c r="CIE226" s="537"/>
      <c r="CIF226" s="537"/>
      <c r="CIG226" s="537"/>
      <c r="CIH226" s="537"/>
      <c r="CII226" s="537"/>
      <c r="CIJ226" s="537"/>
      <c r="CIK226" s="537"/>
      <c r="CIL226" s="537"/>
      <c r="CIM226" s="537"/>
      <c r="CIN226" s="537"/>
      <c r="CIO226" s="537"/>
      <c r="CIP226" s="537"/>
      <c r="CIQ226" s="537"/>
      <c r="CIR226" s="537"/>
      <c r="CIS226" s="537"/>
      <c r="CIT226" s="537"/>
      <c r="CIU226" s="537"/>
      <c r="CIV226" s="537"/>
      <c r="CIW226" s="537"/>
      <c r="CIX226" s="537"/>
      <c r="CIY226" s="537"/>
      <c r="CIZ226" s="537"/>
      <c r="CJA226" s="537"/>
      <c r="CJB226" s="537"/>
      <c r="CJC226" s="537"/>
      <c r="CJD226" s="537"/>
      <c r="CJE226" s="537"/>
      <c r="CJF226" s="537"/>
      <c r="CJG226" s="537"/>
      <c r="CJH226" s="537"/>
      <c r="CJI226" s="537"/>
      <c r="CJJ226" s="537"/>
      <c r="CJK226" s="537"/>
      <c r="CJL226" s="537"/>
      <c r="CJM226" s="537"/>
      <c r="CJN226" s="537"/>
      <c r="CJO226" s="537"/>
      <c r="CJP226" s="537"/>
      <c r="CJQ226" s="537"/>
      <c r="CJR226" s="537"/>
      <c r="CJS226" s="537"/>
      <c r="CJT226" s="537"/>
      <c r="CJU226" s="537"/>
      <c r="CJV226" s="537"/>
      <c r="CJW226" s="537"/>
      <c r="CJX226" s="537"/>
      <c r="CJY226" s="537"/>
      <c r="CJZ226" s="537"/>
      <c r="CKA226" s="537"/>
      <c r="CKB226" s="537"/>
      <c r="CKC226" s="537"/>
      <c r="CKD226" s="537"/>
      <c r="CKE226" s="537"/>
      <c r="CKF226" s="537"/>
      <c r="CKG226" s="537"/>
      <c r="CKH226" s="537"/>
      <c r="CKI226" s="537"/>
      <c r="CKJ226" s="537"/>
      <c r="CKK226" s="537"/>
      <c r="CKL226" s="537"/>
      <c r="CKM226" s="537"/>
      <c r="CKN226" s="537"/>
      <c r="CKO226" s="537"/>
      <c r="CKP226" s="537"/>
      <c r="CKQ226" s="537"/>
      <c r="CKR226" s="537"/>
      <c r="CKS226" s="537"/>
      <c r="CKT226" s="537"/>
      <c r="CKU226" s="537"/>
      <c r="CKV226" s="537"/>
      <c r="CKW226" s="537"/>
      <c r="CKX226" s="537"/>
      <c r="CKY226" s="537"/>
      <c r="CKZ226" s="537"/>
      <c r="CLA226" s="537"/>
      <c r="CLB226" s="537"/>
      <c r="CLC226" s="537"/>
      <c r="CLD226" s="537"/>
      <c r="CLE226" s="537"/>
      <c r="CLF226" s="537"/>
      <c r="CLG226" s="537"/>
      <c r="CLH226" s="537"/>
      <c r="CLI226" s="537"/>
      <c r="CLJ226" s="537"/>
      <c r="CLK226" s="537"/>
      <c r="CLL226" s="537"/>
      <c r="CLM226" s="537"/>
      <c r="CLN226" s="537"/>
      <c r="CLO226" s="537"/>
      <c r="CLP226" s="537"/>
      <c r="CLQ226" s="537"/>
      <c r="CLR226" s="537"/>
      <c r="CLS226" s="537"/>
      <c r="CLT226" s="537"/>
      <c r="CLU226" s="537"/>
      <c r="CLV226" s="537"/>
      <c r="CLW226" s="537"/>
      <c r="CLX226" s="537"/>
      <c r="CLY226" s="537"/>
      <c r="CLZ226" s="537"/>
      <c r="CMA226" s="537"/>
      <c r="CMB226" s="537"/>
      <c r="CMC226" s="537"/>
      <c r="CMD226" s="537"/>
      <c r="CME226" s="537"/>
      <c r="CMF226" s="537"/>
      <c r="CMG226" s="537"/>
      <c r="CMH226" s="537"/>
      <c r="CMI226" s="537"/>
      <c r="CMJ226" s="537"/>
      <c r="CMK226" s="537"/>
      <c r="CML226" s="537"/>
      <c r="CMM226" s="537"/>
      <c r="CMN226" s="537"/>
      <c r="CMO226" s="537"/>
      <c r="CMP226" s="537"/>
      <c r="CMQ226" s="537"/>
      <c r="CMR226" s="537"/>
      <c r="CMS226" s="537"/>
      <c r="CMT226" s="537"/>
      <c r="CMU226" s="537"/>
      <c r="CMV226" s="537"/>
      <c r="CMW226" s="537"/>
      <c r="CMX226" s="537"/>
      <c r="CMY226" s="537"/>
      <c r="CMZ226" s="537"/>
      <c r="CNA226" s="537"/>
      <c r="CNB226" s="537"/>
      <c r="CNC226" s="537"/>
      <c r="CND226" s="537"/>
      <c r="CNE226" s="537"/>
      <c r="CNF226" s="537"/>
      <c r="CNG226" s="537"/>
      <c r="CNH226" s="537"/>
      <c r="CNI226" s="537"/>
      <c r="CNJ226" s="537"/>
      <c r="CNK226" s="537"/>
      <c r="CNL226" s="537"/>
      <c r="CNM226" s="537"/>
      <c r="CNN226" s="537"/>
      <c r="CNO226" s="537"/>
      <c r="CNP226" s="537"/>
      <c r="CNQ226" s="537"/>
      <c r="CNR226" s="537"/>
      <c r="CNS226" s="537"/>
      <c r="CNT226" s="537"/>
      <c r="CNU226" s="537"/>
      <c r="CNV226" s="537"/>
      <c r="CNW226" s="537"/>
      <c r="CNX226" s="537"/>
      <c r="CNY226" s="537"/>
      <c r="CNZ226" s="537"/>
      <c r="COA226" s="537"/>
      <c r="COB226" s="537"/>
      <c r="COC226" s="537"/>
      <c r="COD226" s="537"/>
      <c r="COE226" s="537"/>
      <c r="COF226" s="537"/>
      <c r="COG226" s="537"/>
      <c r="COH226" s="537"/>
      <c r="COI226" s="537"/>
      <c r="COJ226" s="537"/>
      <c r="COK226" s="537"/>
      <c r="COL226" s="537"/>
      <c r="COM226" s="537"/>
      <c r="CON226" s="537"/>
      <c r="COO226" s="537"/>
      <c r="COP226" s="537"/>
      <c r="COQ226" s="537"/>
      <c r="COR226" s="537"/>
      <c r="COS226" s="537"/>
      <c r="COT226" s="537"/>
      <c r="COU226" s="537"/>
      <c r="COV226" s="537"/>
      <c r="COW226" s="537"/>
      <c r="COX226" s="537"/>
      <c r="COY226" s="537"/>
      <c r="COZ226" s="537"/>
      <c r="CPA226" s="537"/>
      <c r="CPB226" s="537"/>
      <c r="CPC226" s="537"/>
      <c r="CPD226" s="537"/>
      <c r="CPE226" s="537"/>
      <c r="CPF226" s="537"/>
      <c r="CPG226" s="537"/>
      <c r="CPH226" s="537"/>
      <c r="CPI226" s="537"/>
      <c r="CPJ226" s="537"/>
      <c r="CPK226" s="537"/>
      <c r="CPL226" s="537"/>
      <c r="CPM226" s="537"/>
      <c r="CPN226" s="537"/>
      <c r="CPO226" s="537"/>
      <c r="CPP226" s="537"/>
      <c r="CPQ226" s="537"/>
      <c r="CPR226" s="537"/>
      <c r="CPS226" s="537"/>
      <c r="CPT226" s="537"/>
      <c r="CPU226" s="537"/>
      <c r="CPV226" s="537"/>
      <c r="CPW226" s="537"/>
      <c r="CPX226" s="537"/>
      <c r="CPY226" s="537"/>
      <c r="CPZ226" s="537"/>
      <c r="CQA226" s="537"/>
      <c r="CQB226" s="537"/>
      <c r="CQC226" s="537"/>
      <c r="CQD226" s="537"/>
      <c r="CQE226" s="537"/>
      <c r="CQF226" s="537"/>
      <c r="CQG226" s="537"/>
      <c r="CQH226" s="537"/>
      <c r="CQI226" s="537"/>
      <c r="CQJ226" s="537"/>
      <c r="CQK226" s="537"/>
      <c r="CQL226" s="537"/>
      <c r="CQM226" s="537"/>
      <c r="CQN226" s="537"/>
      <c r="CQO226" s="537"/>
      <c r="CQP226" s="537"/>
      <c r="CQQ226" s="537"/>
      <c r="CQR226" s="537"/>
      <c r="CQS226" s="537"/>
      <c r="CQT226" s="537"/>
      <c r="CQU226" s="537"/>
      <c r="CQV226" s="537"/>
      <c r="CQW226" s="537"/>
      <c r="CQX226" s="537"/>
      <c r="CQY226" s="537"/>
      <c r="CQZ226" s="537"/>
      <c r="CRA226" s="537"/>
      <c r="CRB226" s="537"/>
      <c r="CRC226" s="537"/>
      <c r="CRD226" s="537"/>
      <c r="CRE226" s="537"/>
      <c r="CRF226" s="537"/>
      <c r="CRG226" s="537"/>
      <c r="CRH226" s="537"/>
      <c r="CRI226" s="537"/>
      <c r="CRJ226" s="537"/>
      <c r="CRK226" s="537"/>
      <c r="CRL226" s="537"/>
      <c r="CRM226" s="537"/>
      <c r="CRN226" s="537"/>
      <c r="CRO226" s="537"/>
      <c r="CRP226" s="537"/>
      <c r="CRQ226" s="537"/>
      <c r="CRR226" s="537"/>
      <c r="CRS226" s="537"/>
      <c r="CRT226" s="537"/>
      <c r="CRU226" s="537"/>
      <c r="CRV226" s="537"/>
      <c r="CRW226" s="537"/>
      <c r="CRX226" s="537"/>
      <c r="CRY226" s="537"/>
      <c r="CRZ226" s="537"/>
      <c r="CSA226" s="537"/>
      <c r="CSB226" s="537"/>
      <c r="CSC226" s="537"/>
      <c r="CSD226" s="537"/>
      <c r="CSE226" s="537"/>
      <c r="CSF226" s="537"/>
      <c r="CSG226" s="537"/>
      <c r="CSH226" s="537"/>
      <c r="CSI226" s="537"/>
      <c r="CSJ226" s="537"/>
      <c r="CSK226" s="537"/>
      <c r="CSL226" s="537"/>
      <c r="CSM226" s="537"/>
      <c r="CSN226" s="537"/>
      <c r="CSO226" s="537"/>
      <c r="CSP226" s="537"/>
      <c r="CSQ226" s="537"/>
      <c r="CSR226" s="537"/>
      <c r="CSS226" s="537"/>
      <c r="CST226" s="537"/>
      <c r="CSU226" s="537"/>
      <c r="CSV226" s="537"/>
      <c r="CSW226" s="537"/>
      <c r="CSX226" s="537"/>
      <c r="CSY226" s="537"/>
      <c r="CSZ226" s="537"/>
      <c r="CTA226" s="537"/>
      <c r="CTB226" s="537"/>
      <c r="CTC226" s="537"/>
      <c r="CTD226" s="537"/>
      <c r="CTE226" s="537"/>
      <c r="CTF226" s="537"/>
      <c r="CTG226" s="537"/>
      <c r="CTH226" s="537"/>
      <c r="CTI226" s="537"/>
      <c r="CTJ226" s="537"/>
      <c r="CTK226" s="537"/>
      <c r="CTL226" s="537"/>
      <c r="CTM226" s="537"/>
      <c r="CTN226" s="537"/>
      <c r="CTO226" s="537"/>
      <c r="CTP226" s="537"/>
      <c r="CTQ226" s="537"/>
      <c r="CTR226" s="537"/>
      <c r="CTS226" s="537"/>
      <c r="CTT226" s="537"/>
      <c r="CTU226" s="537"/>
      <c r="CTV226" s="537"/>
      <c r="CTW226" s="537"/>
      <c r="CTX226" s="537"/>
      <c r="CTY226" s="537"/>
      <c r="CTZ226" s="537"/>
      <c r="CUA226" s="537"/>
      <c r="CUB226" s="537"/>
      <c r="CUC226" s="537"/>
      <c r="CUD226" s="537"/>
      <c r="CUE226" s="537"/>
      <c r="CUF226" s="537"/>
      <c r="CUG226" s="537"/>
      <c r="CUH226" s="537"/>
      <c r="CUI226" s="537"/>
      <c r="CUJ226" s="537"/>
      <c r="CUK226" s="537"/>
      <c r="CUL226" s="537"/>
      <c r="CUM226" s="537"/>
      <c r="CUN226" s="537"/>
      <c r="CUO226" s="537"/>
      <c r="CUP226" s="537"/>
      <c r="CUQ226" s="537"/>
      <c r="CUR226" s="537"/>
      <c r="CUS226" s="537"/>
      <c r="CUT226" s="537"/>
      <c r="CUU226" s="537"/>
      <c r="CUV226" s="537"/>
      <c r="CUW226" s="537"/>
      <c r="CUX226" s="537"/>
      <c r="CUY226" s="537"/>
      <c r="CUZ226" s="537"/>
      <c r="CVA226" s="537"/>
      <c r="CVB226" s="537"/>
      <c r="CVC226" s="537"/>
      <c r="CVD226" s="537"/>
      <c r="CVE226" s="537"/>
      <c r="CVF226" s="537"/>
      <c r="CVG226" s="537"/>
      <c r="CVH226" s="537"/>
      <c r="CVI226" s="537"/>
      <c r="CVJ226" s="537"/>
      <c r="CVK226" s="537"/>
      <c r="CVL226" s="537"/>
      <c r="CVM226" s="537"/>
      <c r="CVN226" s="537"/>
      <c r="CVO226" s="537"/>
      <c r="CVP226" s="537"/>
      <c r="CVQ226" s="537"/>
      <c r="CVR226" s="537"/>
      <c r="CVS226" s="537"/>
      <c r="CVT226" s="537"/>
      <c r="CVU226" s="537"/>
      <c r="CVV226" s="537"/>
      <c r="CVW226" s="537"/>
      <c r="CVX226" s="537"/>
      <c r="CVY226" s="537"/>
      <c r="CVZ226" s="537"/>
      <c r="CWA226" s="537"/>
      <c r="CWB226" s="537"/>
      <c r="CWC226" s="537"/>
      <c r="CWD226" s="537"/>
      <c r="CWE226" s="537"/>
      <c r="CWF226" s="537"/>
      <c r="CWG226" s="537"/>
      <c r="CWH226" s="537"/>
      <c r="CWI226" s="537"/>
      <c r="CWJ226" s="537"/>
      <c r="CWK226" s="537"/>
      <c r="CWL226" s="537"/>
      <c r="CWM226" s="537"/>
      <c r="CWN226" s="537"/>
      <c r="CWO226" s="537"/>
      <c r="CWP226" s="537"/>
      <c r="CWQ226" s="537"/>
      <c r="CWR226" s="537"/>
      <c r="CWS226" s="537"/>
      <c r="CWT226" s="537"/>
      <c r="CWU226" s="537"/>
      <c r="CWV226" s="537"/>
      <c r="CWW226" s="537"/>
      <c r="CWX226" s="537"/>
      <c r="CWY226" s="537"/>
      <c r="CWZ226" s="537"/>
      <c r="CXA226" s="537"/>
      <c r="CXB226" s="537"/>
      <c r="CXC226" s="537"/>
      <c r="CXD226" s="537"/>
      <c r="CXE226" s="537"/>
      <c r="CXF226" s="537"/>
      <c r="CXG226" s="537"/>
      <c r="CXH226" s="537"/>
      <c r="CXI226" s="537"/>
      <c r="CXJ226" s="537"/>
      <c r="CXK226" s="537"/>
      <c r="CXL226" s="537"/>
      <c r="CXM226" s="537"/>
      <c r="CXN226" s="537"/>
      <c r="CXO226" s="537"/>
      <c r="CXP226" s="537"/>
      <c r="CXQ226" s="537"/>
      <c r="CXR226" s="537"/>
      <c r="CXS226" s="537"/>
      <c r="CXT226" s="537"/>
      <c r="CXU226" s="537"/>
      <c r="CXV226" s="537"/>
      <c r="CXW226" s="537"/>
      <c r="CXX226" s="537"/>
      <c r="CXY226" s="537"/>
      <c r="CXZ226" s="537"/>
      <c r="CYA226" s="537"/>
      <c r="CYB226" s="537"/>
      <c r="CYC226" s="537"/>
      <c r="CYD226" s="537"/>
      <c r="CYE226" s="537"/>
      <c r="CYF226" s="537"/>
      <c r="CYG226" s="537"/>
      <c r="CYH226" s="537"/>
      <c r="CYI226" s="537"/>
      <c r="CYJ226" s="537"/>
      <c r="CYK226" s="537"/>
      <c r="CYL226" s="537"/>
      <c r="CYM226" s="537"/>
      <c r="CYN226" s="537"/>
      <c r="CYO226" s="537"/>
      <c r="CYP226" s="537"/>
      <c r="CYQ226" s="537"/>
      <c r="CYR226" s="537"/>
      <c r="CYS226" s="537"/>
      <c r="CYT226" s="537"/>
      <c r="CYU226" s="537"/>
      <c r="CYV226" s="537"/>
      <c r="CYW226" s="537"/>
      <c r="CYX226" s="537"/>
      <c r="CYY226" s="537"/>
      <c r="CYZ226" s="537"/>
      <c r="CZA226" s="537"/>
      <c r="CZB226" s="537"/>
      <c r="CZC226" s="537"/>
      <c r="CZD226" s="537"/>
      <c r="CZE226" s="537"/>
      <c r="CZF226" s="537"/>
      <c r="CZG226" s="537"/>
      <c r="CZH226" s="537"/>
      <c r="CZI226" s="537"/>
      <c r="CZJ226" s="537"/>
      <c r="CZK226" s="537"/>
      <c r="CZL226" s="537"/>
      <c r="CZM226" s="537"/>
      <c r="CZN226" s="537"/>
      <c r="CZO226" s="537"/>
      <c r="CZP226" s="537"/>
      <c r="CZQ226" s="537"/>
      <c r="CZR226" s="537"/>
      <c r="CZS226" s="537"/>
      <c r="CZT226" s="537"/>
      <c r="CZU226" s="537"/>
      <c r="CZV226" s="537"/>
      <c r="CZW226" s="537"/>
      <c r="CZX226" s="537"/>
      <c r="CZY226" s="537"/>
      <c r="CZZ226" s="537"/>
      <c r="DAA226" s="537"/>
      <c r="DAB226" s="537"/>
      <c r="DAC226" s="537"/>
      <c r="DAD226" s="537"/>
      <c r="DAE226" s="537"/>
      <c r="DAF226" s="537"/>
      <c r="DAG226" s="537"/>
      <c r="DAH226" s="537"/>
      <c r="DAI226" s="537"/>
      <c r="DAJ226" s="537"/>
      <c r="DAK226" s="537"/>
      <c r="DAL226" s="537"/>
      <c r="DAM226" s="537"/>
      <c r="DAN226" s="537"/>
      <c r="DAO226" s="537"/>
      <c r="DAP226" s="537"/>
      <c r="DAQ226" s="537"/>
      <c r="DAR226" s="537"/>
      <c r="DAS226" s="537"/>
      <c r="DAT226" s="537"/>
      <c r="DAU226" s="537"/>
      <c r="DAV226" s="537"/>
      <c r="DAW226" s="537"/>
      <c r="DAX226" s="537"/>
      <c r="DAY226" s="537"/>
      <c r="DAZ226" s="537"/>
      <c r="DBA226" s="537"/>
      <c r="DBB226" s="537"/>
      <c r="DBC226" s="537"/>
      <c r="DBD226" s="537"/>
      <c r="DBE226" s="537"/>
      <c r="DBF226" s="537"/>
      <c r="DBG226" s="537"/>
      <c r="DBH226" s="537"/>
      <c r="DBI226" s="537"/>
      <c r="DBJ226" s="537"/>
      <c r="DBK226" s="537"/>
      <c r="DBL226" s="537"/>
      <c r="DBM226" s="537"/>
      <c r="DBN226" s="537"/>
      <c r="DBO226" s="537"/>
      <c r="DBP226" s="537"/>
      <c r="DBQ226" s="537"/>
      <c r="DBR226" s="537"/>
      <c r="DBS226" s="537"/>
      <c r="DBT226" s="537"/>
      <c r="DBU226" s="537"/>
      <c r="DBV226" s="537"/>
      <c r="DBW226" s="537"/>
      <c r="DBX226" s="537"/>
      <c r="DBY226" s="537"/>
      <c r="DBZ226" s="537"/>
      <c r="DCA226" s="537"/>
      <c r="DCB226" s="537"/>
      <c r="DCC226" s="537"/>
      <c r="DCD226" s="537"/>
      <c r="DCE226" s="537"/>
      <c r="DCF226" s="537"/>
      <c r="DCG226" s="537"/>
      <c r="DCH226" s="537"/>
      <c r="DCI226" s="537"/>
      <c r="DCJ226" s="537"/>
      <c r="DCK226" s="537"/>
      <c r="DCL226" s="537"/>
      <c r="DCM226" s="537"/>
      <c r="DCN226" s="537"/>
      <c r="DCO226" s="537"/>
      <c r="DCP226" s="537"/>
      <c r="DCQ226" s="537"/>
      <c r="DCR226" s="537"/>
      <c r="DCS226" s="537"/>
      <c r="DCT226" s="537"/>
      <c r="DCU226" s="537"/>
      <c r="DCV226" s="537"/>
      <c r="DCW226" s="537"/>
      <c r="DCX226" s="537"/>
      <c r="DCY226" s="537"/>
      <c r="DCZ226" s="537"/>
      <c r="DDA226" s="537"/>
      <c r="DDB226" s="537"/>
      <c r="DDC226" s="537"/>
      <c r="DDD226" s="537"/>
      <c r="DDE226" s="537"/>
      <c r="DDF226" s="537"/>
      <c r="DDG226" s="537"/>
      <c r="DDH226" s="537"/>
      <c r="DDI226" s="537"/>
      <c r="DDJ226" s="537"/>
      <c r="DDK226" s="537"/>
      <c r="DDL226" s="537"/>
      <c r="DDM226" s="537"/>
      <c r="DDN226" s="537"/>
      <c r="DDO226" s="537"/>
      <c r="DDP226" s="537"/>
      <c r="DDQ226" s="537"/>
      <c r="DDR226" s="537"/>
      <c r="DDS226" s="537"/>
      <c r="DDT226" s="537"/>
      <c r="DDU226" s="537"/>
      <c r="DDV226" s="537"/>
      <c r="DDW226" s="537"/>
      <c r="DDX226" s="537"/>
      <c r="DDY226" s="537"/>
      <c r="DDZ226" s="537"/>
      <c r="DEA226" s="537"/>
      <c r="DEB226" s="537"/>
      <c r="DEC226" s="537"/>
      <c r="DED226" s="537"/>
      <c r="DEE226" s="537"/>
      <c r="DEF226" s="537"/>
      <c r="DEG226" s="537"/>
      <c r="DEH226" s="537"/>
      <c r="DEI226" s="537"/>
      <c r="DEJ226" s="537"/>
      <c r="DEK226" s="537"/>
      <c r="DEL226" s="537"/>
      <c r="DEM226" s="537"/>
      <c r="DEN226" s="537"/>
      <c r="DEO226" s="537"/>
      <c r="DEP226" s="537"/>
      <c r="DEQ226" s="537"/>
      <c r="DER226" s="537"/>
      <c r="DES226" s="537"/>
      <c r="DET226" s="537"/>
      <c r="DEU226" s="537"/>
      <c r="DEV226" s="537"/>
      <c r="DEW226" s="537"/>
      <c r="DEX226" s="537"/>
      <c r="DEY226" s="537"/>
      <c r="DEZ226" s="537"/>
      <c r="DFA226" s="537"/>
      <c r="DFB226" s="537"/>
      <c r="DFC226" s="537"/>
      <c r="DFD226" s="537"/>
      <c r="DFE226" s="537"/>
      <c r="DFF226" s="537"/>
      <c r="DFG226" s="537"/>
      <c r="DFH226" s="537"/>
      <c r="DFI226" s="537"/>
      <c r="DFJ226" s="537"/>
      <c r="DFK226" s="537"/>
      <c r="DFL226" s="537"/>
      <c r="DFM226" s="537"/>
      <c r="DFN226" s="537"/>
      <c r="DFO226" s="537"/>
      <c r="DFP226" s="537"/>
      <c r="DFQ226" s="537"/>
      <c r="DFR226" s="537"/>
      <c r="DFS226" s="537"/>
      <c r="DFT226" s="537"/>
      <c r="DFU226" s="537"/>
      <c r="DFV226" s="537"/>
      <c r="DFW226" s="537"/>
      <c r="DFX226" s="537"/>
      <c r="DFY226" s="537"/>
      <c r="DFZ226" s="537"/>
      <c r="DGA226" s="537"/>
      <c r="DGB226" s="537"/>
      <c r="DGC226" s="537"/>
      <c r="DGD226" s="537"/>
      <c r="DGE226" s="537"/>
      <c r="DGF226" s="537"/>
      <c r="DGG226" s="537"/>
      <c r="DGH226" s="537"/>
      <c r="DGI226" s="537"/>
      <c r="DGJ226" s="537"/>
      <c r="DGK226" s="537"/>
      <c r="DGL226" s="537"/>
      <c r="DGM226" s="537"/>
      <c r="DGN226" s="537"/>
      <c r="DGO226" s="537"/>
      <c r="DGP226" s="537"/>
      <c r="DGQ226" s="537"/>
      <c r="DGR226" s="537"/>
      <c r="DGS226" s="537"/>
      <c r="DGT226" s="537"/>
      <c r="DGU226" s="537"/>
      <c r="DGV226" s="537"/>
      <c r="DGW226" s="537"/>
      <c r="DGX226" s="537"/>
      <c r="DGY226" s="537"/>
      <c r="DGZ226" s="537"/>
      <c r="DHA226" s="537"/>
      <c r="DHB226" s="537"/>
      <c r="DHC226" s="537"/>
      <c r="DHD226" s="537"/>
      <c r="DHE226" s="537"/>
      <c r="DHF226" s="537"/>
      <c r="DHG226" s="537"/>
      <c r="DHH226" s="537"/>
      <c r="DHI226" s="537"/>
      <c r="DHJ226" s="537"/>
      <c r="DHK226" s="537"/>
      <c r="DHL226" s="537"/>
      <c r="DHM226" s="537"/>
      <c r="DHN226" s="537"/>
      <c r="DHO226" s="537"/>
      <c r="DHP226" s="537"/>
      <c r="DHQ226" s="537"/>
      <c r="DHR226" s="537"/>
      <c r="DHS226" s="537"/>
      <c r="DHT226" s="537"/>
      <c r="DHU226" s="537"/>
      <c r="DHV226" s="537"/>
      <c r="DHW226" s="537"/>
      <c r="DHX226" s="537"/>
      <c r="DHY226" s="537"/>
      <c r="DHZ226" s="537"/>
      <c r="DIA226" s="537"/>
      <c r="DIB226" s="537"/>
      <c r="DIC226" s="537"/>
      <c r="DID226" s="537"/>
      <c r="DIE226" s="537"/>
      <c r="DIF226" s="537"/>
      <c r="DIG226" s="537"/>
      <c r="DIH226" s="537"/>
      <c r="DII226" s="537"/>
      <c r="DIJ226" s="537"/>
      <c r="DIK226" s="537"/>
      <c r="DIL226" s="537"/>
      <c r="DIM226" s="537"/>
      <c r="DIN226" s="537"/>
      <c r="DIO226" s="537"/>
      <c r="DIP226" s="537"/>
      <c r="DIQ226" s="537"/>
      <c r="DIR226" s="537"/>
      <c r="DIS226" s="537"/>
      <c r="DIT226" s="537"/>
      <c r="DIU226" s="537"/>
      <c r="DIV226" s="537"/>
      <c r="DIW226" s="537"/>
      <c r="DIX226" s="537"/>
      <c r="DIY226" s="537"/>
      <c r="DIZ226" s="537"/>
      <c r="DJA226" s="537"/>
      <c r="DJB226" s="537"/>
      <c r="DJC226" s="537"/>
      <c r="DJD226" s="537"/>
      <c r="DJE226" s="537"/>
      <c r="DJF226" s="537"/>
      <c r="DJG226" s="537"/>
      <c r="DJH226" s="537"/>
      <c r="DJI226" s="537"/>
      <c r="DJJ226" s="537"/>
      <c r="DJK226" s="537"/>
      <c r="DJL226" s="537"/>
      <c r="DJM226" s="537"/>
      <c r="DJN226" s="537"/>
      <c r="DJO226" s="537"/>
      <c r="DJP226" s="537"/>
      <c r="DJQ226" s="537"/>
      <c r="DJR226" s="537"/>
      <c r="DJS226" s="537"/>
      <c r="DJT226" s="537"/>
      <c r="DJU226" s="537"/>
      <c r="DJV226" s="537"/>
      <c r="DJW226" s="537"/>
      <c r="DJX226" s="537"/>
      <c r="DJY226" s="537"/>
      <c r="DJZ226" s="537"/>
      <c r="DKA226" s="537"/>
      <c r="DKB226" s="537"/>
      <c r="DKC226" s="537"/>
      <c r="DKD226" s="537"/>
      <c r="DKE226" s="537"/>
      <c r="DKF226" s="537"/>
      <c r="DKG226" s="537"/>
      <c r="DKH226" s="537"/>
      <c r="DKI226" s="537"/>
      <c r="DKJ226" s="537"/>
      <c r="DKK226" s="537"/>
      <c r="DKL226" s="537"/>
      <c r="DKM226" s="537"/>
      <c r="DKN226" s="537"/>
      <c r="DKO226" s="537"/>
      <c r="DKP226" s="537"/>
      <c r="DKQ226" s="537"/>
      <c r="DKR226" s="537"/>
      <c r="DKS226" s="537"/>
      <c r="DKT226" s="537"/>
      <c r="DKU226" s="537"/>
      <c r="DKV226" s="537"/>
      <c r="DKW226" s="537"/>
      <c r="DKX226" s="537"/>
      <c r="DKY226" s="537"/>
      <c r="DKZ226" s="537"/>
      <c r="DLA226" s="537"/>
      <c r="DLB226" s="537"/>
      <c r="DLC226" s="537"/>
      <c r="DLD226" s="537"/>
      <c r="DLE226" s="537"/>
      <c r="DLF226" s="537"/>
      <c r="DLG226" s="537"/>
      <c r="DLH226" s="537"/>
      <c r="DLI226" s="537"/>
      <c r="DLJ226" s="537"/>
      <c r="DLK226" s="537"/>
      <c r="DLL226" s="537"/>
      <c r="DLM226" s="537"/>
      <c r="DLN226" s="537"/>
      <c r="DLO226" s="537"/>
      <c r="DLP226" s="537"/>
      <c r="DLQ226" s="537"/>
      <c r="DLR226" s="537"/>
      <c r="DLS226" s="537"/>
      <c r="DLT226" s="537"/>
      <c r="DLU226" s="537"/>
      <c r="DLV226" s="537"/>
      <c r="DLW226" s="537"/>
      <c r="DLX226" s="537"/>
      <c r="DLY226" s="537"/>
      <c r="DLZ226" s="537"/>
      <c r="DMA226" s="537"/>
      <c r="DMB226" s="537"/>
      <c r="DMC226" s="537"/>
      <c r="DMD226" s="537"/>
      <c r="DME226" s="537"/>
      <c r="DMF226" s="537"/>
      <c r="DMG226" s="537"/>
      <c r="DMH226" s="537"/>
      <c r="DMI226" s="537"/>
      <c r="DMJ226" s="537"/>
      <c r="DMK226" s="537"/>
      <c r="DML226" s="537"/>
      <c r="DMM226" s="537"/>
      <c r="DMN226" s="537"/>
      <c r="DMO226" s="537"/>
      <c r="DMP226" s="537"/>
      <c r="DMQ226" s="537"/>
      <c r="DMR226" s="537"/>
      <c r="DMS226" s="537"/>
      <c r="DMT226" s="537"/>
      <c r="DMU226" s="537"/>
      <c r="DMV226" s="537"/>
      <c r="DMW226" s="537"/>
      <c r="DMX226" s="537"/>
      <c r="DMY226" s="537"/>
      <c r="DMZ226" s="537"/>
      <c r="DNA226" s="537"/>
      <c r="DNB226" s="537"/>
      <c r="DNC226" s="537"/>
      <c r="DND226" s="537"/>
      <c r="DNE226" s="537"/>
      <c r="DNF226" s="537"/>
      <c r="DNG226" s="537"/>
      <c r="DNH226" s="537"/>
      <c r="DNI226" s="537"/>
      <c r="DNJ226" s="537"/>
      <c r="DNK226" s="537"/>
      <c r="DNL226" s="537"/>
      <c r="DNM226" s="537"/>
      <c r="DNN226" s="537"/>
      <c r="DNO226" s="537"/>
      <c r="DNP226" s="537"/>
      <c r="DNQ226" s="537"/>
      <c r="DNR226" s="537"/>
      <c r="DNS226" s="537"/>
      <c r="DNT226" s="537"/>
      <c r="DNU226" s="537"/>
      <c r="DNV226" s="537"/>
      <c r="DNW226" s="537"/>
      <c r="DNX226" s="537"/>
      <c r="DNY226" s="537"/>
      <c r="DNZ226" s="537"/>
      <c r="DOA226" s="537"/>
      <c r="DOB226" s="537"/>
      <c r="DOC226" s="537"/>
      <c r="DOD226" s="537"/>
      <c r="DOE226" s="537"/>
      <c r="DOF226" s="537"/>
      <c r="DOG226" s="537"/>
      <c r="DOH226" s="537"/>
      <c r="DOI226" s="537"/>
      <c r="DOJ226" s="537"/>
      <c r="DOK226" s="537"/>
      <c r="DOL226" s="537"/>
      <c r="DOM226" s="537"/>
      <c r="DON226" s="537"/>
      <c r="DOO226" s="537"/>
      <c r="DOP226" s="537"/>
      <c r="DOQ226" s="537"/>
      <c r="DOR226" s="537"/>
      <c r="DOS226" s="537"/>
      <c r="DOT226" s="537"/>
      <c r="DOU226" s="537"/>
      <c r="DOV226" s="537"/>
      <c r="DOW226" s="537"/>
      <c r="DOX226" s="537"/>
      <c r="DOY226" s="537"/>
      <c r="DOZ226" s="537"/>
      <c r="DPA226" s="537"/>
      <c r="DPB226" s="537"/>
      <c r="DPC226" s="537"/>
      <c r="DPD226" s="537"/>
      <c r="DPE226" s="537"/>
      <c r="DPF226" s="537"/>
      <c r="DPG226" s="537"/>
      <c r="DPH226" s="537"/>
      <c r="DPI226" s="537"/>
      <c r="DPJ226" s="537"/>
      <c r="DPK226" s="537"/>
      <c r="DPL226" s="537"/>
      <c r="DPM226" s="537"/>
      <c r="DPN226" s="537"/>
      <c r="DPO226" s="537"/>
      <c r="DPP226" s="537"/>
      <c r="DPQ226" s="537"/>
      <c r="DPR226" s="537"/>
      <c r="DPS226" s="537"/>
      <c r="DPT226" s="537"/>
      <c r="DPU226" s="537"/>
      <c r="DPV226" s="537"/>
      <c r="DPW226" s="537"/>
      <c r="DPX226" s="537"/>
      <c r="DPY226" s="537"/>
      <c r="DPZ226" s="537"/>
      <c r="DQA226" s="537"/>
      <c r="DQB226" s="537"/>
      <c r="DQC226" s="537"/>
      <c r="DQD226" s="537"/>
      <c r="DQE226" s="537"/>
      <c r="DQF226" s="537"/>
      <c r="DQG226" s="537"/>
      <c r="DQH226" s="537"/>
      <c r="DQI226" s="537"/>
      <c r="DQJ226" s="537"/>
      <c r="DQK226" s="537"/>
      <c r="DQL226" s="537"/>
      <c r="DQM226" s="537"/>
      <c r="DQN226" s="537"/>
      <c r="DQO226" s="537"/>
      <c r="DQP226" s="537"/>
      <c r="DQQ226" s="537"/>
      <c r="DQR226" s="537"/>
      <c r="DQS226" s="537"/>
      <c r="DQT226" s="537"/>
      <c r="DQU226" s="537"/>
      <c r="DQV226" s="537"/>
      <c r="DQW226" s="537"/>
      <c r="DQX226" s="537"/>
      <c r="DQY226" s="537"/>
      <c r="DQZ226" s="537"/>
      <c r="DRA226" s="537"/>
      <c r="DRB226" s="537"/>
      <c r="DRC226" s="537"/>
      <c r="DRD226" s="537"/>
      <c r="DRE226" s="537"/>
      <c r="DRF226" s="537"/>
      <c r="DRG226" s="537"/>
      <c r="DRH226" s="537"/>
      <c r="DRI226" s="537"/>
      <c r="DRJ226" s="537"/>
      <c r="DRK226" s="537"/>
      <c r="DRL226" s="537"/>
      <c r="DRM226" s="537"/>
      <c r="DRN226" s="537"/>
      <c r="DRO226" s="537"/>
      <c r="DRP226" s="537"/>
      <c r="DRQ226" s="537"/>
      <c r="DRR226" s="537"/>
      <c r="DRS226" s="537"/>
      <c r="DRT226" s="537"/>
      <c r="DRU226" s="537"/>
      <c r="DRV226" s="537"/>
      <c r="DRW226" s="537"/>
      <c r="DRX226" s="537"/>
      <c r="DRY226" s="537"/>
      <c r="DRZ226" s="537"/>
      <c r="DSA226" s="537"/>
      <c r="DSB226" s="537"/>
      <c r="DSC226" s="537"/>
      <c r="DSD226" s="537"/>
      <c r="DSE226" s="537"/>
      <c r="DSF226" s="537"/>
      <c r="DSG226" s="537"/>
      <c r="DSH226" s="537"/>
      <c r="DSI226" s="537"/>
      <c r="DSJ226" s="537"/>
      <c r="DSK226" s="537"/>
      <c r="DSL226" s="537"/>
      <c r="DSM226" s="537"/>
      <c r="DSN226" s="537"/>
      <c r="DSO226" s="537"/>
      <c r="DSP226" s="537"/>
      <c r="DSQ226" s="537"/>
      <c r="DSR226" s="537"/>
      <c r="DSS226" s="537"/>
      <c r="DST226" s="537"/>
      <c r="DSU226" s="537"/>
      <c r="DSV226" s="537"/>
      <c r="DSW226" s="537"/>
      <c r="DSX226" s="537"/>
      <c r="DSY226" s="537"/>
      <c r="DSZ226" s="537"/>
      <c r="DTA226" s="537"/>
      <c r="DTB226" s="537"/>
      <c r="DTC226" s="537"/>
      <c r="DTD226" s="537"/>
      <c r="DTE226" s="537"/>
      <c r="DTF226" s="537"/>
      <c r="DTG226" s="537"/>
      <c r="DTH226" s="537"/>
      <c r="DTI226" s="537"/>
      <c r="DTJ226" s="537"/>
      <c r="DTK226" s="537"/>
      <c r="DTL226" s="537"/>
      <c r="DTM226" s="537"/>
      <c r="DTN226" s="537"/>
      <c r="DTO226" s="537"/>
      <c r="DTP226" s="537"/>
      <c r="DTQ226" s="537"/>
      <c r="DTR226" s="537"/>
      <c r="DTS226" s="537"/>
      <c r="DTT226" s="537"/>
      <c r="DTU226" s="537"/>
      <c r="DTV226" s="537"/>
      <c r="DTW226" s="537"/>
      <c r="DTX226" s="537"/>
      <c r="DTY226" s="537"/>
      <c r="DTZ226" s="537"/>
      <c r="DUA226" s="537"/>
      <c r="DUB226" s="537"/>
      <c r="DUC226" s="537"/>
      <c r="DUD226" s="537"/>
      <c r="DUE226" s="537"/>
      <c r="DUF226" s="537"/>
      <c r="DUG226" s="537"/>
      <c r="DUH226" s="537"/>
      <c r="DUI226" s="537"/>
      <c r="DUJ226" s="537"/>
      <c r="DUK226" s="537"/>
      <c r="DUL226" s="537"/>
      <c r="DUM226" s="537"/>
      <c r="DUN226" s="537"/>
      <c r="DUO226" s="537"/>
      <c r="DUP226" s="537"/>
      <c r="DUQ226" s="537"/>
      <c r="DUR226" s="537"/>
      <c r="DUS226" s="537"/>
      <c r="DUT226" s="537"/>
      <c r="DUU226" s="537"/>
      <c r="DUV226" s="537"/>
      <c r="DUW226" s="537"/>
      <c r="DUX226" s="537"/>
      <c r="DUY226" s="537"/>
      <c r="DUZ226" s="537"/>
      <c r="DVA226" s="537"/>
      <c r="DVB226" s="537"/>
      <c r="DVC226" s="537"/>
      <c r="DVD226" s="537"/>
      <c r="DVE226" s="537"/>
      <c r="DVF226" s="537"/>
      <c r="DVG226" s="537"/>
      <c r="DVH226" s="537"/>
      <c r="DVI226" s="537"/>
      <c r="DVJ226" s="537"/>
      <c r="DVK226" s="537"/>
      <c r="DVL226" s="537"/>
      <c r="DVM226" s="537"/>
      <c r="DVN226" s="537"/>
      <c r="DVO226" s="537"/>
      <c r="DVP226" s="537"/>
      <c r="DVQ226" s="537"/>
      <c r="DVR226" s="537"/>
      <c r="DVS226" s="537"/>
      <c r="DVT226" s="537"/>
      <c r="DVU226" s="537"/>
      <c r="DVV226" s="537"/>
      <c r="DVW226" s="537"/>
      <c r="DVX226" s="537"/>
      <c r="DVY226" s="537"/>
      <c r="DVZ226" s="537"/>
      <c r="DWA226" s="537"/>
      <c r="DWB226" s="537"/>
      <c r="DWC226" s="537"/>
      <c r="DWD226" s="537"/>
      <c r="DWE226" s="537"/>
      <c r="DWF226" s="537"/>
      <c r="DWG226" s="537"/>
      <c r="DWH226" s="537"/>
      <c r="DWI226" s="537"/>
      <c r="DWJ226" s="537"/>
      <c r="DWK226" s="537"/>
      <c r="DWL226" s="537"/>
      <c r="DWM226" s="537"/>
      <c r="DWN226" s="537"/>
      <c r="DWO226" s="537"/>
      <c r="DWP226" s="537"/>
      <c r="DWQ226" s="537"/>
      <c r="DWR226" s="537"/>
      <c r="DWS226" s="537"/>
      <c r="DWT226" s="537"/>
      <c r="DWU226" s="537"/>
      <c r="DWV226" s="537"/>
      <c r="DWW226" s="537"/>
      <c r="DWX226" s="537"/>
      <c r="DWY226" s="537"/>
      <c r="DWZ226" s="537"/>
      <c r="DXA226" s="537"/>
      <c r="DXB226" s="537"/>
      <c r="DXC226" s="537"/>
      <c r="DXD226" s="537"/>
      <c r="DXE226" s="537"/>
      <c r="DXF226" s="537"/>
      <c r="DXG226" s="537"/>
      <c r="DXH226" s="537"/>
      <c r="DXI226" s="537"/>
      <c r="DXJ226" s="537"/>
      <c r="DXK226" s="537"/>
      <c r="DXL226" s="537"/>
      <c r="DXM226" s="537"/>
      <c r="DXN226" s="537"/>
      <c r="DXO226" s="537"/>
      <c r="DXP226" s="537"/>
      <c r="DXQ226" s="537"/>
      <c r="DXR226" s="537"/>
      <c r="DXS226" s="537"/>
      <c r="DXT226" s="537"/>
      <c r="DXU226" s="537"/>
      <c r="DXV226" s="537"/>
      <c r="DXW226" s="537"/>
      <c r="DXX226" s="537"/>
      <c r="DXY226" s="537"/>
      <c r="DXZ226" s="537"/>
      <c r="DYA226" s="537"/>
      <c r="DYB226" s="537"/>
      <c r="DYC226" s="537"/>
      <c r="DYD226" s="537"/>
      <c r="DYE226" s="537"/>
      <c r="DYF226" s="537"/>
      <c r="DYG226" s="537"/>
      <c r="DYH226" s="537"/>
      <c r="DYI226" s="537"/>
      <c r="DYJ226" s="537"/>
      <c r="DYK226" s="537"/>
      <c r="DYL226" s="537"/>
      <c r="DYM226" s="537"/>
      <c r="DYN226" s="537"/>
      <c r="DYO226" s="537"/>
      <c r="DYP226" s="537"/>
      <c r="DYQ226" s="537"/>
      <c r="DYR226" s="537"/>
      <c r="DYS226" s="537"/>
      <c r="DYT226" s="537"/>
      <c r="DYU226" s="537"/>
      <c r="DYV226" s="537"/>
      <c r="DYW226" s="537"/>
      <c r="DYX226" s="537"/>
      <c r="DYY226" s="537"/>
      <c r="DYZ226" s="537"/>
      <c r="DZA226" s="537"/>
      <c r="DZB226" s="537"/>
      <c r="DZC226" s="537"/>
      <c r="DZD226" s="537"/>
      <c r="DZE226" s="537"/>
      <c r="DZF226" s="537"/>
      <c r="DZG226" s="537"/>
      <c r="DZH226" s="537"/>
      <c r="DZI226" s="537"/>
      <c r="DZJ226" s="537"/>
      <c r="DZK226" s="537"/>
      <c r="DZL226" s="537"/>
      <c r="DZM226" s="537"/>
      <c r="DZN226" s="537"/>
      <c r="DZO226" s="537"/>
      <c r="DZP226" s="537"/>
      <c r="DZQ226" s="537"/>
      <c r="DZR226" s="537"/>
      <c r="DZS226" s="537"/>
      <c r="DZT226" s="537"/>
      <c r="DZU226" s="537"/>
      <c r="DZV226" s="537"/>
      <c r="DZW226" s="537"/>
      <c r="DZX226" s="537"/>
      <c r="DZY226" s="537"/>
      <c r="DZZ226" s="537"/>
      <c r="EAA226" s="537"/>
      <c r="EAB226" s="537"/>
      <c r="EAC226" s="537"/>
      <c r="EAD226" s="537"/>
      <c r="EAE226" s="537"/>
      <c r="EAF226" s="537"/>
      <c r="EAG226" s="537"/>
      <c r="EAH226" s="537"/>
      <c r="EAI226" s="537"/>
      <c r="EAJ226" s="537"/>
      <c r="EAK226" s="537"/>
      <c r="EAL226" s="537"/>
      <c r="EAM226" s="537"/>
      <c r="EAN226" s="537"/>
      <c r="EAO226" s="537"/>
      <c r="EAP226" s="537"/>
      <c r="EAQ226" s="537"/>
      <c r="EAR226" s="537"/>
      <c r="EAS226" s="537"/>
      <c r="EAT226" s="537"/>
      <c r="EAU226" s="537"/>
      <c r="EAV226" s="537"/>
      <c r="EAW226" s="537"/>
      <c r="EAX226" s="537"/>
      <c r="EAY226" s="537"/>
      <c r="EAZ226" s="537"/>
      <c r="EBA226" s="537"/>
      <c r="EBB226" s="537"/>
      <c r="EBC226" s="537"/>
      <c r="EBD226" s="537"/>
      <c r="EBE226" s="537"/>
      <c r="EBF226" s="537"/>
      <c r="EBG226" s="537"/>
      <c r="EBH226" s="537"/>
      <c r="EBI226" s="537"/>
      <c r="EBJ226" s="537"/>
      <c r="EBK226" s="537"/>
      <c r="EBL226" s="537"/>
      <c r="EBM226" s="537"/>
      <c r="EBN226" s="537"/>
      <c r="EBO226" s="537"/>
      <c r="EBP226" s="537"/>
      <c r="EBQ226" s="537"/>
      <c r="EBR226" s="537"/>
      <c r="EBS226" s="537"/>
      <c r="EBT226" s="537"/>
      <c r="EBU226" s="537"/>
      <c r="EBV226" s="537"/>
      <c r="EBW226" s="537"/>
      <c r="EBX226" s="537"/>
      <c r="EBY226" s="537"/>
      <c r="EBZ226" s="537"/>
      <c r="ECA226" s="537"/>
      <c r="ECB226" s="537"/>
      <c r="ECC226" s="537"/>
      <c r="ECD226" s="537"/>
      <c r="ECE226" s="537"/>
      <c r="ECF226" s="537"/>
      <c r="ECG226" s="537"/>
      <c r="ECH226" s="537"/>
      <c r="ECI226" s="537"/>
      <c r="ECJ226" s="537"/>
      <c r="ECK226" s="537"/>
      <c r="ECL226" s="537"/>
      <c r="ECM226" s="537"/>
      <c r="ECN226" s="537"/>
      <c r="ECO226" s="537"/>
      <c r="ECP226" s="537"/>
      <c r="ECQ226" s="537"/>
      <c r="ECR226" s="537"/>
      <c r="ECS226" s="537"/>
      <c r="ECT226" s="537"/>
      <c r="ECU226" s="537"/>
      <c r="ECV226" s="537"/>
      <c r="ECW226" s="537"/>
      <c r="ECX226" s="537"/>
      <c r="ECY226" s="537"/>
      <c r="ECZ226" s="537"/>
      <c r="EDA226" s="537"/>
      <c r="EDB226" s="537"/>
      <c r="EDC226" s="537"/>
      <c r="EDD226" s="537"/>
      <c r="EDE226" s="537"/>
      <c r="EDF226" s="537"/>
      <c r="EDG226" s="537"/>
      <c r="EDH226" s="537"/>
      <c r="EDI226" s="537"/>
      <c r="EDJ226" s="537"/>
      <c r="EDK226" s="537"/>
      <c r="EDL226" s="537"/>
      <c r="EDM226" s="537"/>
      <c r="EDN226" s="537"/>
      <c r="EDO226" s="537"/>
      <c r="EDP226" s="537"/>
      <c r="EDQ226" s="537"/>
      <c r="EDR226" s="537"/>
      <c r="EDS226" s="537"/>
      <c r="EDT226" s="537"/>
      <c r="EDU226" s="537"/>
      <c r="EDV226" s="537"/>
      <c r="EDW226" s="537"/>
      <c r="EDX226" s="537"/>
      <c r="EDY226" s="537"/>
      <c r="EDZ226" s="537"/>
      <c r="EEA226" s="537"/>
      <c r="EEB226" s="537"/>
      <c r="EEC226" s="537"/>
      <c r="EED226" s="537"/>
      <c r="EEE226" s="537"/>
      <c r="EEF226" s="537"/>
      <c r="EEG226" s="537"/>
      <c r="EEH226" s="537"/>
      <c r="EEI226" s="537"/>
      <c r="EEJ226" s="537"/>
      <c r="EEK226" s="537"/>
      <c r="EEL226" s="537"/>
      <c r="EEM226" s="537"/>
      <c r="EEN226" s="537"/>
      <c r="EEO226" s="537"/>
      <c r="EEP226" s="537"/>
      <c r="EEQ226" s="537"/>
      <c r="EER226" s="537"/>
      <c r="EES226" s="537"/>
      <c r="EET226" s="537"/>
      <c r="EEU226" s="537"/>
      <c r="EEV226" s="537"/>
      <c r="EEW226" s="537"/>
      <c r="EEX226" s="537"/>
      <c r="EEY226" s="537"/>
      <c r="EEZ226" s="537"/>
      <c r="EFA226" s="537"/>
      <c r="EFB226" s="537"/>
      <c r="EFC226" s="537"/>
      <c r="EFD226" s="537"/>
      <c r="EFE226" s="537"/>
      <c r="EFF226" s="537"/>
      <c r="EFG226" s="537"/>
      <c r="EFH226" s="537"/>
      <c r="EFI226" s="537"/>
      <c r="EFJ226" s="537"/>
      <c r="EFK226" s="537"/>
      <c r="EFL226" s="537"/>
      <c r="EFM226" s="537"/>
      <c r="EFN226" s="537"/>
      <c r="EFO226" s="537"/>
      <c r="EFP226" s="537"/>
      <c r="EFQ226" s="537"/>
      <c r="EFR226" s="537"/>
      <c r="EFS226" s="537"/>
      <c r="EFT226" s="537"/>
      <c r="EFU226" s="537"/>
      <c r="EFV226" s="537"/>
      <c r="EFW226" s="537"/>
      <c r="EFX226" s="537"/>
      <c r="EFY226" s="537"/>
      <c r="EFZ226" s="537"/>
      <c r="EGA226" s="537"/>
      <c r="EGB226" s="537"/>
      <c r="EGC226" s="537"/>
      <c r="EGD226" s="537"/>
      <c r="EGE226" s="537"/>
      <c r="EGF226" s="537"/>
      <c r="EGG226" s="537"/>
      <c r="EGH226" s="537"/>
      <c r="EGI226" s="537"/>
      <c r="EGJ226" s="537"/>
      <c r="EGK226" s="537"/>
      <c r="EGL226" s="537"/>
      <c r="EGM226" s="537"/>
      <c r="EGN226" s="537"/>
      <c r="EGO226" s="537"/>
      <c r="EGP226" s="537"/>
      <c r="EGQ226" s="537"/>
      <c r="EGR226" s="537"/>
      <c r="EGS226" s="537"/>
      <c r="EGT226" s="537"/>
      <c r="EGU226" s="537"/>
      <c r="EGV226" s="537"/>
      <c r="EGW226" s="537"/>
      <c r="EGX226" s="537"/>
      <c r="EGY226" s="537"/>
      <c r="EGZ226" s="537"/>
      <c r="EHA226" s="537"/>
      <c r="EHB226" s="537"/>
      <c r="EHC226" s="537"/>
      <c r="EHD226" s="537"/>
      <c r="EHE226" s="537"/>
      <c r="EHF226" s="537"/>
      <c r="EHG226" s="537"/>
      <c r="EHH226" s="537"/>
      <c r="EHI226" s="537"/>
      <c r="EHJ226" s="537"/>
      <c r="EHK226" s="537"/>
      <c r="EHL226" s="537"/>
      <c r="EHM226" s="537"/>
      <c r="EHN226" s="537"/>
      <c r="EHO226" s="537"/>
      <c r="EHP226" s="537"/>
      <c r="EHQ226" s="537"/>
      <c r="EHR226" s="537"/>
      <c r="EHS226" s="537"/>
      <c r="EHT226" s="537"/>
      <c r="EHU226" s="537"/>
      <c r="EHV226" s="537"/>
      <c r="EHW226" s="537"/>
      <c r="EHX226" s="537"/>
      <c r="EHY226" s="537"/>
      <c r="EHZ226" s="537"/>
      <c r="EIA226" s="537"/>
      <c r="EIB226" s="537"/>
      <c r="EIC226" s="537"/>
      <c r="EID226" s="537"/>
      <c r="EIE226" s="537"/>
      <c r="EIF226" s="537"/>
      <c r="EIG226" s="537"/>
      <c r="EIH226" s="537"/>
      <c r="EII226" s="537"/>
      <c r="EIJ226" s="537"/>
      <c r="EIK226" s="537"/>
      <c r="EIL226" s="537"/>
      <c r="EIM226" s="537"/>
      <c r="EIN226" s="537"/>
      <c r="EIO226" s="537"/>
      <c r="EIP226" s="537"/>
      <c r="EIQ226" s="537"/>
      <c r="EIR226" s="537"/>
      <c r="EIS226" s="537"/>
      <c r="EIT226" s="537"/>
      <c r="EIU226" s="537"/>
      <c r="EIV226" s="537"/>
      <c r="EIW226" s="537"/>
      <c r="EIX226" s="537"/>
      <c r="EIY226" s="537"/>
      <c r="EIZ226" s="537"/>
      <c r="EJA226" s="537"/>
      <c r="EJB226" s="537"/>
      <c r="EJC226" s="537"/>
      <c r="EJD226" s="537"/>
      <c r="EJE226" s="537"/>
      <c r="EJF226" s="537"/>
      <c r="EJG226" s="537"/>
      <c r="EJH226" s="537"/>
      <c r="EJI226" s="537"/>
      <c r="EJJ226" s="537"/>
      <c r="EJK226" s="537"/>
      <c r="EJL226" s="537"/>
      <c r="EJM226" s="537"/>
      <c r="EJN226" s="537"/>
      <c r="EJO226" s="537"/>
      <c r="EJP226" s="537"/>
      <c r="EJQ226" s="537"/>
      <c r="EJR226" s="537"/>
      <c r="EJS226" s="537"/>
      <c r="EJT226" s="537"/>
      <c r="EJU226" s="537"/>
      <c r="EJV226" s="537"/>
      <c r="EJW226" s="537"/>
      <c r="EJX226" s="537"/>
      <c r="EJY226" s="537"/>
      <c r="EJZ226" s="537"/>
      <c r="EKA226" s="537"/>
      <c r="EKB226" s="537"/>
      <c r="EKC226" s="537"/>
      <c r="EKD226" s="537"/>
      <c r="EKE226" s="537"/>
      <c r="EKF226" s="537"/>
      <c r="EKG226" s="537"/>
      <c r="EKH226" s="537"/>
      <c r="EKI226" s="537"/>
      <c r="EKJ226" s="537"/>
      <c r="EKK226" s="537"/>
      <c r="EKL226" s="537"/>
      <c r="EKM226" s="537"/>
      <c r="EKN226" s="537"/>
      <c r="EKO226" s="537"/>
      <c r="EKP226" s="537"/>
      <c r="EKQ226" s="537"/>
      <c r="EKR226" s="537"/>
      <c r="EKS226" s="537"/>
      <c r="EKT226" s="537"/>
      <c r="EKU226" s="537"/>
      <c r="EKV226" s="537"/>
      <c r="EKW226" s="537"/>
      <c r="EKX226" s="537"/>
      <c r="EKY226" s="537"/>
      <c r="EKZ226" s="537"/>
      <c r="ELA226" s="537"/>
      <c r="ELB226" s="537"/>
      <c r="ELC226" s="537"/>
      <c r="ELD226" s="537"/>
      <c r="ELE226" s="537"/>
      <c r="ELF226" s="537"/>
      <c r="ELG226" s="537"/>
      <c r="ELH226" s="537"/>
      <c r="ELI226" s="537"/>
      <c r="ELJ226" s="537"/>
      <c r="ELK226" s="537"/>
      <c r="ELL226" s="537"/>
      <c r="ELM226" s="537"/>
      <c r="ELN226" s="537"/>
      <c r="ELO226" s="537"/>
      <c r="ELP226" s="537"/>
      <c r="ELQ226" s="537"/>
      <c r="ELR226" s="537"/>
      <c r="ELS226" s="537"/>
      <c r="ELT226" s="537"/>
      <c r="ELU226" s="537"/>
      <c r="ELV226" s="537"/>
      <c r="ELW226" s="537"/>
      <c r="ELX226" s="537"/>
      <c r="ELY226" s="537"/>
      <c r="ELZ226" s="537"/>
      <c r="EMA226" s="537"/>
      <c r="EMB226" s="537"/>
      <c r="EMC226" s="537"/>
      <c r="EMD226" s="537"/>
      <c r="EME226" s="537"/>
      <c r="EMF226" s="537"/>
      <c r="EMG226" s="537"/>
      <c r="EMH226" s="537"/>
      <c r="EMI226" s="537"/>
      <c r="EMJ226" s="537"/>
      <c r="EMK226" s="537"/>
      <c r="EML226" s="537"/>
      <c r="EMM226" s="537"/>
      <c r="EMN226" s="537"/>
      <c r="EMO226" s="537"/>
      <c r="EMP226" s="537"/>
      <c r="EMQ226" s="537"/>
      <c r="EMR226" s="537"/>
      <c r="EMS226" s="537"/>
      <c r="EMT226" s="537"/>
      <c r="EMU226" s="537"/>
      <c r="EMV226" s="537"/>
      <c r="EMW226" s="537"/>
      <c r="EMX226" s="537"/>
      <c r="EMY226" s="537"/>
      <c r="EMZ226" s="537"/>
      <c r="ENA226" s="537"/>
      <c r="ENB226" s="537"/>
      <c r="ENC226" s="537"/>
      <c r="END226" s="537"/>
      <c r="ENE226" s="537"/>
      <c r="ENF226" s="537"/>
      <c r="ENG226" s="537"/>
      <c r="ENH226" s="537"/>
      <c r="ENI226" s="537"/>
      <c r="ENJ226" s="537"/>
      <c r="ENK226" s="537"/>
      <c r="ENL226" s="537"/>
      <c r="ENM226" s="537"/>
      <c r="ENN226" s="537"/>
      <c r="ENO226" s="537"/>
      <c r="ENP226" s="537"/>
      <c r="ENQ226" s="537"/>
      <c r="ENR226" s="537"/>
      <c r="ENS226" s="537"/>
      <c r="ENT226" s="537"/>
      <c r="ENU226" s="537"/>
      <c r="ENV226" s="537"/>
      <c r="ENW226" s="537"/>
      <c r="ENX226" s="537"/>
      <c r="ENY226" s="537"/>
      <c r="ENZ226" s="537"/>
      <c r="EOA226" s="537"/>
      <c r="EOB226" s="537"/>
      <c r="EOC226" s="537"/>
      <c r="EOD226" s="537"/>
      <c r="EOE226" s="537"/>
      <c r="EOF226" s="537"/>
      <c r="EOG226" s="537"/>
      <c r="EOH226" s="537"/>
      <c r="EOI226" s="537"/>
      <c r="EOJ226" s="537"/>
      <c r="EOK226" s="537"/>
      <c r="EOL226" s="537"/>
      <c r="EOM226" s="537"/>
      <c r="EON226" s="537"/>
      <c r="EOO226" s="537"/>
      <c r="EOP226" s="537"/>
      <c r="EOQ226" s="537"/>
      <c r="EOR226" s="537"/>
      <c r="EOS226" s="537"/>
      <c r="EOT226" s="537"/>
      <c r="EOU226" s="537"/>
      <c r="EOV226" s="537"/>
      <c r="EOW226" s="537"/>
      <c r="EOX226" s="537"/>
      <c r="EOY226" s="537"/>
      <c r="EOZ226" s="537"/>
      <c r="EPA226" s="537"/>
      <c r="EPB226" s="537"/>
      <c r="EPC226" s="537"/>
      <c r="EPD226" s="537"/>
      <c r="EPE226" s="537"/>
      <c r="EPF226" s="537"/>
      <c r="EPG226" s="537"/>
      <c r="EPH226" s="537"/>
      <c r="EPI226" s="537"/>
      <c r="EPJ226" s="537"/>
      <c r="EPK226" s="537"/>
      <c r="EPL226" s="537"/>
      <c r="EPM226" s="537"/>
      <c r="EPN226" s="537"/>
      <c r="EPO226" s="537"/>
      <c r="EPP226" s="537"/>
      <c r="EPQ226" s="537"/>
      <c r="EPR226" s="537"/>
      <c r="EPS226" s="537"/>
      <c r="EPT226" s="537"/>
      <c r="EPU226" s="537"/>
      <c r="EPV226" s="537"/>
      <c r="EPW226" s="537"/>
      <c r="EPX226" s="537"/>
      <c r="EPY226" s="537"/>
      <c r="EPZ226" s="537"/>
      <c r="EQA226" s="537"/>
      <c r="EQB226" s="537"/>
      <c r="EQC226" s="537"/>
      <c r="EQD226" s="537"/>
      <c r="EQE226" s="537"/>
      <c r="EQF226" s="537"/>
      <c r="EQG226" s="537"/>
      <c r="EQH226" s="537"/>
      <c r="EQI226" s="537"/>
      <c r="EQJ226" s="537"/>
      <c r="EQK226" s="537"/>
      <c r="EQL226" s="537"/>
      <c r="EQM226" s="537"/>
      <c r="EQN226" s="537"/>
      <c r="EQO226" s="537"/>
      <c r="EQP226" s="537"/>
      <c r="EQQ226" s="537"/>
      <c r="EQR226" s="537"/>
      <c r="EQS226" s="537"/>
      <c r="EQT226" s="537"/>
      <c r="EQU226" s="537"/>
      <c r="EQV226" s="537"/>
      <c r="EQW226" s="537"/>
      <c r="EQX226" s="537"/>
      <c r="EQY226" s="537"/>
      <c r="EQZ226" s="537"/>
      <c r="ERA226" s="537"/>
      <c r="ERB226" s="537"/>
      <c r="ERC226" s="537"/>
      <c r="ERD226" s="537"/>
      <c r="ERE226" s="537"/>
      <c r="ERF226" s="537"/>
      <c r="ERG226" s="537"/>
      <c r="ERH226" s="537"/>
      <c r="ERI226" s="537"/>
      <c r="ERJ226" s="537"/>
      <c r="ERK226" s="537"/>
      <c r="ERL226" s="537"/>
      <c r="ERM226" s="537"/>
      <c r="ERN226" s="537"/>
      <c r="ERO226" s="537"/>
      <c r="ERP226" s="537"/>
      <c r="ERQ226" s="537"/>
      <c r="ERR226" s="537"/>
      <c r="ERS226" s="537"/>
      <c r="ERT226" s="537"/>
      <c r="ERU226" s="537"/>
      <c r="ERV226" s="537"/>
      <c r="ERW226" s="537"/>
      <c r="ERX226" s="537"/>
      <c r="ERY226" s="537"/>
      <c r="ERZ226" s="537"/>
      <c r="ESA226" s="537"/>
      <c r="ESB226" s="537"/>
      <c r="ESC226" s="537"/>
      <c r="ESD226" s="537"/>
      <c r="ESE226" s="537"/>
      <c r="ESF226" s="537"/>
      <c r="ESG226" s="537"/>
      <c r="ESH226" s="537"/>
      <c r="ESI226" s="537"/>
      <c r="ESJ226" s="537"/>
      <c r="ESK226" s="537"/>
      <c r="ESL226" s="537"/>
      <c r="ESM226" s="537"/>
      <c r="ESN226" s="537"/>
      <c r="ESO226" s="537"/>
      <c r="ESP226" s="537"/>
      <c r="ESQ226" s="537"/>
      <c r="ESR226" s="537"/>
      <c r="ESS226" s="537"/>
      <c r="EST226" s="537"/>
      <c r="ESU226" s="537"/>
      <c r="ESV226" s="537"/>
      <c r="ESW226" s="537"/>
      <c r="ESX226" s="537"/>
      <c r="ESY226" s="537"/>
      <c r="ESZ226" s="537"/>
      <c r="ETA226" s="537"/>
      <c r="ETB226" s="537"/>
      <c r="ETC226" s="537"/>
      <c r="ETD226" s="537"/>
      <c r="ETE226" s="537"/>
      <c r="ETF226" s="537"/>
      <c r="ETG226" s="537"/>
      <c r="ETH226" s="537"/>
      <c r="ETI226" s="537"/>
      <c r="ETJ226" s="537"/>
      <c r="ETK226" s="537"/>
      <c r="ETL226" s="537"/>
      <c r="ETM226" s="537"/>
      <c r="ETN226" s="537"/>
      <c r="ETO226" s="537"/>
      <c r="ETP226" s="537"/>
      <c r="ETQ226" s="537"/>
      <c r="ETR226" s="537"/>
      <c r="ETS226" s="537"/>
      <c r="ETT226" s="537"/>
      <c r="ETU226" s="537"/>
      <c r="ETV226" s="537"/>
      <c r="ETW226" s="537"/>
      <c r="ETX226" s="537"/>
      <c r="ETY226" s="537"/>
      <c r="ETZ226" s="537"/>
      <c r="EUA226" s="537"/>
      <c r="EUB226" s="537"/>
      <c r="EUC226" s="537"/>
      <c r="EUD226" s="537"/>
      <c r="EUE226" s="537"/>
      <c r="EUF226" s="537"/>
      <c r="EUG226" s="537"/>
      <c r="EUH226" s="537"/>
      <c r="EUI226" s="537"/>
      <c r="EUJ226" s="537"/>
      <c r="EUK226" s="537"/>
      <c r="EUL226" s="537"/>
      <c r="EUM226" s="537"/>
      <c r="EUN226" s="537"/>
      <c r="EUO226" s="537"/>
      <c r="EUP226" s="537"/>
      <c r="EUQ226" s="537"/>
      <c r="EUR226" s="537"/>
      <c r="EUS226" s="537"/>
      <c r="EUT226" s="537"/>
      <c r="EUU226" s="537"/>
      <c r="EUV226" s="537"/>
      <c r="EUW226" s="537"/>
      <c r="EUX226" s="537"/>
      <c r="EUY226" s="537"/>
      <c r="EUZ226" s="537"/>
      <c r="EVA226" s="537"/>
      <c r="EVB226" s="537"/>
      <c r="EVC226" s="537"/>
      <c r="EVD226" s="537"/>
      <c r="EVE226" s="537"/>
      <c r="EVF226" s="537"/>
      <c r="EVG226" s="537"/>
      <c r="EVH226" s="537"/>
      <c r="EVI226" s="537"/>
      <c r="EVJ226" s="537"/>
      <c r="EVK226" s="537"/>
      <c r="EVL226" s="537"/>
      <c r="EVM226" s="537"/>
      <c r="EVN226" s="537"/>
      <c r="EVO226" s="537"/>
      <c r="EVP226" s="537"/>
      <c r="EVQ226" s="537"/>
      <c r="EVR226" s="537"/>
      <c r="EVS226" s="537"/>
      <c r="EVT226" s="537"/>
      <c r="EVU226" s="537"/>
      <c r="EVV226" s="537"/>
      <c r="EVW226" s="537"/>
      <c r="EVX226" s="537"/>
      <c r="EVY226" s="537"/>
      <c r="EVZ226" s="537"/>
      <c r="EWA226" s="537"/>
      <c r="EWB226" s="537"/>
      <c r="EWC226" s="537"/>
      <c r="EWD226" s="537"/>
      <c r="EWE226" s="537"/>
      <c r="EWF226" s="537"/>
      <c r="EWG226" s="537"/>
      <c r="EWH226" s="537"/>
      <c r="EWI226" s="537"/>
      <c r="EWJ226" s="537"/>
      <c r="EWK226" s="537"/>
      <c r="EWL226" s="537"/>
      <c r="EWM226" s="537"/>
      <c r="EWN226" s="537"/>
      <c r="EWO226" s="537"/>
      <c r="EWP226" s="537"/>
      <c r="EWQ226" s="537"/>
      <c r="EWR226" s="537"/>
      <c r="EWS226" s="537"/>
      <c r="EWT226" s="537"/>
      <c r="EWU226" s="537"/>
      <c r="EWV226" s="537"/>
      <c r="EWW226" s="537"/>
      <c r="EWX226" s="537"/>
      <c r="EWY226" s="537"/>
      <c r="EWZ226" s="537"/>
      <c r="EXA226" s="537"/>
      <c r="EXB226" s="537"/>
      <c r="EXC226" s="537"/>
      <c r="EXD226" s="537"/>
      <c r="EXE226" s="537"/>
      <c r="EXF226" s="537"/>
      <c r="EXG226" s="537"/>
      <c r="EXH226" s="537"/>
      <c r="EXI226" s="537"/>
      <c r="EXJ226" s="537"/>
      <c r="EXK226" s="537"/>
      <c r="EXL226" s="537"/>
      <c r="EXM226" s="537"/>
      <c r="EXN226" s="537"/>
      <c r="EXO226" s="537"/>
      <c r="EXP226" s="537"/>
      <c r="EXQ226" s="537"/>
      <c r="EXR226" s="537"/>
      <c r="EXS226" s="537"/>
      <c r="EXT226" s="537"/>
      <c r="EXU226" s="537"/>
      <c r="EXV226" s="537"/>
      <c r="EXW226" s="537"/>
      <c r="EXX226" s="537"/>
      <c r="EXY226" s="537"/>
      <c r="EXZ226" s="537"/>
      <c r="EYA226" s="537"/>
      <c r="EYB226" s="537"/>
      <c r="EYC226" s="537"/>
      <c r="EYD226" s="537"/>
      <c r="EYE226" s="537"/>
      <c r="EYF226" s="537"/>
      <c r="EYG226" s="537"/>
      <c r="EYH226" s="537"/>
      <c r="EYI226" s="537"/>
      <c r="EYJ226" s="537"/>
      <c r="EYK226" s="537"/>
      <c r="EYL226" s="537"/>
      <c r="EYM226" s="537"/>
      <c r="EYN226" s="537"/>
      <c r="EYO226" s="537"/>
      <c r="EYP226" s="537"/>
      <c r="EYQ226" s="537"/>
      <c r="EYR226" s="537"/>
      <c r="EYS226" s="537"/>
      <c r="EYT226" s="537"/>
      <c r="EYU226" s="537"/>
      <c r="EYV226" s="537"/>
      <c r="EYW226" s="537"/>
      <c r="EYX226" s="537"/>
      <c r="EYY226" s="537"/>
      <c r="EYZ226" s="537"/>
      <c r="EZA226" s="537"/>
      <c r="EZB226" s="537"/>
      <c r="EZC226" s="537"/>
      <c r="EZD226" s="537"/>
      <c r="EZE226" s="537"/>
      <c r="EZF226" s="537"/>
      <c r="EZG226" s="537"/>
      <c r="EZH226" s="537"/>
      <c r="EZI226" s="537"/>
      <c r="EZJ226" s="537"/>
      <c r="EZK226" s="537"/>
      <c r="EZL226" s="537"/>
      <c r="EZM226" s="537"/>
      <c r="EZN226" s="537"/>
      <c r="EZO226" s="537"/>
      <c r="EZP226" s="537"/>
      <c r="EZQ226" s="537"/>
      <c r="EZR226" s="537"/>
      <c r="EZS226" s="537"/>
      <c r="EZT226" s="537"/>
      <c r="EZU226" s="537"/>
      <c r="EZV226" s="537"/>
      <c r="EZW226" s="537"/>
      <c r="EZX226" s="537"/>
      <c r="EZY226" s="537"/>
      <c r="EZZ226" s="537"/>
      <c r="FAA226" s="537"/>
      <c r="FAB226" s="537"/>
      <c r="FAC226" s="537"/>
      <c r="FAD226" s="537"/>
      <c r="FAE226" s="537"/>
      <c r="FAF226" s="537"/>
      <c r="FAG226" s="537"/>
      <c r="FAH226" s="537"/>
      <c r="FAI226" s="537"/>
      <c r="FAJ226" s="537"/>
      <c r="FAK226" s="537"/>
      <c r="FAL226" s="537"/>
      <c r="FAM226" s="537"/>
      <c r="FAN226" s="537"/>
      <c r="FAO226" s="537"/>
      <c r="FAP226" s="537"/>
      <c r="FAQ226" s="537"/>
      <c r="FAR226" s="537"/>
      <c r="FAS226" s="537"/>
      <c r="FAT226" s="537"/>
      <c r="FAU226" s="537"/>
      <c r="FAV226" s="537"/>
      <c r="FAW226" s="537"/>
      <c r="FAX226" s="537"/>
      <c r="FAY226" s="537"/>
      <c r="FAZ226" s="537"/>
      <c r="FBA226" s="537"/>
      <c r="FBB226" s="537"/>
      <c r="FBC226" s="537"/>
      <c r="FBD226" s="537"/>
      <c r="FBE226" s="537"/>
      <c r="FBF226" s="537"/>
      <c r="FBG226" s="537"/>
      <c r="FBH226" s="537"/>
      <c r="FBI226" s="537"/>
      <c r="FBJ226" s="537"/>
      <c r="FBK226" s="537"/>
      <c r="FBL226" s="537"/>
      <c r="FBM226" s="537"/>
      <c r="FBN226" s="537"/>
      <c r="FBO226" s="537"/>
      <c r="FBP226" s="537"/>
      <c r="FBQ226" s="537"/>
      <c r="FBR226" s="537"/>
      <c r="FBS226" s="537"/>
      <c r="FBT226" s="537"/>
      <c r="FBU226" s="537"/>
      <c r="FBV226" s="537"/>
      <c r="FBW226" s="537"/>
      <c r="FBX226" s="537"/>
      <c r="FBY226" s="537"/>
      <c r="FBZ226" s="537"/>
      <c r="FCA226" s="537"/>
      <c r="FCB226" s="537"/>
      <c r="FCC226" s="537"/>
      <c r="FCD226" s="537"/>
      <c r="FCE226" s="537"/>
      <c r="FCF226" s="537"/>
      <c r="FCG226" s="537"/>
      <c r="FCH226" s="537"/>
      <c r="FCI226" s="537"/>
      <c r="FCJ226" s="537"/>
      <c r="FCK226" s="537"/>
      <c r="FCL226" s="537"/>
      <c r="FCM226" s="537"/>
      <c r="FCN226" s="537"/>
      <c r="FCO226" s="537"/>
      <c r="FCP226" s="537"/>
      <c r="FCQ226" s="537"/>
      <c r="FCR226" s="537"/>
      <c r="FCS226" s="537"/>
      <c r="FCT226" s="537"/>
      <c r="FCU226" s="537"/>
      <c r="FCV226" s="537"/>
      <c r="FCW226" s="537"/>
      <c r="FCX226" s="537"/>
      <c r="FCY226" s="537"/>
      <c r="FCZ226" s="537"/>
      <c r="FDA226" s="537"/>
      <c r="FDB226" s="537"/>
      <c r="FDC226" s="537"/>
      <c r="FDD226" s="537"/>
      <c r="FDE226" s="537"/>
      <c r="FDF226" s="537"/>
      <c r="FDG226" s="537"/>
      <c r="FDH226" s="537"/>
      <c r="FDI226" s="537"/>
      <c r="FDJ226" s="537"/>
      <c r="FDK226" s="537"/>
      <c r="FDL226" s="537"/>
      <c r="FDM226" s="537"/>
      <c r="FDN226" s="537"/>
      <c r="FDO226" s="537"/>
      <c r="FDP226" s="537"/>
      <c r="FDQ226" s="537"/>
      <c r="FDR226" s="537"/>
      <c r="FDS226" s="537"/>
      <c r="FDT226" s="537"/>
      <c r="FDU226" s="537"/>
      <c r="FDV226" s="537"/>
      <c r="FDW226" s="537"/>
      <c r="FDX226" s="537"/>
      <c r="FDY226" s="537"/>
      <c r="FDZ226" s="537"/>
      <c r="FEA226" s="537"/>
      <c r="FEB226" s="537"/>
      <c r="FEC226" s="537"/>
      <c r="FED226" s="537"/>
      <c r="FEE226" s="537"/>
      <c r="FEF226" s="537"/>
      <c r="FEG226" s="537"/>
      <c r="FEH226" s="537"/>
      <c r="FEI226" s="537"/>
      <c r="FEJ226" s="537"/>
      <c r="FEK226" s="537"/>
      <c r="FEL226" s="537"/>
      <c r="FEM226" s="537"/>
      <c r="FEN226" s="537"/>
      <c r="FEO226" s="537"/>
      <c r="FEP226" s="537"/>
      <c r="FEQ226" s="537"/>
      <c r="FER226" s="537"/>
      <c r="FES226" s="537"/>
      <c r="FET226" s="537"/>
      <c r="FEU226" s="537"/>
      <c r="FEV226" s="537"/>
      <c r="FEW226" s="537"/>
      <c r="FEX226" s="537"/>
      <c r="FEY226" s="537"/>
      <c r="FEZ226" s="537"/>
      <c r="FFA226" s="537"/>
      <c r="FFB226" s="537"/>
      <c r="FFC226" s="537"/>
      <c r="FFD226" s="537"/>
      <c r="FFE226" s="537"/>
      <c r="FFF226" s="537"/>
      <c r="FFG226" s="537"/>
      <c r="FFH226" s="537"/>
      <c r="FFI226" s="537"/>
      <c r="FFJ226" s="537"/>
      <c r="FFK226" s="537"/>
      <c r="FFL226" s="537"/>
      <c r="FFM226" s="537"/>
      <c r="FFN226" s="537"/>
      <c r="FFO226" s="537"/>
      <c r="FFP226" s="537"/>
      <c r="FFQ226" s="537"/>
      <c r="FFR226" s="537"/>
      <c r="FFS226" s="537"/>
      <c r="FFT226" s="537"/>
      <c r="FFU226" s="537"/>
      <c r="FFV226" s="537"/>
      <c r="FFW226" s="537"/>
      <c r="FFX226" s="537"/>
      <c r="FFY226" s="537"/>
      <c r="FFZ226" s="537"/>
      <c r="FGA226" s="537"/>
      <c r="FGB226" s="537"/>
      <c r="FGC226" s="537"/>
      <c r="FGD226" s="537"/>
      <c r="FGE226" s="537"/>
      <c r="FGF226" s="537"/>
      <c r="FGG226" s="537"/>
      <c r="FGH226" s="537"/>
      <c r="FGI226" s="537"/>
      <c r="FGJ226" s="537"/>
      <c r="FGK226" s="537"/>
      <c r="FGL226" s="537"/>
      <c r="FGM226" s="537"/>
      <c r="FGN226" s="537"/>
      <c r="FGO226" s="537"/>
      <c r="FGP226" s="537"/>
      <c r="FGQ226" s="537"/>
      <c r="FGR226" s="537"/>
      <c r="FGS226" s="537"/>
      <c r="FGT226" s="537"/>
      <c r="FGU226" s="537"/>
      <c r="FGV226" s="537"/>
      <c r="FGW226" s="537"/>
      <c r="FGX226" s="537"/>
      <c r="FGY226" s="537"/>
      <c r="FGZ226" s="537"/>
      <c r="FHA226" s="537"/>
      <c r="FHB226" s="537"/>
      <c r="FHC226" s="537"/>
      <c r="FHD226" s="537"/>
      <c r="FHE226" s="537"/>
      <c r="FHF226" s="537"/>
      <c r="FHG226" s="537"/>
      <c r="FHH226" s="537"/>
      <c r="FHI226" s="537"/>
      <c r="FHJ226" s="537"/>
      <c r="FHK226" s="537"/>
      <c r="FHL226" s="537"/>
      <c r="FHM226" s="537"/>
      <c r="FHN226" s="537"/>
      <c r="FHO226" s="537"/>
      <c r="FHP226" s="537"/>
      <c r="FHQ226" s="537"/>
      <c r="FHR226" s="537"/>
      <c r="FHS226" s="537"/>
      <c r="FHT226" s="537"/>
      <c r="FHU226" s="537"/>
      <c r="FHV226" s="537"/>
      <c r="FHW226" s="537"/>
      <c r="FHX226" s="537"/>
      <c r="FHY226" s="537"/>
      <c r="FHZ226" s="537"/>
      <c r="FIA226" s="537"/>
      <c r="FIB226" s="537"/>
      <c r="FIC226" s="537"/>
      <c r="FID226" s="537"/>
      <c r="FIE226" s="537"/>
      <c r="FIF226" s="537"/>
      <c r="FIG226" s="537"/>
      <c r="FIH226" s="537"/>
      <c r="FII226" s="537"/>
      <c r="FIJ226" s="537"/>
      <c r="FIK226" s="537"/>
      <c r="FIL226" s="537"/>
      <c r="FIM226" s="537"/>
      <c r="FIN226" s="537"/>
      <c r="FIO226" s="537"/>
      <c r="FIP226" s="537"/>
      <c r="FIQ226" s="537"/>
      <c r="FIR226" s="537"/>
      <c r="FIS226" s="537"/>
      <c r="FIT226" s="537"/>
      <c r="FIU226" s="537"/>
      <c r="FIV226" s="537"/>
      <c r="FIW226" s="537"/>
      <c r="FIX226" s="537"/>
      <c r="FIY226" s="537"/>
      <c r="FIZ226" s="537"/>
      <c r="FJA226" s="537"/>
      <c r="FJB226" s="537"/>
      <c r="FJC226" s="537"/>
      <c r="FJD226" s="537"/>
      <c r="FJE226" s="537"/>
      <c r="FJF226" s="537"/>
      <c r="FJG226" s="537"/>
      <c r="FJH226" s="537"/>
      <c r="FJI226" s="537"/>
      <c r="FJJ226" s="537"/>
      <c r="FJK226" s="537"/>
      <c r="FJL226" s="537"/>
      <c r="FJM226" s="537"/>
      <c r="FJN226" s="537"/>
      <c r="FJO226" s="537"/>
      <c r="FJP226" s="537"/>
      <c r="FJQ226" s="537"/>
      <c r="FJR226" s="537"/>
      <c r="FJS226" s="537"/>
      <c r="FJT226" s="537"/>
      <c r="FJU226" s="537"/>
      <c r="FJV226" s="537"/>
      <c r="FJW226" s="537"/>
      <c r="FJX226" s="537"/>
      <c r="FJY226" s="537"/>
      <c r="FJZ226" s="537"/>
      <c r="FKA226" s="537"/>
      <c r="FKB226" s="537"/>
      <c r="FKC226" s="537"/>
      <c r="FKD226" s="537"/>
      <c r="FKE226" s="537"/>
      <c r="FKF226" s="537"/>
      <c r="FKG226" s="537"/>
      <c r="FKH226" s="537"/>
      <c r="FKI226" s="537"/>
      <c r="FKJ226" s="537"/>
      <c r="FKK226" s="537"/>
      <c r="FKL226" s="537"/>
      <c r="FKM226" s="537"/>
      <c r="FKN226" s="537"/>
      <c r="FKO226" s="537"/>
      <c r="FKP226" s="537"/>
      <c r="FKQ226" s="537"/>
      <c r="FKR226" s="537"/>
      <c r="FKS226" s="537"/>
      <c r="FKT226" s="537"/>
      <c r="FKU226" s="537"/>
      <c r="FKV226" s="537"/>
      <c r="FKW226" s="537"/>
      <c r="FKX226" s="537"/>
      <c r="FKY226" s="537"/>
      <c r="FKZ226" s="537"/>
      <c r="FLA226" s="537"/>
      <c r="FLB226" s="537"/>
      <c r="FLC226" s="537"/>
      <c r="FLD226" s="537"/>
      <c r="FLE226" s="537"/>
      <c r="FLF226" s="537"/>
      <c r="FLG226" s="537"/>
      <c r="FLH226" s="537"/>
      <c r="FLI226" s="537"/>
      <c r="FLJ226" s="537"/>
      <c r="FLK226" s="537"/>
      <c r="FLL226" s="537"/>
      <c r="FLM226" s="537"/>
      <c r="FLN226" s="537"/>
      <c r="FLO226" s="537"/>
      <c r="FLP226" s="537"/>
      <c r="FLQ226" s="537"/>
      <c r="FLR226" s="537"/>
      <c r="FLS226" s="537"/>
      <c r="FLT226" s="537"/>
      <c r="FLU226" s="537"/>
      <c r="FLV226" s="537"/>
      <c r="FLW226" s="537"/>
      <c r="FLX226" s="537"/>
      <c r="FLY226" s="537"/>
      <c r="FLZ226" s="537"/>
      <c r="FMA226" s="537"/>
      <c r="FMB226" s="537"/>
      <c r="FMC226" s="537"/>
      <c r="FMD226" s="537"/>
      <c r="FME226" s="537"/>
      <c r="FMF226" s="537"/>
      <c r="FMG226" s="537"/>
      <c r="FMH226" s="537"/>
      <c r="FMI226" s="537"/>
      <c r="FMJ226" s="537"/>
      <c r="FMK226" s="537"/>
      <c r="FML226" s="537"/>
      <c r="FMM226" s="537"/>
      <c r="FMN226" s="537"/>
      <c r="FMO226" s="537"/>
      <c r="FMP226" s="537"/>
      <c r="FMQ226" s="537"/>
      <c r="FMR226" s="537"/>
      <c r="FMS226" s="537"/>
      <c r="FMT226" s="537"/>
      <c r="FMU226" s="537"/>
      <c r="FMV226" s="537"/>
      <c r="FMW226" s="537"/>
      <c r="FMX226" s="537"/>
      <c r="FMY226" s="537"/>
      <c r="FMZ226" s="537"/>
      <c r="FNA226" s="537"/>
      <c r="FNB226" s="537"/>
      <c r="FNC226" s="537"/>
      <c r="FND226" s="537"/>
      <c r="FNE226" s="537"/>
      <c r="FNF226" s="537"/>
      <c r="FNG226" s="537"/>
      <c r="FNH226" s="537"/>
      <c r="FNI226" s="537"/>
      <c r="FNJ226" s="537"/>
      <c r="FNK226" s="537"/>
      <c r="FNL226" s="537"/>
      <c r="FNM226" s="537"/>
      <c r="FNN226" s="537"/>
      <c r="FNO226" s="537"/>
      <c r="FNP226" s="537"/>
      <c r="FNQ226" s="537"/>
      <c r="FNR226" s="537"/>
      <c r="FNS226" s="537"/>
      <c r="FNT226" s="537"/>
      <c r="FNU226" s="537"/>
      <c r="FNV226" s="537"/>
      <c r="FNW226" s="537"/>
      <c r="FNX226" s="537"/>
      <c r="FNY226" s="537"/>
      <c r="FNZ226" s="537"/>
      <c r="FOA226" s="537"/>
      <c r="FOB226" s="537"/>
      <c r="FOC226" s="537"/>
      <c r="FOD226" s="537"/>
      <c r="FOE226" s="537"/>
      <c r="FOF226" s="537"/>
      <c r="FOG226" s="537"/>
      <c r="FOH226" s="537"/>
      <c r="FOI226" s="537"/>
      <c r="FOJ226" s="537"/>
      <c r="FOK226" s="537"/>
      <c r="FOL226" s="537"/>
      <c r="FOM226" s="537"/>
      <c r="FON226" s="537"/>
      <c r="FOO226" s="537"/>
      <c r="FOP226" s="537"/>
      <c r="FOQ226" s="537"/>
      <c r="FOR226" s="537"/>
      <c r="FOS226" s="537"/>
      <c r="FOT226" s="537"/>
      <c r="FOU226" s="537"/>
      <c r="FOV226" s="537"/>
      <c r="FOW226" s="537"/>
      <c r="FOX226" s="537"/>
      <c r="FOY226" s="537"/>
      <c r="FOZ226" s="537"/>
      <c r="FPA226" s="537"/>
      <c r="FPB226" s="537"/>
      <c r="FPC226" s="537"/>
      <c r="FPD226" s="537"/>
      <c r="FPE226" s="537"/>
      <c r="FPF226" s="537"/>
      <c r="FPG226" s="537"/>
      <c r="FPH226" s="537"/>
      <c r="FPI226" s="537"/>
      <c r="FPJ226" s="537"/>
      <c r="FPK226" s="537"/>
      <c r="FPL226" s="537"/>
      <c r="FPM226" s="537"/>
      <c r="FPN226" s="537"/>
      <c r="FPO226" s="537"/>
      <c r="FPP226" s="537"/>
      <c r="FPQ226" s="537"/>
      <c r="FPR226" s="537"/>
      <c r="FPS226" s="537"/>
      <c r="FPT226" s="537"/>
      <c r="FPU226" s="537"/>
      <c r="FPV226" s="537"/>
      <c r="FPW226" s="537"/>
      <c r="FPX226" s="537"/>
      <c r="FPY226" s="537"/>
      <c r="FPZ226" s="537"/>
      <c r="FQA226" s="537"/>
      <c r="FQB226" s="537"/>
      <c r="FQC226" s="537"/>
      <c r="FQD226" s="537"/>
      <c r="FQE226" s="537"/>
      <c r="FQF226" s="537"/>
      <c r="FQG226" s="537"/>
      <c r="FQH226" s="537"/>
      <c r="FQI226" s="537"/>
      <c r="FQJ226" s="537"/>
      <c r="FQK226" s="537"/>
      <c r="FQL226" s="537"/>
      <c r="FQM226" s="537"/>
      <c r="FQN226" s="537"/>
      <c r="FQO226" s="537"/>
      <c r="FQP226" s="537"/>
      <c r="FQQ226" s="537"/>
      <c r="FQR226" s="537"/>
      <c r="FQS226" s="537"/>
      <c r="FQT226" s="537"/>
      <c r="FQU226" s="537"/>
      <c r="FQV226" s="537"/>
      <c r="FQW226" s="537"/>
      <c r="FQX226" s="537"/>
      <c r="FQY226" s="537"/>
      <c r="FQZ226" s="537"/>
      <c r="FRA226" s="537"/>
      <c r="FRB226" s="537"/>
      <c r="FRC226" s="537"/>
      <c r="FRD226" s="537"/>
      <c r="FRE226" s="537"/>
      <c r="FRF226" s="537"/>
      <c r="FRG226" s="537"/>
      <c r="FRH226" s="537"/>
      <c r="FRI226" s="537"/>
      <c r="FRJ226" s="537"/>
      <c r="FRK226" s="537"/>
      <c r="FRL226" s="537"/>
      <c r="FRM226" s="537"/>
      <c r="FRN226" s="537"/>
      <c r="FRO226" s="537"/>
      <c r="FRP226" s="537"/>
      <c r="FRQ226" s="537"/>
      <c r="FRR226" s="537"/>
      <c r="FRS226" s="537"/>
      <c r="FRT226" s="537"/>
      <c r="FRU226" s="537"/>
      <c r="FRV226" s="537"/>
      <c r="FRW226" s="537"/>
      <c r="FRX226" s="537"/>
      <c r="FRY226" s="537"/>
      <c r="FRZ226" s="537"/>
      <c r="FSA226" s="537"/>
      <c r="FSB226" s="537"/>
      <c r="FSC226" s="537"/>
      <c r="FSD226" s="537"/>
      <c r="FSE226" s="537"/>
      <c r="FSF226" s="537"/>
      <c r="FSG226" s="537"/>
      <c r="FSH226" s="537"/>
      <c r="FSI226" s="537"/>
      <c r="FSJ226" s="537"/>
      <c r="FSK226" s="537"/>
      <c r="FSL226" s="537"/>
      <c r="FSM226" s="537"/>
      <c r="FSN226" s="537"/>
      <c r="FSO226" s="537"/>
      <c r="FSP226" s="537"/>
      <c r="FSQ226" s="537"/>
      <c r="FSR226" s="537"/>
      <c r="FSS226" s="537"/>
      <c r="FST226" s="537"/>
      <c r="FSU226" s="537"/>
      <c r="FSV226" s="537"/>
      <c r="FSW226" s="537"/>
      <c r="FSX226" s="537"/>
      <c r="FSY226" s="537"/>
      <c r="FSZ226" s="537"/>
      <c r="FTA226" s="537"/>
      <c r="FTB226" s="537"/>
      <c r="FTC226" s="537"/>
      <c r="FTD226" s="537"/>
      <c r="FTE226" s="537"/>
      <c r="FTF226" s="537"/>
      <c r="FTG226" s="537"/>
      <c r="FTH226" s="537"/>
      <c r="FTI226" s="537"/>
      <c r="FTJ226" s="537"/>
      <c r="FTK226" s="537"/>
      <c r="FTL226" s="537"/>
      <c r="FTM226" s="537"/>
      <c r="FTN226" s="537"/>
      <c r="FTO226" s="537"/>
      <c r="FTP226" s="537"/>
      <c r="FTQ226" s="537"/>
      <c r="FTR226" s="537"/>
      <c r="FTS226" s="537"/>
      <c r="FTT226" s="537"/>
      <c r="FTU226" s="537"/>
      <c r="FTV226" s="537"/>
      <c r="FTW226" s="537"/>
      <c r="FTX226" s="537"/>
      <c r="FTY226" s="537"/>
      <c r="FTZ226" s="537"/>
      <c r="FUA226" s="537"/>
      <c r="FUB226" s="537"/>
      <c r="FUC226" s="537"/>
      <c r="FUD226" s="537"/>
      <c r="FUE226" s="537"/>
      <c r="FUF226" s="537"/>
      <c r="FUG226" s="537"/>
      <c r="FUH226" s="537"/>
      <c r="FUI226" s="537"/>
      <c r="FUJ226" s="537"/>
      <c r="FUK226" s="537"/>
      <c r="FUL226" s="537"/>
      <c r="FUM226" s="537"/>
      <c r="FUN226" s="537"/>
      <c r="FUO226" s="537"/>
      <c r="FUP226" s="537"/>
      <c r="FUQ226" s="537"/>
      <c r="FUR226" s="537"/>
      <c r="FUS226" s="537"/>
      <c r="FUT226" s="537"/>
      <c r="FUU226" s="537"/>
      <c r="FUV226" s="537"/>
      <c r="FUW226" s="537"/>
      <c r="FUX226" s="537"/>
      <c r="FUY226" s="537"/>
      <c r="FUZ226" s="537"/>
      <c r="FVA226" s="537"/>
      <c r="FVB226" s="537"/>
      <c r="FVC226" s="537"/>
      <c r="FVD226" s="537"/>
      <c r="FVE226" s="537"/>
      <c r="FVF226" s="537"/>
      <c r="FVG226" s="537"/>
      <c r="FVH226" s="537"/>
      <c r="FVI226" s="537"/>
      <c r="FVJ226" s="537"/>
      <c r="FVK226" s="537"/>
      <c r="FVL226" s="537"/>
      <c r="FVM226" s="537"/>
      <c r="FVN226" s="537"/>
      <c r="FVO226" s="537"/>
      <c r="FVP226" s="537"/>
      <c r="FVQ226" s="537"/>
      <c r="FVR226" s="537"/>
      <c r="FVS226" s="537"/>
      <c r="FVT226" s="537"/>
      <c r="FVU226" s="537"/>
      <c r="FVV226" s="537"/>
      <c r="FVW226" s="537"/>
      <c r="FVX226" s="537"/>
      <c r="FVY226" s="537"/>
      <c r="FVZ226" s="537"/>
      <c r="FWA226" s="537"/>
      <c r="FWB226" s="537"/>
      <c r="FWC226" s="537"/>
      <c r="FWD226" s="537"/>
      <c r="FWE226" s="537"/>
      <c r="FWF226" s="537"/>
      <c r="FWG226" s="537"/>
      <c r="FWH226" s="537"/>
      <c r="FWI226" s="537"/>
      <c r="FWJ226" s="537"/>
      <c r="FWK226" s="537"/>
      <c r="FWL226" s="537"/>
      <c r="FWM226" s="537"/>
      <c r="FWN226" s="537"/>
      <c r="FWO226" s="537"/>
      <c r="FWP226" s="537"/>
      <c r="FWQ226" s="537"/>
      <c r="FWR226" s="537"/>
      <c r="FWS226" s="537"/>
      <c r="FWT226" s="537"/>
      <c r="FWU226" s="537"/>
      <c r="FWV226" s="537"/>
      <c r="FWW226" s="537"/>
      <c r="FWX226" s="537"/>
      <c r="FWY226" s="537"/>
      <c r="FWZ226" s="537"/>
      <c r="FXA226" s="537"/>
      <c r="FXB226" s="537"/>
      <c r="FXC226" s="537"/>
      <c r="FXD226" s="537"/>
      <c r="FXE226" s="537"/>
      <c r="FXF226" s="537"/>
      <c r="FXG226" s="537"/>
      <c r="FXH226" s="537"/>
      <c r="FXI226" s="537"/>
      <c r="FXJ226" s="537"/>
      <c r="FXK226" s="537"/>
      <c r="FXL226" s="537"/>
      <c r="FXM226" s="537"/>
      <c r="FXN226" s="537"/>
      <c r="FXO226" s="537"/>
      <c r="FXP226" s="537"/>
      <c r="FXQ226" s="537"/>
      <c r="FXR226" s="537"/>
      <c r="FXS226" s="537"/>
      <c r="FXT226" s="537"/>
      <c r="FXU226" s="537"/>
      <c r="FXV226" s="537"/>
      <c r="FXW226" s="537"/>
      <c r="FXX226" s="537"/>
      <c r="FXY226" s="537"/>
      <c r="FXZ226" s="537"/>
      <c r="FYA226" s="537"/>
      <c r="FYB226" s="537"/>
      <c r="FYC226" s="537"/>
      <c r="FYD226" s="537"/>
      <c r="FYE226" s="537"/>
      <c r="FYF226" s="537"/>
      <c r="FYG226" s="537"/>
      <c r="FYH226" s="537"/>
      <c r="FYI226" s="537"/>
      <c r="FYJ226" s="537"/>
      <c r="FYK226" s="537"/>
      <c r="FYL226" s="537"/>
      <c r="FYM226" s="537"/>
      <c r="FYN226" s="537"/>
      <c r="FYO226" s="537"/>
      <c r="FYP226" s="537"/>
      <c r="FYQ226" s="537"/>
      <c r="FYR226" s="537"/>
      <c r="FYS226" s="537"/>
      <c r="FYT226" s="537"/>
      <c r="FYU226" s="537"/>
      <c r="FYV226" s="537"/>
      <c r="FYW226" s="537"/>
      <c r="FYX226" s="537"/>
      <c r="FYY226" s="537"/>
      <c r="FYZ226" s="537"/>
      <c r="FZA226" s="537"/>
      <c r="FZB226" s="537"/>
      <c r="FZC226" s="537"/>
      <c r="FZD226" s="537"/>
      <c r="FZE226" s="537"/>
      <c r="FZF226" s="537"/>
      <c r="FZG226" s="537"/>
      <c r="FZH226" s="537"/>
      <c r="FZI226" s="537"/>
      <c r="FZJ226" s="537"/>
      <c r="FZK226" s="537"/>
      <c r="FZL226" s="537"/>
      <c r="FZM226" s="537"/>
      <c r="FZN226" s="537"/>
      <c r="FZO226" s="537"/>
      <c r="FZP226" s="537"/>
      <c r="FZQ226" s="537"/>
      <c r="FZR226" s="537"/>
      <c r="FZS226" s="537"/>
      <c r="FZT226" s="537"/>
      <c r="FZU226" s="537"/>
      <c r="FZV226" s="537"/>
      <c r="FZW226" s="537"/>
      <c r="FZX226" s="537"/>
      <c r="FZY226" s="537"/>
      <c r="FZZ226" s="537"/>
      <c r="GAA226" s="537"/>
      <c r="GAB226" s="537"/>
      <c r="GAC226" s="537"/>
      <c r="GAD226" s="537"/>
      <c r="GAE226" s="537"/>
      <c r="GAF226" s="537"/>
      <c r="GAG226" s="537"/>
      <c r="GAH226" s="537"/>
      <c r="GAI226" s="537"/>
      <c r="GAJ226" s="537"/>
      <c r="GAK226" s="537"/>
      <c r="GAL226" s="537"/>
      <c r="GAM226" s="537"/>
      <c r="GAN226" s="537"/>
      <c r="GAO226" s="537"/>
      <c r="GAP226" s="537"/>
      <c r="GAQ226" s="537"/>
      <c r="GAR226" s="537"/>
      <c r="GAS226" s="537"/>
      <c r="GAT226" s="537"/>
      <c r="GAU226" s="537"/>
      <c r="GAV226" s="537"/>
      <c r="GAW226" s="537"/>
      <c r="GAX226" s="537"/>
      <c r="GAY226" s="537"/>
      <c r="GAZ226" s="537"/>
      <c r="GBA226" s="537"/>
      <c r="GBB226" s="537"/>
      <c r="GBC226" s="537"/>
      <c r="GBD226" s="537"/>
      <c r="GBE226" s="537"/>
      <c r="GBF226" s="537"/>
      <c r="GBG226" s="537"/>
      <c r="GBH226" s="537"/>
      <c r="GBI226" s="537"/>
      <c r="GBJ226" s="537"/>
      <c r="GBK226" s="537"/>
      <c r="GBL226" s="537"/>
      <c r="GBM226" s="537"/>
      <c r="GBN226" s="537"/>
      <c r="GBO226" s="537"/>
      <c r="GBP226" s="537"/>
      <c r="GBQ226" s="537"/>
      <c r="GBR226" s="537"/>
      <c r="GBS226" s="537"/>
      <c r="GBT226" s="537"/>
      <c r="GBU226" s="537"/>
      <c r="GBV226" s="537"/>
      <c r="GBW226" s="537"/>
      <c r="GBX226" s="537"/>
      <c r="GBY226" s="537"/>
      <c r="GBZ226" s="537"/>
      <c r="GCA226" s="537"/>
      <c r="GCB226" s="537"/>
      <c r="GCC226" s="537"/>
      <c r="GCD226" s="537"/>
      <c r="GCE226" s="537"/>
      <c r="GCF226" s="537"/>
      <c r="GCG226" s="537"/>
      <c r="GCH226" s="537"/>
      <c r="GCI226" s="537"/>
      <c r="GCJ226" s="537"/>
      <c r="GCK226" s="537"/>
      <c r="GCL226" s="537"/>
      <c r="GCM226" s="537"/>
      <c r="GCN226" s="537"/>
      <c r="GCO226" s="537"/>
      <c r="GCP226" s="537"/>
      <c r="GCQ226" s="537"/>
      <c r="GCR226" s="537"/>
      <c r="GCS226" s="537"/>
      <c r="GCT226" s="537"/>
      <c r="GCU226" s="537"/>
      <c r="GCV226" s="537"/>
      <c r="GCW226" s="537"/>
      <c r="GCX226" s="537"/>
      <c r="GCY226" s="537"/>
      <c r="GCZ226" s="537"/>
      <c r="GDA226" s="537"/>
      <c r="GDB226" s="537"/>
      <c r="GDC226" s="537"/>
      <c r="GDD226" s="537"/>
      <c r="GDE226" s="537"/>
      <c r="GDF226" s="537"/>
      <c r="GDG226" s="537"/>
      <c r="GDH226" s="537"/>
      <c r="GDI226" s="537"/>
      <c r="GDJ226" s="537"/>
      <c r="GDK226" s="537"/>
      <c r="GDL226" s="537"/>
      <c r="GDM226" s="537"/>
      <c r="GDN226" s="537"/>
      <c r="GDO226" s="537"/>
      <c r="GDP226" s="537"/>
      <c r="GDQ226" s="537"/>
      <c r="GDR226" s="537"/>
      <c r="GDS226" s="537"/>
      <c r="GDT226" s="537"/>
      <c r="GDU226" s="537"/>
      <c r="GDV226" s="537"/>
      <c r="GDW226" s="537"/>
      <c r="GDX226" s="537"/>
      <c r="GDY226" s="537"/>
      <c r="GDZ226" s="537"/>
      <c r="GEA226" s="537"/>
      <c r="GEB226" s="537"/>
      <c r="GEC226" s="537"/>
      <c r="GED226" s="537"/>
      <c r="GEE226" s="537"/>
      <c r="GEF226" s="537"/>
      <c r="GEG226" s="537"/>
      <c r="GEH226" s="537"/>
      <c r="GEI226" s="537"/>
      <c r="GEJ226" s="537"/>
      <c r="GEK226" s="537"/>
      <c r="GEL226" s="537"/>
      <c r="GEM226" s="537"/>
      <c r="GEN226" s="537"/>
      <c r="GEO226" s="537"/>
      <c r="GEP226" s="537"/>
      <c r="GEQ226" s="537"/>
      <c r="GER226" s="537"/>
      <c r="GES226" s="537"/>
      <c r="GET226" s="537"/>
      <c r="GEU226" s="537"/>
      <c r="GEV226" s="537"/>
      <c r="GEW226" s="537"/>
      <c r="GEX226" s="537"/>
      <c r="GEY226" s="537"/>
      <c r="GEZ226" s="537"/>
      <c r="GFA226" s="537"/>
      <c r="GFB226" s="537"/>
      <c r="GFC226" s="537"/>
      <c r="GFD226" s="537"/>
      <c r="GFE226" s="537"/>
      <c r="GFF226" s="537"/>
      <c r="GFG226" s="537"/>
      <c r="GFH226" s="537"/>
      <c r="GFI226" s="537"/>
      <c r="GFJ226" s="537"/>
      <c r="GFK226" s="537"/>
      <c r="GFL226" s="537"/>
      <c r="GFM226" s="537"/>
      <c r="GFN226" s="537"/>
      <c r="GFO226" s="537"/>
      <c r="GFP226" s="537"/>
      <c r="GFQ226" s="537"/>
      <c r="GFR226" s="537"/>
      <c r="GFS226" s="537"/>
      <c r="GFT226" s="537"/>
      <c r="GFU226" s="537"/>
      <c r="GFV226" s="537"/>
      <c r="GFW226" s="537"/>
      <c r="GFX226" s="537"/>
      <c r="GFY226" s="537"/>
      <c r="GFZ226" s="537"/>
      <c r="GGA226" s="537"/>
      <c r="GGB226" s="537"/>
      <c r="GGC226" s="537"/>
      <c r="GGD226" s="537"/>
      <c r="GGE226" s="537"/>
      <c r="GGF226" s="537"/>
      <c r="GGG226" s="537"/>
      <c r="GGH226" s="537"/>
      <c r="GGI226" s="537"/>
      <c r="GGJ226" s="537"/>
      <c r="GGK226" s="537"/>
      <c r="GGL226" s="537"/>
      <c r="GGM226" s="537"/>
      <c r="GGN226" s="537"/>
      <c r="GGO226" s="537"/>
      <c r="GGP226" s="537"/>
      <c r="GGQ226" s="537"/>
      <c r="GGR226" s="537"/>
      <c r="GGS226" s="537"/>
      <c r="GGT226" s="537"/>
      <c r="GGU226" s="537"/>
      <c r="GGV226" s="537"/>
      <c r="GGW226" s="537"/>
      <c r="GGX226" s="537"/>
      <c r="GGY226" s="537"/>
      <c r="GGZ226" s="537"/>
      <c r="GHA226" s="537"/>
      <c r="GHB226" s="537"/>
      <c r="GHC226" s="537"/>
      <c r="GHD226" s="537"/>
      <c r="GHE226" s="537"/>
      <c r="GHF226" s="537"/>
      <c r="GHG226" s="537"/>
      <c r="GHH226" s="537"/>
      <c r="GHI226" s="537"/>
      <c r="GHJ226" s="537"/>
      <c r="GHK226" s="537"/>
      <c r="GHL226" s="537"/>
      <c r="GHM226" s="537"/>
      <c r="GHN226" s="537"/>
      <c r="GHO226" s="537"/>
      <c r="GHP226" s="537"/>
      <c r="GHQ226" s="537"/>
      <c r="GHR226" s="537"/>
      <c r="GHS226" s="537"/>
      <c r="GHT226" s="537"/>
      <c r="GHU226" s="537"/>
      <c r="GHV226" s="537"/>
      <c r="GHW226" s="537"/>
      <c r="GHX226" s="537"/>
      <c r="GHY226" s="537"/>
      <c r="GHZ226" s="537"/>
      <c r="GIA226" s="537"/>
      <c r="GIB226" s="537"/>
      <c r="GIC226" s="537"/>
      <c r="GID226" s="537"/>
      <c r="GIE226" s="537"/>
      <c r="GIF226" s="537"/>
      <c r="GIG226" s="537"/>
      <c r="GIH226" s="537"/>
      <c r="GII226" s="537"/>
      <c r="GIJ226" s="537"/>
      <c r="GIK226" s="537"/>
      <c r="GIL226" s="537"/>
      <c r="GIM226" s="537"/>
      <c r="GIN226" s="537"/>
      <c r="GIO226" s="537"/>
      <c r="GIP226" s="537"/>
      <c r="GIQ226" s="537"/>
      <c r="GIR226" s="537"/>
      <c r="GIS226" s="537"/>
      <c r="GIT226" s="537"/>
      <c r="GIU226" s="537"/>
      <c r="GIV226" s="537"/>
      <c r="GIW226" s="537"/>
      <c r="GIX226" s="537"/>
      <c r="GIY226" s="537"/>
      <c r="GIZ226" s="537"/>
      <c r="GJA226" s="537"/>
      <c r="GJB226" s="537"/>
      <c r="GJC226" s="537"/>
      <c r="GJD226" s="537"/>
      <c r="GJE226" s="537"/>
      <c r="GJF226" s="537"/>
      <c r="GJG226" s="537"/>
      <c r="GJH226" s="537"/>
      <c r="GJI226" s="537"/>
      <c r="GJJ226" s="537"/>
      <c r="GJK226" s="537"/>
      <c r="GJL226" s="537"/>
      <c r="GJM226" s="537"/>
      <c r="GJN226" s="537"/>
      <c r="GJO226" s="537"/>
      <c r="GJP226" s="537"/>
      <c r="GJQ226" s="537"/>
      <c r="GJR226" s="537"/>
      <c r="GJS226" s="537"/>
      <c r="GJT226" s="537"/>
      <c r="GJU226" s="537"/>
      <c r="GJV226" s="537"/>
      <c r="GJW226" s="537"/>
      <c r="GJX226" s="537"/>
      <c r="GJY226" s="537"/>
      <c r="GJZ226" s="537"/>
      <c r="GKA226" s="537"/>
      <c r="GKB226" s="537"/>
      <c r="GKC226" s="537"/>
      <c r="GKD226" s="537"/>
      <c r="GKE226" s="537"/>
      <c r="GKF226" s="537"/>
      <c r="GKG226" s="537"/>
      <c r="GKH226" s="537"/>
      <c r="GKI226" s="537"/>
      <c r="GKJ226" s="537"/>
      <c r="GKK226" s="537"/>
      <c r="GKL226" s="537"/>
      <c r="GKM226" s="537"/>
      <c r="GKN226" s="537"/>
      <c r="GKO226" s="537"/>
      <c r="GKP226" s="537"/>
      <c r="GKQ226" s="537"/>
      <c r="GKR226" s="537"/>
      <c r="GKS226" s="537"/>
      <c r="GKT226" s="537"/>
      <c r="GKU226" s="537"/>
      <c r="GKV226" s="537"/>
      <c r="GKW226" s="537"/>
      <c r="GKX226" s="537"/>
      <c r="GKY226" s="537"/>
      <c r="GKZ226" s="537"/>
      <c r="GLA226" s="537"/>
      <c r="GLB226" s="537"/>
      <c r="GLC226" s="537"/>
      <c r="GLD226" s="537"/>
      <c r="GLE226" s="537"/>
      <c r="GLF226" s="537"/>
      <c r="GLG226" s="537"/>
      <c r="GLH226" s="537"/>
      <c r="GLI226" s="537"/>
      <c r="GLJ226" s="537"/>
      <c r="GLK226" s="537"/>
      <c r="GLL226" s="537"/>
      <c r="GLM226" s="537"/>
      <c r="GLN226" s="537"/>
      <c r="GLO226" s="537"/>
      <c r="GLP226" s="537"/>
      <c r="GLQ226" s="537"/>
      <c r="GLR226" s="537"/>
      <c r="GLS226" s="537"/>
      <c r="GLT226" s="537"/>
      <c r="GLU226" s="537"/>
      <c r="GLV226" s="537"/>
      <c r="GLW226" s="537"/>
      <c r="GLX226" s="537"/>
      <c r="GLY226" s="537"/>
      <c r="GLZ226" s="537"/>
      <c r="GMA226" s="537"/>
      <c r="GMB226" s="537"/>
      <c r="GMC226" s="537"/>
      <c r="GMD226" s="537"/>
      <c r="GME226" s="537"/>
      <c r="GMF226" s="537"/>
      <c r="GMG226" s="537"/>
      <c r="GMH226" s="537"/>
      <c r="GMI226" s="537"/>
      <c r="GMJ226" s="537"/>
      <c r="GMK226" s="537"/>
      <c r="GML226" s="537"/>
      <c r="GMM226" s="537"/>
      <c r="GMN226" s="537"/>
      <c r="GMO226" s="537"/>
      <c r="GMP226" s="537"/>
      <c r="GMQ226" s="537"/>
      <c r="GMR226" s="537"/>
      <c r="GMS226" s="537"/>
      <c r="GMT226" s="537"/>
      <c r="GMU226" s="537"/>
      <c r="GMV226" s="537"/>
      <c r="GMW226" s="537"/>
      <c r="GMX226" s="537"/>
      <c r="GMY226" s="537"/>
      <c r="GMZ226" s="537"/>
      <c r="GNA226" s="537"/>
      <c r="GNB226" s="537"/>
      <c r="GNC226" s="537"/>
      <c r="GND226" s="537"/>
      <c r="GNE226" s="537"/>
      <c r="GNF226" s="537"/>
      <c r="GNG226" s="537"/>
      <c r="GNH226" s="537"/>
      <c r="GNI226" s="537"/>
      <c r="GNJ226" s="537"/>
      <c r="GNK226" s="537"/>
      <c r="GNL226" s="537"/>
      <c r="GNM226" s="537"/>
      <c r="GNN226" s="537"/>
      <c r="GNO226" s="537"/>
      <c r="GNP226" s="537"/>
      <c r="GNQ226" s="537"/>
      <c r="GNR226" s="537"/>
      <c r="GNS226" s="537"/>
      <c r="GNT226" s="537"/>
      <c r="GNU226" s="537"/>
      <c r="GNV226" s="537"/>
      <c r="GNW226" s="537"/>
      <c r="GNX226" s="537"/>
      <c r="GNY226" s="537"/>
      <c r="GNZ226" s="537"/>
      <c r="GOA226" s="537"/>
      <c r="GOB226" s="537"/>
      <c r="GOC226" s="537"/>
      <c r="GOD226" s="537"/>
      <c r="GOE226" s="537"/>
      <c r="GOF226" s="537"/>
      <c r="GOG226" s="537"/>
      <c r="GOH226" s="537"/>
      <c r="GOI226" s="537"/>
      <c r="GOJ226" s="537"/>
      <c r="GOK226" s="537"/>
      <c r="GOL226" s="537"/>
      <c r="GOM226" s="537"/>
      <c r="GON226" s="537"/>
      <c r="GOO226" s="537"/>
      <c r="GOP226" s="537"/>
      <c r="GOQ226" s="537"/>
      <c r="GOR226" s="537"/>
      <c r="GOS226" s="537"/>
      <c r="GOT226" s="537"/>
      <c r="GOU226" s="537"/>
      <c r="GOV226" s="537"/>
      <c r="GOW226" s="537"/>
      <c r="GOX226" s="537"/>
      <c r="GOY226" s="537"/>
      <c r="GOZ226" s="537"/>
      <c r="GPA226" s="537"/>
      <c r="GPB226" s="537"/>
      <c r="GPC226" s="537"/>
      <c r="GPD226" s="537"/>
      <c r="GPE226" s="537"/>
      <c r="GPF226" s="537"/>
      <c r="GPG226" s="537"/>
      <c r="GPH226" s="537"/>
      <c r="GPI226" s="537"/>
      <c r="GPJ226" s="537"/>
      <c r="GPK226" s="537"/>
      <c r="GPL226" s="537"/>
      <c r="GPM226" s="537"/>
      <c r="GPN226" s="537"/>
      <c r="GPO226" s="537"/>
      <c r="GPP226" s="537"/>
      <c r="GPQ226" s="537"/>
      <c r="GPR226" s="537"/>
      <c r="GPS226" s="537"/>
      <c r="GPT226" s="537"/>
      <c r="GPU226" s="537"/>
      <c r="GPV226" s="537"/>
      <c r="GPW226" s="537"/>
      <c r="GPX226" s="537"/>
      <c r="GPY226" s="537"/>
      <c r="GPZ226" s="537"/>
      <c r="GQA226" s="537"/>
      <c r="GQB226" s="537"/>
      <c r="GQC226" s="537"/>
      <c r="GQD226" s="537"/>
      <c r="GQE226" s="537"/>
      <c r="GQF226" s="537"/>
      <c r="GQG226" s="537"/>
      <c r="GQH226" s="537"/>
      <c r="GQI226" s="537"/>
      <c r="GQJ226" s="537"/>
      <c r="GQK226" s="537"/>
      <c r="GQL226" s="537"/>
      <c r="GQM226" s="537"/>
      <c r="GQN226" s="537"/>
      <c r="GQO226" s="537"/>
      <c r="GQP226" s="537"/>
      <c r="GQQ226" s="537"/>
      <c r="GQR226" s="537"/>
      <c r="GQS226" s="537"/>
      <c r="GQT226" s="537"/>
      <c r="GQU226" s="537"/>
      <c r="GQV226" s="537"/>
      <c r="GQW226" s="537"/>
      <c r="GQX226" s="537"/>
      <c r="GQY226" s="537"/>
      <c r="GQZ226" s="537"/>
      <c r="GRA226" s="537"/>
      <c r="GRB226" s="537"/>
      <c r="GRC226" s="537"/>
      <c r="GRD226" s="537"/>
      <c r="GRE226" s="537"/>
      <c r="GRF226" s="537"/>
      <c r="GRG226" s="537"/>
      <c r="GRH226" s="537"/>
      <c r="GRI226" s="537"/>
      <c r="GRJ226" s="537"/>
      <c r="GRK226" s="537"/>
      <c r="GRL226" s="537"/>
      <c r="GRM226" s="537"/>
      <c r="GRN226" s="537"/>
      <c r="GRO226" s="537"/>
      <c r="GRP226" s="537"/>
      <c r="GRQ226" s="537"/>
      <c r="GRR226" s="537"/>
      <c r="GRS226" s="537"/>
      <c r="GRT226" s="537"/>
      <c r="GRU226" s="537"/>
      <c r="GRV226" s="537"/>
      <c r="GRW226" s="537"/>
      <c r="GRX226" s="537"/>
      <c r="GRY226" s="537"/>
      <c r="GRZ226" s="537"/>
      <c r="GSA226" s="537"/>
      <c r="GSB226" s="537"/>
      <c r="GSC226" s="537"/>
      <c r="GSD226" s="537"/>
      <c r="GSE226" s="537"/>
      <c r="GSF226" s="537"/>
      <c r="GSG226" s="537"/>
      <c r="GSH226" s="537"/>
      <c r="GSI226" s="537"/>
      <c r="GSJ226" s="537"/>
      <c r="GSK226" s="537"/>
      <c r="GSL226" s="537"/>
      <c r="GSM226" s="537"/>
      <c r="GSN226" s="537"/>
      <c r="GSO226" s="537"/>
      <c r="GSP226" s="537"/>
      <c r="GSQ226" s="537"/>
      <c r="GSR226" s="537"/>
      <c r="GSS226" s="537"/>
      <c r="GST226" s="537"/>
      <c r="GSU226" s="537"/>
      <c r="GSV226" s="537"/>
      <c r="GSW226" s="537"/>
      <c r="GSX226" s="537"/>
      <c r="GSY226" s="537"/>
      <c r="GSZ226" s="537"/>
      <c r="GTA226" s="537"/>
      <c r="GTB226" s="537"/>
      <c r="GTC226" s="537"/>
      <c r="GTD226" s="537"/>
      <c r="GTE226" s="537"/>
      <c r="GTF226" s="537"/>
      <c r="GTG226" s="537"/>
      <c r="GTH226" s="537"/>
      <c r="GTI226" s="537"/>
      <c r="GTJ226" s="537"/>
      <c r="GTK226" s="537"/>
      <c r="GTL226" s="537"/>
      <c r="GTM226" s="537"/>
      <c r="GTN226" s="537"/>
      <c r="GTO226" s="537"/>
      <c r="GTP226" s="537"/>
      <c r="GTQ226" s="537"/>
      <c r="GTR226" s="537"/>
      <c r="GTS226" s="537"/>
      <c r="GTT226" s="537"/>
      <c r="GTU226" s="537"/>
      <c r="GTV226" s="537"/>
      <c r="GTW226" s="537"/>
      <c r="GTX226" s="537"/>
      <c r="GTY226" s="537"/>
      <c r="GTZ226" s="537"/>
      <c r="GUA226" s="537"/>
      <c r="GUB226" s="537"/>
      <c r="GUC226" s="537"/>
      <c r="GUD226" s="537"/>
      <c r="GUE226" s="537"/>
      <c r="GUF226" s="537"/>
      <c r="GUG226" s="537"/>
      <c r="GUH226" s="537"/>
      <c r="GUI226" s="537"/>
      <c r="GUJ226" s="537"/>
      <c r="GUK226" s="537"/>
      <c r="GUL226" s="537"/>
      <c r="GUM226" s="537"/>
      <c r="GUN226" s="537"/>
      <c r="GUO226" s="537"/>
      <c r="GUP226" s="537"/>
      <c r="GUQ226" s="537"/>
      <c r="GUR226" s="537"/>
      <c r="GUS226" s="537"/>
      <c r="GUT226" s="537"/>
      <c r="GUU226" s="537"/>
      <c r="GUV226" s="537"/>
      <c r="GUW226" s="537"/>
      <c r="GUX226" s="537"/>
      <c r="GUY226" s="537"/>
      <c r="GUZ226" s="537"/>
      <c r="GVA226" s="537"/>
      <c r="GVB226" s="537"/>
      <c r="GVC226" s="537"/>
      <c r="GVD226" s="537"/>
      <c r="GVE226" s="537"/>
      <c r="GVF226" s="537"/>
      <c r="GVG226" s="537"/>
      <c r="GVH226" s="537"/>
      <c r="GVI226" s="537"/>
      <c r="GVJ226" s="537"/>
      <c r="GVK226" s="537"/>
      <c r="GVL226" s="537"/>
      <c r="GVM226" s="537"/>
      <c r="GVN226" s="537"/>
      <c r="GVO226" s="537"/>
      <c r="GVP226" s="537"/>
      <c r="GVQ226" s="537"/>
      <c r="GVR226" s="537"/>
      <c r="GVS226" s="537"/>
      <c r="GVT226" s="537"/>
      <c r="GVU226" s="537"/>
      <c r="GVV226" s="537"/>
      <c r="GVW226" s="537"/>
      <c r="GVX226" s="537"/>
      <c r="GVY226" s="537"/>
      <c r="GVZ226" s="537"/>
      <c r="GWA226" s="537"/>
      <c r="GWB226" s="537"/>
      <c r="GWC226" s="537"/>
      <c r="GWD226" s="537"/>
      <c r="GWE226" s="537"/>
      <c r="GWF226" s="537"/>
      <c r="GWG226" s="537"/>
      <c r="GWH226" s="537"/>
      <c r="GWI226" s="537"/>
      <c r="GWJ226" s="537"/>
      <c r="GWK226" s="537"/>
      <c r="GWL226" s="537"/>
      <c r="GWM226" s="537"/>
      <c r="GWN226" s="537"/>
      <c r="GWO226" s="537"/>
      <c r="GWP226" s="537"/>
      <c r="GWQ226" s="537"/>
      <c r="GWR226" s="537"/>
      <c r="GWS226" s="537"/>
      <c r="GWT226" s="537"/>
      <c r="GWU226" s="537"/>
      <c r="GWV226" s="537"/>
      <c r="GWW226" s="537"/>
      <c r="GWX226" s="537"/>
      <c r="GWY226" s="537"/>
      <c r="GWZ226" s="537"/>
      <c r="GXA226" s="537"/>
      <c r="GXB226" s="537"/>
      <c r="GXC226" s="537"/>
      <c r="GXD226" s="537"/>
      <c r="GXE226" s="537"/>
      <c r="GXF226" s="537"/>
      <c r="GXG226" s="537"/>
      <c r="GXH226" s="537"/>
      <c r="GXI226" s="537"/>
      <c r="GXJ226" s="537"/>
      <c r="GXK226" s="537"/>
      <c r="GXL226" s="537"/>
      <c r="GXM226" s="537"/>
      <c r="GXN226" s="537"/>
      <c r="GXO226" s="537"/>
      <c r="GXP226" s="537"/>
      <c r="GXQ226" s="537"/>
      <c r="GXR226" s="537"/>
      <c r="GXS226" s="537"/>
      <c r="GXT226" s="537"/>
      <c r="GXU226" s="537"/>
      <c r="GXV226" s="537"/>
      <c r="GXW226" s="537"/>
      <c r="GXX226" s="537"/>
      <c r="GXY226" s="537"/>
      <c r="GXZ226" s="537"/>
      <c r="GYA226" s="537"/>
      <c r="GYB226" s="537"/>
      <c r="GYC226" s="537"/>
      <c r="GYD226" s="537"/>
      <c r="GYE226" s="537"/>
      <c r="GYF226" s="537"/>
      <c r="GYG226" s="537"/>
      <c r="GYH226" s="537"/>
      <c r="GYI226" s="537"/>
      <c r="GYJ226" s="537"/>
      <c r="GYK226" s="537"/>
      <c r="GYL226" s="537"/>
      <c r="GYM226" s="537"/>
      <c r="GYN226" s="537"/>
      <c r="GYO226" s="537"/>
      <c r="GYP226" s="537"/>
      <c r="GYQ226" s="537"/>
      <c r="GYR226" s="537"/>
      <c r="GYS226" s="537"/>
      <c r="GYT226" s="537"/>
      <c r="GYU226" s="537"/>
      <c r="GYV226" s="537"/>
      <c r="GYW226" s="537"/>
      <c r="GYX226" s="537"/>
      <c r="GYY226" s="537"/>
      <c r="GYZ226" s="537"/>
      <c r="GZA226" s="537"/>
      <c r="GZB226" s="537"/>
      <c r="GZC226" s="537"/>
      <c r="GZD226" s="537"/>
      <c r="GZE226" s="537"/>
      <c r="GZF226" s="537"/>
      <c r="GZG226" s="537"/>
      <c r="GZH226" s="537"/>
      <c r="GZI226" s="537"/>
      <c r="GZJ226" s="537"/>
      <c r="GZK226" s="537"/>
      <c r="GZL226" s="537"/>
      <c r="GZM226" s="537"/>
      <c r="GZN226" s="537"/>
      <c r="GZO226" s="537"/>
      <c r="GZP226" s="537"/>
      <c r="GZQ226" s="537"/>
      <c r="GZR226" s="537"/>
      <c r="GZS226" s="537"/>
      <c r="GZT226" s="537"/>
      <c r="GZU226" s="537"/>
      <c r="GZV226" s="537"/>
      <c r="GZW226" s="537"/>
      <c r="GZX226" s="537"/>
      <c r="GZY226" s="537"/>
      <c r="GZZ226" s="537"/>
      <c r="HAA226" s="537"/>
      <c r="HAB226" s="537"/>
      <c r="HAC226" s="537"/>
      <c r="HAD226" s="537"/>
      <c r="HAE226" s="537"/>
      <c r="HAF226" s="537"/>
      <c r="HAG226" s="537"/>
      <c r="HAH226" s="537"/>
      <c r="HAI226" s="537"/>
      <c r="HAJ226" s="537"/>
      <c r="HAK226" s="537"/>
      <c r="HAL226" s="537"/>
      <c r="HAM226" s="537"/>
      <c r="HAN226" s="537"/>
      <c r="HAO226" s="537"/>
      <c r="HAP226" s="537"/>
      <c r="HAQ226" s="537"/>
      <c r="HAR226" s="537"/>
      <c r="HAS226" s="537"/>
      <c r="HAT226" s="537"/>
      <c r="HAU226" s="537"/>
      <c r="HAV226" s="537"/>
      <c r="HAW226" s="537"/>
      <c r="HAX226" s="537"/>
      <c r="HAY226" s="537"/>
      <c r="HAZ226" s="537"/>
      <c r="HBA226" s="537"/>
      <c r="HBB226" s="537"/>
      <c r="HBC226" s="537"/>
      <c r="HBD226" s="537"/>
      <c r="HBE226" s="537"/>
      <c r="HBF226" s="537"/>
      <c r="HBG226" s="537"/>
      <c r="HBH226" s="537"/>
      <c r="HBI226" s="537"/>
      <c r="HBJ226" s="537"/>
      <c r="HBK226" s="537"/>
      <c r="HBL226" s="537"/>
      <c r="HBM226" s="537"/>
      <c r="HBN226" s="537"/>
      <c r="HBO226" s="537"/>
      <c r="HBP226" s="537"/>
      <c r="HBQ226" s="537"/>
      <c r="HBR226" s="537"/>
      <c r="HBS226" s="537"/>
      <c r="HBT226" s="537"/>
      <c r="HBU226" s="537"/>
      <c r="HBV226" s="537"/>
      <c r="HBW226" s="537"/>
      <c r="HBX226" s="537"/>
      <c r="HBY226" s="537"/>
      <c r="HBZ226" s="537"/>
      <c r="HCA226" s="537"/>
      <c r="HCB226" s="537"/>
      <c r="HCC226" s="537"/>
      <c r="HCD226" s="537"/>
      <c r="HCE226" s="537"/>
      <c r="HCF226" s="537"/>
      <c r="HCG226" s="537"/>
      <c r="HCH226" s="537"/>
      <c r="HCI226" s="537"/>
      <c r="HCJ226" s="537"/>
      <c r="HCK226" s="537"/>
      <c r="HCL226" s="537"/>
      <c r="HCM226" s="537"/>
      <c r="HCN226" s="537"/>
      <c r="HCO226" s="537"/>
      <c r="HCP226" s="537"/>
      <c r="HCQ226" s="537"/>
      <c r="HCR226" s="537"/>
      <c r="HCS226" s="537"/>
      <c r="HCT226" s="537"/>
      <c r="HCU226" s="537"/>
      <c r="HCV226" s="537"/>
      <c r="HCW226" s="537"/>
      <c r="HCX226" s="537"/>
      <c r="HCY226" s="537"/>
      <c r="HCZ226" s="537"/>
      <c r="HDA226" s="537"/>
      <c r="HDB226" s="537"/>
      <c r="HDC226" s="537"/>
      <c r="HDD226" s="537"/>
      <c r="HDE226" s="537"/>
      <c r="HDF226" s="537"/>
      <c r="HDG226" s="537"/>
      <c r="HDH226" s="537"/>
      <c r="HDI226" s="537"/>
      <c r="HDJ226" s="537"/>
      <c r="HDK226" s="537"/>
      <c r="HDL226" s="537"/>
      <c r="HDM226" s="537"/>
      <c r="HDN226" s="537"/>
      <c r="HDO226" s="537"/>
      <c r="HDP226" s="537"/>
      <c r="HDQ226" s="537"/>
      <c r="HDR226" s="537"/>
      <c r="HDS226" s="537"/>
      <c r="HDT226" s="537"/>
      <c r="HDU226" s="537"/>
      <c r="HDV226" s="537"/>
      <c r="HDW226" s="537"/>
      <c r="HDX226" s="537"/>
      <c r="HDY226" s="537"/>
      <c r="HDZ226" s="537"/>
      <c r="HEA226" s="537"/>
      <c r="HEB226" s="537"/>
      <c r="HEC226" s="537"/>
      <c r="HED226" s="537"/>
      <c r="HEE226" s="537"/>
      <c r="HEF226" s="537"/>
      <c r="HEG226" s="537"/>
      <c r="HEH226" s="537"/>
      <c r="HEI226" s="537"/>
      <c r="HEJ226" s="537"/>
      <c r="HEK226" s="537"/>
      <c r="HEL226" s="537"/>
      <c r="HEM226" s="537"/>
      <c r="HEN226" s="537"/>
      <c r="HEO226" s="537"/>
      <c r="HEP226" s="537"/>
      <c r="HEQ226" s="537"/>
      <c r="HER226" s="537"/>
      <c r="HES226" s="537"/>
      <c r="HET226" s="537"/>
      <c r="HEU226" s="537"/>
      <c r="HEV226" s="537"/>
      <c r="HEW226" s="537"/>
      <c r="HEX226" s="537"/>
      <c r="HEY226" s="537"/>
      <c r="HEZ226" s="537"/>
      <c r="HFA226" s="537"/>
      <c r="HFB226" s="537"/>
      <c r="HFC226" s="537"/>
      <c r="HFD226" s="537"/>
      <c r="HFE226" s="537"/>
      <c r="HFF226" s="537"/>
      <c r="HFG226" s="537"/>
      <c r="HFH226" s="537"/>
      <c r="HFI226" s="537"/>
      <c r="HFJ226" s="537"/>
      <c r="HFK226" s="537"/>
      <c r="HFL226" s="537"/>
      <c r="HFM226" s="537"/>
      <c r="HFN226" s="537"/>
      <c r="HFO226" s="537"/>
      <c r="HFP226" s="537"/>
      <c r="HFQ226" s="537"/>
      <c r="HFR226" s="537"/>
      <c r="HFS226" s="537"/>
      <c r="HFT226" s="537"/>
      <c r="HFU226" s="537"/>
      <c r="HFV226" s="537"/>
      <c r="HFW226" s="537"/>
      <c r="HFX226" s="537"/>
      <c r="HFY226" s="537"/>
      <c r="HFZ226" s="537"/>
      <c r="HGA226" s="537"/>
      <c r="HGB226" s="537"/>
      <c r="HGC226" s="537"/>
      <c r="HGD226" s="537"/>
      <c r="HGE226" s="537"/>
      <c r="HGF226" s="537"/>
      <c r="HGG226" s="537"/>
      <c r="HGH226" s="537"/>
      <c r="HGI226" s="537"/>
      <c r="HGJ226" s="537"/>
      <c r="HGK226" s="537"/>
      <c r="HGL226" s="537"/>
      <c r="HGM226" s="537"/>
      <c r="HGN226" s="537"/>
      <c r="HGO226" s="537"/>
      <c r="HGP226" s="537"/>
      <c r="HGQ226" s="537"/>
      <c r="HGR226" s="537"/>
      <c r="HGS226" s="537"/>
      <c r="HGT226" s="537"/>
      <c r="HGU226" s="537"/>
      <c r="HGV226" s="537"/>
      <c r="HGW226" s="537"/>
      <c r="HGX226" s="537"/>
      <c r="HGY226" s="537"/>
      <c r="HGZ226" s="537"/>
      <c r="HHA226" s="537"/>
      <c r="HHB226" s="537"/>
      <c r="HHC226" s="537"/>
      <c r="HHD226" s="537"/>
      <c r="HHE226" s="537"/>
      <c r="HHF226" s="537"/>
      <c r="HHG226" s="537"/>
      <c r="HHH226" s="537"/>
      <c r="HHI226" s="537"/>
      <c r="HHJ226" s="537"/>
      <c r="HHK226" s="537"/>
      <c r="HHL226" s="537"/>
      <c r="HHM226" s="537"/>
      <c r="HHN226" s="537"/>
      <c r="HHO226" s="537"/>
      <c r="HHP226" s="537"/>
      <c r="HHQ226" s="537"/>
      <c r="HHR226" s="537"/>
      <c r="HHS226" s="537"/>
      <c r="HHT226" s="537"/>
      <c r="HHU226" s="537"/>
      <c r="HHV226" s="537"/>
      <c r="HHW226" s="537"/>
      <c r="HHX226" s="537"/>
      <c r="HHY226" s="537"/>
      <c r="HHZ226" s="537"/>
      <c r="HIA226" s="537"/>
      <c r="HIB226" s="537"/>
      <c r="HIC226" s="537"/>
      <c r="HID226" s="537"/>
      <c r="HIE226" s="537"/>
      <c r="HIF226" s="537"/>
      <c r="HIG226" s="537"/>
      <c r="HIH226" s="537"/>
      <c r="HII226" s="537"/>
      <c r="HIJ226" s="537"/>
      <c r="HIK226" s="537"/>
      <c r="HIL226" s="537"/>
      <c r="HIM226" s="537"/>
      <c r="HIN226" s="537"/>
      <c r="HIO226" s="537"/>
      <c r="HIP226" s="537"/>
      <c r="HIQ226" s="537"/>
      <c r="HIR226" s="537"/>
      <c r="HIS226" s="537"/>
      <c r="HIT226" s="537"/>
      <c r="HIU226" s="537"/>
      <c r="HIV226" s="537"/>
      <c r="HIW226" s="537"/>
      <c r="HIX226" s="537"/>
      <c r="HIY226" s="537"/>
      <c r="HIZ226" s="537"/>
      <c r="HJA226" s="537"/>
      <c r="HJB226" s="537"/>
      <c r="HJC226" s="537"/>
      <c r="HJD226" s="537"/>
      <c r="HJE226" s="537"/>
      <c r="HJF226" s="537"/>
      <c r="HJG226" s="537"/>
      <c r="HJH226" s="537"/>
      <c r="HJI226" s="537"/>
      <c r="HJJ226" s="537"/>
      <c r="HJK226" s="537"/>
      <c r="HJL226" s="537"/>
      <c r="HJM226" s="537"/>
      <c r="HJN226" s="537"/>
      <c r="HJO226" s="537"/>
      <c r="HJP226" s="537"/>
      <c r="HJQ226" s="537"/>
      <c r="HJR226" s="537"/>
      <c r="HJS226" s="537"/>
      <c r="HJT226" s="537"/>
      <c r="HJU226" s="537"/>
      <c r="HJV226" s="537"/>
      <c r="HJW226" s="537"/>
      <c r="HJX226" s="537"/>
      <c r="HJY226" s="537"/>
      <c r="HJZ226" s="537"/>
      <c r="HKA226" s="537"/>
      <c r="HKB226" s="537"/>
      <c r="HKC226" s="537"/>
      <c r="HKD226" s="537"/>
      <c r="HKE226" s="537"/>
      <c r="HKF226" s="537"/>
      <c r="HKG226" s="537"/>
      <c r="HKH226" s="537"/>
      <c r="HKI226" s="537"/>
      <c r="HKJ226" s="537"/>
      <c r="HKK226" s="537"/>
      <c r="HKL226" s="537"/>
      <c r="HKM226" s="537"/>
      <c r="HKN226" s="537"/>
      <c r="HKO226" s="537"/>
      <c r="HKP226" s="537"/>
      <c r="HKQ226" s="537"/>
      <c r="HKR226" s="537"/>
      <c r="HKS226" s="537"/>
      <c r="HKT226" s="537"/>
      <c r="HKU226" s="537"/>
      <c r="HKV226" s="537"/>
      <c r="HKW226" s="537"/>
      <c r="HKX226" s="537"/>
      <c r="HKY226" s="537"/>
      <c r="HKZ226" s="537"/>
      <c r="HLA226" s="537"/>
      <c r="HLB226" s="537"/>
      <c r="HLC226" s="537"/>
      <c r="HLD226" s="537"/>
      <c r="HLE226" s="537"/>
      <c r="HLF226" s="537"/>
      <c r="HLG226" s="537"/>
      <c r="HLH226" s="537"/>
      <c r="HLI226" s="537"/>
      <c r="HLJ226" s="537"/>
      <c r="HLK226" s="537"/>
      <c r="HLL226" s="537"/>
      <c r="HLM226" s="537"/>
      <c r="HLN226" s="537"/>
      <c r="HLO226" s="537"/>
      <c r="HLP226" s="537"/>
      <c r="HLQ226" s="537"/>
      <c r="HLR226" s="537"/>
      <c r="HLS226" s="537"/>
      <c r="HLT226" s="537"/>
      <c r="HLU226" s="537"/>
      <c r="HLV226" s="537"/>
      <c r="HLW226" s="537"/>
      <c r="HLX226" s="537"/>
      <c r="HLY226" s="537"/>
      <c r="HLZ226" s="537"/>
      <c r="HMA226" s="537"/>
      <c r="HMB226" s="537"/>
      <c r="HMC226" s="537"/>
      <c r="HMD226" s="537"/>
      <c r="HME226" s="537"/>
      <c r="HMF226" s="537"/>
      <c r="HMG226" s="537"/>
      <c r="HMH226" s="537"/>
      <c r="HMI226" s="537"/>
      <c r="HMJ226" s="537"/>
      <c r="HMK226" s="537"/>
      <c r="HML226" s="537"/>
      <c r="HMM226" s="537"/>
      <c r="HMN226" s="537"/>
      <c r="HMO226" s="537"/>
      <c r="HMP226" s="537"/>
      <c r="HMQ226" s="537"/>
      <c r="HMR226" s="537"/>
      <c r="HMS226" s="537"/>
      <c r="HMT226" s="537"/>
      <c r="HMU226" s="537"/>
      <c r="HMV226" s="537"/>
      <c r="HMW226" s="537"/>
      <c r="HMX226" s="537"/>
      <c r="HMY226" s="537"/>
      <c r="HMZ226" s="537"/>
      <c r="HNA226" s="537"/>
      <c r="HNB226" s="537"/>
      <c r="HNC226" s="537"/>
      <c r="HND226" s="537"/>
      <c r="HNE226" s="537"/>
      <c r="HNF226" s="537"/>
      <c r="HNG226" s="537"/>
      <c r="HNH226" s="537"/>
      <c r="HNI226" s="537"/>
      <c r="HNJ226" s="537"/>
      <c r="HNK226" s="537"/>
      <c r="HNL226" s="537"/>
      <c r="HNM226" s="537"/>
      <c r="HNN226" s="537"/>
      <c r="HNO226" s="537"/>
      <c r="HNP226" s="537"/>
      <c r="HNQ226" s="537"/>
      <c r="HNR226" s="537"/>
      <c r="HNS226" s="537"/>
      <c r="HNT226" s="537"/>
      <c r="HNU226" s="537"/>
      <c r="HNV226" s="537"/>
      <c r="HNW226" s="537"/>
      <c r="HNX226" s="537"/>
      <c r="HNY226" s="537"/>
      <c r="HNZ226" s="537"/>
      <c r="HOA226" s="537"/>
      <c r="HOB226" s="537"/>
      <c r="HOC226" s="537"/>
      <c r="HOD226" s="537"/>
      <c r="HOE226" s="537"/>
      <c r="HOF226" s="537"/>
      <c r="HOG226" s="537"/>
      <c r="HOH226" s="537"/>
      <c r="HOI226" s="537"/>
      <c r="HOJ226" s="537"/>
      <c r="HOK226" s="537"/>
      <c r="HOL226" s="537"/>
      <c r="HOM226" s="537"/>
      <c r="HON226" s="537"/>
      <c r="HOO226" s="537"/>
      <c r="HOP226" s="537"/>
      <c r="HOQ226" s="537"/>
      <c r="HOR226" s="537"/>
      <c r="HOS226" s="537"/>
      <c r="HOT226" s="537"/>
      <c r="HOU226" s="537"/>
      <c r="HOV226" s="537"/>
      <c r="HOW226" s="537"/>
      <c r="HOX226" s="537"/>
      <c r="HOY226" s="537"/>
      <c r="HOZ226" s="537"/>
      <c r="HPA226" s="537"/>
      <c r="HPB226" s="537"/>
      <c r="HPC226" s="537"/>
      <c r="HPD226" s="537"/>
      <c r="HPE226" s="537"/>
      <c r="HPF226" s="537"/>
      <c r="HPG226" s="537"/>
      <c r="HPH226" s="537"/>
      <c r="HPI226" s="537"/>
      <c r="HPJ226" s="537"/>
      <c r="HPK226" s="537"/>
      <c r="HPL226" s="537"/>
      <c r="HPM226" s="537"/>
      <c r="HPN226" s="537"/>
      <c r="HPO226" s="537"/>
      <c r="HPP226" s="537"/>
      <c r="HPQ226" s="537"/>
      <c r="HPR226" s="537"/>
      <c r="HPS226" s="537"/>
      <c r="HPT226" s="537"/>
      <c r="HPU226" s="537"/>
      <c r="HPV226" s="537"/>
      <c r="HPW226" s="537"/>
      <c r="HPX226" s="537"/>
      <c r="HPY226" s="537"/>
      <c r="HPZ226" s="537"/>
      <c r="HQA226" s="537"/>
      <c r="HQB226" s="537"/>
      <c r="HQC226" s="537"/>
      <c r="HQD226" s="537"/>
      <c r="HQE226" s="537"/>
      <c r="HQF226" s="537"/>
      <c r="HQG226" s="537"/>
      <c r="HQH226" s="537"/>
      <c r="HQI226" s="537"/>
      <c r="HQJ226" s="537"/>
      <c r="HQK226" s="537"/>
      <c r="HQL226" s="537"/>
      <c r="HQM226" s="537"/>
      <c r="HQN226" s="537"/>
      <c r="HQO226" s="537"/>
      <c r="HQP226" s="537"/>
      <c r="HQQ226" s="537"/>
      <c r="HQR226" s="537"/>
      <c r="HQS226" s="537"/>
      <c r="HQT226" s="537"/>
      <c r="HQU226" s="537"/>
      <c r="HQV226" s="537"/>
      <c r="HQW226" s="537"/>
      <c r="HQX226" s="537"/>
      <c r="HQY226" s="537"/>
      <c r="HQZ226" s="537"/>
      <c r="HRA226" s="537"/>
      <c r="HRB226" s="537"/>
      <c r="HRC226" s="537"/>
      <c r="HRD226" s="537"/>
      <c r="HRE226" s="537"/>
      <c r="HRF226" s="537"/>
      <c r="HRG226" s="537"/>
      <c r="HRH226" s="537"/>
      <c r="HRI226" s="537"/>
      <c r="HRJ226" s="537"/>
      <c r="HRK226" s="537"/>
      <c r="HRL226" s="537"/>
      <c r="HRM226" s="537"/>
      <c r="HRN226" s="537"/>
      <c r="HRO226" s="537"/>
      <c r="HRP226" s="537"/>
      <c r="HRQ226" s="537"/>
      <c r="HRR226" s="537"/>
      <c r="HRS226" s="537"/>
      <c r="HRT226" s="537"/>
      <c r="HRU226" s="537"/>
      <c r="HRV226" s="537"/>
      <c r="HRW226" s="537"/>
      <c r="HRX226" s="537"/>
      <c r="HRY226" s="537"/>
      <c r="HRZ226" s="537"/>
      <c r="HSA226" s="537"/>
      <c r="HSB226" s="537"/>
      <c r="HSC226" s="537"/>
      <c r="HSD226" s="537"/>
      <c r="HSE226" s="537"/>
      <c r="HSF226" s="537"/>
      <c r="HSG226" s="537"/>
      <c r="HSH226" s="537"/>
      <c r="HSI226" s="537"/>
      <c r="HSJ226" s="537"/>
      <c r="HSK226" s="537"/>
      <c r="HSL226" s="537"/>
      <c r="HSM226" s="537"/>
      <c r="HSN226" s="537"/>
      <c r="HSO226" s="537"/>
      <c r="HSP226" s="537"/>
      <c r="HSQ226" s="537"/>
      <c r="HSR226" s="537"/>
      <c r="HSS226" s="537"/>
      <c r="HST226" s="537"/>
      <c r="HSU226" s="537"/>
      <c r="HSV226" s="537"/>
      <c r="HSW226" s="537"/>
      <c r="HSX226" s="537"/>
      <c r="HSY226" s="537"/>
      <c r="HSZ226" s="537"/>
      <c r="HTA226" s="537"/>
      <c r="HTB226" s="537"/>
      <c r="HTC226" s="537"/>
      <c r="HTD226" s="537"/>
      <c r="HTE226" s="537"/>
      <c r="HTF226" s="537"/>
      <c r="HTG226" s="537"/>
      <c r="HTH226" s="537"/>
      <c r="HTI226" s="537"/>
      <c r="HTJ226" s="537"/>
      <c r="HTK226" s="537"/>
      <c r="HTL226" s="537"/>
      <c r="HTM226" s="537"/>
      <c r="HTN226" s="537"/>
      <c r="HTO226" s="537"/>
      <c r="HTP226" s="537"/>
      <c r="HTQ226" s="537"/>
      <c r="HTR226" s="537"/>
      <c r="HTS226" s="537"/>
      <c r="HTT226" s="537"/>
      <c r="HTU226" s="537"/>
      <c r="HTV226" s="537"/>
      <c r="HTW226" s="537"/>
      <c r="HTX226" s="537"/>
      <c r="HTY226" s="537"/>
      <c r="HTZ226" s="537"/>
      <c r="HUA226" s="537"/>
      <c r="HUB226" s="537"/>
      <c r="HUC226" s="537"/>
      <c r="HUD226" s="537"/>
      <c r="HUE226" s="537"/>
      <c r="HUF226" s="537"/>
      <c r="HUG226" s="537"/>
      <c r="HUH226" s="537"/>
      <c r="HUI226" s="537"/>
      <c r="HUJ226" s="537"/>
      <c r="HUK226" s="537"/>
      <c r="HUL226" s="537"/>
      <c r="HUM226" s="537"/>
      <c r="HUN226" s="537"/>
      <c r="HUO226" s="537"/>
      <c r="HUP226" s="537"/>
      <c r="HUQ226" s="537"/>
      <c r="HUR226" s="537"/>
      <c r="HUS226" s="537"/>
      <c r="HUT226" s="537"/>
      <c r="HUU226" s="537"/>
      <c r="HUV226" s="537"/>
      <c r="HUW226" s="537"/>
      <c r="HUX226" s="537"/>
      <c r="HUY226" s="537"/>
      <c r="HUZ226" s="537"/>
      <c r="HVA226" s="537"/>
      <c r="HVB226" s="537"/>
      <c r="HVC226" s="537"/>
      <c r="HVD226" s="537"/>
      <c r="HVE226" s="537"/>
      <c r="HVF226" s="537"/>
      <c r="HVG226" s="537"/>
      <c r="HVH226" s="537"/>
      <c r="HVI226" s="537"/>
      <c r="HVJ226" s="537"/>
      <c r="HVK226" s="537"/>
      <c r="HVL226" s="537"/>
      <c r="HVM226" s="537"/>
      <c r="HVN226" s="537"/>
      <c r="HVO226" s="537"/>
      <c r="HVP226" s="537"/>
      <c r="HVQ226" s="537"/>
      <c r="HVR226" s="537"/>
      <c r="HVS226" s="537"/>
      <c r="HVT226" s="537"/>
      <c r="HVU226" s="537"/>
      <c r="HVV226" s="537"/>
      <c r="HVW226" s="537"/>
      <c r="HVX226" s="537"/>
      <c r="HVY226" s="537"/>
      <c r="HVZ226" s="537"/>
      <c r="HWA226" s="537"/>
      <c r="HWB226" s="537"/>
      <c r="HWC226" s="537"/>
      <c r="HWD226" s="537"/>
      <c r="HWE226" s="537"/>
      <c r="HWF226" s="537"/>
      <c r="HWG226" s="537"/>
      <c r="HWH226" s="537"/>
      <c r="HWI226" s="537"/>
      <c r="HWJ226" s="537"/>
      <c r="HWK226" s="537"/>
      <c r="HWL226" s="537"/>
      <c r="HWM226" s="537"/>
      <c r="HWN226" s="537"/>
      <c r="HWO226" s="537"/>
      <c r="HWP226" s="537"/>
      <c r="HWQ226" s="537"/>
      <c r="HWR226" s="537"/>
      <c r="HWS226" s="537"/>
      <c r="HWT226" s="537"/>
      <c r="HWU226" s="537"/>
      <c r="HWV226" s="537"/>
      <c r="HWW226" s="537"/>
      <c r="HWX226" s="537"/>
      <c r="HWY226" s="537"/>
      <c r="HWZ226" s="537"/>
      <c r="HXA226" s="537"/>
      <c r="HXB226" s="537"/>
      <c r="HXC226" s="537"/>
      <c r="HXD226" s="537"/>
      <c r="HXE226" s="537"/>
      <c r="HXF226" s="537"/>
      <c r="HXG226" s="537"/>
      <c r="HXH226" s="537"/>
      <c r="HXI226" s="537"/>
      <c r="HXJ226" s="537"/>
      <c r="HXK226" s="537"/>
      <c r="HXL226" s="537"/>
      <c r="HXM226" s="537"/>
      <c r="HXN226" s="537"/>
      <c r="HXO226" s="537"/>
      <c r="HXP226" s="537"/>
      <c r="HXQ226" s="537"/>
      <c r="HXR226" s="537"/>
      <c r="HXS226" s="537"/>
      <c r="HXT226" s="537"/>
      <c r="HXU226" s="537"/>
      <c r="HXV226" s="537"/>
      <c r="HXW226" s="537"/>
      <c r="HXX226" s="537"/>
      <c r="HXY226" s="537"/>
      <c r="HXZ226" s="537"/>
      <c r="HYA226" s="537"/>
      <c r="HYB226" s="537"/>
      <c r="HYC226" s="537"/>
      <c r="HYD226" s="537"/>
      <c r="HYE226" s="537"/>
      <c r="HYF226" s="537"/>
      <c r="HYG226" s="537"/>
      <c r="HYH226" s="537"/>
      <c r="HYI226" s="537"/>
      <c r="HYJ226" s="537"/>
      <c r="HYK226" s="537"/>
      <c r="HYL226" s="537"/>
      <c r="HYM226" s="537"/>
      <c r="HYN226" s="537"/>
      <c r="HYO226" s="537"/>
      <c r="HYP226" s="537"/>
      <c r="HYQ226" s="537"/>
      <c r="HYR226" s="537"/>
      <c r="HYS226" s="537"/>
      <c r="HYT226" s="537"/>
      <c r="HYU226" s="537"/>
      <c r="HYV226" s="537"/>
      <c r="HYW226" s="537"/>
      <c r="HYX226" s="537"/>
      <c r="HYY226" s="537"/>
      <c r="HYZ226" s="537"/>
      <c r="HZA226" s="537"/>
      <c r="HZB226" s="537"/>
      <c r="HZC226" s="537"/>
      <c r="HZD226" s="537"/>
      <c r="HZE226" s="537"/>
      <c r="HZF226" s="537"/>
      <c r="HZG226" s="537"/>
      <c r="HZH226" s="537"/>
      <c r="HZI226" s="537"/>
      <c r="HZJ226" s="537"/>
      <c r="HZK226" s="537"/>
      <c r="HZL226" s="537"/>
      <c r="HZM226" s="537"/>
      <c r="HZN226" s="537"/>
      <c r="HZO226" s="537"/>
      <c r="HZP226" s="537"/>
      <c r="HZQ226" s="537"/>
      <c r="HZR226" s="537"/>
      <c r="HZS226" s="537"/>
      <c r="HZT226" s="537"/>
      <c r="HZU226" s="537"/>
      <c r="HZV226" s="537"/>
      <c r="HZW226" s="537"/>
      <c r="HZX226" s="537"/>
      <c r="HZY226" s="537"/>
      <c r="HZZ226" s="537"/>
      <c r="IAA226" s="537"/>
      <c r="IAB226" s="537"/>
      <c r="IAC226" s="537"/>
      <c r="IAD226" s="537"/>
      <c r="IAE226" s="537"/>
      <c r="IAF226" s="537"/>
      <c r="IAG226" s="537"/>
      <c r="IAH226" s="537"/>
      <c r="IAI226" s="537"/>
      <c r="IAJ226" s="537"/>
      <c r="IAK226" s="537"/>
      <c r="IAL226" s="537"/>
      <c r="IAM226" s="537"/>
      <c r="IAN226" s="537"/>
      <c r="IAO226" s="537"/>
      <c r="IAP226" s="537"/>
      <c r="IAQ226" s="537"/>
      <c r="IAR226" s="537"/>
      <c r="IAS226" s="537"/>
      <c r="IAT226" s="537"/>
      <c r="IAU226" s="537"/>
      <c r="IAV226" s="537"/>
      <c r="IAW226" s="537"/>
      <c r="IAX226" s="537"/>
      <c r="IAY226" s="537"/>
      <c r="IAZ226" s="537"/>
      <c r="IBA226" s="537"/>
      <c r="IBB226" s="537"/>
      <c r="IBC226" s="537"/>
      <c r="IBD226" s="537"/>
      <c r="IBE226" s="537"/>
      <c r="IBF226" s="537"/>
      <c r="IBG226" s="537"/>
      <c r="IBH226" s="537"/>
      <c r="IBI226" s="537"/>
      <c r="IBJ226" s="537"/>
      <c r="IBK226" s="537"/>
      <c r="IBL226" s="537"/>
      <c r="IBM226" s="537"/>
      <c r="IBN226" s="537"/>
      <c r="IBO226" s="537"/>
      <c r="IBP226" s="537"/>
      <c r="IBQ226" s="537"/>
      <c r="IBR226" s="537"/>
      <c r="IBS226" s="537"/>
      <c r="IBT226" s="537"/>
      <c r="IBU226" s="537"/>
      <c r="IBV226" s="537"/>
      <c r="IBW226" s="537"/>
      <c r="IBX226" s="537"/>
      <c r="IBY226" s="537"/>
      <c r="IBZ226" s="537"/>
      <c r="ICA226" s="537"/>
      <c r="ICB226" s="537"/>
      <c r="ICC226" s="537"/>
      <c r="ICD226" s="537"/>
      <c r="ICE226" s="537"/>
      <c r="ICF226" s="537"/>
      <c r="ICG226" s="537"/>
      <c r="ICH226" s="537"/>
      <c r="ICI226" s="537"/>
      <c r="ICJ226" s="537"/>
      <c r="ICK226" s="537"/>
      <c r="ICL226" s="537"/>
      <c r="ICM226" s="537"/>
      <c r="ICN226" s="537"/>
      <c r="ICO226" s="537"/>
      <c r="ICP226" s="537"/>
      <c r="ICQ226" s="537"/>
      <c r="ICR226" s="537"/>
      <c r="ICS226" s="537"/>
      <c r="ICT226" s="537"/>
      <c r="ICU226" s="537"/>
      <c r="ICV226" s="537"/>
      <c r="ICW226" s="537"/>
      <c r="ICX226" s="537"/>
      <c r="ICY226" s="537"/>
      <c r="ICZ226" s="537"/>
      <c r="IDA226" s="537"/>
      <c r="IDB226" s="537"/>
      <c r="IDC226" s="537"/>
      <c r="IDD226" s="537"/>
      <c r="IDE226" s="537"/>
      <c r="IDF226" s="537"/>
      <c r="IDG226" s="537"/>
      <c r="IDH226" s="537"/>
      <c r="IDI226" s="537"/>
      <c r="IDJ226" s="537"/>
      <c r="IDK226" s="537"/>
      <c r="IDL226" s="537"/>
      <c r="IDM226" s="537"/>
      <c r="IDN226" s="537"/>
      <c r="IDO226" s="537"/>
      <c r="IDP226" s="537"/>
      <c r="IDQ226" s="537"/>
      <c r="IDR226" s="537"/>
      <c r="IDS226" s="537"/>
      <c r="IDT226" s="537"/>
      <c r="IDU226" s="537"/>
      <c r="IDV226" s="537"/>
      <c r="IDW226" s="537"/>
      <c r="IDX226" s="537"/>
      <c r="IDY226" s="537"/>
      <c r="IDZ226" s="537"/>
      <c r="IEA226" s="537"/>
      <c r="IEB226" s="537"/>
      <c r="IEC226" s="537"/>
      <c r="IED226" s="537"/>
      <c r="IEE226" s="537"/>
      <c r="IEF226" s="537"/>
      <c r="IEG226" s="537"/>
      <c r="IEH226" s="537"/>
      <c r="IEI226" s="537"/>
      <c r="IEJ226" s="537"/>
      <c r="IEK226" s="537"/>
      <c r="IEL226" s="537"/>
      <c r="IEM226" s="537"/>
      <c r="IEN226" s="537"/>
      <c r="IEO226" s="537"/>
      <c r="IEP226" s="537"/>
      <c r="IEQ226" s="537"/>
      <c r="IER226" s="537"/>
      <c r="IES226" s="537"/>
      <c r="IET226" s="537"/>
      <c r="IEU226" s="537"/>
      <c r="IEV226" s="537"/>
      <c r="IEW226" s="537"/>
      <c r="IEX226" s="537"/>
      <c r="IEY226" s="537"/>
      <c r="IEZ226" s="537"/>
      <c r="IFA226" s="537"/>
      <c r="IFB226" s="537"/>
      <c r="IFC226" s="537"/>
      <c r="IFD226" s="537"/>
      <c r="IFE226" s="537"/>
      <c r="IFF226" s="537"/>
      <c r="IFG226" s="537"/>
      <c r="IFH226" s="537"/>
      <c r="IFI226" s="537"/>
      <c r="IFJ226" s="537"/>
      <c r="IFK226" s="537"/>
      <c r="IFL226" s="537"/>
      <c r="IFM226" s="537"/>
      <c r="IFN226" s="537"/>
      <c r="IFO226" s="537"/>
      <c r="IFP226" s="537"/>
      <c r="IFQ226" s="537"/>
      <c r="IFR226" s="537"/>
      <c r="IFS226" s="537"/>
      <c r="IFT226" s="537"/>
      <c r="IFU226" s="537"/>
      <c r="IFV226" s="537"/>
      <c r="IFW226" s="537"/>
      <c r="IFX226" s="537"/>
      <c r="IFY226" s="537"/>
      <c r="IFZ226" s="537"/>
      <c r="IGA226" s="537"/>
      <c r="IGB226" s="537"/>
      <c r="IGC226" s="537"/>
      <c r="IGD226" s="537"/>
      <c r="IGE226" s="537"/>
      <c r="IGF226" s="537"/>
      <c r="IGG226" s="537"/>
      <c r="IGH226" s="537"/>
      <c r="IGI226" s="537"/>
      <c r="IGJ226" s="537"/>
      <c r="IGK226" s="537"/>
      <c r="IGL226" s="537"/>
      <c r="IGM226" s="537"/>
      <c r="IGN226" s="537"/>
      <c r="IGO226" s="537"/>
      <c r="IGP226" s="537"/>
      <c r="IGQ226" s="537"/>
      <c r="IGR226" s="537"/>
      <c r="IGS226" s="537"/>
      <c r="IGT226" s="537"/>
      <c r="IGU226" s="537"/>
      <c r="IGV226" s="537"/>
      <c r="IGW226" s="537"/>
      <c r="IGX226" s="537"/>
      <c r="IGY226" s="537"/>
      <c r="IGZ226" s="537"/>
      <c r="IHA226" s="537"/>
      <c r="IHB226" s="537"/>
      <c r="IHC226" s="537"/>
      <c r="IHD226" s="537"/>
      <c r="IHE226" s="537"/>
      <c r="IHF226" s="537"/>
      <c r="IHG226" s="537"/>
      <c r="IHH226" s="537"/>
      <c r="IHI226" s="537"/>
      <c r="IHJ226" s="537"/>
      <c r="IHK226" s="537"/>
      <c r="IHL226" s="537"/>
      <c r="IHM226" s="537"/>
      <c r="IHN226" s="537"/>
      <c r="IHO226" s="537"/>
      <c r="IHP226" s="537"/>
      <c r="IHQ226" s="537"/>
      <c r="IHR226" s="537"/>
      <c r="IHS226" s="537"/>
      <c r="IHT226" s="537"/>
      <c r="IHU226" s="537"/>
      <c r="IHV226" s="537"/>
      <c r="IHW226" s="537"/>
      <c r="IHX226" s="537"/>
      <c r="IHY226" s="537"/>
      <c r="IHZ226" s="537"/>
      <c r="IIA226" s="537"/>
      <c r="IIB226" s="537"/>
      <c r="IIC226" s="537"/>
      <c r="IID226" s="537"/>
      <c r="IIE226" s="537"/>
      <c r="IIF226" s="537"/>
      <c r="IIG226" s="537"/>
      <c r="IIH226" s="537"/>
      <c r="III226" s="537"/>
      <c r="IIJ226" s="537"/>
      <c r="IIK226" s="537"/>
      <c r="IIL226" s="537"/>
      <c r="IIM226" s="537"/>
      <c r="IIN226" s="537"/>
      <c r="IIO226" s="537"/>
      <c r="IIP226" s="537"/>
      <c r="IIQ226" s="537"/>
      <c r="IIR226" s="537"/>
      <c r="IIS226" s="537"/>
      <c r="IIT226" s="537"/>
      <c r="IIU226" s="537"/>
      <c r="IIV226" s="537"/>
      <c r="IIW226" s="537"/>
      <c r="IIX226" s="537"/>
      <c r="IIY226" s="537"/>
      <c r="IIZ226" s="537"/>
      <c r="IJA226" s="537"/>
      <c r="IJB226" s="537"/>
      <c r="IJC226" s="537"/>
      <c r="IJD226" s="537"/>
      <c r="IJE226" s="537"/>
      <c r="IJF226" s="537"/>
      <c r="IJG226" s="537"/>
      <c r="IJH226" s="537"/>
      <c r="IJI226" s="537"/>
      <c r="IJJ226" s="537"/>
      <c r="IJK226" s="537"/>
      <c r="IJL226" s="537"/>
      <c r="IJM226" s="537"/>
      <c r="IJN226" s="537"/>
      <c r="IJO226" s="537"/>
      <c r="IJP226" s="537"/>
      <c r="IJQ226" s="537"/>
      <c r="IJR226" s="537"/>
      <c r="IJS226" s="537"/>
      <c r="IJT226" s="537"/>
      <c r="IJU226" s="537"/>
      <c r="IJV226" s="537"/>
      <c r="IJW226" s="537"/>
      <c r="IJX226" s="537"/>
      <c r="IJY226" s="537"/>
      <c r="IJZ226" s="537"/>
      <c r="IKA226" s="537"/>
      <c r="IKB226" s="537"/>
      <c r="IKC226" s="537"/>
      <c r="IKD226" s="537"/>
      <c r="IKE226" s="537"/>
      <c r="IKF226" s="537"/>
      <c r="IKG226" s="537"/>
      <c r="IKH226" s="537"/>
      <c r="IKI226" s="537"/>
      <c r="IKJ226" s="537"/>
      <c r="IKK226" s="537"/>
      <c r="IKL226" s="537"/>
      <c r="IKM226" s="537"/>
      <c r="IKN226" s="537"/>
      <c r="IKO226" s="537"/>
      <c r="IKP226" s="537"/>
      <c r="IKQ226" s="537"/>
      <c r="IKR226" s="537"/>
      <c r="IKS226" s="537"/>
      <c r="IKT226" s="537"/>
      <c r="IKU226" s="537"/>
      <c r="IKV226" s="537"/>
      <c r="IKW226" s="537"/>
      <c r="IKX226" s="537"/>
      <c r="IKY226" s="537"/>
      <c r="IKZ226" s="537"/>
      <c r="ILA226" s="537"/>
      <c r="ILB226" s="537"/>
      <c r="ILC226" s="537"/>
      <c r="ILD226" s="537"/>
      <c r="ILE226" s="537"/>
      <c r="ILF226" s="537"/>
      <c r="ILG226" s="537"/>
      <c r="ILH226" s="537"/>
      <c r="ILI226" s="537"/>
      <c r="ILJ226" s="537"/>
      <c r="ILK226" s="537"/>
      <c r="ILL226" s="537"/>
      <c r="ILM226" s="537"/>
      <c r="ILN226" s="537"/>
      <c r="ILO226" s="537"/>
      <c r="ILP226" s="537"/>
      <c r="ILQ226" s="537"/>
      <c r="ILR226" s="537"/>
      <c r="ILS226" s="537"/>
      <c r="ILT226" s="537"/>
      <c r="ILU226" s="537"/>
      <c r="ILV226" s="537"/>
      <c r="ILW226" s="537"/>
      <c r="ILX226" s="537"/>
      <c r="ILY226" s="537"/>
      <c r="ILZ226" s="537"/>
      <c r="IMA226" s="537"/>
      <c r="IMB226" s="537"/>
      <c r="IMC226" s="537"/>
      <c r="IMD226" s="537"/>
      <c r="IME226" s="537"/>
      <c r="IMF226" s="537"/>
      <c r="IMG226" s="537"/>
      <c r="IMH226" s="537"/>
      <c r="IMI226" s="537"/>
      <c r="IMJ226" s="537"/>
      <c r="IMK226" s="537"/>
      <c r="IML226" s="537"/>
      <c r="IMM226" s="537"/>
      <c r="IMN226" s="537"/>
      <c r="IMO226" s="537"/>
      <c r="IMP226" s="537"/>
      <c r="IMQ226" s="537"/>
      <c r="IMR226" s="537"/>
      <c r="IMS226" s="537"/>
      <c r="IMT226" s="537"/>
      <c r="IMU226" s="537"/>
      <c r="IMV226" s="537"/>
      <c r="IMW226" s="537"/>
      <c r="IMX226" s="537"/>
      <c r="IMY226" s="537"/>
      <c r="IMZ226" s="537"/>
      <c r="INA226" s="537"/>
      <c r="INB226" s="537"/>
      <c r="INC226" s="537"/>
      <c r="IND226" s="537"/>
      <c r="INE226" s="537"/>
      <c r="INF226" s="537"/>
      <c r="ING226" s="537"/>
      <c r="INH226" s="537"/>
      <c r="INI226" s="537"/>
      <c r="INJ226" s="537"/>
      <c r="INK226" s="537"/>
      <c r="INL226" s="537"/>
      <c r="INM226" s="537"/>
      <c r="INN226" s="537"/>
      <c r="INO226" s="537"/>
      <c r="INP226" s="537"/>
      <c r="INQ226" s="537"/>
      <c r="INR226" s="537"/>
      <c r="INS226" s="537"/>
      <c r="INT226" s="537"/>
      <c r="INU226" s="537"/>
      <c r="INV226" s="537"/>
      <c r="INW226" s="537"/>
      <c r="INX226" s="537"/>
      <c r="INY226" s="537"/>
      <c r="INZ226" s="537"/>
      <c r="IOA226" s="537"/>
      <c r="IOB226" s="537"/>
      <c r="IOC226" s="537"/>
      <c r="IOD226" s="537"/>
      <c r="IOE226" s="537"/>
      <c r="IOF226" s="537"/>
      <c r="IOG226" s="537"/>
      <c r="IOH226" s="537"/>
      <c r="IOI226" s="537"/>
      <c r="IOJ226" s="537"/>
      <c r="IOK226" s="537"/>
      <c r="IOL226" s="537"/>
      <c r="IOM226" s="537"/>
      <c r="ION226" s="537"/>
      <c r="IOO226" s="537"/>
      <c r="IOP226" s="537"/>
      <c r="IOQ226" s="537"/>
      <c r="IOR226" s="537"/>
      <c r="IOS226" s="537"/>
      <c r="IOT226" s="537"/>
      <c r="IOU226" s="537"/>
      <c r="IOV226" s="537"/>
      <c r="IOW226" s="537"/>
      <c r="IOX226" s="537"/>
      <c r="IOY226" s="537"/>
      <c r="IOZ226" s="537"/>
      <c r="IPA226" s="537"/>
      <c r="IPB226" s="537"/>
      <c r="IPC226" s="537"/>
      <c r="IPD226" s="537"/>
      <c r="IPE226" s="537"/>
      <c r="IPF226" s="537"/>
      <c r="IPG226" s="537"/>
      <c r="IPH226" s="537"/>
      <c r="IPI226" s="537"/>
      <c r="IPJ226" s="537"/>
      <c r="IPK226" s="537"/>
      <c r="IPL226" s="537"/>
      <c r="IPM226" s="537"/>
      <c r="IPN226" s="537"/>
      <c r="IPO226" s="537"/>
      <c r="IPP226" s="537"/>
      <c r="IPQ226" s="537"/>
      <c r="IPR226" s="537"/>
      <c r="IPS226" s="537"/>
      <c r="IPT226" s="537"/>
      <c r="IPU226" s="537"/>
      <c r="IPV226" s="537"/>
      <c r="IPW226" s="537"/>
      <c r="IPX226" s="537"/>
      <c r="IPY226" s="537"/>
      <c r="IPZ226" s="537"/>
      <c r="IQA226" s="537"/>
      <c r="IQB226" s="537"/>
      <c r="IQC226" s="537"/>
      <c r="IQD226" s="537"/>
      <c r="IQE226" s="537"/>
      <c r="IQF226" s="537"/>
      <c r="IQG226" s="537"/>
      <c r="IQH226" s="537"/>
      <c r="IQI226" s="537"/>
      <c r="IQJ226" s="537"/>
      <c r="IQK226" s="537"/>
      <c r="IQL226" s="537"/>
      <c r="IQM226" s="537"/>
      <c r="IQN226" s="537"/>
      <c r="IQO226" s="537"/>
      <c r="IQP226" s="537"/>
      <c r="IQQ226" s="537"/>
      <c r="IQR226" s="537"/>
      <c r="IQS226" s="537"/>
      <c r="IQT226" s="537"/>
      <c r="IQU226" s="537"/>
      <c r="IQV226" s="537"/>
      <c r="IQW226" s="537"/>
      <c r="IQX226" s="537"/>
      <c r="IQY226" s="537"/>
      <c r="IQZ226" s="537"/>
      <c r="IRA226" s="537"/>
      <c r="IRB226" s="537"/>
      <c r="IRC226" s="537"/>
      <c r="IRD226" s="537"/>
      <c r="IRE226" s="537"/>
      <c r="IRF226" s="537"/>
      <c r="IRG226" s="537"/>
      <c r="IRH226" s="537"/>
      <c r="IRI226" s="537"/>
      <c r="IRJ226" s="537"/>
      <c r="IRK226" s="537"/>
      <c r="IRL226" s="537"/>
      <c r="IRM226" s="537"/>
      <c r="IRN226" s="537"/>
      <c r="IRO226" s="537"/>
      <c r="IRP226" s="537"/>
      <c r="IRQ226" s="537"/>
      <c r="IRR226" s="537"/>
      <c r="IRS226" s="537"/>
      <c r="IRT226" s="537"/>
      <c r="IRU226" s="537"/>
      <c r="IRV226" s="537"/>
      <c r="IRW226" s="537"/>
      <c r="IRX226" s="537"/>
      <c r="IRY226" s="537"/>
      <c r="IRZ226" s="537"/>
      <c r="ISA226" s="537"/>
      <c r="ISB226" s="537"/>
      <c r="ISC226" s="537"/>
      <c r="ISD226" s="537"/>
      <c r="ISE226" s="537"/>
      <c r="ISF226" s="537"/>
      <c r="ISG226" s="537"/>
      <c r="ISH226" s="537"/>
      <c r="ISI226" s="537"/>
      <c r="ISJ226" s="537"/>
      <c r="ISK226" s="537"/>
      <c r="ISL226" s="537"/>
      <c r="ISM226" s="537"/>
      <c r="ISN226" s="537"/>
      <c r="ISO226" s="537"/>
      <c r="ISP226" s="537"/>
      <c r="ISQ226" s="537"/>
      <c r="ISR226" s="537"/>
      <c r="ISS226" s="537"/>
      <c r="IST226" s="537"/>
      <c r="ISU226" s="537"/>
      <c r="ISV226" s="537"/>
      <c r="ISW226" s="537"/>
      <c r="ISX226" s="537"/>
      <c r="ISY226" s="537"/>
      <c r="ISZ226" s="537"/>
      <c r="ITA226" s="537"/>
      <c r="ITB226" s="537"/>
      <c r="ITC226" s="537"/>
      <c r="ITD226" s="537"/>
      <c r="ITE226" s="537"/>
      <c r="ITF226" s="537"/>
      <c r="ITG226" s="537"/>
      <c r="ITH226" s="537"/>
      <c r="ITI226" s="537"/>
      <c r="ITJ226" s="537"/>
      <c r="ITK226" s="537"/>
      <c r="ITL226" s="537"/>
      <c r="ITM226" s="537"/>
      <c r="ITN226" s="537"/>
      <c r="ITO226" s="537"/>
      <c r="ITP226" s="537"/>
      <c r="ITQ226" s="537"/>
      <c r="ITR226" s="537"/>
      <c r="ITS226" s="537"/>
      <c r="ITT226" s="537"/>
      <c r="ITU226" s="537"/>
      <c r="ITV226" s="537"/>
      <c r="ITW226" s="537"/>
      <c r="ITX226" s="537"/>
      <c r="ITY226" s="537"/>
      <c r="ITZ226" s="537"/>
      <c r="IUA226" s="537"/>
      <c r="IUB226" s="537"/>
      <c r="IUC226" s="537"/>
      <c r="IUD226" s="537"/>
      <c r="IUE226" s="537"/>
      <c r="IUF226" s="537"/>
      <c r="IUG226" s="537"/>
      <c r="IUH226" s="537"/>
      <c r="IUI226" s="537"/>
      <c r="IUJ226" s="537"/>
      <c r="IUK226" s="537"/>
      <c r="IUL226" s="537"/>
      <c r="IUM226" s="537"/>
      <c r="IUN226" s="537"/>
      <c r="IUO226" s="537"/>
      <c r="IUP226" s="537"/>
      <c r="IUQ226" s="537"/>
      <c r="IUR226" s="537"/>
      <c r="IUS226" s="537"/>
      <c r="IUT226" s="537"/>
      <c r="IUU226" s="537"/>
      <c r="IUV226" s="537"/>
      <c r="IUW226" s="537"/>
      <c r="IUX226" s="537"/>
      <c r="IUY226" s="537"/>
      <c r="IUZ226" s="537"/>
      <c r="IVA226" s="537"/>
      <c r="IVB226" s="537"/>
      <c r="IVC226" s="537"/>
      <c r="IVD226" s="537"/>
      <c r="IVE226" s="537"/>
      <c r="IVF226" s="537"/>
      <c r="IVG226" s="537"/>
      <c r="IVH226" s="537"/>
      <c r="IVI226" s="537"/>
      <c r="IVJ226" s="537"/>
      <c r="IVK226" s="537"/>
      <c r="IVL226" s="537"/>
      <c r="IVM226" s="537"/>
      <c r="IVN226" s="537"/>
      <c r="IVO226" s="537"/>
      <c r="IVP226" s="537"/>
      <c r="IVQ226" s="537"/>
      <c r="IVR226" s="537"/>
      <c r="IVS226" s="537"/>
      <c r="IVT226" s="537"/>
      <c r="IVU226" s="537"/>
      <c r="IVV226" s="537"/>
      <c r="IVW226" s="537"/>
      <c r="IVX226" s="537"/>
      <c r="IVY226" s="537"/>
      <c r="IVZ226" s="537"/>
      <c r="IWA226" s="537"/>
      <c r="IWB226" s="537"/>
      <c r="IWC226" s="537"/>
      <c r="IWD226" s="537"/>
      <c r="IWE226" s="537"/>
      <c r="IWF226" s="537"/>
      <c r="IWG226" s="537"/>
      <c r="IWH226" s="537"/>
      <c r="IWI226" s="537"/>
      <c r="IWJ226" s="537"/>
      <c r="IWK226" s="537"/>
      <c r="IWL226" s="537"/>
      <c r="IWM226" s="537"/>
      <c r="IWN226" s="537"/>
      <c r="IWO226" s="537"/>
      <c r="IWP226" s="537"/>
      <c r="IWQ226" s="537"/>
      <c r="IWR226" s="537"/>
      <c r="IWS226" s="537"/>
      <c r="IWT226" s="537"/>
      <c r="IWU226" s="537"/>
      <c r="IWV226" s="537"/>
      <c r="IWW226" s="537"/>
      <c r="IWX226" s="537"/>
      <c r="IWY226" s="537"/>
      <c r="IWZ226" s="537"/>
      <c r="IXA226" s="537"/>
      <c r="IXB226" s="537"/>
      <c r="IXC226" s="537"/>
      <c r="IXD226" s="537"/>
      <c r="IXE226" s="537"/>
      <c r="IXF226" s="537"/>
      <c r="IXG226" s="537"/>
      <c r="IXH226" s="537"/>
      <c r="IXI226" s="537"/>
      <c r="IXJ226" s="537"/>
      <c r="IXK226" s="537"/>
      <c r="IXL226" s="537"/>
      <c r="IXM226" s="537"/>
      <c r="IXN226" s="537"/>
      <c r="IXO226" s="537"/>
      <c r="IXP226" s="537"/>
      <c r="IXQ226" s="537"/>
      <c r="IXR226" s="537"/>
      <c r="IXS226" s="537"/>
      <c r="IXT226" s="537"/>
      <c r="IXU226" s="537"/>
      <c r="IXV226" s="537"/>
      <c r="IXW226" s="537"/>
      <c r="IXX226" s="537"/>
      <c r="IXY226" s="537"/>
      <c r="IXZ226" s="537"/>
      <c r="IYA226" s="537"/>
      <c r="IYB226" s="537"/>
      <c r="IYC226" s="537"/>
      <c r="IYD226" s="537"/>
      <c r="IYE226" s="537"/>
      <c r="IYF226" s="537"/>
      <c r="IYG226" s="537"/>
      <c r="IYH226" s="537"/>
      <c r="IYI226" s="537"/>
      <c r="IYJ226" s="537"/>
      <c r="IYK226" s="537"/>
      <c r="IYL226" s="537"/>
      <c r="IYM226" s="537"/>
      <c r="IYN226" s="537"/>
      <c r="IYO226" s="537"/>
      <c r="IYP226" s="537"/>
      <c r="IYQ226" s="537"/>
      <c r="IYR226" s="537"/>
      <c r="IYS226" s="537"/>
      <c r="IYT226" s="537"/>
      <c r="IYU226" s="537"/>
      <c r="IYV226" s="537"/>
      <c r="IYW226" s="537"/>
      <c r="IYX226" s="537"/>
      <c r="IYY226" s="537"/>
      <c r="IYZ226" s="537"/>
      <c r="IZA226" s="537"/>
      <c r="IZB226" s="537"/>
      <c r="IZC226" s="537"/>
      <c r="IZD226" s="537"/>
      <c r="IZE226" s="537"/>
      <c r="IZF226" s="537"/>
      <c r="IZG226" s="537"/>
      <c r="IZH226" s="537"/>
      <c r="IZI226" s="537"/>
      <c r="IZJ226" s="537"/>
      <c r="IZK226" s="537"/>
      <c r="IZL226" s="537"/>
      <c r="IZM226" s="537"/>
      <c r="IZN226" s="537"/>
      <c r="IZO226" s="537"/>
      <c r="IZP226" s="537"/>
      <c r="IZQ226" s="537"/>
      <c r="IZR226" s="537"/>
      <c r="IZS226" s="537"/>
      <c r="IZT226" s="537"/>
      <c r="IZU226" s="537"/>
      <c r="IZV226" s="537"/>
      <c r="IZW226" s="537"/>
      <c r="IZX226" s="537"/>
      <c r="IZY226" s="537"/>
      <c r="IZZ226" s="537"/>
      <c r="JAA226" s="537"/>
      <c r="JAB226" s="537"/>
      <c r="JAC226" s="537"/>
      <c r="JAD226" s="537"/>
      <c r="JAE226" s="537"/>
      <c r="JAF226" s="537"/>
      <c r="JAG226" s="537"/>
      <c r="JAH226" s="537"/>
      <c r="JAI226" s="537"/>
      <c r="JAJ226" s="537"/>
      <c r="JAK226" s="537"/>
      <c r="JAL226" s="537"/>
      <c r="JAM226" s="537"/>
      <c r="JAN226" s="537"/>
      <c r="JAO226" s="537"/>
      <c r="JAP226" s="537"/>
      <c r="JAQ226" s="537"/>
      <c r="JAR226" s="537"/>
      <c r="JAS226" s="537"/>
      <c r="JAT226" s="537"/>
      <c r="JAU226" s="537"/>
      <c r="JAV226" s="537"/>
      <c r="JAW226" s="537"/>
      <c r="JAX226" s="537"/>
      <c r="JAY226" s="537"/>
      <c r="JAZ226" s="537"/>
      <c r="JBA226" s="537"/>
      <c r="JBB226" s="537"/>
      <c r="JBC226" s="537"/>
      <c r="JBD226" s="537"/>
      <c r="JBE226" s="537"/>
      <c r="JBF226" s="537"/>
      <c r="JBG226" s="537"/>
      <c r="JBH226" s="537"/>
      <c r="JBI226" s="537"/>
      <c r="JBJ226" s="537"/>
      <c r="JBK226" s="537"/>
      <c r="JBL226" s="537"/>
      <c r="JBM226" s="537"/>
      <c r="JBN226" s="537"/>
      <c r="JBO226" s="537"/>
      <c r="JBP226" s="537"/>
      <c r="JBQ226" s="537"/>
      <c r="JBR226" s="537"/>
      <c r="JBS226" s="537"/>
      <c r="JBT226" s="537"/>
      <c r="JBU226" s="537"/>
      <c r="JBV226" s="537"/>
      <c r="JBW226" s="537"/>
      <c r="JBX226" s="537"/>
      <c r="JBY226" s="537"/>
      <c r="JBZ226" s="537"/>
      <c r="JCA226" s="537"/>
      <c r="JCB226" s="537"/>
      <c r="JCC226" s="537"/>
      <c r="JCD226" s="537"/>
      <c r="JCE226" s="537"/>
      <c r="JCF226" s="537"/>
      <c r="JCG226" s="537"/>
      <c r="JCH226" s="537"/>
      <c r="JCI226" s="537"/>
      <c r="JCJ226" s="537"/>
      <c r="JCK226" s="537"/>
      <c r="JCL226" s="537"/>
      <c r="JCM226" s="537"/>
      <c r="JCN226" s="537"/>
      <c r="JCO226" s="537"/>
      <c r="JCP226" s="537"/>
      <c r="JCQ226" s="537"/>
      <c r="JCR226" s="537"/>
      <c r="JCS226" s="537"/>
      <c r="JCT226" s="537"/>
      <c r="JCU226" s="537"/>
      <c r="JCV226" s="537"/>
      <c r="JCW226" s="537"/>
      <c r="JCX226" s="537"/>
      <c r="JCY226" s="537"/>
      <c r="JCZ226" s="537"/>
      <c r="JDA226" s="537"/>
      <c r="JDB226" s="537"/>
      <c r="JDC226" s="537"/>
      <c r="JDD226" s="537"/>
      <c r="JDE226" s="537"/>
      <c r="JDF226" s="537"/>
      <c r="JDG226" s="537"/>
      <c r="JDH226" s="537"/>
      <c r="JDI226" s="537"/>
      <c r="JDJ226" s="537"/>
      <c r="JDK226" s="537"/>
      <c r="JDL226" s="537"/>
      <c r="JDM226" s="537"/>
      <c r="JDN226" s="537"/>
      <c r="JDO226" s="537"/>
      <c r="JDP226" s="537"/>
      <c r="JDQ226" s="537"/>
      <c r="JDR226" s="537"/>
      <c r="JDS226" s="537"/>
      <c r="JDT226" s="537"/>
      <c r="JDU226" s="537"/>
      <c r="JDV226" s="537"/>
      <c r="JDW226" s="537"/>
      <c r="JDX226" s="537"/>
      <c r="JDY226" s="537"/>
      <c r="JDZ226" s="537"/>
      <c r="JEA226" s="537"/>
      <c r="JEB226" s="537"/>
      <c r="JEC226" s="537"/>
      <c r="JED226" s="537"/>
      <c r="JEE226" s="537"/>
      <c r="JEF226" s="537"/>
      <c r="JEG226" s="537"/>
      <c r="JEH226" s="537"/>
      <c r="JEI226" s="537"/>
      <c r="JEJ226" s="537"/>
      <c r="JEK226" s="537"/>
      <c r="JEL226" s="537"/>
      <c r="JEM226" s="537"/>
      <c r="JEN226" s="537"/>
      <c r="JEO226" s="537"/>
      <c r="JEP226" s="537"/>
      <c r="JEQ226" s="537"/>
      <c r="JER226" s="537"/>
      <c r="JES226" s="537"/>
      <c r="JET226" s="537"/>
      <c r="JEU226" s="537"/>
      <c r="JEV226" s="537"/>
      <c r="JEW226" s="537"/>
      <c r="JEX226" s="537"/>
      <c r="JEY226" s="537"/>
      <c r="JEZ226" s="537"/>
      <c r="JFA226" s="537"/>
      <c r="JFB226" s="537"/>
      <c r="JFC226" s="537"/>
      <c r="JFD226" s="537"/>
      <c r="JFE226" s="537"/>
      <c r="JFF226" s="537"/>
      <c r="JFG226" s="537"/>
      <c r="JFH226" s="537"/>
      <c r="JFI226" s="537"/>
      <c r="JFJ226" s="537"/>
      <c r="JFK226" s="537"/>
      <c r="JFL226" s="537"/>
      <c r="JFM226" s="537"/>
      <c r="JFN226" s="537"/>
      <c r="JFO226" s="537"/>
      <c r="JFP226" s="537"/>
      <c r="JFQ226" s="537"/>
      <c r="JFR226" s="537"/>
      <c r="JFS226" s="537"/>
      <c r="JFT226" s="537"/>
      <c r="JFU226" s="537"/>
      <c r="JFV226" s="537"/>
      <c r="JFW226" s="537"/>
      <c r="JFX226" s="537"/>
      <c r="JFY226" s="537"/>
      <c r="JFZ226" s="537"/>
      <c r="JGA226" s="537"/>
      <c r="JGB226" s="537"/>
      <c r="JGC226" s="537"/>
      <c r="JGD226" s="537"/>
      <c r="JGE226" s="537"/>
      <c r="JGF226" s="537"/>
      <c r="JGG226" s="537"/>
      <c r="JGH226" s="537"/>
      <c r="JGI226" s="537"/>
      <c r="JGJ226" s="537"/>
      <c r="JGK226" s="537"/>
      <c r="JGL226" s="537"/>
      <c r="JGM226" s="537"/>
      <c r="JGN226" s="537"/>
      <c r="JGO226" s="537"/>
      <c r="JGP226" s="537"/>
      <c r="JGQ226" s="537"/>
      <c r="JGR226" s="537"/>
      <c r="JGS226" s="537"/>
      <c r="JGT226" s="537"/>
      <c r="JGU226" s="537"/>
      <c r="JGV226" s="537"/>
      <c r="JGW226" s="537"/>
      <c r="JGX226" s="537"/>
      <c r="JGY226" s="537"/>
      <c r="JGZ226" s="537"/>
      <c r="JHA226" s="537"/>
      <c r="JHB226" s="537"/>
      <c r="JHC226" s="537"/>
      <c r="JHD226" s="537"/>
      <c r="JHE226" s="537"/>
      <c r="JHF226" s="537"/>
      <c r="JHG226" s="537"/>
      <c r="JHH226" s="537"/>
      <c r="JHI226" s="537"/>
      <c r="JHJ226" s="537"/>
      <c r="JHK226" s="537"/>
      <c r="JHL226" s="537"/>
      <c r="JHM226" s="537"/>
      <c r="JHN226" s="537"/>
      <c r="JHO226" s="537"/>
      <c r="JHP226" s="537"/>
      <c r="JHQ226" s="537"/>
      <c r="JHR226" s="537"/>
      <c r="JHS226" s="537"/>
      <c r="JHT226" s="537"/>
      <c r="JHU226" s="537"/>
      <c r="JHV226" s="537"/>
      <c r="JHW226" s="537"/>
      <c r="JHX226" s="537"/>
      <c r="JHY226" s="537"/>
      <c r="JHZ226" s="537"/>
      <c r="JIA226" s="537"/>
      <c r="JIB226" s="537"/>
      <c r="JIC226" s="537"/>
      <c r="JID226" s="537"/>
      <c r="JIE226" s="537"/>
      <c r="JIF226" s="537"/>
      <c r="JIG226" s="537"/>
      <c r="JIH226" s="537"/>
      <c r="JII226" s="537"/>
      <c r="JIJ226" s="537"/>
      <c r="JIK226" s="537"/>
      <c r="JIL226" s="537"/>
      <c r="JIM226" s="537"/>
      <c r="JIN226" s="537"/>
      <c r="JIO226" s="537"/>
      <c r="JIP226" s="537"/>
      <c r="JIQ226" s="537"/>
      <c r="JIR226" s="537"/>
      <c r="JIS226" s="537"/>
      <c r="JIT226" s="537"/>
      <c r="JIU226" s="537"/>
      <c r="JIV226" s="537"/>
      <c r="JIW226" s="537"/>
      <c r="JIX226" s="537"/>
      <c r="JIY226" s="537"/>
      <c r="JIZ226" s="537"/>
      <c r="JJA226" s="537"/>
      <c r="JJB226" s="537"/>
      <c r="JJC226" s="537"/>
      <c r="JJD226" s="537"/>
      <c r="JJE226" s="537"/>
      <c r="JJF226" s="537"/>
      <c r="JJG226" s="537"/>
      <c r="JJH226" s="537"/>
      <c r="JJI226" s="537"/>
      <c r="JJJ226" s="537"/>
      <c r="JJK226" s="537"/>
      <c r="JJL226" s="537"/>
      <c r="JJM226" s="537"/>
      <c r="JJN226" s="537"/>
      <c r="JJO226" s="537"/>
      <c r="JJP226" s="537"/>
      <c r="JJQ226" s="537"/>
      <c r="JJR226" s="537"/>
      <c r="JJS226" s="537"/>
      <c r="JJT226" s="537"/>
      <c r="JJU226" s="537"/>
      <c r="JJV226" s="537"/>
      <c r="JJW226" s="537"/>
      <c r="JJX226" s="537"/>
      <c r="JJY226" s="537"/>
      <c r="JJZ226" s="537"/>
      <c r="JKA226" s="537"/>
      <c r="JKB226" s="537"/>
      <c r="JKC226" s="537"/>
      <c r="JKD226" s="537"/>
      <c r="JKE226" s="537"/>
      <c r="JKF226" s="537"/>
      <c r="JKG226" s="537"/>
      <c r="JKH226" s="537"/>
      <c r="JKI226" s="537"/>
      <c r="JKJ226" s="537"/>
      <c r="JKK226" s="537"/>
      <c r="JKL226" s="537"/>
      <c r="JKM226" s="537"/>
      <c r="JKN226" s="537"/>
      <c r="JKO226" s="537"/>
      <c r="JKP226" s="537"/>
      <c r="JKQ226" s="537"/>
      <c r="JKR226" s="537"/>
      <c r="JKS226" s="537"/>
      <c r="JKT226" s="537"/>
      <c r="JKU226" s="537"/>
      <c r="JKV226" s="537"/>
      <c r="JKW226" s="537"/>
      <c r="JKX226" s="537"/>
      <c r="JKY226" s="537"/>
      <c r="JKZ226" s="537"/>
      <c r="JLA226" s="537"/>
      <c r="JLB226" s="537"/>
      <c r="JLC226" s="537"/>
      <c r="JLD226" s="537"/>
      <c r="JLE226" s="537"/>
      <c r="JLF226" s="537"/>
      <c r="JLG226" s="537"/>
      <c r="JLH226" s="537"/>
      <c r="JLI226" s="537"/>
      <c r="JLJ226" s="537"/>
      <c r="JLK226" s="537"/>
      <c r="JLL226" s="537"/>
      <c r="JLM226" s="537"/>
      <c r="JLN226" s="537"/>
      <c r="JLO226" s="537"/>
      <c r="JLP226" s="537"/>
      <c r="JLQ226" s="537"/>
      <c r="JLR226" s="537"/>
      <c r="JLS226" s="537"/>
      <c r="JLT226" s="537"/>
      <c r="JLU226" s="537"/>
      <c r="JLV226" s="537"/>
      <c r="JLW226" s="537"/>
      <c r="JLX226" s="537"/>
      <c r="JLY226" s="537"/>
      <c r="JLZ226" s="537"/>
      <c r="JMA226" s="537"/>
      <c r="JMB226" s="537"/>
      <c r="JMC226" s="537"/>
      <c r="JMD226" s="537"/>
      <c r="JME226" s="537"/>
      <c r="JMF226" s="537"/>
      <c r="JMG226" s="537"/>
      <c r="JMH226" s="537"/>
      <c r="JMI226" s="537"/>
      <c r="JMJ226" s="537"/>
      <c r="JMK226" s="537"/>
      <c r="JML226" s="537"/>
      <c r="JMM226" s="537"/>
      <c r="JMN226" s="537"/>
      <c r="JMO226" s="537"/>
      <c r="JMP226" s="537"/>
      <c r="JMQ226" s="537"/>
      <c r="JMR226" s="537"/>
      <c r="JMS226" s="537"/>
      <c r="JMT226" s="537"/>
      <c r="JMU226" s="537"/>
      <c r="JMV226" s="537"/>
      <c r="JMW226" s="537"/>
      <c r="JMX226" s="537"/>
      <c r="JMY226" s="537"/>
      <c r="JMZ226" s="537"/>
      <c r="JNA226" s="537"/>
      <c r="JNB226" s="537"/>
      <c r="JNC226" s="537"/>
      <c r="JND226" s="537"/>
      <c r="JNE226" s="537"/>
      <c r="JNF226" s="537"/>
      <c r="JNG226" s="537"/>
      <c r="JNH226" s="537"/>
      <c r="JNI226" s="537"/>
      <c r="JNJ226" s="537"/>
      <c r="JNK226" s="537"/>
      <c r="JNL226" s="537"/>
      <c r="JNM226" s="537"/>
      <c r="JNN226" s="537"/>
      <c r="JNO226" s="537"/>
      <c r="JNP226" s="537"/>
      <c r="JNQ226" s="537"/>
      <c r="JNR226" s="537"/>
      <c r="JNS226" s="537"/>
      <c r="JNT226" s="537"/>
      <c r="JNU226" s="537"/>
      <c r="JNV226" s="537"/>
      <c r="JNW226" s="537"/>
      <c r="JNX226" s="537"/>
      <c r="JNY226" s="537"/>
      <c r="JNZ226" s="537"/>
      <c r="JOA226" s="537"/>
      <c r="JOB226" s="537"/>
      <c r="JOC226" s="537"/>
      <c r="JOD226" s="537"/>
      <c r="JOE226" s="537"/>
      <c r="JOF226" s="537"/>
      <c r="JOG226" s="537"/>
      <c r="JOH226" s="537"/>
      <c r="JOI226" s="537"/>
      <c r="JOJ226" s="537"/>
      <c r="JOK226" s="537"/>
      <c r="JOL226" s="537"/>
      <c r="JOM226" s="537"/>
      <c r="JON226" s="537"/>
      <c r="JOO226" s="537"/>
      <c r="JOP226" s="537"/>
      <c r="JOQ226" s="537"/>
      <c r="JOR226" s="537"/>
      <c r="JOS226" s="537"/>
      <c r="JOT226" s="537"/>
      <c r="JOU226" s="537"/>
      <c r="JOV226" s="537"/>
      <c r="JOW226" s="537"/>
      <c r="JOX226" s="537"/>
      <c r="JOY226" s="537"/>
      <c r="JOZ226" s="537"/>
      <c r="JPA226" s="537"/>
      <c r="JPB226" s="537"/>
      <c r="JPC226" s="537"/>
      <c r="JPD226" s="537"/>
      <c r="JPE226" s="537"/>
      <c r="JPF226" s="537"/>
      <c r="JPG226" s="537"/>
      <c r="JPH226" s="537"/>
      <c r="JPI226" s="537"/>
      <c r="JPJ226" s="537"/>
      <c r="JPK226" s="537"/>
      <c r="JPL226" s="537"/>
      <c r="JPM226" s="537"/>
      <c r="JPN226" s="537"/>
      <c r="JPO226" s="537"/>
      <c r="JPP226" s="537"/>
      <c r="JPQ226" s="537"/>
      <c r="JPR226" s="537"/>
      <c r="JPS226" s="537"/>
      <c r="JPT226" s="537"/>
      <c r="JPU226" s="537"/>
      <c r="JPV226" s="537"/>
      <c r="JPW226" s="537"/>
      <c r="JPX226" s="537"/>
      <c r="JPY226" s="537"/>
      <c r="JPZ226" s="537"/>
      <c r="JQA226" s="537"/>
      <c r="JQB226" s="537"/>
      <c r="JQC226" s="537"/>
      <c r="JQD226" s="537"/>
      <c r="JQE226" s="537"/>
      <c r="JQF226" s="537"/>
      <c r="JQG226" s="537"/>
      <c r="JQH226" s="537"/>
      <c r="JQI226" s="537"/>
      <c r="JQJ226" s="537"/>
      <c r="JQK226" s="537"/>
      <c r="JQL226" s="537"/>
      <c r="JQM226" s="537"/>
      <c r="JQN226" s="537"/>
      <c r="JQO226" s="537"/>
      <c r="JQP226" s="537"/>
      <c r="JQQ226" s="537"/>
      <c r="JQR226" s="537"/>
      <c r="JQS226" s="537"/>
      <c r="JQT226" s="537"/>
      <c r="JQU226" s="537"/>
      <c r="JQV226" s="537"/>
      <c r="JQW226" s="537"/>
      <c r="JQX226" s="537"/>
      <c r="JQY226" s="537"/>
      <c r="JQZ226" s="537"/>
      <c r="JRA226" s="537"/>
      <c r="JRB226" s="537"/>
      <c r="JRC226" s="537"/>
      <c r="JRD226" s="537"/>
      <c r="JRE226" s="537"/>
      <c r="JRF226" s="537"/>
      <c r="JRG226" s="537"/>
      <c r="JRH226" s="537"/>
      <c r="JRI226" s="537"/>
      <c r="JRJ226" s="537"/>
      <c r="JRK226" s="537"/>
      <c r="JRL226" s="537"/>
      <c r="JRM226" s="537"/>
      <c r="JRN226" s="537"/>
      <c r="JRO226" s="537"/>
      <c r="JRP226" s="537"/>
      <c r="JRQ226" s="537"/>
      <c r="JRR226" s="537"/>
      <c r="JRS226" s="537"/>
      <c r="JRT226" s="537"/>
      <c r="JRU226" s="537"/>
      <c r="JRV226" s="537"/>
      <c r="JRW226" s="537"/>
      <c r="JRX226" s="537"/>
      <c r="JRY226" s="537"/>
      <c r="JRZ226" s="537"/>
      <c r="JSA226" s="537"/>
      <c r="JSB226" s="537"/>
      <c r="JSC226" s="537"/>
      <c r="JSD226" s="537"/>
      <c r="JSE226" s="537"/>
      <c r="JSF226" s="537"/>
      <c r="JSG226" s="537"/>
      <c r="JSH226" s="537"/>
      <c r="JSI226" s="537"/>
      <c r="JSJ226" s="537"/>
      <c r="JSK226" s="537"/>
      <c r="JSL226" s="537"/>
      <c r="JSM226" s="537"/>
      <c r="JSN226" s="537"/>
      <c r="JSO226" s="537"/>
      <c r="JSP226" s="537"/>
      <c r="JSQ226" s="537"/>
      <c r="JSR226" s="537"/>
      <c r="JSS226" s="537"/>
      <c r="JST226" s="537"/>
      <c r="JSU226" s="537"/>
      <c r="JSV226" s="537"/>
      <c r="JSW226" s="537"/>
      <c r="JSX226" s="537"/>
      <c r="JSY226" s="537"/>
      <c r="JSZ226" s="537"/>
      <c r="JTA226" s="537"/>
      <c r="JTB226" s="537"/>
      <c r="JTC226" s="537"/>
      <c r="JTD226" s="537"/>
      <c r="JTE226" s="537"/>
      <c r="JTF226" s="537"/>
      <c r="JTG226" s="537"/>
      <c r="JTH226" s="537"/>
      <c r="JTI226" s="537"/>
      <c r="JTJ226" s="537"/>
      <c r="JTK226" s="537"/>
      <c r="JTL226" s="537"/>
      <c r="JTM226" s="537"/>
      <c r="JTN226" s="537"/>
      <c r="JTO226" s="537"/>
      <c r="JTP226" s="537"/>
      <c r="JTQ226" s="537"/>
      <c r="JTR226" s="537"/>
      <c r="JTS226" s="537"/>
      <c r="JTT226" s="537"/>
      <c r="JTU226" s="537"/>
      <c r="JTV226" s="537"/>
      <c r="JTW226" s="537"/>
      <c r="JTX226" s="537"/>
      <c r="JTY226" s="537"/>
      <c r="JTZ226" s="537"/>
      <c r="JUA226" s="537"/>
      <c r="JUB226" s="537"/>
      <c r="JUC226" s="537"/>
      <c r="JUD226" s="537"/>
      <c r="JUE226" s="537"/>
      <c r="JUF226" s="537"/>
      <c r="JUG226" s="537"/>
      <c r="JUH226" s="537"/>
      <c r="JUI226" s="537"/>
      <c r="JUJ226" s="537"/>
      <c r="JUK226" s="537"/>
      <c r="JUL226" s="537"/>
      <c r="JUM226" s="537"/>
      <c r="JUN226" s="537"/>
      <c r="JUO226" s="537"/>
      <c r="JUP226" s="537"/>
      <c r="JUQ226" s="537"/>
      <c r="JUR226" s="537"/>
      <c r="JUS226" s="537"/>
      <c r="JUT226" s="537"/>
      <c r="JUU226" s="537"/>
      <c r="JUV226" s="537"/>
      <c r="JUW226" s="537"/>
      <c r="JUX226" s="537"/>
      <c r="JUY226" s="537"/>
      <c r="JUZ226" s="537"/>
      <c r="JVA226" s="537"/>
      <c r="JVB226" s="537"/>
      <c r="JVC226" s="537"/>
      <c r="JVD226" s="537"/>
      <c r="JVE226" s="537"/>
      <c r="JVF226" s="537"/>
      <c r="JVG226" s="537"/>
      <c r="JVH226" s="537"/>
      <c r="JVI226" s="537"/>
      <c r="JVJ226" s="537"/>
      <c r="JVK226" s="537"/>
      <c r="JVL226" s="537"/>
      <c r="JVM226" s="537"/>
      <c r="JVN226" s="537"/>
      <c r="JVO226" s="537"/>
      <c r="JVP226" s="537"/>
      <c r="JVQ226" s="537"/>
      <c r="JVR226" s="537"/>
      <c r="JVS226" s="537"/>
      <c r="JVT226" s="537"/>
      <c r="JVU226" s="537"/>
      <c r="JVV226" s="537"/>
      <c r="JVW226" s="537"/>
      <c r="JVX226" s="537"/>
      <c r="JVY226" s="537"/>
      <c r="JVZ226" s="537"/>
      <c r="JWA226" s="537"/>
      <c r="JWB226" s="537"/>
      <c r="JWC226" s="537"/>
      <c r="JWD226" s="537"/>
      <c r="JWE226" s="537"/>
      <c r="JWF226" s="537"/>
      <c r="JWG226" s="537"/>
      <c r="JWH226" s="537"/>
      <c r="JWI226" s="537"/>
      <c r="JWJ226" s="537"/>
      <c r="JWK226" s="537"/>
      <c r="JWL226" s="537"/>
      <c r="JWM226" s="537"/>
      <c r="JWN226" s="537"/>
      <c r="JWO226" s="537"/>
      <c r="JWP226" s="537"/>
      <c r="JWQ226" s="537"/>
      <c r="JWR226" s="537"/>
      <c r="JWS226" s="537"/>
      <c r="JWT226" s="537"/>
      <c r="JWU226" s="537"/>
      <c r="JWV226" s="537"/>
      <c r="JWW226" s="537"/>
      <c r="JWX226" s="537"/>
      <c r="JWY226" s="537"/>
      <c r="JWZ226" s="537"/>
      <c r="JXA226" s="537"/>
      <c r="JXB226" s="537"/>
      <c r="JXC226" s="537"/>
      <c r="JXD226" s="537"/>
      <c r="JXE226" s="537"/>
      <c r="JXF226" s="537"/>
      <c r="JXG226" s="537"/>
      <c r="JXH226" s="537"/>
      <c r="JXI226" s="537"/>
      <c r="JXJ226" s="537"/>
      <c r="JXK226" s="537"/>
      <c r="JXL226" s="537"/>
      <c r="JXM226" s="537"/>
      <c r="JXN226" s="537"/>
      <c r="JXO226" s="537"/>
      <c r="JXP226" s="537"/>
      <c r="JXQ226" s="537"/>
      <c r="JXR226" s="537"/>
      <c r="JXS226" s="537"/>
      <c r="JXT226" s="537"/>
      <c r="JXU226" s="537"/>
      <c r="JXV226" s="537"/>
      <c r="JXW226" s="537"/>
      <c r="JXX226" s="537"/>
      <c r="JXY226" s="537"/>
      <c r="JXZ226" s="537"/>
      <c r="JYA226" s="537"/>
      <c r="JYB226" s="537"/>
      <c r="JYC226" s="537"/>
      <c r="JYD226" s="537"/>
      <c r="JYE226" s="537"/>
      <c r="JYF226" s="537"/>
      <c r="JYG226" s="537"/>
      <c r="JYH226" s="537"/>
      <c r="JYI226" s="537"/>
      <c r="JYJ226" s="537"/>
      <c r="JYK226" s="537"/>
      <c r="JYL226" s="537"/>
      <c r="JYM226" s="537"/>
      <c r="JYN226" s="537"/>
      <c r="JYO226" s="537"/>
      <c r="JYP226" s="537"/>
      <c r="JYQ226" s="537"/>
      <c r="JYR226" s="537"/>
      <c r="JYS226" s="537"/>
      <c r="JYT226" s="537"/>
      <c r="JYU226" s="537"/>
      <c r="JYV226" s="537"/>
      <c r="JYW226" s="537"/>
      <c r="JYX226" s="537"/>
      <c r="JYY226" s="537"/>
      <c r="JYZ226" s="537"/>
      <c r="JZA226" s="537"/>
      <c r="JZB226" s="537"/>
      <c r="JZC226" s="537"/>
      <c r="JZD226" s="537"/>
      <c r="JZE226" s="537"/>
      <c r="JZF226" s="537"/>
      <c r="JZG226" s="537"/>
      <c r="JZH226" s="537"/>
      <c r="JZI226" s="537"/>
      <c r="JZJ226" s="537"/>
      <c r="JZK226" s="537"/>
      <c r="JZL226" s="537"/>
      <c r="JZM226" s="537"/>
      <c r="JZN226" s="537"/>
      <c r="JZO226" s="537"/>
      <c r="JZP226" s="537"/>
      <c r="JZQ226" s="537"/>
      <c r="JZR226" s="537"/>
      <c r="JZS226" s="537"/>
      <c r="JZT226" s="537"/>
      <c r="JZU226" s="537"/>
      <c r="JZV226" s="537"/>
      <c r="JZW226" s="537"/>
      <c r="JZX226" s="537"/>
      <c r="JZY226" s="537"/>
      <c r="JZZ226" s="537"/>
      <c r="KAA226" s="537"/>
      <c r="KAB226" s="537"/>
      <c r="KAC226" s="537"/>
      <c r="KAD226" s="537"/>
      <c r="KAE226" s="537"/>
      <c r="KAF226" s="537"/>
      <c r="KAG226" s="537"/>
      <c r="KAH226" s="537"/>
      <c r="KAI226" s="537"/>
      <c r="KAJ226" s="537"/>
      <c r="KAK226" s="537"/>
      <c r="KAL226" s="537"/>
      <c r="KAM226" s="537"/>
      <c r="KAN226" s="537"/>
      <c r="KAO226" s="537"/>
      <c r="KAP226" s="537"/>
      <c r="KAQ226" s="537"/>
      <c r="KAR226" s="537"/>
      <c r="KAS226" s="537"/>
      <c r="KAT226" s="537"/>
      <c r="KAU226" s="537"/>
      <c r="KAV226" s="537"/>
      <c r="KAW226" s="537"/>
      <c r="KAX226" s="537"/>
      <c r="KAY226" s="537"/>
      <c r="KAZ226" s="537"/>
      <c r="KBA226" s="537"/>
      <c r="KBB226" s="537"/>
      <c r="KBC226" s="537"/>
      <c r="KBD226" s="537"/>
      <c r="KBE226" s="537"/>
      <c r="KBF226" s="537"/>
      <c r="KBG226" s="537"/>
      <c r="KBH226" s="537"/>
      <c r="KBI226" s="537"/>
      <c r="KBJ226" s="537"/>
      <c r="KBK226" s="537"/>
      <c r="KBL226" s="537"/>
      <c r="KBM226" s="537"/>
      <c r="KBN226" s="537"/>
      <c r="KBO226" s="537"/>
      <c r="KBP226" s="537"/>
      <c r="KBQ226" s="537"/>
      <c r="KBR226" s="537"/>
      <c r="KBS226" s="537"/>
      <c r="KBT226" s="537"/>
      <c r="KBU226" s="537"/>
      <c r="KBV226" s="537"/>
      <c r="KBW226" s="537"/>
      <c r="KBX226" s="537"/>
      <c r="KBY226" s="537"/>
      <c r="KBZ226" s="537"/>
      <c r="KCA226" s="537"/>
      <c r="KCB226" s="537"/>
      <c r="KCC226" s="537"/>
      <c r="KCD226" s="537"/>
      <c r="KCE226" s="537"/>
      <c r="KCF226" s="537"/>
      <c r="KCG226" s="537"/>
      <c r="KCH226" s="537"/>
      <c r="KCI226" s="537"/>
      <c r="KCJ226" s="537"/>
      <c r="KCK226" s="537"/>
      <c r="KCL226" s="537"/>
      <c r="KCM226" s="537"/>
      <c r="KCN226" s="537"/>
      <c r="KCO226" s="537"/>
      <c r="KCP226" s="537"/>
      <c r="KCQ226" s="537"/>
      <c r="KCR226" s="537"/>
      <c r="KCS226" s="537"/>
      <c r="KCT226" s="537"/>
      <c r="KCU226" s="537"/>
      <c r="KCV226" s="537"/>
      <c r="KCW226" s="537"/>
      <c r="KCX226" s="537"/>
      <c r="KCY226" s="537"/>
      <c r="KCZ226" s="537"/>
      <c r="KDA226" s="537"/>
      <c r="KDB226" s="537"/>
      <c r="KDC226" s="537"/>
      <c r="KDD226" s="537"/>
      <c r="KDE226" s="537"/>
      <c r="KDF226" s="537"/>
      <c r="KDG226" s="537"/>
      <c r="KDH226" s="537"/>
      <c r="KDI226" s="537"/>
      <c r="KDJ226" s="537"/>
      <c r="KDK226" s="537"/>
      <c r="KDL226" s="537"/>
      <c r="KDM226" s="537"/>
      <c r="KDN226" s="537"/>
      <c r="KDO226" s="537"/>
      <c r="KDP226" s="537"/>
      <c r="KDQ226" s="537"/>
      <c r="KDR226" s="537"/>
      <c r="KDS226" s="537"/>
      <c r="KDT226" s="537"/>
      <c r="KDU226" s="537"/>
      <c r="KDV226" s="537"/>
      <c r="KDW226" s="537"/>
      <c r="KDX226" s="537"/>
      <c r="KDY226" s="537"/>
      <c r="KDZ226" s="537"/>
      <c r="KEA226" s="537"/>
      <c r="KEB226" s="537"/>
      <c r="KEC226" s="537"/>
      <c r="KED226" s="537"/>
      <c r="KEE226" s="537"/>
      <c r="KEF226" s="537"/>
      <c r="KEG226" s="537"/>
      <c r="KEH226" s="537"/>
      <c r="KEI226" s="537"/>
      <c r="KEJ226" s="537"/>
      <c r="KEK226" s="537"/>
      <c r="KEL226" s="537"/>
      <c r="KEM226" s="537"/>
      <c r="KEN226" s="537"/>
      <c r="KEO226" s="537"/>
      <c r="KEP226" s="537"/>
      <c r="KEQ226" s="537"/>
      <c r="KER226" s="537"/>
      <c r="KES226" s="537"/>
      <c r="KET226" s="537"/>
      <c r="KEU226" s="537"/>
      <c r="KEV226" s="537"/>
      <c r="KEW226" s="537"/>
      <c r="KEX226" s="537"/>
      <c r="KEY226" s="537"/>
      <c r="KEZ226" s="537"/>
      <c r="KFA226" s="537"/>
      <c r="KFB226" s="537"/>
      <c r="KFC226" s="537"/>
      <c r="KFD226" s="537"/>
      <c r="KFE226" s="537"/>
      <c r="KFF226" s="537"/>
      <c r="KFG226" s="537"/>
      <c r="KFH226" s="537"/>
      <c r="KFI226" s="537"/>
      <c r="KFJ226" s="537"/>
      <c r="KFK226" s="537"/>
      <c r="KFL226" s="537"/>
      <c r="KFM226" s="537"/>
      <c r="KFN226" s="537"/>
      <c r="KFO226" s="537"/>
      <c r="KFP226" s="537"/>
      <c r="KFQ226" s="537"/>
      <c r="KFR226" s="537"/>
      <c r="KFS226" s="537"/>
      <c r="KFT226" s="537"/>
      <c r="KFU226" s="537"/>
      <c r="KFV226" s="537"/>
      <c r="KFW226" s="537"/>
      <c r="KFX226" s="537"/>
      <c r="KFY226" s="537"/>
      <c r="KFZ226" s="537"/>
      <c r="KGA226" s="537"/>
      <c r="KGB226" s="537"/>
      <c r="KGC226" s="537"/>
      <c r="KGD226" s="537"/>
      <c r="KGE226" s="537"/>
      <c r="KGF226" s="537"/>
      <c r="KGG226" s="537"/>
      <c r="KGH226" s="537"/>
      <c r="KGI226" s="537"/>
      <c r="KGJ226" s="537"/>
      <c r="KGK226" s="537"/>
      <c r="KGL226" s="537"/>
      <c r="KGM226" s="537"/>
      <c r="KGN226" s="537"/>
      <c r="KGO226" s="537"/>
      <c r="KGP226" s="537"/>
      <c r="KGQ226" s="537"/>
      <c r="KGR226" s="537"/>
      <c r="KGS226" s="537"/>
      <c r="KGT226" s="537"/>
      <c r="KGU226" s="537"/>
      <c r="KGV226" s="537"/>
      <c r="KGW226" s="537"/>
      <c r="KGX226" s="537"/>
      <c r="KGY226" s="537"/>
      <c r="KGZ226" s="537"/>
      <c r="KHA226" s="537"/>
      <c r="KHB226" s="537"/>
      <c r="KHC226" s="537"/>
      <c r="KHD226" s="537"/>
      <c r="KHE226" s="537"/>
      <c r="KHF226" s="537"/>
      <c r="KHG226" s="537"/>
      <c r="KHH226" s="537"/>
      <c r="KHI226" s="537"/>
      <c r="KHJ226" s="537"/>
      <c r="KHK226" s="537"/>
      <c r="KHL226" s="537"/>
      <c r="KHM226" s="537"/>
      <c r="KHN226" s="537"/>
      <c r="KHO226" s="537"/>
      <c r="KHP226" s="537"/>
      <c r="KHQ226" s="537"/>
      <c r="KHR226" s="537"/>
      <c r="KHS226" s="537"/>
      <c r="KHT226" s="537"/>
      <c r="KHU226" s="537"/>
      <c r="KHV226" s="537"/>
      <c r="KHW226" s="537"/>
      <c r="KHX226" s="537"/>
      <c r="KHY226" s="537"/>
      <c r="KHZ226" s="537"/>
      <c r="KIA226" s="537"/>
      <c r="KIB226" s="537"/>
      <c r="KIC226" s="537"/>
      <c r="KID226" s="537"/>
      <c r="KIE226" s="537"/>
      <c r="KIF226" s="537"/>
      <c r="KIG226" s="537"/>
      <c r="KIH226" s="537"/>
      <c r="KII226" s="537"/>
      <c r="KIJ226" s="537"/>
      <c r="KIK226" s="537"/>
      <c r="KIL226" s="537"/>
      <c r="KIM226" s="537"/>
      <c r="KIN226" s="537"/>
      <c r="KIO226" s="537"/>
      <c r="KIP226" s="537"/>
      <c r="KIQ226" s="537"/>
      <c r="KIR226" s="537"/>
      <c r="KIS226" s="537"/>
      <c r="KIT226" s="537"/>
      <c r="KIU226" s="537"/>
      <c r="KIV226" s="537"/>
      <c r="KIW226" s="537"/>
      <c r="KIX226" s="537"/>
      <c r="KIY226" s="537"/>
      <c r="KIZ226" s="537"/>
      <c r="KJA226" s="537"/>
      <c r="KJB226" s="537"/>
      <c r="KJC226" s="537"/>
      <c r="KJD226" s="537"/>
      <c r="KJE226" s="537"/>
      <c r="KJF226" s="537"/>
      <c r="KJG226" s="537"/>
      <c r="KJH226" s="537"/>
      <c r="KJI226" s="537"/>
      <c r="KJJ226" s="537"/>
      <c r="KJK226" s="537"/>
      <c r="KJL226" s="537"/>
      <c r="KJM226" s="537"/>
      <c r="KJN226" s="537"/>
      <c r="KJO226" s="537"/>
      <c r="KJP226" s="537"/>
      <c r="KJQ226" s="537"/>
      <c r="KJR226" s="537"/>
      <c r="KJS226" s="537"/>
      <c r="KJT226" s="537"/>
      <c r="KJU226" s="537"/>
      <c r="KJV226" s="537"/>
      <c r="KJW226" s="537"/>
      <c r="KJX226" s="537"/>
      <c r="KJY226" s="537"/>
      <c r="KJZ226" s="537"/>
      <c r="KKA226" s="537"/>
      <c r="KKB226" s="537"/>
      <c r="KKC226" s="537"/>
      <c r="KKD226" s="537"/>
      <c r="KKE226" s="537"/>
      <c r="KKF226" s="537"/>
      <c r="KKG226" s="537"/>
      <c r="KKH226" s="537"/>
      <c r="KKI226" s="537"/>
      <c r="KKJ226" s="537"/>
      <c r="KKK226" s="537"/>
      <c r="KKL226" s="537"/>
      <c r="KKM226" s="537"/>
      <c r="KKN226" s="537"/>
      <c r="KKO226" s="537"/>
      <c r="KKP226" s="537"/>
      <c r="KKQ226" s="537"/>
      <c r="KKR226" s="537"/>
      <c r="KKS226" s="537"/>
      <c r="KKT226" s="537"/>
      <c r="KKU226" s="537"/>
      <c r="KKV226" s="537"/>
      <c r="KKW226" s="537"/>
      <c r="KKX226" s="537"/>
      <c r="KKY226" s="537"/>
      <c r="KKZ226" s="537"/>
      <c r="KLA226" s="537"/>
      <c r="KLB226" s="537"/>
      <c r="KLC226" s="537"/>
      <c r="KLD226" s="537"/>
      <c r="KLE226" s="537"/>
      <c r="KLF226" s="537"/>
      <c r="KLG226" s="537"/>
      <c r="KLH226" s="537"/>
      <c r="KLI226" s="537"/>
      <c r="KLJ226" s="537"/>
      <c r="KLK226" s="537"/>
      <c r="KLL226" s="537"/>
      <c r="KLM226" s="537"/>
      <c r="KLN226" s="537"/>
      <c r="KLO226" s="537"/>
      <c r="KLP226" s="537"/>
      <c r="KLQ226" s="537"/>
      <c r="KLR226" s="537"/>
      <c r="KLS226" s="537"/>
      <c r="KLT226" s="537"/>
      <c r="KLU226" s="537"/>
      <c r="KLV226" s="537"/>
      <c r="KLW226" s="537"/>
      <c r="KLX226" s="537"/>
      <c r="KLY226" s="537"/>
      <c r="KLZ226" s="537"/>
      <c r="KMA226" s="537"/>
      <c r="KMB226" s="537"/>
      <c r="KMC226" s="537"/>
      <c r="KMD226" s="537"/>
      <c r="KME226" s="537"/>
      <c r="KMF226" s="537"/>
      <c r="KMG226" s="537"/>
      <c r="KMH226" s="537"/>
      <c r="KMI226" s="537"/>
      <c r="KMJ226" s="537"/>
      <c r="KMK226" s="537"/>
      <c r="KML226" s="537"/>
      <c r="KMM226" s="537"/>
      <c r="KMN226" s="537"/>
      <c r="KMO226" s="537"/>
      <c r="KMP226" s="537"/>
      <c r="KMQ226" s="537"/>
      <c r="KMR226" s="537"/>
      <c r="KMS226" s="537"/>
      <c r="KMT226" s="537"/>
      <c r="KMU226" s="537"/>
      <c r="KMV226" s="537"/>
      <c r="KMW226" s="537"/>
      <c r="KMX226" s="537"/>
      <c r="KMY226" s="537"/>
      <c r="KMZ226" s="537"/>
      <c r="KNA226" s="537"/>
      <c r="KNB226" s="537"/>
      <c r="KNC226" s="537"/>
      <c r="KND226" s="537"/>
      <c r="KNE226" s="537"/>
      <c r="KNF226" s="537"/>
      <c r="KNG226" s="537"/>
      <c r="KNH226" s="537"/>
      <c r="KNI226" s="537"/>
      <c r="KNJ226" s="537"/>
      <c r="KNK226" s="537"/>
      <c r="KNL226" s="537"/>
      <c r="KNM226" s="537"/>
      <c r="KNN226" s="537"/>
      <c r="KNO226" s="537"/>
      <c r="KNP226" s="537"/>
      <c r="KNQ226" s="537"/>
      <c r="KNR226" s="537"/>
      <c r="KNS226" s="537"/>
      <c r="KNT226" s="537"/>
      <c r="KNU226" s="537"/>
      <c r="KNV226" s="537"/>
      <c r="KNW226" s="537"/>
      <c r="KNX226" s="537"/>
      <c r="KNY226" s="537"/>
      <c r="KNZ226" s="537"/>
      <c r="KOA226" s="537"/>
      <c r="KOB226" s="537"/>
      <c r="KOC226" s="537"/>
      <c r="KOD226" s="537"/>
      <c r="KOE226" s="537"/>
      <c r="KOF226" s="537"/>
      <c r="KOG226" s="537"/>
      <c r="KOH226" s="537"/>
      <c r="KOI226" s="537"/>
      <c r="KOJ226" s="537"/>
      <c r="KOK226" s="537"/>
      <c r="KOL226" s="537"/>
      <c r="KOM226" s="537"/>
      <c r="KON226" s="537"/>
      <c r="KOO226" s="537"/>
      <c r="KOP226" s="537"/>
      <c r="KOQ226" s="537"/>
      <c r="KOR226" s="537"/>
      <c r="KOS226" s="537"/>
      <c r="KOT226" s="537"/>
      <c r="KOU226" s="537"/>
      <c r="KOV226" s="537"/>
      <c r="KOW226" s="537"/>
      <c r="KOX226" s="537"/>
      <c r="KOY226" s="537"/>
      <c r="KOZ226" s="537"/>
      <c r="KPA226" s="537"/>
      <c r="KPB226" s="537"/>
      <c r="KPC226" s="537"/>
      <c r="KPD226" s="537"/>
      <c r="KPE226" s="537"/>
      <c r="KPF226" s="537"/>
      <c r="KPG226" s="537"/>
      <c r="KPH226" s="537"/>
      <c r="KPI226" s="537"/>
      <c r="KPJ226" s="537"/>
      <c r="KPK226" s="537"/>
      <c r="KPL226" s="537"/>
      <c r="KPM226" s="537"/>
      <c r="KPN226" s="537"/>
      <c r="KPO226" s="537"/>
      <c r="KPP226" s="537"/>
      <c r="KPQ226" s="537"/>
      <c r="KPR226" s="537"/>
      <c r="KPS226" s="537"/>
      <c r="KPT226" s="537"/>
      <c r="KPU226" s="537"/>
      <c r="KPV226" s="537"/>
      <c r="KPW226" s="537"/>
      <c r="KPX226" s="537"/>
      <c r="KPY226" s="537"/>
      <c r="KPZ226" s="537"/>
      <c r="KQA226" s="537"/>
      <c r="KQB226" s="537"/>
      <c r="KQC226" s="537"/>
      <c r="KQD226" s="537"/>
      <c r="KQE226" s="537"/>
      <c r="KQF226" s="537"/>
      <c r="KQG226" s="537"/>
      <c r="KQH226" s="537"/>
      <c r="KQI226" s="537"/>
      <c r="KQJ226" s="537"/>
      <c r="KQK226" s="537"/>
      <c r="KQL226" s="537"/>
      <c r="KQM226" s="537"/>
      <c r="KQN226" s="537"/>
      <c r="KQO226" s="537"/>
      <c r="KQP226" s="537"/>
      <c r="KQQ226" s="537"/>
      <c r="KQR226" s="537"/>
      <c r="KQS226" s="537"/>
      <c r="KQT226" s="537"/>
      <c r="KQU226" s="537"/>
      <c r="KQV226" s="537"/>
      <c r="KQW226" s="537"/>
      <c r="KQX226" s="537"/>
      <c r="KQY226" s="537"/>
      <c r="KQZ226" s="537"/>
      <c r="KRA226" s="537"/>
      <c r="KRB226" s="537"/>
      <c r="KRC226" s="537"/>
      <c r="KRD226" s="537"/>
      <c r="KRE226" s="537"/>
      <c r="KRF226" s="537"/>
      <c r="KRG226" s="537"/>
      <c r="KRH226" s="537"/>
      <c r="KRI226" s="537"/>
      <c r="KRJ226" s="537"/>
      <c r="KRK226" s="537"/>
      <c r="KRL226" s="537"/>
      <c r="KRM226" s="537"/>
      <c r="KRN226" s="537"/>
      <c r="KRO226" s="537"/>
      <c r="KRP226" s="537"/>
      <c r="KRQ226" s="537"/>
      <c r="KRR226" s="537"/>
      <c r="KRS226" s="537"/>
      <c r="KRT226" s="537"/>
      <c r="KRU226" s="537"/>
      <c r="KRV226" s="537"/>
      <c r="KRW226" s="537"/>
      <c r="KRX226" s="537"/>
      <c r="KRY226" s="537"/>
      <c r="KRZ226" s="537"/>
      <c r="KSA226" s="537"/>
      <c r="KSB226" s="537"/>
      <c r="KSC226" s="537"/>
      <c r="KSD226" s="537"/>
      <c r="KSE226" s="537"/>
      <c r="KSF226" s="537"/>
      <c r="KSG226" s="537"/>
      <c r="KSH226" s="537"/>
      <c r="KSI226" s="537"/>
      <c r="KSJ226" s="537"/>
      <c r="KSK226" s="537"/>
      <c r="KSL226" s="537"/>
      <c r="KSM226" s="537"/>
      <c r="KSN226" s="537"/>
      <c r="KSO226" s="537"/>
      <c r="KSP226" s="537"/>
      <c r="KSQ226" s="537"/>
      <c r="KSR226" s="537"/>
      <c r="KSS226" s="537"/>
      <c r="KST226" s="537"/>
      <c r="KSU226" s="537"/>
      <c r="KSV226" s="537"/>
      <c r="KSW226" s="537"/>
      <c r="KSX226" s="537"/>
      <c r="KSY226" s="537"/>
      <c r="KSZ226" s="537"/>
      <c r="KTA226" s="537"/>
      <c r="KTB226" s="537"/>
      <c r="KTC226" s="537"/>
      <c r="KTD226" s="537"/>
      <c r="KTE226" s="537"/>
      <c r="KTF226" s="537"/>
      <c r="KTG226" s="537"/>
      <c r="KTH226" s="537"/>
      <c r="KTI226" s="537"/>
      <c r="KTJ226" s="537"/>
      <c r="KTK226" s="537"/>
      <c r="KTL226" s="537"/>
      <c r="KTM226" s="537"/>
      <c r="KTN226" s="537"/>
      <c r="KTO226" s="537"/>
      <c r="KTP226" s="537"/>
      <c r="KTQ226" s="537"/>
      <c r="KTR226" s="537"/>
      <c r="KTS226" s="537"/>
      <c r="KTT226" s="537"/>
      <c r="KTU226" s="537"/>
      <c r="KTV226" s="537"/>
      <c r="KTW226" s="537"/>
      <c r="KTX226" s="537"/>
      <c r="KTY226" s="537"/>
      <c r="KTZ226" s="537"/>
      <c r="KUA226" s="537"/>
      <c r="KUB226" s="537"/>
      <c r="KUC226" s="537"/>
      <c r="KUD226" s="537"/>
      <c r="KUE226" s="537"/>
      <c r="KUF226" s="537"/>
      <c r="KUG226" s="537"/>
      <c r="KUH226" s="537"/>
      <c r="KUI226" s="537"/>
      <c r="KUJ226" s="537"/>
      <c r="KUK226" s="537"/>
      <c r="KUL226" s="537"/>
      <c r="KUM226" s="537"/>
      <c r="KUN226" s="537"/>
      <c r="KUO226" s="537"/>
      <c r="KUP226" s="537"/>
      <c r="KUQ226" s="537"/>
      <c r="KUR226" s="537"/>
      <c r="KUS226" s="537"/>
      <c r="KUT226" s="537"/>
      <c r="KUU226" s="537"/>
      <c r="KUV226" s="537"/>
      <c r="KUW226" s="537"/>
      <c r="KUX226" s="537"/>
      <c r="KUY226" s="537"/>
      <c r="KUZ226" s="537"/>
      <c r="KVA226" s="537"/>
      <c r="KVB226" s="537"/>
      <c r="KVC226" s="537"/>
      <c r="KVD226" s="537"/>
      <c r="KVE226" s="537"/>
      <c r="KVF226" s="537"/>
      <c r="KVG226" s="537"/>
      <c r="KVH226" s="537"/>
      <c r="KVI226" s="537"/>
      <c r="KVJ226" s="537"/>
      <c r="KVK226" s="537"/>
      <c r="KVL226" s="537"/>
      <c r="KVM226" s="537"/>
      <c r="KVN226" s="537"/>
      <c r="KVO226" s="537"/>
      <c r="KVP226" s="537"/>
      <c r="KVQ226" s="537"/>
      <c r="KVR226" s="537"/>
      <c r="KVS226" s="537"/>
      <c r="KVT226" s="537"/>
      <c r="KVU226" s="537"/>
      <c r="KVV226" s="537"/>
      <c r="KVW226" s="537"/>
      <c r="KVX226" s="537"/>
      <c r="KVY226" s="537"/>
      <c r="KVZ226" s="537"/>
      <c r="KWA226" s="537"/>
      <c r="KWB226" s="537"/>
      <c r="KWC226" s="537"/>
      <c r="KWD226" s="537"/>
      <c r="KWE226" s="537"/>
      <c r="KWF226" s="537"/>
      <c r="KWG226" s="537"/>
      <c r="KWH226" s="537"/>
      <c r="KWI226" s="537"/>
      <c r="KWJ226" s="537"/>
      <c r="KWK226" s="537"/>
      <c r="KWL226" s="537"/>
      <c r="KWM226" s="537"/>
      <c r="KWN226" s="537"/>
      <c r="KWO226" s="537"/>
      <c r="KWP226" s="537"/>
      <c r="KWQ226" s="537"/>
      <c r="KWR226" s="537"/>
      <c r="KWS226" s="537"/>
      <c r="KWT226" s="537"/>
      <c r="KWU226" s="537"/>
      <c r="KWV226" s="537"/>
      <c r="KWW226" s="537"/>
      <c r="KWX226" s="537"/>
      <c r="KWY226" s="537"/>
      <c r="KWZ226" s="537"/>
      <c r="KXA226" s="537"/>
      <c r="KXB226" s="537"/>
      <c r="KXC226" s="537"/>
      <c r="KXD226" s="537"/>
      <c r="KXE226" s="537"/>
      <c r="KXF226" s="537"/>
      <c r="KXG226" s="537"/>
      <c r="KXH226" s="537"/>
      <c r="KXI226" s="537"/>
      <c r="KXJ226" s="537"/>
      <c r="KXK226" s="537"/>
      <c r="KXL226" s="537"/>
      <c r="KXM226" s="537"/>
      <c r="KXN226" s="537"/>
      <c r="KXO226" s="537"/>
      <c r="KXP226" s="537"/>
      <c r="KXQ226" s="537"/>
      <c r="KXR226" s="537"/>
      <c r="KXS226" s="537"/>
      <c r="KXT226" s="537"/>
      <c r="KXU226" s="537"/>
      <c r="KXV226" s="537"/>
      <c r="KXW226" s="537"/>
      <c r="KXX226" s="537"/>
      <c r="KXY226" s="537"/>
      <c r="KXZ226" s="537"/>
      <c r="KYA226" s="537"/>
      <c r="KYB226" s="537"/>
      <c r="KYC226" s="537"/>
      <c r="KYD226" s="537"/>
      <c r="KYE226" s="537"/>
      <c r="KYF226" s="537"/>
      <c r="KYG226" s="537"/>
      <c r="KYH226" s="537"/>
      <c r="KYI226" s="537"/>
      <c r="KYJ226" s="537"/>
      <c r="KYK226" s="537"/>
      <c r="KYL226" s="537"/>
      <c r="KYM226" s="537"/>
      <c r="KYN226" s="537"/>
      <c r="KYO226" s="537"/>
      <c r="KYP226" s="537"/>
      <c r="KYQ226" s="537"/>
      <c r="KYR226" s="537"/>
      <c r="KYS226" s="537"/>
      <c r="KYT226" s="537"/>
      <c r="KYU226" s="537"/>
      <c r="KYV226" s="537"/>
      <c r="KYW226" s="537"/>
      <c r="KYX226" s="537"/>
      <c r="KYY226" s="537"/>
      <c r="KYZ226" s="537"/>
      <c r="KZA226" s="537"/>
      <c r="KZB226" s="537"/>
      <c r="KZC226" s="537"/>
      <c r="KZD226" s="537"/>
      <c r="KZE226" s="537"/>
      <c r="KZF226" s="537"/>
      <c r="KZG226" s="537"/>
      <c r="KZH226" s="537"/>
      <c r="KZI226" s="537"/>
      <c r="KZJ226" s="537"/>
      <c r="KZK226" s="537"/>
      <c r="KZL226" s="537"/>
      <c r="KZM226" s="537"/>
      <c r="KZN226" s="537"/>
      <c r="KZO226" s="537"/>
      <c r="KZP226" s="537"/>
      <c r="KZQ226" s="537"/>
      <c r="KZR226" s="537"/>
      <c r="KZS226" s="537"/>
      <c r="KZT226" s="537"/>
      <c r="KZU226" s="537"/>
      <c r="KZV226" s="537"/>
      <c r="KZW226" s="537"/>
      <c r="KZX226" s="537"/>
      <c r="KZY226" s="537"/>
      <c r="KZZ226" s="537"/>
      <c r="LAA226" s="537"/>
      <c r="LAB226" s="537"/>
      <c r="LAC226" s="537"/>
      <c r="LAD226" s="537"/>
      <c r="LAE226" s="537"/>
      <c r="LAF226" s="537"/>
      <c r="LAG226" s="537"/>
      <c r="LAH226" s="537"/>
      <c r="LAI226" s="537"/>
      <c r="LAJ226" s="537"/>
      <c r="LAK226" s="537"/>
      <c r="LAL226" s="537"/>
      <c r="LAM226" s="537"/>
      <c r="LAN226" s="537"/>
      <c r="LAO226" s="537"/>
      <c r="LAP226" s="537"/>
      <c r="LAQ226" s="537"/>
      <c r="LAR226" s="537"/>
      <c r="LAS226" s="537"/>
      <c r="LAT226" s="537"/>
      <c r="LAU226" s="537"/>
      <c r="LAV226" s="537"/>
      <c r="LAW226" s="537"/>
      <c r="LAX226" s="537"/>
      <c r="LAY226" s="537"/>
      <c r="LAZ226" s="537"/>
      <c r="LBA226" s="537"/>
      <c r="LBB226" s="537"/>
      <c r="LBC226" s="537"/>
      <c r="LBD226" s="537"/>
      <c r="LBE226" s="537"/>
      <c r="LBF226" s="537"/>
      <c r="LBG226" s="537"/>
      <c r="LBH226" s="537"/>
      <c r="LBI226" s="537"/>
      <c r="LBJ226" s="537"/>
      <c r="LBK226" s="537"/>
      <c r="LBL226" s="537"/>
      <c r="LBM226" s="537"/>
      <c r="LBN226" s="537"/>
      <c r="LBO226" s="537"/>
      <c r="LBP226" s="537"/>
      <c r="LBQ226" s="537"/>
      <c r="LBR226" s="537"/>
      <c r="LBS226" s="537"/>
      <c r="LBT226" s="537"/>
      <c r="LBU226" s="537"/>
      <c r="LBV226" s="537"/>
      <c r="LBW226" s="537"/>
      <c r="LBX226" s="537"/>
      <c r="LBY226" s="537"/>
      <c r="LBZ226" s="537"/>
      <c r="LCA226" s="537"/>
      <c r="LCB226" s="537"/>
      <c r="LCC226" s="537"/>
      <c r="LCD226" s="537"/>
      <c r="LCE226" s="537"/>
      <c r="LCF226" s="537"/>
      <c r="LCG226" s="537"/>
      <c r="LCH226" s="537"/>
      <c r="LCI226" s="537"/>
      <c r="LCJ226" s="537"/>
      <c r="LCK226" s="537"/>
      <c r="LCL226" s="537"/>
      <c r="LCM226" s="537"/>
      <c r="LCN226" s="537"/>
      <c r="LCO226" s="537"/>
      <c r="LCP226" s="537"/>
      <c r="LCQ226" s="537"/>
      <c r="LCR226" s="537"/>
      <c r="LCS226" s="537"/>
      <c r="LCT226" s="537"/>
      <c r="LCU226" s="537"/>
      <c r="LCV226" s="537"/>
      <c r="LCW226" s="537"/>
      <c r="LCX226" s="537"/>
      <c r="LCY226" s="537"/>
      <c r="LCZ226" s="537"/>
      <c r="LDA226" s="537"/>
      <c r="LDB226" s="537"/>
      <c r="LDC226" s="537"/>
      <c r="LDD226" s="537"/>
      <c r="LDE226" s="537"/>
      <c r="LDF226" s="537"/>
      <c r="LDG226" s="537"/>
      <c r="LDH226" s="537"/>
      <c r="LDI226" s="537"/>
      <c r="LDJ226" s="537"/>
      <c r="LDK226" s="537"/>
      <c r="LDL226" s="537"/>
      <c r="LDM226" s="537"/>
      <c r="LDN226" s="537"/>
      <c r="LDO226" s="537"/>
      <c r="LDP226" s="537"/>
      <c r="LDQ226" s="537"/>
      <c r="LDR226" s="537"/>
      <c r="LDS226" s="537"/>
      <c r="LDT226" s="537"/>
      <c r="LDU226" s="537"/>
      <c r="LDV226" s="537"/>
      <c r="LDW226" s="537"/>
      <c r="LDX226" s="537"/>
      <c r="LDY226" s="537"/>
      <c r="LDZ226" s="537"/>
      <c r="LEA226" s="537"/>
      <c r="LEB226" s="537"/>
      <c r="LEC226" s="537"/>
      <c r="LED226" s="537"/>
      <c r="LEE226" s="537"/>
      <c r="LEF226" s="537"/>
      <c r="LEG226" s="537"/>
      <c r="LEH226" s="537"/>
      <c r="LEI226" s="537"/>
      <c r="LEJ226" s="537"/>
      <c r="LEK226" s="537"/>
      <c r="LEL226" s="537"/>
      <c r="LEM226" s="537"/>
      <c r="LEN226" s="537"/>
      <c r="LEO226" s="537"/>
      <c r="LEP226" s="537"/>
      <c r="LEQ226" s="537"/>
      <c r="LER226" s="537"/>
      <c r="LES226" s="537"/>
      <c r="LET226" s="537"/>
      <c r="LEU226" s="537"/>
      <c r="LEV226" s="537"/>
      <c r="LEW226" s="537"/>
      <c r="LEX226" s="537"/>
      <c r="LEY226" s="537"/>
      <c r="LEZ226" s="537"/>
      <c r="LFA226" s="537"/>
      <c r="LFB226" s="537"/>
      <c r="LFC226" s="537"/>
      <c r="LFD226" s="537"/>
      <c r="LFE226" s="537"/>
      <c r="LFF226" s="537"/>
      <c r="LFG226" s="537"/>
      <c r="LFH226" s="537"/>
      <c r="LFI226" s="537"/>
      <c r="LFJ226" s="537"/>
      <c r="LFK226" s="537"/>
      <c r="LFL226" s="537"/>
      <c r="LFM226" s="537"/>
      <c r="LFN226" s="537"/>
      <c r="LFO226" s="537"/>
      <c r="LFP226" s="537"/>
      <c r="LFQ226" s="537"/>
      <c r="LFR226" s="537"/>
      <c r="LFS226" s="537"/>
      <c r="LFT226" s="537"/>
      <c r="LFU226" s="537"/>
      <c r="LFV226" s="537"/>
      <c r="LFW226" s="537"/>
      <c r="LFX226" s="537"/>
      <c r="LFY226" s="537"/>
      <c r="LFZ226" s="537"/>
      <c r="LGA226" s="537"/>
      <c r="LGB226" s="537"/>
      <c r="LGC226" s="537"/>
      <c r="LGD226" s="537"/>
      <c r="LGE226" s="537"/>
      <c r="LGF226" s="537"/>
      <c r="LGG226" s="537"/>
      <c r="LGH226" s="537"/>
      <c r="LGI226" s="537"/>
      <c r="LGJ226" s="537"/>
      <c r="LGK226" s="537"/>
      <c r="LGL226" s="537"/>
      <c r="LGM226" s="537"/>
      <c r="LGN226" s="537"/>
      <c r="LGO226" s="537"/>
      <c r="LGP226" s="537"/>
      <c r="LGQ226" s="537"/>
      <c r="LGR226" s="537"/>
      <c r="LGS226" s="537"/>
      <c r="LGT226" s="537"/>
      <c r="LGU226" s="537"/>
      <c r="LGV226" s="537"/>
      <c r="LGW226" s="537"/>
      <c r="LGX226" s="537"/>
      <c r="LGY226" s="537"/>
      <c r="LGZ226" s="537"/>
      <c r="LHA226" s="537"/>
      <c r="LHB226" s="537"/>
      <c r="LHC226" s="537"/>
      <c r="LHD226" s="537"/>
      <c r="LHE226" s="537"/>
      <c r="LHF226" s="537"/>
      <c r="LHG226" s="537"/>
      <c r="LHH226" s="537"/>
      <c r="LHI226" s="537"/>
      <c r="LHJ226" s="537"/>
      <c r="LHK226" s="537"/>
      <c r="LHL226" s="537"/>
      <c r="LHM226" s="537"/>
      <c r="LHN226" s="537"/>
      <c r="LHO226" s="537"/>
      <c r="LHP226" s="537"/>
      <c r="LHQ226" s="537"/>
      <c r="LHR226" s="537"/>
      <c r="LHS226" s="537"/>
      <c r="LHT226" s="537"/>
      <c r="LHU226" s="537"/>
      <c r="LHV226" s="537"/>
      <c r="LHW226" s="537"/>
      <c r="LHX226" s="537"/>
      <c r="LHY226" s="537"/>
      <c r="LHZ226" s="537"/>
      <c r="LIA226" s="537"/>
      <c r="LIB226" s="537"/>
      <c r="LIC226" s="537"/>
      <c r="LID226" s="537"/>
      <c r="LIE226" s="537"/>
      <c r="LIF226" s="537"/>
      <c r="LIG226" s="537"/>
      <c r="LIH226" s="537"/>
      <c r="LII226" s="537"/>
      <c r="LIJ226" s="537"/>
      <c r="LIK226" s="537"/>
      <c r="LIL226" s="537"/>
      <c r="LIM226" s="537"/>
      <c r="LIN226" s="537"/>
      <c r="LIO226" s="537"/>
      <c r="LIP226" s="537"/>
      <c r="LIQ226" s="537"/>
      <c r="LIR226" s="537"/>
      <c r="LIS226" s="537"/>
      <c r="LIT226" s="537"/>
      <c r="LIU226" s="537"/>
      <c r="LIV226" s="537"/>
      <c r="LIW226" s="537"/>
      <c r="LIX226" s="537"/>
      <c r="LIY226" s="537"/>
      <c r="LIZ226" s="537"/>
      <c r="LJA226" s="537"/>
      <c r="LJB226" s="537"/>
      <c r="LJC226" s="537"/>
      <c r="LJD226" s="537"/>
      <c r="LJE226" s="537"/>
      <c r="LJF226" s="537"/>
      <c r="LJG226" s="537"/>
      <c r="LJH226" s="537"/>
      <c r="LJI226" s="537"/>
      <c r="LJJ226" s="537"/>
      <c r="LJK226" s="537"/>
      <c r="LJL226" s="537"/>
      <c r="LJM226" s="537"/>
      <c r="LJN226" s="537"/>
      <c r="LJO226" s="537"/>
      <c r="LJP226" s="537"/>
      <c r="LJQ226" s="537"/>
      <c r="LJR226" s="537"/>
      <c r="LJS226" s="537"/>
      <c r="LJT226" s="537"/>
      <c r="LJU226" s="537"/>
      <c r="LJV226" s="537"/>
      <c r="LJW226" s="537"/>
      <c r="LJX226" s="537"/>
      <c r="LJY226" s="537"/>
      <c r="LJZ226" s="537"/>
      <c r="LKA226" s="537"/>
      <c r="LKB226" s="537"/>
      <c r="LKC226" s="537"/>
      <c r="LKD226" s="537"/>
      <c r="LKE226" s="537"/>
      <c r="LKF226" s="537"/>
      <c r="LKG226" s="537"/>
      <c r="LKH226" s="537"/>
      <c r="LKI226" s="537"/>
      <c r="LKJ226" s="537"/>
      <c r="LKK226" s="537"/>
      <c r="LKL226" s="537"/>
      <c r="LKM226" s="537"/>
      <c r="LKN226" s="537"/>
      <c r="LKO226" s="537"/>
      <c r="LKP226" s="537"/>
      <c r="LKQ226" s="537"/>
      <c r="LKR226" s="537"/>
      <c r="LKS226" s="537"/>
      <c r="LKT226" s="537"/>
      <c r="LKU226" s="537"/>
      <c r="LKV226" s="537"/>
      <c r="LKW226" s="537"/>
      <c r="LKX226" s="537"/>
      <c r="LKY226" s="537"/>
      <c r="LKZ226" s="537"/>
      <c r="LLA226" s="537"/>
      <c r="LLB226" s="537"/>
      <c r="LLC226" s="537"/>
      <c r="LLD226" s="537"/>
      <c r="LLE226" s="537"/>
      <c r="LLF226" s="537"/>
      <c r="LLG226" s="537"/>
      <c r="LLH226" s="537"/>
      <c r="LLI226" s="537"/>
      <c r="LLJ226" s="537"/>
      <c r="LLK226" s="537"/>
      <c r="LLL226" s="537"/>
      <c r="LLM226" s="537"/>
      <c r="LLN226" s="537"/>
      <c r="LLO226" s="537"/>
      <c r="LLP226" s="537"/>
      <c r="LLQ226" s="537"/>
      <c r="LLR226" s="537"/>
      <c r="LLS226" s="537"/>
      <c r="LLT226" s="537"/>
      <c r="LLU226" s="537"/>
      <c r="LLV226" s="537"/>
      <c r="LLW226" s="537"/>
      <c r="LLX226" s="537"/>
      <c r="LLY226" s="537"/>
      <c r="LLZ226" s="537"/>
      <c r="LMA226" s="537"/>
      <c r="LMB226" s="537"/>
      <c r="LMC226" s="537"/>
      <c r="LMD226" s="537"/>
      <c r="LME226" s="537"/>
      <c r="LMF226" s="537"/>
      <c r="LMG226" s="537"/>
      <c r="LMH226" s="537"/>
      <c r="LMI226" s="537"/>
      <c r="LMJ226" s="537"/>
      <c r="LMK226" s="537"/>
      <c r="LML226" s="537"/>
      <c r="LMM226" s="537"/>
      <c r="LMN226" s="537"/>
      <c r="LMO226" s="537"/>
      <c r="LMP226" s="537"/>
      <c r="LMQ226" s="537"/>
      <c r="LMR226" s="537"/>
      <c r="LMS226" s="537"/>
      <c r="LMT226" s="537"/>
      <c r="LMU226" s="537"/>
      <c r="LMV226" s="537"/>
      <c r="LMW226" s="537"/>
      <c r="LMX226" s="537"/>
      <c r="LMY226" s="537"/>
      <c r="LMZ226" s="537"/>
      <c r="LNA226" s="537"/>
      <c r="LNB226" s="537"/>
      <c r="LNC226" s="537"/>
      <c r="LND226" s="537"/>
      <c r="LNE226" s="537"/>
      <c r="LNF226" s="537"/>
      <c r="LNG226" s="537"/>
      <c r="LNH226" s="537"/>
      <c r="LNI226" s="537"/>
      <c r="LNJ226" s="537"/>
      <c r="LNK226" s="537"/>
      <c r="LNL226" s="537"/>
      <c r="LNM226" s="537"/>
      <c r="LNN226" s="537"/>
      <c r="LNO226" s="537"/>
      <c r="LNP226" s="537"/>
      <c r="LNQ226" s="537"/>
      <c r="LNR226" s="537"/>
      <c r="LNS226" s="537"/>
      <c r="LNT226" s="537"/>
      <c r="LNU226" s="537"/>
      <c r="LNV226" s="537"/>
      <c r="LNW226" s="537"/>
      <c r="LNX226" s="537"/>
      <c r="LNY226" s="537"/>
      <c r="LNZ226" s="537"/>
      <c r="LOA226" s="537"/>
      <c r="LOB226" s="537"/>
      <c r="LOC226" s="537"/>
      <c r="LOD226" s="537"/>
      <c r="LOE226" s="537"/>
      <c r="LOF226" s="537"/>
      <c r="LOG226" s="537"/>
      <c r="LOH226" s="537"/>
      <c r="LOI226" s="537"/>
      <c r="LOJ226" s="537"/>
      <c r="LOK226" s="537"/>
      <c r="LOL226" s="537"/>
      <c r="LOM226" s="537"/>
      <c r="LON226" s="537"/>
      <c r="LOO226" s="537"/>
      <c r="LOP226" s="537"/>
      <c r="LOQ226" s="537"/>
      <c r="LOR226" s="537"/>
      <c r="LOS226" s="537"/>
      <c r="LOT226" s="537"/>
      <c r="LOU226" s="537"/>
      <c r="LOV226" s="537"/>
      <c r="LOW226" s="537"/>
      <c r="LOX226" s="537"/>
      <c r="LOY226" s="537"/>
      <c r="LOZ226" s="537"/>
      <c r="LPA226" s="537"/>
      <c r="LPB226" s="537"/>
      <c r="LPC226" s="537"/>
      <c r="LPD226" s="537"/>
      <c r="LPE226" s="537"/>
      <c r="LPF226" s="537"/>
      <c r="LPG226" s="537"/>
      <c r="LPH226" s="537"/>
      <c r="LPI226" s="537"/>
      <c r="LPJ226" s="537"/>
      <c r="LPK226" s="537"/>
      <c r="LPL226" s="537"/>
      <c r="LPM226" s="537"/>
      <c r="LPN226" s="537"/>
      <c r="LPO226" s="537"/>
      <c r="LPP226" s="537"/>
      <c r="LPQ226" s="537"/>
      <c r="LPR226" s="537"/>
      <c r="LPS226" s="537"/>
      <c r="LPT226" s="537"/>
      <c r="LPU226" s="537"/>
      <c r="LPV226" s="537"/>
      <c r="LPW226" s="537"/>
      <c r="LPX226" s="537"/>
      <c r="LPY226" s="537"/>
      <c r="LPZ226" s="537"/>
      <c r="LQA226" s="537"/>
      <c r="LQB226" s="537"/>
      <c r="LQC226" s="537"/>
      <c r="LQD226" s="537"/>
      <c r="LQE226" s="537"/>
      <c r="LQF226" s="537"/>
      <c r="LQG226" s="537"/>
      <c r="LQH226" s="537"/>
      <c r="LQI226" s="537"/>
      <c r="LQJ226" s="537"/>
      <c r="LQK226" s="537"/>
      <c r="LQL226" s="537"/>
      <c r="LQM226" s="537"/>
      <c r="LQN226" s="537"/>
      <c r="LQO226" s="537"/>
      <c r="LQP226" s="537"/>
      <c r="LQQ226" s="537"/>
      <c r="LQR226" s="537"/>
      <c r="LQS226" s="537"/>
      <c r="LQT226" s="537"/>
      <c r="LQU226" s="537"/>
      <c r="LQV226" s="537"/>
      <c r="LQW226" s="537"/>
      <c r="LQX226" s="537"/>
      <c r="LQY226" s="537"/>
      <c r="LQZ226" s="537"/>
      <c r="LRA226" s="537"/>
      <c r="LRB226" s="537"/>
      <c r="LRC226" s="537"/>
      <c r="LRD226" s="537"/>
      <c r="LRE226" s="537"/>
      <c r="LRF226" s="537"/>
      <c r="LRG226" s="537"/>
      <c r="LRH226" s="537"/>
      <c r="LRI226" s="537"/>
      <c r="LRJ226" s="537"/>
      <c r="LRK226" s="537"/>
      <c r="LRL226" s="537"/>
      <c r="LRM226" s="537"/>
      <c r="LRN226" s="537"/>
      <c r="LRO226" s="537"/>
      <c r="LRP226" s="537"/>
      <c r="LRQ226" s="537"/>
      <c r="LRR226" s="537"/>
      <c r="LRS226" s="537"/>
      <c r="LRT226" s="537"/>
      <c r="LRU226" s="537"/>
      <c r="LRV226" s="537"/>
      <c r="LRW226" s="537"/>
      <c r="LRX226" s="537"/>
      <c r="LRY226" s="537"/>
      <c r="LRZ226" s="537"/>
      <c r="LSA226" s="537"/>
      <c r="LSB226" s="537"/>
      <c r="LSC226" s="537"/>
      <c r="LSD226" s="537"/>
      <c r="LSE226" s="537"/>
      <c r="LSF226" s="537"/>
      <c r="LSG226" s="537"/>
      <c r="LSH226" s="537"/>
      <c r="LSI226" s="537"/>
      <c r="LSJ226" s="537"/>
      <c r="LSK226" s="537"/>
      <c r="LSL226" s="537"/>
      <c r="LSM226" s="537"/>
      <c r="LSN226" s="537"/>
      <c r="LSO226" s="537"/>
      <c r="LSP226" s="537"/>
      <c r="LSQ226" s="537"/>
      <c r="LSR226" s="537"/>
      <c r="LSS226" s="537"/>
      <c r="LST226" s="537"/>
      <c r="LSU226" s="537"/>
      <c r="LSV226" s="537"/>
      <c r="LSW226" s="537"/>
      <c r="LSX226" s="537"/>
      <c r="LSY226" s="537"/>
      <c r="LSZ226" s="537"/>
      <c r="LTA226" s="537"/>
      <c r="LTB226" s="537"/>
      <c r="LTC226" s="537"/>
      <c r="LTD226" s="537"/>
      <c r="LTE226" s="537"/>
      <c r="LTF226" s="537"/>
      <c r="LTG226" s="537"/>
      <c r="LTH226" s="537"/>
      <c r="LTI226" s="537"/>
      <c r="LTJ226" s="537"/>
      <c r="LTK226" s="537"/>
      <c r="LTL226" s="537"/>
      <c r="LTM226" s="537"/>
      <c r="LTN226" s="537"/>
      <c r="LTO226" s="537"/>
      <c r="LTP226" s="537"/>
      <c r="LTQ226" s="537"/>
      <c r="LTR226" s="537"/>
      <c r="LTS226" s="537"/>
      <c r="LTT226" s="537"/>
      <c r="LTU226" s="537"/>
      <c r="LTV226" s="537"/>
      <c r="LTW226" s="537"/>
      <c r="LTX226" s="537"/>
      <c r="LTY226" s="537"/>
      <c r="LTZ226" s="537"/>
      <c r="LUA226" s="537"/>
      <c r="LUB226" s="537"/>
      <c r="LUC226" s="537"/>
      <c r="LUD226" s="537"/>
      <c r="LUE226" s="537"/>
      <c r="LUF226" s="537"/>
      <c r="LUG226" s="537"/>
      <c r="LUH226" s="537"/>
      <c r="LUI226" s="537"/>
      <c r="LUJ226" s="537"/>
      <c r="LUK226" s="537"/>
      <c r="LUL226" s="537"/>
      <c r="LUM226" s="537"/>
      <c r="LUN226" s="537"/>
      <c r="LUO226" s="537"/>
      <c r="LUP226" s="537"/>
      <c r="LUQ226" s="537"/>
      <c r="LUR226" s="537"/>
      <c r="LUS226" s="537"/>
      <c r="LUT226" s="537"/>
      <c r="LUU226" s="537"/>
      <c r="LUV226" s="537"/>
      <c r="LUW226" s="537"/>
      <c r="LUX226" s="537"/>
      <c r="LUY226" s="537"/>
      <c r="LUZ226" s="537"/>
      <c r="LVA226" s="537"/>
      <c r="LVB226" s="537"/>
      <c r="LVC226" s="537"/>
      <c r="LVD226" s="537"/>
      <c r="LVE226" s="537"/>
      <c r="LVF226" s="537"/>
      <c r="LVG226" s="537"/>
      <c r="LVH226" s="537"/>
      <c r="LVI226" s="537"/>
      <c r="LVJ226" s="537"/>
      <c r="LVK226" s="537"/>
      <c r="LVL226" s="537"/>
      <c r="LVM226" s="537"/>
      <c r="LVN226" s="537"/>
      <c r="LVO226" s="537"/>
      <c r="LVP226" s="537"/>
      <c r="LVQ226" s="537"/>
      <c r="LVR226" s="537"/>
      <c r="LVS226" s="537"/>
      <c r="LVT226" s="537"/>
      <c r="LVU226" s="537"/>
      <c r="LVV226" s="537"/>
      <c r="LVW226" s="537"/>
      <c r="LVX226" s="537"/>
      <c r="LVY226" s="537"/>
      <c r="LVZ226" s="537"/>
      <c r="LWA226" s="537"/>
      <c r="LWB226" s="537"/>
      <c r="LWC226" s="537"/>
      <c r="LWD226" s="537"/>
      <c r="LWE226" s="537"/>
      <c r="LWF226" s="537"/>
      <c r="LWG226" s="537"/>
      <c r="LWH226" s="537"/>
      <c r="LWI226" s="537"/>
      <c r="LWJ226" s="537"/>
      <c r="LWK226" s="537"/>
      <c r="LWL226" s="537"/>
      <c r="LWM226" s="537"/>
      <c r="LWN226" s="537"/>
      <c r="LWO226" s="537"/>
      <c r="LWP226" s="537"/>
      <c r="LWQ226" s="537"/>
      <c r="LWR226" s="537"/>
      <c r="LWS226" s="537"/>
      <c r="LWT226" s="537"/>
      <c r="LWU226" s="537"/>
      <c r="LWV226" s="537"/>
      <c r="LWW226" s="537"/>
      <c r="LWX226" s="537"/>
      <c r="LWY226" s="537"/>
      <c r="LWZ226" s="537"/>
      <c r="LXA226" s="537"/>
      <c r="LXB226" s="537"/>
      <c r="LXC226" s="537"/>
      <c r="LXD226" s="537"/>
      <c r="LXE226" s="537"/>
      <c r="LXF226" s="537"/>
      <c r="LXG226" s="537"/>
      <c r="LXH226" s="537"/>
      <c r="LXI226" s="537"/>
      <c r="LXJ226" s="537"/>
      <c r="LXK226" s="537"/>
      <c r="LXL226" s="537"/>
      <c r="LXM226" s="537"/>
      <c r="LXN226" s="537"/>
      <c r="LXO226" s="537"/>
      <c r="LXP226" s="537"/>
      <c r="LXQ226" s="537"/>
      <c r="LXR226" s="537"/>
      <c r="LXS226" s="537"/>
      <c r="LXT226" s="537"/>
      <c r="LXU226" s="537"/>
      <c r="LXV226" s="537"/>
      <c r="LXW226" s="537"/>
      <c r="LXX226" s="537"/>
      <c r="LXY226" s="537"/>
      <c r="LXZ226" s="537"/>
      <c r="LYA226" s="537"/>
      <c r="LYB226" s="537"/>
      <c r="LYC226" s="537"/>
      <c r="LYD226" s="537"/>
      <c r="LYE226" s="537"/>
      <c r="LYF226" s="537"/>
      <c r="LYG226" s="537"/>
      <c r="LYH226" s="537"/>
      <c r="LYI226" s="537"/>
      <c r="LYJ226" s="537"/>
      <c r="LYK226" s="537"/>
      <c r="LYL226" s="537"/>
      <c r="LYM226" s="537"/>
      <c r="LYN226" s="537"/>
      <c r="LYO226" s="537"/>
      <c r="LYP226" s="537"/>
      <c r="LYQ226" s="537"/>
      <c r="LYR226" s="537"/>
      <c r="LYS226" s="537"/>
      <c r="LYT226" s="537"/>
      <c r="LYU226" s="537"/>
      <c r="LYV226" s="537"/>
      <c r="LYW226" s="537"/>
      <c r="LYX226" s="537"/>
      <c r="LYY226" s="537"/>
      <c r="LYZ226" s="537"/>
      <c r="LZA226" s="537"/>
      <c r="LZB226" s="537"/>
      <c r="LZC226" s="537"/>
      <c r="LZD226" s="537"/>
      <c r="LZE226" s="537"/>
      <c r="LZF226" s="537"/>
      <c r="LZG226" s="537"/>
      <c r="LZH226" s="537"/>
      <c r="LZI226" s="537"/>
      <c r="LZJ226" s="537"/>
      <c r="LZK226" s="537"/>
      <c r="LZL226" s="537"/>
      <c r="LZM226" s="537"/>
      <c r="LZN226" s="537"/>
      <c r="LZO226" s="537"/>
      <c r="LZP226" s="537"/>
      <c r="LZQ226" s="537"/>
      <c r="LZR226" s="537"/>
      <c r="LZS226" s="537"/>
      <c r="LZT226" s="537"/>
      <c r="LZU226" s="537"/>
      <c r="LZV226" s="537"/>
      <c r="LZW226" s="537"/>
      <c r="LZX226" s="537"/>
      <c r="LZY226" s="537"/>
      <c r="LZZ226" s="537"/>
      <c r="MAA226" s="537"/>
      <c r="MAB226" s="537"/>
      <c r="MAC226" s="537"/>
      <c r="MAD226" s="537"/>
      <c r="MAE226" s="537"/>
      <c r="MAF226" s="537"/>
      <c r="MAG226" s="537"/>
      <c r="MAH226" s="537"/>
      <c r="MAI226" s="537"/>
      <c r="MAJ226" s="537"/>
      <c r="MAK226" s="537"/>
      <c r="MAL226" s="537"/>
      <c r="MAM226" s="537"/>
      <c r="MAN226" s="537"/>
      <c r="MAO226" s="537"/>
      <c r="MAP226" s="537"/>
      <c r="MAQ226" s="537"/>
      <c r="MAR226" s="537"/>
      <c r="MAS226" s="537"/>
      <c r="MAT226" s="537"/>
      <c r="MAU226" s="537"/>
      <c r="MAV226" s="537"/>
      <c r="MAW226" s="537"/>
      <c r="MAX226" s="537"/>
      <c r="MAY226" s="537"/>
      <c r="MAZ226" s="537"/>
      <c r="MBA226" s="537"/>
      <c r="MBB226" s="537"/>
      <c r="MBC226" s="537"/>
      <c r="MBD226" s="537"/>
      <c r="MBE226" s="537"/>
      <c r="MBF226" s="537"/>
      <c r="MBG226" s="537"/>
      <c r="MBH226" s="537"/>
      <c r="MBI226" s="537"/>
      <c r="MBJ226" s="537"/>
      <c r="MBK226" s="537"/>
      <c r="MBL226" s="537"/>
      <c r="MBM226" s="537"/>
      <c r="MBN226" s="537"/>
      <c r="MBO226" s="537"/>
      <c r="MBP226" s="537"/>
      <c r="MBQ226" s="537"/>
      <c r="MBR226" s="537"/>
      <c r="MBS226" s="537"/>
      <c r="MBT226" s="537"/>
      <c r="MBU226" s="537"/>
      <c r="MBV226" s="537"/>
      <c r="MBW226" s="537"/>
      <c r="MBX226" s="537"/>
      <c r="MBY226" s="537"/>
      <c r="MBZ226" s="537"/>
      <c r="MCA226" s="537"/>
      <c r="MCB226" s="537"/>
      <c r="MCC226" s="537"/>
      <c r="MCD226" s="537"/>
      <c r="MCE226" s="537"/>
      <c r="MCF226" s="537"/>
      <c r="MCG226" s="537"/>
      <c r="MCH226" s="537"/>
      <c r="MCI226" s="537"/>
      <c r="MCJ226" s="537"/>
      <c r="MCK226" s="537"/>
      <c r="MCL226" s="537"/>
      <c r="MCM226" s="537"/>
      <c r="MCN226" s="537"/>
      <c r="MCO226" s="537"/>
      <c r="MCP226" s="537"/>
      <c r="MCQ226" s="537"/>
      <c r="MCR226" s="537"/>
      <c r="MCS226" s="537"/>
      <c r="MCT226" s="537"/>
      <c r="MCU226" s="537"/>
      <c r="MCV226" s="537"/>
      <c r="MCW226" s="537"/>
      <c r="MCX226" s="537"/>
      <c r="MCY226" s="537"/>
      <c r="MCZ226" s="537"/>
      <c r="MDA226" s="537"/>
      <c r="MDB226" s="537"/>
      <c r="MDC226" s="537"/>
      <c r="MDD226" s="537"/>
      <c r="MDE226" s="537"/>
      <c r="MDF226" s="537"/>
      <c r="MDG226" s="537"/>
      <c r="MDH226" s="537"/>
      <c r="MDI226" s="537"/>
      <c r="MDJ226" s="537"/>
      <c r="MDK226" s="537"/>
      <c r="MDL226" s="537"/>
      <c r="MDM226" s="537"/>
      <c r="MDN226" s="537"/>
      <c r="MDO226" s="537"/>
      <c r="MDP226" s="537"/>
      <c r="MDQ226" s="537"/>
      <c r="MDR226" s="537"/>
      <c r="MDS226" s="537"/>
      <c r="MDT226" s="537"/>
      <c r="MDU226" s="537"/>
      <c r="MDV226" s="537"/>
      <c r="MDW226" s="537"/>
      <c r="MDX226" s="537"/>
      <c r="MDY226" s="537"/>
      <c r="MDZ226" s="537"/>
      <c r="MEA226" s="537"/>
      <c r="MEB226" s="537"/>
      <c r="MEC226" s="537"/>
      <c r="MED226" s="537"/>
      <c r="MEE226" s="537"/>
      <c r="MEF226" s="537"/>
      <c r="MEG226" s="537"/>
      <c r="MEH226" s="537"/>
      <c r="MEI226" s="537"/>
      <c r="MEJ226" s="537"/>
      <c r="MEK226" s="537"/>
      <c r="MEL226" s="537"/>
      <c r="MEM226" s="537"/>
      <c r="MEN226" s="537"/>
      <c r="MEO226" s="537"/>
      <c r="MEP226" s="537"/>
      <c r="MEQ226" s="537"/>
      <c r="MER226" s="537"/>
      <c r="MES226" s="537"/>
      <c r="MET226" s="537"/>
      <c r="MEU226" s="537"/>
      <c r="MEV226" s="537"/>
      <c r="MEW226" s="537"/>
      <c r="MEX226" s="537"/>
      <c r="MEY226" s="537"/>
      <c r="MEZ226" s="537"/>
      <c r="MFA226" s="537"/>
      <c r="MFB226" s="537"/>
      <c r="MFC226" s="537"/>
      <c r="MFD226" s="537"/>
      <c r="MFE226" s="537"/>
      <c r="MFF226" s="537"/>
      <c r="MFG226" s="537"/>
      <c r="MFH226" s="537"/>
      <c r="MFI226" s="537"/>
      <c r="MFJ226" s="537"/>
      <c r="MFK226" s="537"/>
      <c r="MFL226" s="537"/>
      <c r="MFM226" s="537"/>
      <c r="MFN226" s="537"/>
      <c r="MFO226" s="537"/>
      <c r="MFP226" s="537"/>
      <c r="MFQ226" s="537"/>
      <c r="MFR226" s="537"/>
      <c r="MFS226" s="537"/>
      <c r="MFT226" s="537"/>
      <c r="MFU226" s="537"/>
      <c r="MFV226" s="537"/>
      <c r="MFW226" s="537"/>
      <c r="MFX226" s="537"/>
      <c r="MFY226" s="537"/>
      <c r="MFZ226" s="537"/>
      <c r="MGA226" s="537"/>
      <c r="MGB226" s="537"/>
      <c r="MGC226" s="537"/>
      <c r="MGD226" s="537"/>
      <c r="MGE226" s="537"/>
      <c r="MGF226" s="537"/>
      <c r="MGG226" s="537"/>
      <c r="MGH226" s="537"/>
      <c r="MGI226" s="537"/>
      <c r="MGJ226" s="537"/>
      <c r="MGK226" s="537"/>
      <c r="MGL226" s="537"/>
      <c r="MGM226" s="537"/>
      <c r="MGN226" s="537"/>
      <c r="MGO226" s="537"/>
      <c r="MGP226" s="537"/>
      <c r="MGQ226" s="537"/>
      <c r="MGR226" s="537"/>
      <c r="MGS226" s="537"/>
      <c r="MGT226" s="537"/>
      <c r="MGU226" s="537"/>
      <c r="MGV226" s="537"/>
      <c r="MGW226" s="537"/>
      <c r="MGX226" s="537"/>
      <c r="MGY226" s="537"/>
      <c r="MGZ226" s="537"/>
      <c r="MHA226" s="537"/>
      <c r="MHB226" s="537"/>
      <c r="MHC226" s="537"/>
      <c r="MHD226" s="537"/>
      <c r="MHE226" s="537"/>
      <c r="MHF226" s="537"/>
      <c r="MHG226" s="537"/>
      <c r="MHH226" s="537"/>
      <c r="MHI226" s="537"/>
      <c r="MHJ226" s="537"/>
      <c r="MHK226" s="537"/>
      <c r="MHL226" s="537"/>
      <c r="MHM226" s="537"/>
      <c r="MHN226" s="537"/>
      <c r="MHO226" s="537"/>
      <c r="MHP226" s="537"/>
      <c r="MHQ226" s="537"/>
      <c r="MHR226" s="537"/>
      <c r="MHS226" s="537"/>
      <c r="MHT226" s="537"/>
      <c r="MHU226" s="537"/>
      <c r="MHV226" s="537"/>
      <c r="MHW226" s="537"/>
      <c r="MHX226" s="537"/>
      <c r="MHY226" s="537"/>
      <c r="MHZ226" s="537"/>
      <c r="MIA226" s="537"/>
      <c r="MIB226" s="537"/>
      <c r="MIC226" s="537"/>
      <c r="MID226" s="537"/>
      <c r="MIE226" s="537"/>
      <c r="MIF226" s="537"/>
      <c r="MIG226" s="537"/>
      <c r="MIH226" s="537"/>
      <c r="MII226" s="537"/>
      <c r="MIJ226" s="537"/>
      <c r="MIK226" s="537"/>
      <c r="MIL226" s="537"/>
      <c r="MIM226" s="537"/>
      <c r="MIN226" s="537"/>
      <c r="MIO226" s="537"/>
      <c r="MIP226" s="537"/>
      <c r="MIQ226" s="537"/>
      <c r="MIR226" s="537"/>
      <c r="MIS226" s="537"/>
      <c r="MIT226" s="537"/>
      <c r="MIU226" s="537"/>
      <c r="MIV226" s="537"/>
      <c r="MIW226" s="537"/>
      <c r="MIX226" s="537"/>
      <c r="MIY226" s="537"/>
      <c r="MIZ226" s="537"/>
      <c r="MJA226" s="537"/>
      <c r="MJB226" s="537"/>
      <c r="MJC226" s="537"/>
      <c r="MJD226" s="537"/>
      <c r="MJE226" s="537"/>
      <c r="MJF226" s="537"/>
      <c r="MJG226" s="537"/>
      <c r="MJH226" s="537"/>
      <c r="MJI226" s="537"/>
      <c r="MJJ226" s="537"/>
      <c r="MJK226" s="537"/>
      <c r="MJL226" s="537"/>
      <c r="MJM226" s="537"/>
      <c r="MJN226" s="537"/>
      <c r="MJO226" s="537"/>
      <c r="MJP226" s="537"/>
      <c r="MJQ226" s="537"/>
      <c r="MJR226" s="537"/>
      <c r="MJS226" s="537"/>
      <c r="MJT226" s="537"/>
      <c r="MJU226" s="537"/>
      <c r="MJV226" s="537"/>
      <c r="MJW226" s="537"/>
      <c r="MJX226" s="537"/>
      <c r="MJY226" s="537"/>
      <c r="MJZ226" s="537"/>
      <c r="MKA226" s="537"/>
      <c r="MKB226" s="537"/>
      <c r="MKC226" s="537"/>
      <c r="MKD226" s="537"/>
      <c r="MKE226" s="537"/>
      <c r="MKF226" s="537"/>
      <c r="MKG226" s="537"/>
      <c r="MKH226" s="537"/>
      <c r="MKI226" s="537"/>
      <c r="MKJ226" s="537"/>
      <c r="MKK226" s="537"/>
      <c r="MKL226" s="537"/>
      <c r="MKM226" s="537"/>
      <c r="MKN226" s="537"/>
      <c r="MKO226" s="537"/>
      <c r="MKP226" s="537"/>
      <c r="MKQ226" s="537"/>
      <c r="MKR226" s="537"/>
      <c r="MKS226" s="537"/>
      <c r="MKT226" s="537"/>
      <c r="MKU226" s="537"/>
      <c r="MKV226" s="537"/>
      <c r="MKW226" s="537"/>
      <c r="MKX226" s="537"/>
      <c r="MKY226" s="537"/>
      <c r="MKZ226" s="537"/>
      <c r="MLA226" s="537"/>
      <c r="MLB226" s="537"/>
      <c r="MLC226" s="537"/>
      <c r="MLD226" s="537"/>
      <c r="MLE226" s="537"/>
      <c r="MLF226" s="537"/>
      <c r="MLG226" s="537"/>
      <c r="MLH226" s="537"/>
      <c r="MLI226" s="537"/>
      <c r="MLJ226" s="537"/>
      <c r="MLK226" s="537"/>
      <c r="MLL226" s="537"/>
      <c r="MLM226" s="537"/>
      <c r="MLN226" s="537"/>
      <c r="MLO226" s="537"/>
      <c r="MLP226" s="537"/>
      <c r="MLQ226" s="537"/>
      <c r="MLR226" s="537"/>
      <c r="MLS226" s="537"/>
      <c r="MLT226" s="537"/>
      <c r="MLU226" s="537"/>
      <c r="MLV226" s="537"/>
      <c r="MLW226" s="537"/>
      <c r="MLX226" s="537"/>
      <c r="MLY226" s="537"/>
      <c r="MLZ226" s="537"/>
      <c r="MMA226" s="537"/>
      <c r="MMB226" s="537"/>
      <c r="MMC226" s="537"/>
      <c r="MMD226" s="537"/>
      <c r="MME226" s="537"/>
      <c r="MMF226" s="537"/>
      <c r="MMG226" s="537"/>
      <c r="MMH226" s="537"/>
      <c r="MMI226" s="537"/>
      <c r="MMJ226" s="537"/>
      <c r="MMK226" s="537"/>
      <c r="MML226" s="537"/>
      <c r="MMM226" s="537"/>
      <c r="MMN226" s="537"/>
      <c r="MMO226" s="537"/>
      <c r="MMP226" s="537"/>
      <c r="MMQ226" s="537"/>
      <c r="MMR226" s="537"/>
      <c r="MMS226" s="537"/>
      <c r="MMT226" s="537"/>
      <c r="MMU226" s="537"/>
      <c r="MMV226" s="537"/>
      <c r="MMW226" s="537"/>
      <c r="MMX226" s="537"/>
      <c r="MMY226" s="537"/>
      <c r="MMZ226" s="537"/>
      <c r="MNA226" s="537"/>
      <c r="MNB226" s="537"/>
      <c r="MNC226" s="537"/>
      <c r="MND226" s="537"/>
      <c r="MNE226" s="537"/>
      <c r="MNF226" s="537"/>
      <c r="MNG226" s="537"/>
      <c r="MNH226" s="537"/>
      <c r="MNI226" s="537"/>
      <c r="MNJ226" s="537"/>
      <c r="MNK226" s="537"/>
      <c r="MNL226" s="537"/>
      <c r="MNM226" s="537"/>
      <c r="MNN226" s="537"/>
      <c r="MNO226" s="537"/>
      <c r="MNP226" s="537"/>
      <c r="MNQ226" s="537"/>
      <c r="MNR226" s="537"/>
      <c r="MNS226" s="537"/>
      <c r="MNT226" s="537"/>
      <c r="MNU226" s="537"/>
      <c r="MNV226" s="537"/>
      <c r="MNW226" s="537"/>
      <c r="MNX226" s="537"/>
      <c r="MNY226" s="537"/>
      <c r="MNZ226" s="537"/>
      <c r="MOA226" s="537"/>
      <c r="MOB226" s="537"/>
      <c r="MOC226" s="537"/>
      <c r="MOD226" s="537"/>
      <c r="MOE226" s="537"/>
      <c r="MOF226" s="537"/>
      <c r="MOG226" s="537"/>
      <c r="MOH226" s="537"/>
      <c r="MOI226" s="537"/>
      <c r="MOJ226" s="537"/>
      <c r="MOK226" s="537"/>
      <c r="MOL226" s="537"/>
      <c r="MOM226" s="537"/>
      <c r="MON226" s="537"/>
      <c r="MOO226" s="537"/>
      <c r="MOP226" s="537"/>
      <c r="MOQ226" s="537"/>
      <c r="MOR226" s="537"/>
      <c r="MOS226" s="537"/>
      <c r="MOT226" s="537"/>
      <c r="MOU226" s="537"/>
      <c r="MOV226" s="537"/>
      <c r="MOW226" s="537"/>
      <c r="MOX226" s="537"/>
      <c r="MOY226" s="537"/>
      <c r="MOZ226" s="537"/>
      <c r="MPA226" s="537"/>
      <c r="MPB226" s="537"/>
      <c r="MPC226" s="537"/>
      <c r="MPD226" s="537"/>
      <c r="MPE226" s="537"/>
      <c r="MPF226" s="537"/>
      <c r="MPG226" s="537"/>
      <c r="MPH226" s="537"/>
      <c r="MPI226" s="537"/>
      <c r="MPJ226" s="537"/>
      <c r="MPK226" s="537"/>
      <c r="MPL226" s="537"/>
      <c r="MPM226" s="537"/>
      <c r="MPN226" s="537"/>
      <c r="MPO226" s="537"/>
      <c r="MPP226" s="537"/>
      <c r="MPQ226" s="537"/>
      <c r="MPR226" s="537"/>
      <c r="MPS226" s="537"/>
      <c r="MPT226" s="537"/>
      <c r="MPU226" s="537"/>
      <c r="MPV226" s="537"/>
      <c r="MPW226" s="537"/>
      <c r="MPX226" s="537"/>
      <c r="MPY226" s="537"/>
      <c r="MPZ226" s="537"/>
      <c r="MQA226" s="537"/>
      <c r="MQB226" s="537"/>
      <c r="MQC226" s="537"/>
      <c r="MQD226" s="537"/>
      <c r="MQE226" s="537"/>
      <c r="MQF226" s="537"/>
      <c r="MQG226" s="537"/>
      <c r="MQH226" s="537"/>
      <c r="MQI226" s="537"/>
      <c r="MQJ226" s="537"/>
      <c r="MQK226" s="537"/>
      <c r="MQL226" s="537"/>
      <c r="MQM226" s="537"/>
      <c r="MQN226" s="537"/>
      <c r="MQO226" s="537"/>
      <c r="MQP226" s="537"/>
      <c r="MQQ226" s="537"/>
      <c r="MQR226" s="537"/>
      <c r="MQS226" s="537"/>
      <c r="MQT226" s="537"/>
      <c r="MQU226" s="537"/>
      <c r="MQV226" s="537"/>
      <c r="MQW226" s="537"/>
      <c r="MQX226" s="537"/>
      <c r="MQY226" s="537"/>
      <c r="MQZ226" s="537"/>
      <c r="MRA226" s="537"/>
      <c r="MRB226" s="537"/>
      <c r="MRC226" s="537"/>
      <c r="MRD226" s="537"/>
      <c r="MRE226" s="537"/>
      <c r="MRF226" s="537"/>
      <c r="MRG226" s="537"/>
      <c r="MRH226" s="537"/>
      <c r="MRI226" s="537"/>
      <c r="MRJ226" s="537"/>
      <c r="MRK226" s="537"/>
      <c r="MRL226" s="537"/>
      <c r="MRM226" s="537"/>
      <c r="MRN226" s="537"/>
      <c r="MRO226" s="537"/>
      <c r="MRP226" s="537"/>
      <c r="MRQ226" s="537"/>
      <c r="MRR226" s="537"/>
      <c r="MRS226" s="537"/>
      <c r="MRT226" s="537"/>
      <c r="MRU226" s="537"/>
      <c r="MRV226" s="537"/>
      <c r="MRW226" s="537"/>
      <c r="MRX226" s="537"/>
      <c r="MRY226" s="537"/>
      <c r="MRZ226" s="537"/>
      <c r="MSA226" s="537"/>
      <c r="MSB226" s="537"/>
      <c r="MSC226" s="537"/>
      <c r="MSD226" s="537"/>
      <c r="MSE226" s="537"/>
      <c r="MSF226" s="537"/>
      <c r="MSG226" s="537"/>
      <c r="MSH226" s="537"/>
      <c r="MSI226" s="537"/>
      <c r="MSJ226" s="537"/>
      <c r="MSK226" s="537"/>
      <c r="MSL226" s="537"/>
      <c r="MSM226" s="537"/>
      <c r="MSN226" s="537"/>
      <c r="MSO226" s="537"/>
      <c r="MSP226" s="537"/>
      <c r="MSQ226" s="537"/>
      <c r="MSR226" s="537"/>
      <c r="MSS226" s="537"/>
      <c r="MST226" s="537"/>
      <c r="MSU226" s="537"/>
      <c r="MSV226" s="537"/>
      <c r="MSW226" s="537"/>
      <c r="MSX226" s="537"/>
      <c r="MSY226" s="537"/>
      <c r="MSZ226" s="537"/>
      <c r="MTA226" s="537"/>
      <c r="MTB226" s="537"/>
      <c r="MTC226" s="537"/>
      <c r="MTD226" s="537"/>
      <c r="MTE226" s="537"/>
      <c r="MTF226" s="537"/>
      <c r="MTG226" s="537"/>
      <c r="MTH226" s="537"/>
      <c r="MTI226" s="537"/>
      <c r="MTJ226" s="537"/>
      <c r="MTK226" s="537"/>
      <c r="MTL226" s="537"/>
      <c r="MTM226" s="537"/>
      <c r="MTN226" s="537"/>
      <c r="MTO226" s="537"/>
      <c r="MTP226" s="537"/>
      <c r="MTQ226" s="537"/>
      <c r="MTR226" s="537"/>
      <c r="MTS226" s="537"/>
      <c r="MTT226" s="537"/>
      <c r="MTU226" s="537"/>
      <c r="MTV226" s="537"/>
      <c r="MTW226" s="537"/>
      <c r="MTX226" s="537"/>
      <c r="MTY226" s="537"/>
      <c r="MTZ226" s="537"/>
      <c r="MUA226" s="537"/>
      <c r="MUB226" s="537"/>
      <c r="MUC226" s="537"/>
      <c r="MUD226" s="537"/>
      <c r="MUE226" s="537"/>
      <c r="MUF226" s="537"/>
      <c r="MUG226" s="537"/>
      <c r="MUH226" s="537"/>
      <c r="MUI226" s="537"/>
      <c r="MUJ226" s="537"/>
      <c r="MUK226" s="537"/>
      <c r="MUL226" s="537"/>
      <c r="MUM226" s="537"/>
      <c r="MUN226" s="537"/>
      <c r="MUO226" s="537"/>
      <c r="MUP226" s="537"/>
      <c r="MUQ226" s="537"/>
      <c r="MUR226" s="537"/>
      <c r="MUS226" s="537"/>
      <c r="MUT226" s="537"/>
      <c r="MUU226" s="537"/>
      <c r="MUV226" s="537"/>
      <c r="MUW226" s="537"/>
      <c r="MUX226" s="537"/>
      <c r="MUY226" s="537"/>
      <c r="MUZ226" s="537"/>
      <c r="MVA226" s="537"/>
      <c r="MVB226" s="537"/>
      <c r="MVC226" s="537"/>
      <c r="MVD226" s="537"/>
      <c r="MVE226" s="537"/>
      <c r="MVF226" s="537"/>
      <c r="MVG226" s="537"/>
      <c r="MVH226" s="537"/>
      <c r="MVI226" s="537"/>
      <c r="MVJ226" s="537"/>
      <c r="MVK226" s="537"/>
      <c r="MVL226" s="537"/>
      <c r="MVM226" s="537"/>
      <c r="MVN226" s="537"/>
      <c r="MVO226" s="537"/>
      <c r="MVP226" s="537"/>
      <c r="MVQ226" s="537"/>
      <c r="MVR226" s="537"/>
      <c r="MVS226" s="537"/>
      <c r="MVT226" s="537"/>
      <c r="MVU226" s="537"/>
      <c r="MVV226" s="537"/>
      <c r="MVW226" s="537"/>
      <c r="MVX226" s="537"/>
      <c r="MVY226" s="537"/>
      <c r="MVZ226" s="537"/>
      <c r="MWA226" s="537"/>
      <c r="MWB226" s="537"/>
      <c r="MWC226" s="537"/>
      <c r="MWD226" s="537"/>
      <c r="MWE226" s="537"/>
      <c r="MWF226" s="537"/>
      <c r="MWG226" s="537"/>
      <c r="MWH226" s="537"/>
      <c r="MWI226" s="537"/>
      <c r="MWJ226" s="537"/>
      <c r="MWK226" s="537"/>
      <c r="MWL226" s="537"/>
      <c r="MWM226" s="537"/>
      <c r="MWN226" s="537"/>
      <c r="MWO226" s="537"/>
      <c r="MWP226" s="537"/>
      <c r="MWQ226" s="537"/>
      <c r="MWR226" s="537"/>
      <c r="MWS226" s="537"/>
      <c r="MWT226" s="537"/>
      <c r="MWU226" s="537"/>
      <c r="MWV226" s="537"/>
      <c r="MWW226" s="537"/>
      <c r="MWX226" s="537"/>
      <c r="MWY226" s="537"/>
      <c r="MWZ226" s="537"/>
      <c r="MXA226" s="537"/>
      <c r="MXB226" s="537"/>
      <c r="MXC226" s="537"/>
      <c r="MXD226" s="537"/>
      <c r="MXE226" s="537"/>
      <c r="MXF226" s="537"/>
      <c r="MXG226" s="537"/>
      <c r="MXH226" s="537"/>
      <c r="MXI226" s="537"/>
      <c r="MXJ226" s="537"/>
      <c r="MXK226" s="537"/>
      <c r="MXL226" s="537"/>
      <c r="MXM226" s="537"/>
      <c r="MXN226" s="537"/>
      <c r="MXO226" s="537"/>
      <c r="MXP226" s="537"/>
      <c r="MXQ226" s="537"/>
      <c r="MXR226" s="537"/>
      <c r="MXS226" s="537"/>
      <c r="MXT226" s="537"/>
      <c r="MXU226" s="537"/>
      <c r="MXV226" s="537"/>
      <c r="MXW226" s="537"/>
      <c r="MXX226" s="537"/>
      <c r="MXY226" s="537"/>
      <c r="MXZ226" s="537"/>
      <c r="MYA226" s="537"/>
      <c r="MYB226" s="537"/>
      <c r="MYC226" s="537"/>
      <c r="MYD226" s="537"/>
      <c r="MYE226" s="537"/>
      <c r="MYF226" s="537"/>
      <c r="MYG226" s="537"/>
      <c r="MYH226" s="537"/>
      <c r="MYI226" s="537"/>
      <c r="MYJ226" s="537"/>
      <c r="MYK226" s="537"/>
      <c r="MYL226" s="537"/>
      <c r="MYM226" s="537"/>
      <c r="MYN226" s="537"/>
      <c r="MYO226" s="537"/>
      <c r="MYP226" s="537"/>
      <c r="MYQ226" s="537"/>
      <c r="MYR226" s="537"/>
      <c r="MYS226" s="537"/>
      <c r="MYT226" s="537"/>
      <c r="MYU226" s="537"/>
      <c r="MYV226" s="537"/>
      <c r="MYW226" s="537"/>
      <c r="MYX226" s="537"/>
      <c r="MYY226" s="537"/>
      <c r="MYZ226" s="537"/>
      <c r="MZA226" s="537"/>
      <c r="MZB226" s="537"/>
      <c r="MZC226" s="537"/>
      <c r="MZD226" s="537"/>
      <c r="MZE226" s="537"/>
      <c r="MZF226" s="537"/>
      <c r="MZG226" s="537"/>
      <c r="MZH226" s="537"/>
      <c r="MZI226" s="537"/>
      <c r="MZJ226" s="537"/>
      <c r="MZK226" s="537"/>
      <c r="MZL226" s="537"/>
      <c r="MZM226" s="537"/>
      <c r="MZN226" s="537"/>
      <c r="MZO226" s="537"/>
      <c r="MZP226" s="537"/>
      <c r="MZQ226" s="537"/>
      <c r="MZR226" s="537"/>
      <c r="MZS226" s="537"/>
      <c r="MZT226" s="537"/>
      <c r="MZU226" s="537"/>
      <c r="MZV226" s="537"/>
      <c r="MZW226" s="537"/>
      <c r="MZX226" s="537"/>
      <c r="MZY226" s="537"/>
      <c r="MZZ226" s="537"/>
      <c r="NAA226" s="537"/>
      <c r="NAB226" s="537"/>
      <c r="NAC226" s="537"/>
      <c r="NAD226" s="537"/>
      <c r="NAE226" s="537"/>
      <c r="NAF226" s="537"/>
      <c r="NAG226" s="537"/>
      <c r="NAH226" s="537"/>
      <c r="NAI226" s="537"/>
      <c r="NAJ226" s="537"/>
      <c r="NAK226" s="537"/>
      <c r="NAL226" s="537"/>
      <c r="NAM226" s="537"/>
      <c r="NAN226" s="537"/>
      <c r="NAO226" s="537"/>
      <c r="NAP226" s="537"/>
      <c r="NAQ226" s="537"/>
      <c r="NAR226" s="537"/>
      <c r="NAS226" s="537"/>
      <c r="NAT226" s="537"/>
      <c r="NAU226" s="537"/>
      <c r="NAV226" s="537"/>
      <c r="NAW226" s="537"/>
      <c r="NAX226" s="537"/>
      <c r="NAY226" s="537"/>
      <c r="NAZ226" s="537"/>
      <c r="NBA226" s="537"/>
      <c r="NBB226" s="537"/>
      <c r="NBC226" s="537"/>
      <c r="NBD226" s="537"/>
      <c r="NBE226" s="537"/>
      <c r="NBF226" s="537"/>
      <c r="NBG226" s="537"/>
      <c r="NBH226" s="537"/>
      <c r="NBI226" s="537"/>
      <c r="NBJ226" s="537"/>
      <c r="NBK226" s="537"/>
      <c r="NBL226" s="537"/>
      <c r="NBM226" s="537"/>
      <c r="NBN226" s="537"/>
      <c r="NBO226" s="537"/>
      <c r="NBP226" s="537"/>
      <c r="NBQ226" s="537"/>
      <c r="NBR226" s="537"/>
      <c r="NBS226" s="537"/>
      <c r="NBT226" s="537"/>
      <c r="NBU226" s="537"/>
      <c r="NBV226" s="537"/>
      <c r="NBW226" s="537"/>
      <c r="NBX226" s="537"/>
      <c r="NBY226" s="537"/>
      <c r="NBZ226" s="537"/>
      <c r="NCA226" s="537"/>
      <c r="NCB226" s="537"/>
      <c r="NCC226" s="537"/>
      <c r="NCD226" s="537"/>
      <c r="NCE226" s="537"/>
      <c r="NCF226" s="537"/>
      <c r="NCG226" s="537"/>
      <c r="NCH226" s="537"/>
      <c r="NCI226" s="537"/>
      <c r="NCJ226" s="537"/>
      <c r="NCK226" s="537"/>
      <c r="NCL226" s="537"/>
      <c r="NCM226" s="537"/>
      <c r="NCN226" s="537"/>
      <c r="NCO226" s="537"/>
      <c r="NCP226" s="537"/>
      <c r="NCQ226" s="537"/>
      <c r="NCR226" s="537"/>
      <c r="NCS226" s="537"/>
      <c r="NCT226" s="537"/>
      <c r="NCU226" s="537"/>
      <c r="NCV226" s="537"/>
      <c r="NCW226" s="537"/>
      <c r="NCX226" s="537"/>
      <c r="NCY226" s="537"/>
      <c r="NCZ226" s="537"/>
      <c r="NDA226" s="537"/>
      <c r="NDB226" s="537"/>
      <c r="NDC226" s="537"/>
      <c r="NDD226" s="537"/>
      <c r="NDE226" s="537"/>
      <c r="NDF226" s="537"/>
      <c r="NDG226" s="537"/>
      <c r="NDH226" s="537"/>
      <c r="NDI226" s="537"/>
      <c r="NDJ226" s="537"/>
      <c r="NDK226" s="537"/>
      <c r="NDL226" s="537"/>
      <c r="NDM226" s="537"/>
      <c r="NDN226" s="537"/>
      <c r="NDO226" s="537"/>
      <c r="NDP226" s="537"/>
      <c r="NDQ226" s="537"/>
      <c r="NDR226" s="537"/>
      <c r="NDS226" s="537"/>
      <c r="NDT226" s="537"/>
      <c r="NDU226" s="537"/>
      <c r="NDV226" s="537"/>
      <c r="NDW226" s="537"/>
      <c r="NDX226" s="537"/>
      <c r="NDY226" s="537"/>
      <c r="NDZ226" s="537"/>
      <c r="NEA226" s="537"/>
      <c r="NEB226" s="537"/>
      <c r="NEC226" s="537"/>
      <c r="NED226" s="537"/>
      <c r="NEE226" s="537"/>
      <c r="NEF226" s="537"/>
      <c r="NEG226" s="537"/>
      <c r="NEH226" s="537"/>
      <c r="NEI226" s="537"/>
      <c r="NEJ226" s="537"/>
      <c r="NEK226" s="537"/>
      <c r="NEL226" s="537"/>
      <c r="NEM226" s="537"/>
      <c r="NEN226" s="537"/>
      <c r="NEO226" s="537"/>
      <c r="NEP226" s="537"/>
      <c r="NEQ226" s="537"/>
      <c r="NER226" s="537"/>
      <c r="NES226" s="537"/>
      <c r="NET226" s="537"/>
      <c r="NEU226" s="537"/>
      <c r="NEV226" s="537"/>
      <c r="NEW226" s="537"/>
      <c r="NEX226" s="537"/>
      <c r="NEY226" s="537"/>
      <c r="NEZ226" s="537"/>
      <c r="NFA226" s="537"/>
      <c r="NFB226" s="537"/>
      <c r="NFC226" s="537"/>
      <c r="NFD226" s="537"/>
      <c r="NFE226" s="537"/>
      <c r="NFF226" s="537"/>
      <c r="NFG226" s="537"/>
      <c r="NFH226" s="537"/>
      <c r="NFI226" s="537"/>
      <c r="NFJ226" s="537"/>
      <c r="NFK226" s="537"/>
      <c r="NFL226" s="537"/>
      <c r="NFM226" s="537"/>
      <c r="NFN226" s="537"/>
      <c r="NFO226" s="537"/>
      <c r="NFP226" s="537"/>
      <c r="NFQ226" s="537"/>
      <c r="NFR226" s="537"/>
      <c r="NFS226" s="537"/>
      <c r="NFT226" s="537"/>
      <c r="NFU226" s="537"/>
      <c r="NFV226" s="537"/>
      <c r="NFW226" s="537"/>
      <c r="NFX226" s="537"/>
      <c r="NFY226" s="537"/>
      <c r="NFZ226" s="537"/>
      <c r="NGA226" s="537"/>
      <c r="NGB226" s="537"/>
      <c r="NGC226" s="537"/>
      <c r="NGD226" s="537"/>
      <c r="NGE226" s="537"/>
      <c r="NGF226" s="537"/>
      <c r="NGG226" s="537"/>
      <c r="NGH226" s="537"/>
      <c r="NGI226" s="537"/>
      <c r="NGJ226" s="537"/>
      <c r="NGK226" s="537"/>
      <c r="NGL226" s="537"/>
      <c r="NGM226" s="537"/>
      <c r="NGN226" s="537"/>
      <c r="NGO226" s="537"/>
      <c r="NGP226" s="537"/>
      <c r="NGQ226" s="537"/>
      <c r="NGR226" s="537"/>
      <c r="NGS226" s="537"/>
      <c r="NGT226" s="537"/>
      <c r="NGU226" s="537"/>
      <c r="NGV226" s="537"/>
      <c r="NGW226" s="537"/>
      <c r="NGX226" s="537"/>
      <c r="NGY226" s="537"/>
      <c r="NGZ226" s="537"/>
      <c r="NHA226" s="537"/>
      <c r="NHB226" s="537"/>
      <c r="NHC226" s="537"/>
      <c r="NHD226" s="537"/>
      <c r="NHE226" s="537"/>
      <c r="NHF226" s="537"/>
      <c r="NHG226" s="537"/>
      <c r="NHH226" s="537"/>
      <c r="NHI226" s="537"/>
      <c r="NHJ226" s="537"/>
      <c r="NHK226" s="537"/>
      <c r="NHL226" s="537"/>
      <c r="NHM226" s="537"/>
      <c r="NHN226" s="537"/>
      <c r="NHO226" s="537"/>
      <c r="NHP226" s="537"/>
      <c r="NHQ226" s="537"/>
      <c r="NHR226" s="537"/>
      <c r="NHS226" s="537"/>
      <c r="NHT226" s="537"/>
      <c r="NHU226" s="537"/>
      <c r="NHV226" s="537"/>
      <c r="NHW226" s="537"/>
      <c r="NHX226" s="537"/>
      <c r="NHY226" s="537"/>
      <c r="NHZ226" s="537"/>
      <c r="NIA226" s="537"/>
      <c r="NIB226" s="537"/>
      <c r="NIC226" s="537"/>
      <c r="NID226" s="537"/>
      <c r="NIE226" s="537"/>
      <c r="NIF226" s="537"/>
      <c r="NIG226" s="537"/>
      <c r="NIH226" s="537"/>
      <c r="NII226" s="537"/>
      <c r="NIJ226" s="537"/>
      <c r="NIK226" s="537"/>
      <c r="NIL226" s="537"/>
      <c r="NIM226" s="537"/>
      <c r="NIN226" s="537"/>
      <c r="NIO226" s="537"/>
      <c r="NIP226" s="537"/>
      <c r="NIQ226" s="537"/>
      <c r="NIR226" s="537"/>
      <c r="NIS226" s="537"/>
      <c r="NIT226" s="537"/>
      <c r="NIU226" s="537"/>
      <c r="NIV226" s="537"/>
      <c r="NIW226" s="537"/>
      <c r="NIX226" s="537"/>
      <c r="NIY226" s="537"/>
      <c r="NIZ226" s="537"/>
      <c r="NJA226" s="537"/>
      <c r="NJB226" s="537"/>
      <c r="NJC226" s="537"/>
      <c r="NJD226" s="537"/>
      <c r="NJE226" s="537"/>
      <c r="NJF226" s="537"/>
      <c r="NJG226" s="537"/>
      <c r="NJH226" s="537"/>
      <c r="NJI226" s="537"/>
      <c r="NJJ226" s="537"/>
      <c r="NJK226" s="537"/>
      <c r="NJL226" s="537"/>
      <c r="NJM226" s="537"/>
      <c r="NJN226" s="537"/>
      <c r="NJO226" s="537"/>
      <c r="NJP226" s="537"/>
      <c r="NJQ226" s="537"/>
      <c r="NJR226" s="537"/>
      <c r="NJS226" s="537"/>
      <c r="NJT226" s="537"/>
      <c r="NJU226" s="537"/>
      <c r="NJV226" s="537"/>
      <c r="NJW226" s="537"/>
      <c r="NJX226" s="537"/>
      <c r="NJY226" s="537"/>
      <c r="NJZ226" s="537"/>
      <c r="NKA226" s="537"/>
      <c r="NKB226" s="537"/>
      <c r="NKC226" s="537"/>
      <c r="NKD226" s="537"/>
      <c r="NKE226" s="537"/>
      <c r="NKF226" s="537"/>
      <c r="NKG226" s="537"/>
      <c r="NKH226" s="537"/>
      <c r="NKI226" s="537"/>
      <c r="NKJ226" s="537"/>
      <c r="NKK226" s="537"/>
      <c r="NKL226" s="537"/>
      <c r="NKM226" s="537"/>
      <c r="NKN226" s="537"/>
      <c r="NKO226" s="537"/>
      <c r="NKP226" s="537"/>
      <c r="NKQ226" s="537"/>
      <c r="NKR226" s="537"/>
      <c r="NKS226" s="537"/>
      <c r="NKT226" s="537"/>
      <c r="NKU226" s="537"/>
      <c r="NKV226" s="537"/>
      <c r="NKW226" s="537"/>
      <c r="NKX226" s="537"/>
      <c r="NKY226" s="537"/>
      <c r="NKZ226" s="537"/>
      <c r="NLA226" s="537"/>
      <c r="NLB226" s="537"/>
      <c r="NLC226" s="537"/>
      <c r="NLD226" s="537"/>
      <c r="NLE226" s="537"/>
      <c r="NLF226" s="537"/>
      <c r="NLG226" s="537"/>
      <c r="NLH226" s="537"/>
      <c r="NLI226" s="537"/>
      <c r="NLJ226" s="537"/>
      <c r="NLK226" s="537"/>
      <c r="NLL226" s="537"/>
      <c r="NLM226" s="537"/>
      <c r="NLN226" s="537"/>
      <c r="NLO226" s="537"/>
      <c r="NLP226" s="537"/>
      <c r="NLQ226" s="537"/>
      <c r="NLR226" s="537"/>
      <c r="NLS226" s="537"/>
      <c r="NLT226" s="537"/>
      <c r="NLU226" s="537"/>
      <c r="NLV226" s="537"/>
      <c r="NLW226" s="537"/>
      <c r="NLX226" s="537"/>
      <c r="NLY226" s="537"/>
      <c r="NLZ226" s="537"/>
      <c r="NMA226" s="537"/>
      <c r="NMB226" s="537"/>
      <c r="NMC226" s="537"/>
      <c r="NMD226" s="537"/>
      <c r="NME226" s="537"/>
      <c r="NMF226" s="537"/>
      <c r="NMG226" s="537"/>
      <c r="NMH226" s="537"/>
      <c r="NMI226" s="537"/>
      <c r="NMJ226" s="537"/>
      <c r="NMK226" s="537"/>
      <c r="NML226" s="537"/>
      <c r="NMM226" s="537"/>
      <c r="NMN226" s="537"/>
      <c r="NMO226" s="537"/>
      <c r="NMP226" s="537"/>
      <c r="NMQ226" s="537"/>
      <c r="NMR226" s="537"/>
      <c r="NMS226" s="537"/>
      <c r="NMT226" s="537"/>
      <c r="NMU226" s="537"/>
      <c r="NMV226" s="537"/>
      <c r="NMW226" s="537"/>
      <c r="NMX226" s="537"/>
      <c r="NMY226" s="537"/>
      <c r="NMZ226" s="537"/>
      <c r="NNA226" s="537"/>
      <c r="NNB226" s="537"/>
      <c r="NNC226" s="537"/>
      <c r="NND226" s="537"/>
      <c r="NNE226" s="537"/>
      <c r="NNF226" s="537"/>
      <c r="NNG226" s="537"/>
      <c r="NNH226" s="537"/>
      <c r="NNI226" s="537"/>
      <c r="NNJ226" s="537"/>
      <c r="NNK226" s="537"/>
      <c r="NNL226" s="537"/>
      <c r="NNM226" s="537"/>
      <c r="NNN226" s="537"/>
      <c r="NNO226" s="537"/>
      <c r="NNP226" s="537"/>
      <c r="NNQ226" s="537"/>
      <c r="NNR226" s="537"/>
      <c r="NNS226" s="537"/>
      <c r="NNT226" s="537"/>
      <c r="NNU226" s="537"/>
      <c r="NNV226" s="537"/>
      <c r="NNW226" s="537"/>
      <c r="NNX226" s="537"/>
      <c r="NNY226" s="537"/>
      <c r="NNZ226" s="537"/>
      <c r="NOA226" s="537"/>
      <c r="NOB226" s="537"/>
      <c r="NOC226" s="537"/>
      <c r="NOD226" s="537"/>
      <c r="NOE226" s="537"/>
      <c r="NOF226" s="537"/>
      <c r="NOG226" s="537"/>
      <c r="NOH226" s="537"/>
      <c r="NOI226" s="537"/>
      <c r="NOJ226" s="537"/>
      <c r="NOK226" s="537"/>
      <c r="NOL226" s="537"/>
      <c r="NOM226" s="537"/>
      <c r="NON226" s="537"/>
      <c r="NOO226" s="537"/>
      <c r="NOP226" s="537"/>
      <c r="NOQ226" s="537"/>
      <c r="NOR226" s="537"/>
      <c r="NOS226" s="537"/>
      <c r="NOT226" s="537"/>
      <c r="NOU226" s="537"/>
      <c r="NOV226" s="537"/>
      <c r="NOW226" s="537"/>
      <c r="NOX226" s="537"/>
      <c r="NOY226" s="537"/>
      <c r="NOZ226" s="537"/>
      <c r="NPA226" s="537"/>
      <c r="NPB226" s="537"/>
      <c r="NPC226" s="537"/>
      <c r="NPD226" s="537"/>
      <c r="NPE226" s="537"/>
      <c r="NPF226" s="537"/>
      <c r="NPG226" s="537"/>
      <c r="NPH226" s="537"/>
      <c r="NPI226" s="537"/>
      <c r="NPJ226" s="537"/>
      <c r="NPK226" s="537"/>
      <c r="NPL226" s="537"/>
      <c r="NPM226" s="537"/>
      <c r="NPN226" s="537"/>
      <c r="NPO226" s="537"/>
      <c r="NPP226" s="537"/>
      <c r="NPQ226" s="537"/>
      <c r="NPR226" s="537"/>
      <c r="NPS226" s="537"/>
      <c r="NPT226" s="537"/>
      <c r="NPU226" s="537"/>
      <c r="NPV226" s="537"/>
      <c r="NPW226" s="537"/>
      <c r="NPX226" s="537"/>
      <c r="NPY226" s="537"/>
      <c r="NPZ226" s="537"/>
      <c r="NQA226" s="537"/>
      <c r="NQB226" s="537"/>
      <c r="NQC226" s="537"/>
      <c r="NQD226" s="537"/>
      <c r="NQE226" s="537"/>
      <c r="NQF226" s="537"/>
      <c r="NQG226" s="537"/>
      <c r="NQH226" s="537"/>
      <c r="NQI226" s="537"/>
      <c r="NQJ226" s="537"/>
      <c r="NQK226" s="537"/>
      <c r="NQL226" s="537"/>
      <c r="NQM226" s="537"/>
      <c r="NQN226" s="537"/>
      <c r="NQO226" s="537"/>
      <c r="NQP226" s="537"/>
      <c r="NQQ226" s="537"/>
      <c r="NQR226" s="537"/>
      <c r="NQS226" s="537"/>
      <c r="NQT226" s="537"/>
      <c r="NQU226" s="537"/>
      <c r="NQV226" s="537"/>
      <c r="NQW226" s="537"/>
      <c r="NQX226" s="537"/>
      <c r="NQY226" s="537"/>
      <c r="NQZ226" s="537"/>
      <c r="NRA226" s="537"/>
      <c r="NRB226" s="537"/>
      <c r="NRC226" s="537"/>
      <c r="NRD226" s="537"/>
      <c r="NRE226" s="537"/>
      <c r="NRF226" s="537"/>
      <c r="NRG226" s="537"/>
      <c r="NRH226" s="537"/>
      <c r="NRI226" s="537"/>
      <c r="NRJ226" s="537"/>
      <c r="NRK226" s="537"/>
      <c r="NRL226" s="537"/>
      <c r="NRM226" s="537"/>
      <c r="NRN226" s="537"/>
      <c r="NRO226" s="537"/>
      <c r="NRP226" s="537"/>
      <c r="NRQ226" s="537"/>
      <c r="NRR226" s="537"/>
      <c r="NRS226" s="537"/>
      <c r="NRT226" s="537"/>
      <c r="NRU226" s="537"/>
      <c r="NRV226" s="537"/>
      <c r="NRW226" s="537"/>
      <c r="NRX226" s="537"/>
      <c r="NRY226" s="537"/>
      <c r="NRZ226" s="537"/>
      <c r="NSA226" s="537"/>
      <c r="NSB226" s="537"/>
      <c r="NSC226" s="537"/>
      <c r="NSD226" s="537"/>
      <c r="NSE226" s="537"/>
      <c r="NSF226" s="537"/>
      <c r="NSG226" s="537"/>
      <c r="NSH226" s="537"/>
      <c r="NSI226" s="537"/>
      <c r="NSJ226" s="537"/>
      <c r="NSK226" s="537"/>
      <c r="NSL226" s="537"/>
      <c r="NSM226" s="537"/>
      <c r="NSN226" s="537"/>
      <c r="NSO226" s="537"/>
      <c r="NSP226" s="537"/>
      <c r="NSQ226" s="537"/>
      <c r="NSR226" s="537"/>
      <c r="NSS226" s="537"/>
      <c r="NST226" s="537"/>
      <c r="NSU226" s="537"/>
      <c r="NSV226" s="537"/>
      <c r="NSW226" s="537"/>
      <c r="NSX226" s="537"/>
      <c r="NSY226" s="537"/>
      <c r="NSZ226" s="537"/>
      <c r="NTA226" s="537"/>
      <c r="NTB226" s="537"/>
      <c r="NTC226" s="537"/>
      <c r="NTD226" s="537"/>
      <c r="NTE226" s="537"/>
      <c r="NTF226" s="537"/>
      <c r="NTG226" s="537"/>
      <c r="NTH226" s="537"/>
      <c r="NTI226" s="537"/>
      <c r="NTJ226" s="537"/>
      <c r="NTK226" s="537"/>
      <c r="NTL226" s="537"/>
      <c r="NTM226" s="537"/>
      <c r="NTN226" s="537"/>
      <c r="NTO226" s="537"/>
      <c r="NTP226" s="537"/>
      <c r="NTQ226" s="537"/>
      <c r="NTR226" s="537"/>
      <c r="NTS226" s="537"/>
      <c r="NTT226" s="537"/>
      <c r="NTU226" s="537"/>
      <c r="NTV226" s="537"/>
      <c r="NTW226" s="537"/>
      <c r="NTX226" s="537"/>
      <c r="NTY226" s="537"/>
      <c r="NTZ226" s="537"/>
      <c r="NUA226" s="537"/>
      <c r="NUB226" s="537"/>
      <c r="NUC226" s="537"/>
      <c r="NUD226" s="537"/>
      <c r="NUE226" s="537"/>
      <c r="NUF226" s="537"/>
      <c r="NUG226" s="537"/>
      <c r="NUH226" s="537"/>
      <c r="NUI226" s="537"/>
      <c r="NUJ226" s="537"/>
      <c r="NUK226" s="537"/>
      <c r="NUL226" s="537"/>
      <c r="NUM226" s="537"/>
      <c r="NUN226" s="537"/>
      <c r="NUO226" s="537"/>
      <c r="NUP226" s="537"/>
      <c r="NUQ226" s="537"/>
      <c r="NUR226" s="537"/>
      <c r="NUS226" s="537"/>
      <c r="NUT226" s="537"/>
      <c r="NUU226" s="537"/>
      <c r="NUV226" s="537"/>
      <c r="NUW226" s="537"/>
      <c r="NUX226" s="537"/>
      <c r="NUY226" s="537"/>
      <c r="NUZ226" s="537"/>
      <c r="NVA226" s="537"/>
      <c r="NVB226" s="537"/>
      <c r="NVC226" s="537"/>
      <c r="NVD226" s="537"/>
      <c r="NVE226" s="537"/>
      <c r="NVF226" s="537"/>
      <c r="NVG226" s="537"/>
      <c r="NVH226" s="537"/>
      <c r="NVI226" s="537"/>
      <c r="NVJ226" s="537"/>
      <c r="NVK226" s="537"/>
      <c r="NVL226" s="537"/>
      <c r="NVM226" s="537"/>
      <c r="NVN226" s="537"/>
      <c r="NVO226" s="537"/>
      <c r="NVP226" s="537"/>
      <c r="NVQ226" s="537"/>
      <c r="NVR226" s="537"/>
      <c r="NVS226" s="537"/>
      <c r="NVT226" s="537"/>
      <c r="NVU226" s="537"/>
      <c r="NVV226" s="537"/>
      <c r="NVW226" s="537"/>
      <c r="NVX226" s="537"/>
      <c r="NVY226" s="537"/>
      <c r="NVZ226" s="537"/>
      <c r="NWA226" s="537"/>
      <c r="NWB226" s="537"/>
      <c r="NWC226" s="537"/>
      <c r="NWD226" s="537"/>
      <c r="NWE226" s="537"/>
      <c r="NWF226" s="537"/>
      <c r="NWG226" s="537"/>
      <c r="NWH226" s="537"/>
      <c r="NWI226" s="537"/>
      <c r="NWJ226" s="537"/>
      <c r="NWK226" s="537"/>
      <c r="NWL226" s="537"/>
      <c r="NWM226" s="537"/>
      <c r="NWN226" s="537"/>
      <c r="NWO226" s="537"/>
      <c r="NWP226" s="537"/>
      <c r="NWQ226" s="537"/>
      <c r="NWR226" s="537"/>
      <c r="NWS226" s="537"/>
      <c r="NWT226" s="537"/>
      <c r="NWU226" s="537"/>
      <c r="NWV226" s="537"/>
      <c r="NWW226" s="537"/>
      <c r="NWX226" s="537"/>
      <c r="NWY226" s="537"/>
      <c r="NWZ226" s="537"/>
      <c r="NXA226" s="537"/>
      <c r="NXB226" s="537"/>
      <c r="NXC226" s="537"/>
      <c r="NXD226" s="537"/>
      <c r="NXE226" s="537"/>
      <c r="NXF226" s="537"/>
      <c r="NXG226" s="537"/>
      <c r="NXH226" s="537"/>
      <c r="NXI226" s="537"/>
      <c r="NXJ226" s="537"/>
      <c r="NXK226" s="537"/>
      <c r="NXL226" s="537"/>
      <c r="NXM226" s="537"/>
      <c r="NXN226" s="537"/>
      <c r="NXO226" s="537"/>
      <c r="NXP226" s="537"/>
      <c r="NXQ226" s="537"/>
      <c r="NXR226" s="537"/>
      <c r="NXS226" s="537"/>
      <c r="NXT226" s="537"/>
      <c r="NXU226" s="537"/>
      <c r="NXV226" s="537"/>
      <c r="NXW226" s="537"/>
      <c r="NXX226" s="537"/>
      <c r="NXY226" s="537"/>
      <c r="NXZ226" s="537"/>
      <c r="NYA226" s="537"/>
      <c r="NYB226" s="537"/>
      <c r="NYC226" s="537"/>
      <c r="NYD226" s="537"/>
      <c r="NYE226" s="537"/>
      <c r="NYF226" s="537"/>
      <c r="NYG226" s="537"/>
      <c r="NYH226" s="537"/>
      <c r="NYI226" s="537"/>
      <c r="NYJ226" s="537"/>
      <c r="NYK226" s="537"/>
      <c r="NYL226" s="537"/>
      <c r="NYM226" s="537"/>
      <c r="NYN226" s="537"/>
      <c r="NYO226" s="537"/>
      <c r="NYP226" s="537"/>
      <c r="NYQ226" s="537"/>
      <c r="NYR226" s="537"/>
      <c r="NYS226" s="537"/>
      <c r="NYT226" s="537"/>
      <c r="NYU226" s="537"/>
      <c r="NYV226" s="537"/>
      <c r="NYW226" s="537"/>
      <c r="NYX226" s="537"/>
      <c r="NYY226" s="537"/>
      <c r="NYZ226" s="537"/>
      <c r="NZA226" s="537"/>
      <c r="NZB226" s="537"/>
      <c r="NZC226" s="537"/>
      <c r="NZD226" s="537"/>
      <c r="NZE226" s="537"/>
      <c r="NZF226" s="537"/>
      <c r="NZG226" s="537"/>
      <c r="NZH226" s="537"/>
      <c r="NZI226" s="537"/>
      <c r="NZJ226" s="537"/>
      <c r="NZK226" s="537"/>
      <c r="NZL226" s="537"/>
      <c r="NZM226" s="537"/>
      <c r="NZN226" s="537"/>
      <c r="NZO226" s="537"/>
      <c r="NZP226" s="537"/>
      <c r="NZQ226" s="537"/>
      <c r="NZR226" s="537"/>
      <c r="NZS226" s="537"/>
      <c r="NZT226" s="537"/>
      <c r="NZU226" s="537"/>
      <c r="NZV226" s="537"/>
      <c r="NZW226" s="537"/>
      <c r="NZX226" s="537"/>
      <c r="NZY226" s="537"/>
      <c r="NZZ226" s="537"/>
      <c r="OAA226" s="537"/>
      <c r="OAB226" s="537"/>
      <c r="OAC226" s="537"/>
      <c r="OAD226" s="537"/>
      <c r="OAE226" s="537"/>
      <c r="OAF226" s="537"/>
      <c r="OAG226" s="537"/>
      <c r="OAH226" s="537"/>
      <c r="OAI226" s="537"/>
      <c r="OAJ226" s="537"/>
      <c r="OAK226" s="537"/>
      <c r="OAL226" s="537"/>
      <c r="OAM226" s="537"/>
      <c r="OAN226" s="537"/>
      <c r="OAO226" s="537"/>
      <c r="OAP226" s="537"/>
      <c r="OAQ226" s="537"/>
      <c r="OAR226" s="537"/>
      <c r="OAS226" s="537"/>
      <c r="OAT226" s="537"/>
      <c r="OAU226" s="537"/>
      <c r="OAV226" s="537"/>
      <c r="OAW226" s="537"/>
      <c r="OAX226" s="537"/>
      <c r="OAY226" s="537"/>
      <c r="OAZ226" s="537"/>
      <c r="OBA226" s="537"/>
      <c r="OBB226" s="537"/>
      <c r="OBC226" s="537"/>
      <c r="OBD226" s="537"/>
      <c r="OBE226" s="537"/>
      <c r="OBF226" s="537"/>
      <c r="OBG226" s="537"/>
      <c r="OBH226" s="537"/>
      <c r="OBI226" s="537"/>
      <c r="OBJ226" s="537"/>
      <c r="OBK226" s="537"/>
      <c r="OBL226" s="537"/>
      <c r="OBM226" s="537"/>
      <c r="OBN226" s="537"/>
      <c r="OBO226" s="537"/>
      <c r="OBP226" s="537"/>
      <c r="OBQ226" s="537"/>
      <c r="OBR226" s="537"/>
      <c r="OBS226" s="537"/>
      <c r="OBT226" s="537"/>
      <c r="OBU226" s="537"/>
      <c r="OBV226" s="537"/>
      <c r="OBW226" s="537"/>
      <c r="OBX226" s="537"/>
      <c r="OBY226" s="537"/>
      <c r="OBZ226" s="537"/>
      <c r="OCA226" s="537"/>
      <c r="OCB226" s="537"/>
      <c r="OCC226" s="537"/>
      <c r="OCD226" s="537"/>
      <c r="OCE226" s="537"/>
      <c r="OCF226" s="537"/>
      <c r="OCG226" s="537"/>
      <c r="OCH226" s="537"/>
      <c r="OCI226" s="537"/>
      <c r="OCJ226" s="537"/>
      <c r="OCK226" s="537"/>
      <c r="OCL226" s="537"/>
      <c r="OCM226" s="537"/>
      <c r="OCN226" s="537"/>
      <c r="OCO226" s="537"/>
      <c r="OCP226" s="537"/>
      <c r="OCQ226" s="537"/>
      <c r="OCR226" s="537"/>
      <c r="OCS226" s="537"/>
      <c r="OCT226" s="537"/>
      <c r="OCU226" s="537"/>
      <c r="OCV226" s="537"/>
      <c r="OCW226" s="537"/>
      <c r="OCX226" s="537"/>
      <c r="OCY226" s="537"/>
      <c r="OCZ226" s="537"/>
      <c r="ODA226" s="537"/>
      <c r="ODB226" s="537"/>
      <c r="ODC226" s="537"/>
      <c r="ODD226" s="537"/>
      <c r="ODE226" s="537"/>
      <c r="ODF226" s="537"/>
      <c r="ODG226" s="537"/>
      <c r="ODH226" s="537"/>
      <c r="ODI226" s="537"/>
      <c r="ODJ226" s="537"/>
      <c r="ODK226" s="537"/>
      <c r="ODL226" s="537"/>
      <c r="ODM226" s="537"/>
      <c r="ODN226" s="537"/>
      <c r="ODO226" s="537"/>
      <c r="ODP226" s="537"/>
      <c r="ODQ226" s="537"/>
      <c r="ODR226" s="537"/>
      <c r="ODS226" s="537"/>
      <c r="ODT226" s="537"/>
      <c r="ODU226" s="537"/>
      <c r="ODV226" s="537"/>
      <c r="ODW226" s="537"/>
      <c r="ODX226" s="537"/>
      <c r="ODY226" s="537"/>
      <c r="ODZ226" s="537"/>
      <c r="OEA226" s="537"/>
      <c r="OEB226" s="537"/>
      <c r="OEC226" s="537"/>
      <c r="OED226" s="537"/>
      <c r="OEE226" s="537"/>
      <c r="OEF226" s="537"/>
      <c r="OEG226" s="537"/>
      <c r="OEH226" s="537"/>
      <c r="OEI226" s="537"/>
      <c r="OEJ226" s="537"/>
      <c r="OEK226" s="537"/>
      <c r="OEL226" s="537"/>
      <c r="OEM226" s="537"/>
      <c r="OEN226" s="537"/>
      <c r="OEO226" s="537"/>
      <c r="OEP226" s="537"/>
      <c r="OEQ226" s="537"/>
      <c r="OER226" s="537"/>
      <c r="OES226" s="537"/>
      <c r="OET226" s="537"/>
      <c r="OEU226" s="537"/>
      <c r="OEV226" s="537"/>
      <c r="OEW226" s="537"/>
      <c r="OEX226" s="537"/>
      <c r="OEY226" s="537"/>
      <c r="OEZ226" s="537"/>
      <c r="OFA226" s="537"/>
      <c r="OFB226" s="537"/>
      <c r="OFC226" s="537"/>
      <c r="OFD226" s="537"/>
      <c r="OFE226" s="537"/>
      <c r="OFF226" s="537"/>
      <c r="OFG226" s="537"/>
      <c r="OFH226" s="537"/>
      <c r="OFI226" s="537"/>
      <c r="OFJ226" s="537"/>
      <c r="OFK226" s="537"/>
      <c r="OFL226" s="537"/>
      <c r="OFM226" s="537"/>
      <c r="OFN226" s="537"/>
      <c r="OFO226" s="537"/>
      <c r="OFP226" s="537"/>
      <c r="OFQ226" s="537"/>
      <c r="OFR226" s="537"/>
      <c r="OFS226" s="537"/>
      <c r="OFT226" s="537"/>
      <c r="OFU226" s="537"/>
      <c r="OFV226" s="537"/>
      <c r="OFW226" s="537"/>
      <c r="OFX226" s="537"/>
      <c r="OFY226" s="537"/>
      <c r="OFZ226" s="537"/>
      <c r="OGA226" s="537"/>
      <c r="OGB226" s="537"/>
      <c r="OGC226" s="537"/>
      <c r="OGD226" s="537"/>
      <c r="OGE226" s="537"/>
      <c r="OGF226" s="537"/>
      <c r="OGG226" s="537"/>
      <c r="OGH226" s="537"/>
      <c r="OGI226" s="537"/>
      <c r="OGJ226" s="537"/>
      <c r="OGK226" s="537"/>
      <c r="OGL226" s="537"/>
      <c r="OGM226" s="537"/>
      <c r="OGN226" s="537"/>
      <c r="OGO226" s="537"/>
      <c r="OGP226" s="537"/>
      <c r="OGQ226" s="537"/>
      <c r="OGR226" s="537"/>
      <c r="OGS226" s="537"/>
      <c r="OGT226" s="537"/>
      <c r="OGU226" s="537"/>
      <c r="OGV226" s="537"/>
      <c r="OGW226" s="537"/>
      <c r="OGX226" s="537"/>
      <c r="OGY226" s="537"/>
      <c r="OGZ226" s="537"/>
      <c r="OHA226" s="537"/>
      <c r="OHB226" s="537"/>
      <c r="OHC226" s="537"/>
      <c r="OHD226" s="537"/>
      <c r="OHE226" s="537"/>
      <c r="OHF226" s="537"/>
      <c r="OHG226" s="537"/>
      <c r="OHH226" s="537"/>
      <c r="OHI226" s="537"/>
      <c r="OHJ226" s="537"/>
      <c r="OHK226" s="537"/>
      <c r="OHL226" s="537"/>
      <c r="OHM226" s="537"/>
      <c r="OHN226" s="537"/>
      <c r="OHO226" s="537"/>
      <c r="OHP226" s="537"/>
      <c r="OHQ226" s="537"/>
      <c r="OHR226" s="537"/>
      <c r="OHS226" s="537"/>
      <c r="OHT226" s="537"/>
      <c r="OHU226" s="537"/>
      <c r="OHV226" s="537"/>
      <c r="OHW226" s="537"/>
      <c r="OHX226" s="537"/>
      <c r="OHY226" s="537"/>
      <c r="OHZ226" s="537"/>
      <c r="OIA226" s="537"/>
      <c r="OIB226" s="537"/>
      <c r="OIC226" s="537"/>
      <c r="OID226" s="537"/>
      <c r="OIE226" s="537"/>
      <c r="OIF226" s="537"/>
      <c r="OIG226" s="537"/>
      <c r="OIH226" s="537"/>
      <c r="OII226" s="537"/>
      <c r="OIJ226" s="537"/>
      <c r="OIK226" s="537"/>
      <c r="OIL226" s="537"/>
      <c r="OIM226" s="537"/>
      <c r="OIN226" s="537"/>
      <c r="OIO226" s="537"/>
      <c r="OIP226" s="537"/>
      <c r="OIQ226" s="537"/>
      <c r="OIR226" s="537"/>
      <c r="OIS226" s="537"/>
      <c r="OIT226" s="537"/>
      <c r="OIU226" s="537"/>
      <c r="OIV226" s="537"/>
      <c r="OIW226" s="537"/>
      <c r="OIX226" s="537"/>
      <c r="OIY226" s="537"/>
      <c r="OIZ226" s="537"/>
      <c r="OJA226" s="537"/>
      <c r="OJB226" s="537"/>
      <c r="OJC226" s="537"/>
      <c r="OJD226" s="537"/>
      <c r="OJE226" s="537"/>
      <c r="OJF226" s="537"/>
      <c r="OJG226" s="537"/>
      <c r="OJH226" s="537"/>
      <c r="OJI226" s="537"/>
      <c r="OJJ226" s="537"/>
      <c r="OJK226" s="537"/>
      <c r="OJL226" s="537"/>
      <c r="OJM226" s="537"/>
      <c r="OJN226" s="537"/>
      <c r="OJO226" s="537"/>
      <c r="OJP226" s="537"/>
      <c r="OJQ226" s="537"/>
      <c r="OJR226" s="537"/>
      <c r="OJS226" s="537"/>
      <c r="OJT226" s="537"/>
      <c r="OJU226" s="537"/>
      <c r="OJV226" s="537"/>
      <c r="OJW226" s="537"/>
      <c r="OJX226" s="537"/>
      <c r="OJY226" s="537"/>
      <c r="OJZ226" s="537"/>
      <c r="OKA226" s="537"/>
      <c r="OKB226" s="537"/>
      <c r="OKC226" s="537"/>
      <c r="OKD226" s="537"/>
      <c r="OKE226" s="537"/>
      <c r="OKF226" s="537"/>
      <c r="OKG226" s="537"/>
      <c r="OKH226" s="537"/>
      <c r="OKI226" s="537"/>
      <c r="OKJ226" s="537"/>
      <c r="OKK226" s="537"/>
      <c r="OKL226" s="537"/>
      <c r="OKM226" s="537"/>
      <c r="OKN226" s="537"/>
      <c r="OKO226" s="537"/>
      <c r="OKP226" s="537"/>
      <c r="OKQ226" s="537"/>
      <c r="OKR226" s="537"/>
      <c r="OKS226" s="537"/>
      <c r="OKT226" s="537"/>
      <c r="OKU226" s="537"/>
      <c r="OKV226" s="537"/>
      <c r="OKW226" s="537"/>
      <c r="OKX226" s="537"/>
      <c r="OKY226" s="537"/>
      <c r="OKZ226" s="537"/>
      <c r="OLA226" s="537"/>
      <c r="OLB226" s="537"/>
      <c r="OLC226" s="537"/>
      <c r="OLD226" s="537"/>
      <c r="OLE226" s="537"/>
      <c r="OLF226" s="537"/>
      <c r="OLG226" s="537"/>
      <c r="OLH226" s="537"/>
      <c r="OLI226" s="537"/>
      <c r="OLJ226" s="537"/>
      <c r="OLK226" s="537"/>
      <c r="OLL226" s="537"/>
      <c r="OLM226" s="537"/>
      <c r="OLN226" s="537"/>
      <c r="OLO226" s="537"/>
      <c r="OLP226" s="537"/>
      <c r="OLQ226" s="537"/>
      <c r="OLR226" s="537"/>
      <c r="OLS226" s="537"/>
      <c r="OLT226" s="537"/>
      <c r="OLU226" s="537"/>
      <c r="OLV226" s="537"/>
      <c r="OLW226" s="537"/>
      <c r="OLX226" s="537"/>
      <c r="OLY226" s="537"/>
      <c r="OLZ226" s="537"/>
      <c r="OMA226" s="537"/>
      <c r="OMB226" s="537"/>
      <c r="OMC226" s="537"/>
      <c r="OMD226" s="537"/>
      <c r="OME226" s="537"/>
      <c r="OMF226" s="537"/>
      <c r="OMG226" s="537"/>
      <c r="OMH226" s="537"/>
      <c r="OMI226" s="537"/>
      <c r="OMJ226" s="537"/>
      <c r="OMK226" s="537"/>
      <c r="OML226" s="537"/>
      <c r="OMM226" s="537"/>
      <c r="OMN226" s="537"/>
      <c r="OMO226" s="537"/>
      <c r="OMP226" s="537"/>
      <c r="OMQ226" s="537"/>
      <c r="OMR226" s="537"/>
      <c r="OMS226" s="537"/>
      <c r="OMT226" s="537"/>
      <c r="OMU226" s="537"/>
      <c r="OMV226" s="537"/>
      <c r="OMW226" s="537"/>
      <c r="OMX226" s="537"/>
      <c r="OMY226" s="537"/>
      <c r="OMZ226" s="537"/>
      <c r="ONA226" s="537"/>
      <c r="ONB226" s="537"/>
      <c r="ONC226" s="537"/>
      <c r="OND226" s="537"/>
      <c r="ONE226" s="537"/>
      <c r="ONF226" s="537"/>
      <c r="ONG226" s="537"/>
      <c r="ONH226" s="537"/>
      <c r="ONI226" s="537"/>
      <c r="ONJ226" s="537"/>
      <c r="ONK226" s="537"/>
      <c r="ONL226" s="537"/>
      <c r="ONM226" s="537"/>
      <c r="ONN226" s="537"/>
      <c r="ONO226" s="537"/>
      <c r="ONP226" s="537"/>
      <c r="ONQ226" s="537"/>
      <c r="ONR226" s="537"/>
      <c r="ONS226" s="537"/>
      <c r="ONT226" s="537"/>
      <c r="ONU226" s="537"/>
      <c r="ONV226" s="537"/>
      <c r="ONW226" s="537"/>
      <c r="ONX226" s="537"/>
      <c r="ONY226" s="537"/>
      <c r="ONZ226" s="537"/>
      <c r="OOA226" s="537"/>
      <c r="OOB226" s="537"/>
      <c r="OOC226" s="537"/>
      <c r="OOD226" s="537"/>
      <c r="OOE226" s="537"/>
      <c r="OOF226" s="537"/>
      <c r="OOG226" s="537"/>
      <c r="OOH226" s="537"/>
      <c r="OOI226" s="537"/>
      <c r="OOJ226" s="537"/>
      <c r="OOK226" s="537"/>
      <c r="OOL226" s="537"/>
      <c r="OOM226" s="537"/>
      <c r="OON226" s="537"/>
      <c r="OOO226" s="537"/>
      <c r="OOP226" s="537"/>
      <c r="OOQ226" s="537"/>
      <c r="OOR226" s="537"/>
      <c r="OOS226" s="537"/>
      <c r="OOT226" s="537"/>
      <c r="OOU226" s="537"/>
      <c r="OOV226" s="537"/>
      <c r="OOW226" s="537"/>
      <c r="OOX226" s="537"/>
      <c r="OOY226" s="537"/>
      <c r="OOZ226" s="537"/>
      <c r="OPA226" s="537"/>
      <c r="OPB226" s="537"/>
      <c r="OPC226" s="537"/>
      <c r="OPD226" s="537"/>
      <c r="OPE226" s="537"/>
      <c r="OPF226" s="537"/>
      <c r="OPG226" s="537"/>
      <c r="OPH226" s="537"/>
      <c r="OPI226" s="537"/>
      <c r="OPJ226" s="537"/>
      <c r="OPK226" s="537"/>
      <c r="OPL226" s="537"/>
      <c r="OPM226" s="537"/>
      <c r="OPN226" s="537"/>
      <c r="OPO226" s="537"/>
      <c r="OPP226" s="537"/>
      <c r="OPQ226" s="537"/>
      <c r="OPR226" s="537"/>
      <c r="OPS226" s="537"/>
      <c r="OPT226" s="537"/>
      <c r="OPU226" s="537"/>
      <c r="OPV226" s="537"/>
      <c r="OPW226" s="537"/>
      <c r="OPX226" s="537"/>
      <c r="OPY226" s="537"/>
      <c r="OPZ226" s="537"/>
      <c r="OQA226" s="537"/>
      <c r="OQB226" s="537"/>
      <c r="OQC226" s="537"/>
      <c r="OQD226" s="537"/>
      <c r="OQE226" s="537"/>
      <c r="OQF226" s="537"/>
      <c r="OQG226" s="537"/>
      <c r="OQH226" s="537"/>
      <c r="OQI226" s="537"/>
      <c r="OQJ226" s="537"/>
      <c r="OQK226" s="537"/>
      <c r="OQL226" s="537"/>
      <c r="OQM226" s="537"/>
      <c r="OQN226" s="537"/>
      <c r="OQO226" s="537"/>
      <c r="OQP226" s="537"/>
      <c r="OQQ226" s="537"/>
      <c r="OQR226" s="537"/>
      <c r="OQS226" s="537"/>
      <c r="OQT226" s="537"/>
      <c r="OQU226" s="537"/>
      <c r="OQV226" s="537"/>
      <c r="OQW226" s="537"/>
      <c r="OQX226" s="537"/>
      <c r="OQY226" s="537"/>
      <c r="OQZ226" s="537"/>
      <c r="ORA226" s="537"/>
      <c r="ORB226" s="537"/>
      <c r="ORC226" s="537"/>
      <c r="ORD226" s="537"/>
      <c r="ORE226" s="537"/>
      <c r="ORF226" s="537"/>
      <c r="ORG226" s="537"/>
      <c r="ORH226" s="537"/>
      <c r="ORI226" s="537"/>
      <c r="ORJ226" s="537"/>
      <c r="ORK226" s="537"/>
      <c r="ORL226" s="537"/>
      <c r="ORM226" s="537"/>
      <c r="ORN226" s="537"/>
      <c r="ORO226" s="537"/>
      <c r="ORP226" s="537"/>
      <c r="ORQ226" s="537"/>
      <c r="ORR226" s="537"/>
      <c r="ORS226" s="537"/>
      <c r="ORT226" s="537"/>
      <c r="ORU226" s="537"/>
      <c r="ORV226" s="537"/>
      <c r="ORW226" s="537"/>
      <c r="ORX226" s="537"/>
      <c r="ORY226" s="537"/>
      <c r="ORZ226" s="537"/>
      <c r="OSA226" s="537"/>
      <c r="OSB226" s="537"/>
      <c r="OSC226" s="537"/>
      <c r="OSD226" s="537"/>
      <c r="OSE226" s="537"/>
      <c r="OSF226" s="537"/>
      <c r="OSG226" s="537"/>
      <c r="OSH226" s="537"/>
      <c r="OSI226" s="537"/>
      <c r="OSJ226" s="537"/>
      <c r="OSK226" s="537"/>
      <c r="OSL226" s="537"/>
      <c r="OSM226" s="537"/>
      <c r="OSN226" s="537"/>
      <c r="OSO226" s="537"/>
      <c r="OSP226" s="537"/>
      <c r="OSQ226" s="537"/>
      <c r="OSR226" s="537"/>
      <c r="OSS226" s="537"/>
      <c r="OST226" s="537"/>
      <c r="OSU226" s="537"/>
      <c r="OSV226" s="537"/>
      <c r="OSW226" s="537"/>
      <c r="OSX226" s="537"/>
      <c r="OSY226" s="537"/>
      <c r="OSZ226" s="537"/>
      <c r="OTA226" s="537"/>
      <c r="OTB226" s="537"/>
      <c r="OTC226" s="537"/>
      <c r="OTD226" s="537"/>
      <c r="OTE226" s="537"/>
      <c r="OTF226" s="537"/>
      <c r="OTG226" s="537"/>
      <c r="OTH226" s="537"/>
      <c r="OTI226" s="537"/>
      <c r="OTJ226" s="537"/>
      <c r="OTK226" s="537"/>
      <c r="OTL226" s="537"/>
      <c r="OTM226" s="537"/>
      <c r="OTN226" s="537"/>
      <c r="OTO226" s="537"/>
      <c r="OTP226" s="537"/>
      <c r="OTQ226" s="537"/>
      <c r="OTR226" s="537"/>
      <c r="OTS226" s="537"/>
      <c r="OTT226" s="537"/>
      <c r="OTU226" s="537"/>
      <c r="OTV226" s="537"/>
      <c r="OTW226" s="537"/>
      <c r="OTX226" s="537"/>
      <c r="OTY226" s="537"/>
      <c r="OTZ226" s="537"/>
      <c r="OUA226" s="537"/>
      <c r="OUB226" s="537"/>
      <c r="OUC226" s="537"/>
      <c r="OUD226" s="537"/>
      <c r="OUE226" s="537"/>
      <c r="OUF226" s="537"/>
      <c r="OUG226" s="537"/>
      <c r="OUH226" s="537"/>
      <c r="OUI226" s="537"/>
      <c r="OUJ226" s="537"/>
      <c r="OUK226" s="537"/>
      <c r="OUL226" s="537"/>
      <c r="OUM226" s="537"/>
      <c r="OUN226" s="537"/>
      <c r="OUO226" s="537"/>
      <c r="OUP226" s="537"/>
      <c r="OUQ226" s="537"/>
      <c r="OUR226" s="537"/>
      <c r="OUS226" s="537"/>
      <c r="OUT226" s="537"/>
      <c r="OUU226" s="537"/>
      <c r="OUV226" s="537"/>
      <c r="OUW226" s="537"/>
      <c r="OUX226" s="537"/>
      <c r="OUY226" s="537"/>
      <c r="OUZ226" s="537"/>
      <c r="OVA226" s="537"/>
      <c r="OVB226" s="537"/>
      <c r="OVC226" s="537"/>
      <c r="OVD226" s="537"/>
      <c r="OVE226" s="537"/>
      <c r="OVF226" s="537"/>
      <c r="OVG226" s="537"/>
      <c r="OVH226" s="537"/>
      <c r="OVI226" s="537"/>
      <c r="OVJ226" s="537"/>
      <c r="OVK226" s="537"/>
      <c r="OVL226" s="537"/>
      <c r="OVM226" s="537"/>
      <c r="OVN226" s="537"/>
      <c r="OVO226" s="537"/>
      <c r="OVP226" s="537"/>
      <c r="OVQ226" s="537"/>
      <c r="OVR226" s="537"/>
      <c r="OVS226" s="537"/>
      <c r="OVT226" s="537"/>
      <c r="OVU226" s="537"/>
      <c r="OVV226" s="537"/>
      <c r="OVW226" s="537"/>
      <c r="OVX226" s="537"/>
      <c r="OVY226" s="537"/>
      <c r="OVZ226" s="537"/>
      <c r="OWA226" s="537"/>
      <c r="OWB226" s="537"/>
      <c r="OWC226" s="537"/>
      <c r="OWD226" s="537"/>
      <c r="OWE226" s="537"/>
      <c r="OWF226" s="537"/>
      <c r="OWG226" s="537"/>
      <c r="OWH226" s="537"/>
      <c r="OWI226" s="537"/>
      <c r="OWJ226" s="537"/>
      <c r="OWK226" s="537"/>
      <c r="OWL226" s="537"/>
      <c r="OWM226" s="537"/>
      <c r="OWN226" s="537"/>
      <c r="OWO226" s="537"/>
      <c r="OWP226" s="537"/>
      <c r="OWQ226" s="537"/>
      <c r="OWR226" s="537"/>
      <c r="OWS226" s="537"/>
      <c r="OWT226" s="537"/>
      <c r="OWU226" s="537"/>
      <c r="OWV226" s="537"/>
      <c r="OWW226" s="537"/>
      <c r="OWX226" s="537"/>
      <c r="OWY226" s="537"/>
      <c r="OWZ226" s="537"/>
      <c r="OXA226" s="537"/>
      <c r="OXB226" s="537"/>
      <c r="OXC226" s="537"/>
      <c r="OXD226" s="537"/>
      <c r="OXE226" s="537"/>
      <c r="OXF226" s="537"/>
      <c r="OXG226" s="537"/>
      <c r="OXH226" s="537"/>
      <c r="OXI226" s="537"/>
      <c r="OXJ226" s="537"/>
      <c r="OXK226" s="537"/>
      <c r="OXL226" s="537"/>
      <c r="OXM226" s="537"/>
      <c r="OXN226" s="537"/>
      <c r="OXO226" s="537"/>
      <c r="OXP226" s="537"/>
      <c r="OXQ226" s="537"/>
      <c r="OXR226" s="537"/>
      <c r="OXS226" s="537"/>
      <c r="OXT226" s="537"/>
      <c r="OXU226" s="537"/>
      <c r="OXV226" s="537"/>
      <c r="OXW226" s="537"/>
      <c r="OXX226" s="537"/>
      <c r="OXY226" s="537"/>
      <c r="OXZ226" s="537"/>
      <c r="OYA226" s="537"/>
      <c r="OYB226" s="537"/>
      <c r="OYC226" s="537"/>
      <c r="OYD226" s="537"/>
      <c r="OYE226" s="537"/>
      <c r="OYF226" s="537"/>
      <c r="OYG226" s="537"/>
      <c r="OYH226" s="537"/>
      <c r="OYI226" s="537"/>
      <c r="OYJ226" s="537"/>
      <c r="OYK226" s="537"/>
      <c r="OYL226" s="537"/>
      <c r="OYM226" s="537"/>
      <c r="OYN226" s="537"/>
      <c r="OYO226" s="537"/>
      <c r="OYP226" s="537"/>
      <c r="OYQ226" s="537"/>
      <c r="OYR226" s="537"/>
      <c r="OYS226" s="537"/>
      <c r="OYT226" s="537"/>
      <c r="OYU226" s="537"/>
      <c r="OYV226" s="537"/>
      <c r="OYW226" s="537"/>
      <c r="OYX226" s="537"/>
      <c r="OYY226" s="537"/>
      <c r="OYZ226" s="537"/>
      <c r="OZA226" s="537"/>
      <c r="OZB226" s="537"/>
      <c r="OZC226" s="537"/>
      <c r="OZD226" s="537"/>
      <c r="OZE226" s="537"/>
      <c r="OZF226" s="537"/>
      <c r="OZG226" s="537"/>
      <c r="OZH226" s="537"/>
      <c r="OZI226" s="537"/>
      <c r="OZJ226" s="537"/>
      <c r="OZK226" s="537"/>
      <c r="OZL226" s="537"/>
      <c r="OZM226" s="537"/>
      <c r="OZN226" s="537"/>
      <c r="OZO226" s="537"/>
      <c r="OZP226" s="537"/>
      <c r="OZQ226" s="537"/>
      <c r="OZR226" s="537"/>
      <c r="OZS226" s="537"/>
      <c r="OZT226" s="537"/>
      <c r="OZU226" s="537"/>
      <c r="OZV226" s="537"/>
      <c r="OZW226" s="537"/>
      <c r="OZX226" s="537"/>
      <c r="OZY226" s="537"/>
      <c r="OZZ226" s="537"/>
      <c r="PAA226" s="537"/>
      <c r="PAB226" s="537"/>
      <c r="PAC226" s="537"/>
      <c r="PAD226" s="537"/>
      <c r="PAE226" s="537"/>
      <c r="PAF226" s="537"/>
      <c r="PAG226" s="537"/>
      <c r="PAH226" s="537"/>
      <c r="PAI226" s="537"/>
      <c r="PAJ226" s="537"/>
      <c r="PAK226" s="537"/>
      <c r="PAL226" s="537"/>
      <c r="PAM226" s="537"/>
      <c r="PAN226" s="537"/>
      <c r="PAO226" s="537"/>
      <c r="PAP226" s="537"/>
      <c r="PAQ226" s="537"/>
      <c r="PAR226" s="537"/>
      <c r="PAS226" s="537"/>
      <c r="PAT226" s="537"/>
      <c r="PAU226" s="537"/>
      <c r="PAV226" s="537"/>
      <c r="PAW226" s="537"/>
      <c r="PAX226" s="537"/>
      <c r="PAY226" s="537"/>
      <c r="PAZ226" s="537"/>
      <c r="PBA226" s="537"/>
      <c r="PBB226" s="537"/>
      <c r="PBC226" s="537"/>
      <c r="PBD226" s="537"/>
      <c r="PBE226" s="537"/>
      <c r="PBF226" s="537"/>
      <c r="PBG226" s="537"/>
      <c r="PBH226" s="537"/>
      <c r="PBI226" s="537"/>
      <c r="PBJ226" s="537"/>
      <c r="PBK226" s="537"/>
      <c r="PBL226" s="537"/>
      <c r="PBM226" s="537"/>
      <c r="PBN226" s="537"/>
      <c r="PBO226" s="537"/>
      <c r="PBP226" s="537"/>
      <c r="PBQ226" s="537"/>
      <c r="PBR226" s="537"/>
      <c r="PBS226" s="537"/>
      <c r="PBT226" s="537"/>
      <c r="PBU226" s="537"/>
      <c r="PBV226" s="537"/>
      <c r="PBW226" s="537"/>
      <c r="PBX226" s="537"/>
      <c r="PBY226" s="537"/>
      <c r="PBZ226" s="537"/>
      <c r="PCA226" s="537"/>
      <c r="PCB226" s="537"/>
      <c r="PCC226" s="537"/>
      <c r="PCD226" s="537"/>
      <c r="PCE226" s="537"/>
      <c r="PCF226" s="537"/>
      <c r="PCG226" s="537"/>
      <c r="PCH226" s="537"/>
      <c r="PCI226" s="537"/>
      <c r="PCJ226" s="537"/>
      <c r="PCK226" s="537"/>
      <c r="PCL226" s="537"/>
      <c r="PCM226" s="537"/>
      <c r="PCN226" s="537"/>
      <c r="PCO226" s="537"/>
      <c r="PCP226" s="537"/>
      <c r="PCQ226" s="537"/>
      <c r="PCR226" s="537"/>
      <c r="PCS226" s="537"/>
      <c r="PCT226" s="537"/>
      <c r="PCU226" s="537"/>
      <c r="PCV226" s="537"/>
      <c r="PCW226" s="537"/>
      <c r="PCX226" s="537"/>
      <c r="PCY226" s="537"/>
      <c r="PCZ226" s="537"/>
      <c r="PDA226" s="537"/>
      <c r="PDB226" s="537"/>
      <c r="PDC226" s="537"/>
      <c r="PDD226" s="537"/>
      <c r="PDE226" s="537"/>
      <c r="PDF226" s="537"/>
      <c r="PDG226" s="537"/>
      <c r="PDH226" s="537"/>
      <c r="PDI226" s="537"/>
      <c r="PDJ226" s="537"/>
      <c r="PDK226" s="537"/>
      <c r="PDL226" s="537"/>
      <c r="PDM226" s="537"/>
      <c r="PDN226" s="537"/>
      <c r="PDO226" s="537"/>
      <c r="PDP226" s="537"/>
      <c r="PDQ226" s="537"/>
      <c r="PDR226" s="537"/>
      <c r="PDS226" s="537"/>
      <c r="PDT226" s="537"/>
      <c r="PDU226" s="537"/>
      <c r="PDV226" s="537"/>
      <c r="PDW226" s="537"/>
      <c r="PDX226" s="537"/>
      <c r="PDY226" s="537"/>
      <c r="PDZ226" s="537"/>
      <c r="PEA226" s="537"/>
      <c r="PEB226" s="537"/>
      <c r="PEC226" s="537"/>
      <c r="PED226" s="537"/>
      <c r="PEE226" s="537"/>
      <c r="PEF226" s="537"/>
      <c r="PEG226" s="537"/>
      <c r="PEH226" s="537"/>
      <c r="PEI226" s="537"/>
      <c r="PEJ226" s="537"/>
      <c r="PEK226" s="537"/>
      <c r="PEL226" s="537"/>
      <c r="PEM226" s="537"/>
      <c r="PEN226" s="537"/>
      <c r="PEO226" s="537"/>
      <c r="PEP226" s="537"/>
      <c r="PEQ226" s="537"/>
      <c r="PER226" s="537"/>
      <c r="PES226" s="537"/>
      <c r="PET226" s="537"/>
      <c r="PEU226" s="537"/>
      <c r="PEV226" s="537"/>
      <c r="PEW226" s="537"/>
      <c r="PEX226" s="537"/>
      <c r="PEY226" s="537"/>
      <c r="PEZ226" s="537"/>
      <c r="PFA226" s="537"/>
      <c r="PFB226" s="537"/>
      <c r="PFC226" s="537"/>
      <c r="PFD226" s="537"/>
      <c r="PFE226" s="537"/>
      <c r="PFF226" s="537"/>
      <c r="PFG226" s="537"/>
      <c r="PFH226" s="537"/>
      <c r="PFI226" s="537"/>
      <c r="PFJ226" s="537"/>
      <c r="PFK226" s="537"/>
      <c r="PFL226" s="537"/>
      <c r="PFM226" s="537"/>
      <c r="PFN226" s="537"/>
      <c r="PFO226" s="537"/>
      <c r="PFP226" s="537"/>
      <c r="PFQ226" s="537"/>
      <c r="PFR226" s="537"/>
      <c r="PFS226" s="537"/>
      <c r="PFT226" s="537"/>
      <c r="PFU226" s="537"/>
      <c r="PFV226" s="537"/>
      <c r="PFW226" s="537"/>
      <c r="PFX226" s="537"/>
      <c r="PFY226" s="537"/>
      <c r="PFZ226" s="537"/>
      <c r="PGA226" s="537"/>
      <c r="PGB226" s="537"/>
      <c r="PGC226" s="537"/>
      <c r="PGD226" s="537"/>
      <c r="PGE226" s="537"/>
      <c r="PGF226" s="537"/>
      <c r="PGG226" s="537"/>
      <c r="PGH226" s="537"/>
      <c r="PGI226" s="537"/>
      <c r="PGJ226" s="537"/>
      <c r="PGK226" s="537"/>
      <c r="PGL226" s="537"/>
      <c r="PGM226" s="537"/>
      <c r="PGN226" s="537"/>
      <c r="PGO226" s="537"/>
      <c r="PGP226" s="537"/>
      <c r="PGQ226" s="537"/>
      <c r="PGR226" s="537"/>
      <c r="PGS226" s="537"/>
      <c r="PGT226" s="537"/>
      <c r="PGU226" s="537"/>
      <c r="PGV226" s="537"/>
      <c r="PGW226" s="537"/>
      <c r="PGX226" s="537"/>
      <c r="PGY226" s="537"/>
      <c r="PGZ226" s="537"/>
      <c r="PHA226" s="537"/>
      <c r="PHB226" s="537"/>
      <c r="PHC226" s="537"/>
      <c r="PHD226" s="537"/>
      <c r="PHE226" s="537"/>
      <c r="PHF226" s="537"/>
      <c r="PHG226" s="537"/>
      <c r="PHH226" s="537"/>
      <c r="PHI226" s="537"/>
      <c r="PHJ226" s="537"/>
      <c r="PHK226" s="537"/>
      <c r="PHL226" s="537"/>
      <c r="PHM226" s="537"/>
      <c r="PHN226" s="537"/>
      <c r="PHO226" s="537"/>
      <c r="PHP226" s="537"/>
      <c r="PHQ226" s="537"/>
      <c r="PHR226" s="537"/>
      <c r="PHS226" s="537"/>
      <c r="PHT226" s="537"/>
      <c r="PHU226" s="537"/>
      <c r="PHV226" s="537"/>
      <c r="PHW226" s="537"/>
      <c r="PHX226" s="537"/>
      <c r="PHY226" s="537"/>
      <c r="PHZ226" s="537"/>
      <c r="PIA226" s="537"/>
      <c r="PIB226" s="537"/>
      <c r="PIC226" s="537"/>
      <c r="PID226" s="537"/>
      <c r="PIE226" s="537"/>
      <c r="PIF226" s="537"/>
      <c r="PIG226" s="537"/>
      <c r="PIH226" s="537"/>
      <c r="PII226" s="537"/>
      <c r="PIJ226" s="537"/>
      <c r="PIK226" s="537"/>
      <c r="PIL226" s="537"/>
      <c r="PIM226" s="537"/>
      <c r="PIN226" s="537"/>
      <c r="PIO226" s="537"/>
      <c r="PIP226" s="537"/>
      <c r="PIQ226" s="537"/>
      <c r="PIR226" s="537"/>
      <c r="PIS226" s="537"/>
      <c r="PIT226" s="537"/>
      <c r="PIU226" s="537"/>
      <c r="PIV226" s="537"/>
      <c r="PIW226" s="537"/>
      <c r="PIX226" s="537"/>
      <c r="PIY226" s="537"/>
      <c r="PIZ226" s="537"/>
      <c r="PJA226" s="537"/>
      <c r="PJB226" s="537"/>
      <c r="PJC226" s="537"/>
      <c r="PJD226" s="537"/>
      <c r="PJE226" s="537"/>
      <c r="PJF226" s="537"/>
      <c r="PJG226" s="537"/>
      <c r="PJH226" s="537"/>
      <c r="PJI226" s="537"/>
      <c r="PJJ226" s="537"/>
      <c r="PJK226" s="537"/>
      <c r="PJL226" s="537"/>
      <c r="PJM226" s="537"/>
      <c r="PJN226" s="537"/>
      <c r="PJO226" s="537"/>
      <c r="PJP226" s="537"/>
      <c r="PJQ226" s="537"/>
      <c r="PJR226" s="537"/>
      <c r="PJS226" s="537"/>
      <c r="PJT226" s="537"/>
      <c r="PJU226" s="537"/>
      <c r="PJV226" s="537"/>
      <c r="PJW226" s="537"/>
      <c r="PJX226" s="537"/>
      <c r="PJY226" s="537"/>
      <c r="PJZ226" s="537"/>
      <c r="PKA226" s="537"/>
      <c r="PKB226" s="537"/>
      <c r="PKC226" s="537"/>
      <c r="PKD226" s="537"/>
      <c r="PKE226" s="537"/>
      <c r="PKF226" s="537"/>
      <c r="PKG226" s="537"/>
      <c r="PKH226" s="537"/>
      <c r="PKI226" s="537"/>
      <c r="PKJ226" s="537"/>
      <c r="PKK226" s="537"/>
      <c r="PKL226" s="537"/>
      <c r="PKM226" s="537"/>
      <c r="PKN226" s="537"/>
      <c r="PKO226" s="537"/>
      <c r="PKP226" s="537"/>
      <c r="PKQ226" s="537"/>
      <c r="PKR226" s="537"/>
      <c r="PKS226" s="537"/>
      <c r="PKT226" s="537"/>
      <c r="PKU226" s="537"/>
      <c r="PKV226" s="537"/>
      <c r="PKW226" s="537"/>
      <c r="PKX226" s="537"/>
      <c r="PKY226" s="537"/>
      <c r="PKZ226" s="537"/>
      <c r="PLA226" s="537"/>
      <c r="PLB226" s="537"/>
      <c r="PLC226" s="537"/>
      <c r="PLD226" s="537"/>
      <c r="PLE226" s="537"/>
      <c r="PLF226" s="537"/>
      <c r="PLG226" s="537"/>
      <c r="PLH226" s="537"/>
      <c r="PLI226" s="537"/>
      <c r="PLJ226" s="537"/>
      <c r="PLK226" s="537"/>
      <c r="PLL226" s="537"/>
      <c r="PLM226" s="537"/>
      <c r="PLN226" s="537"/>
      <c r="PLO226" s="537"/>
      <c r="PLP226" s="537"/>
      <c r="PLQ226" s="537"/>
      <c r="PLR226" s="537"/>
      <c r="PLS226" s="537"/>
      <c r="PLT226" s="537"/>
      <c r="PLU226" s="537"/>
      <c r="PLV226" s="537"/>
      <c r="PLW226" s="537"/>
      <c r="PLX226" s="537"/>
      <c r="PLY226" s="537"/>
      <c r="PLZ226" s="537"/>
      <c r="PMA226" s="537"/>
      <c r="PMB226" s="537"/>
      <c r="PMC226" s="537"/>
      <c r="PMD226" s="537"/>
      <c r="PME226" s="537"/>
      <c r="PMF226" s="537"/>
      <c r="PMG226" s="537"/>
      <c r="PMH226" s="537"/>
      <c r="PMI226" s="537"/>
      <c r="PMJ226" s="537"/>
      <c r="PMK226" s="537"/>
      <c r="PML226" s="537"/>
      <c r="PMM226" s="537"/>
      <c r="PMN226" s="537"/>
      <c r="PMO226" s="537"/>
      <c r="PMP226" s="537"/>
      <c r="PMQ226" s="537"/>
      <c r="PMR226" s="537"/>
      <c r="PMS226" s="537"/>
      <c r="PMT226" s="537"/>
      <c r="PMU226" s="537"/>
      <c r="PMV226" s="537"/>
      <c r="PMW226" s="537"/>
      <c r="PMX226" s="537"/>
      <c r="PMY226" s="537"/>
      <c r="PMZ226" s="537"/>
      <c r="PNA226" s="537"/>
      <c r="PNB226" s="537"/>
      <c r="PNC226" s="537"/>
      <c r="PND226" s="537"/>
      <c r="PNE226" s="537"/>
      <c r="PNF226" s="537"/>
      <c r="PNG226" s="537"/>
      <c r="PNH226" s="537"/>
      <c r="PNI226" s="537"/>
      <c r="PNJ226" s="537"/>
      <c r="PNK226" s="537"/>
      <c r="PNL226" s="537"/>
      <c r="PNM226" s="537"/>
      <c r="PNN226" s="537"/>
      <c r="PNO226" s="537"/>
      <c r="PNP226" s="537"/>
      <c r="PNQ226" s="537"/>
      <c r="PNR226" s="537"/>
      <c r="PNS226" s="537"/>
      <c r="PNT226" s="537"/>
      <c r="PNU226" s="537"/>
      <c r="PNV226" s="537"/>
      <c r="PNW226" s="537"/>
      <c r="PNX226" s="537"/>
      <c r="PNY226" s="537"/>
      <c r="PNZ226" s="537"/>
      <c r="POA226" s="537"/>
      <c r="POB226" s="537"/>
      <c r="POC226" s="537"/>
      <c r="POD226" s="537"/>
      <c r="POE226" s="537"/>
      <c r="POF226" s="537"/>
      <c r="POG226" s="537"/>
      <c r="POH226" s="537"/>
      <c r="POI226" s="537"/>
      <c r="POJ226" s="537"/>
      <c r="POK226" s="537"/>
      <c r="POL226" s="537"/>
      <c r="POM226" s="537"/>
      <c r="PON226" s="537"/>
      <c r="POO226" s="537"/>
      <c r="POP226" s="537"/>
      <c r="POQ226" s="537"/>
      <c r="POR226" s="537"/>
      <c r="POS226" s="537"/>
      <c r="POT226" s="537"/>
      <c r="POU226" s="537"/>
      <c r="POV226" s="537"/>
      <c r="POW226" s="537"/>
      <c r="POX226" s="537"/>
      <c r="POY226" s="537"/>
      <c r="POZ226" s="537"/>
      <c r="PPA226" s="537"/>
      <c r="PPB226" s="537"/>
      <c r="PPC226" s="537"/>
      <c r="PPD226" s="537"/>
      <c r="PPE226" s="537"/>
      <c r="PPF226" s="537"/>
      <c r="PPG226" s="537"/>
      <c r="PPH226" s="537"/>
      <c r="PPI226" s="537"/>
      <c r="PPJ226" s="537"/>
      <c r="PPK226" s="537"/>
      <c r="PPL226" s="537"/>
      <c r="PPM226" s="537"/>
      <c r="PPN226" s="537"/>
      <c r="PPO226" s="537"/>
      <c r="PPP226" s="537"/>
      <c r="PPQ226" s="537"/>
      <c r="PPR226" s="537"/>
      <c r="PPS226" s="537"/>
      <c r="PPT226" s="537"/>
      <c r="PPU226" s="537"/>
      <c r="PPV226" s="537"/>
      <c r="PPW226" s="537"/>
      <c r="PPX226" s="537"/>
      <c r="PPY226" s="537"/>
      <c r="PPZ226" s="537"/>
      <c r="PQA226" s="537"/>
      <c r="PQB226" s="537"/>
      <c r="PQC226" s="537"/>
      <c r="PQD226" s="537"/>
      <c r="PQE226" s="537"/>
      <c r="PQF226" s="537"/>
      <c r="PQG226" s="537"/>
      <c r="PQH226" s="537"/>
      <c r="PQI226" s="537"/>
      <c r="PQJ226" s="537"/>
      <c r="PQK226" s="537"/>
      <c r="PQL226" s="537"/>
      <c r="PQM226" s="537"/>
      <c r="PQN226" s="537"/>
      <c r="PQO226" s="537"/>
      <c r="PQP226" s="537"/>
      <c r="PQQ226" s="537"/>
      <c r="PQR226" s="537"/>
      <c r="PQS226" s="537"/>
      <c r="PQT226" s="537"/>
      <c r="PQU226" s="537"/>
      <c r="PQV226" s="537"/>
      <c r="PQW226" s="537"/>
      <c r="PQX226" s="537"/>
      <c r="PQY226" s="537"/>
      <c r="PQZ226" s="537"/>
      <c r="PRA226" s="537"/>
      <c r="PRB226" s="537"/>
      <c r="PRC226" s="537"/>
      <c r="PRD226" s="537"/>
      <c r="PRE226" s="537"/>
      <c r="PRF226" s="537"/>
      <c r="PRG226" s="537"/>
      <c r="PRH226" s="537"/>
      <c r="PRI226" s="537"/>
      <c r="PRJ226" s="537"/>
      <c r="PRK226" s="537"/>
      <c r="PRL226" s="537"/>
      <c r="PRM226" s="537"/>
      <c r="PRN226" s="537"/>
      <c r="PRO226" s="537"/>
      <c r="PRP226" s="537"/>
      <c r="PRQ226" s="537"/>
      <c r="PRR226" s="537"/>
      <c r="PRS226" s="537"/>
      <c r="PRT226" s="537"/>
      <c r="PRU226" s="537"/>
      <c r="PRV226" s="537"/>
      <c r="PRW226" s="537"/>
      <c r="PRX226" s="537"/>
      <c r="PRY226" s="537"/>
      <c r="PRZ226" s="537"/>
      <c r="PSA226" s="537"/>
      <c r="PSB226" s="537"/>
      <c r="PSC226" s="537"/>
      <c r="PSD226" s="537"/>
      <c r="PSE226" s="537"/>
      <c r="PSF226" s="537"/>
      <c r="PSG226" s="537"/>
      <c r="PSH226" s="537"/>
      <c r="PSI226" s="537"/>
      <c r="PSJ226" s="537"/>
      <c r="PSK226" s="537"/>
      <c r="PSL226" s="537"/>
      <c r="PSM226" s="537"/>
      <c r="PSN226" s="537"/>
      <c r="PSO226" s="537"/>
      <c r="PSP226" s="537"/>
      <c r="PSQ226" s="537"/>
      <c r="PSR226" s="537"/>
      <c r="PSS226" s="537"/>
      <c r="PST226" s="537"/>
      <c r="PSU226" s="537"/>
      <c r="PSV226" s="537"/>
      <c r="PSW226" s="537"/>
      <c r="PSX226" s="537"/>
      <c r="PSY226" s="537"/>
      <c r="PSZ226" s="537"/>
      <c r="PTA226" s="537"/>
      <c r="PTB226" s="537"/>
      <c r="PTC226" s="537"/>
      <c r="PTD226" s="537"/>
      <c r="PTE226" s="537"/>
      <c r="PTF226" s="537"/>
      <c r="PTG226" s="537"/>
      <c r="PTH226" s="537"/>
      <c r="PTI226" s="537"/>
      <c r="PTJ226" s="537"/>
      <c r="PTK226" s="537"/>
      <c r="PTL226" s="537"/>
      <c r="PTM226" s="537"/>
      <c r="PTN226" s="537"/>
      <c r="PTO226" s="537"/>
      <c r="PTP226" s="537"/>
      <c r="PTQ226" s="537"/>
      <c r="PTR226" s="537"/>
      <c r="PTS226" s="537"/>
      <c r="PTT226" s="537"/>
      <c r="PTU226" s="537"/>
      <c r="PTV226" s="537"/>
      <c r="PTW226" s="537"/>
      <c r="PTX226" s="537"/>
      <c r="PTY226" s="537"/>
      <c r="PTZ226" s="537"/>
      <c r="PUA226" s="537"/>
      <c r="PUB226" s="537"/>
      <c r="PUC226" s="537"/>
      <c r="PUD226" s="537"/>
      <c r="PUE226" s="537"/>
      <c r="PUF226" s="537"/>
      <c r="PUG226" s="537"/>
      <c r="PUH226" s="537"/>
      <c r="PUI226" s="537"/>
      <c r="PUJ226" s="537"/>
      <c r="PUK226" s="537"/>
      <c r="PUL226" s="537"/>
      <c r="PUM226" s="537"/>
      <c r="PUN226" s="537"/>
      <c r="PUO226" s="537"/>
      <c r="PUP226" s="537"/>
      <c r="PUQ226" s="537"/>
      <c r="PUR226" s="537"/>
      <c r="PUS226" s="537"/>
      <c r="PUT226" s="537"/>
      <c r="PUU226" s="537"/>
      <c r="PUV226" s="537"/>
      <c r="PUW226" s="537"/>
      <c r="PUX226" s="537"/>
      <c r="PUY226" s="537"/>
      <c r="PUZ226" s="537"/>
      <c r="PVA226" s="537"/>
      <c r="PVB226" s="537"/>
      <c r="PVC226" s="537"/>
      <c r="PVD226" s="537"/>
      <c r="PVE226" s="537"/>
      <c r="PVF226" s="537"/>
      <c r="PVG226" s="537"/>
      <c r="PVH226" s="537"/>
      <c r="PVI226" s="537"/>
      <c r="PVJ226" s="537"/>
      <c r="PVK226" s="537"/>
      <c r="PVL226" s="537"/>
      <c r="PVM226" s="537"/>
      <c r="PVN226" s="537"/>
      <c r="PVO226" s="537"/>
      <c r="PVP226" s="537"/>
      <c r="PVQ226" s="537"/>
      <c r="PVR226" s="537"/>
      <c r="PVS226" s="537"/>
      <c r="PVT226" s="537"/>
      <c r="PVU226" s="537"/>
      <c r="PVV226" s="537"/>
      <c r="PVW226" s="537"/>
      <c r="PVX226" s="537"/>
      <c r="PVY226" s="537"/>
      <c r="PVZ226" s="537"/>
      <c r="PWA226" s="537"/>
      <c r="PWB226" s="537"/>
      <c r="PWC226" s="537"/>
      <c r="PWD226" s="537"/>
      <c r="PWE226" s="537"/>
      <c r="PWF226" s="537"/>
      <c r="PWG226" s="537"/>
      <c r="PWH226" s="537"/>
      <c r="PWI226" s="537"/>
      <c r="PWJ226" s="537"/>
      <c r="PWK226" s="537"/>
      <c r="PWL226" s="537"/>
      <c r="PWM226" s="537"/>
      <c r="PWN226" s="537"/>
      <c r="PWO226" s="537"/>
      <c r="PWP226" s="537"/>
      <c r="PWQ226" s="537"/>
      <c r="PWR226" s="537"/>
      <c r="PWS226" s="537"/>
      <c r="PWT226" s="537"/>
      <c r="PWU226" s="537"/>
      <c r="PWV226" s="537"/>
      <c r="PWW226" s="537"/>
      <c r="PWX226" s="537"/>
      <c r="PWY226" s="537"/>
      <c r="PWZ226" s="537"/>
      <c r="PXA226" s="537"/>
      <c r="PXB226" s="537"/>
      <c r="PXC226" s="537"/>
      <c r="PXD226" s="537"/>
      <c r="PXE226" s="537"/>
      <c r="PXF226" s="537"/>
      <c r="PXG226" s="537"/>
      <c r="PXH226" s="537"/>
      <c r="PXI226" s="537"/>
      <c r="PXJ226" s="537"/>
      <c r="PXK226" s="537"/>
      <c r="PXL226" s="537"/>
      <c r="PXM226" s="537"/>
      <c r="PXN226" s="537"/>
      <c r="PXO226" s="537"/>
      <c r="PXP226" s="537"/>
      <c r="PXQ226" s="537"/>
      <c r="PXR226" s="537"/>
      <c r="PXS226" s="537"/>
      <c r="PXT226" s="537"/>
      <c r="PXU226" s="537"/>
      <c r="PXV226" s="537"/>
      <c r="PXW226" s="537"/>
      <c r="PXX226" s="537"/>
      <c r="PXY226" s="537"/>
      <c r="PXZ226" s="537"/>
      <c r="PYA226" s="537"/>
      <c r="PYB226" s="537"/>
      <c r="PYC226" s="537"/>
      <c r="PYD226" s="537"/>
      <c r="PYE226" s="537"/>
      <c r="PYF226" s="537"/>
      <c r="PYG226" s="537"/>
      <c r="PYH226" s="537"/>
      <c r="PYI226" s="537"/>
      <c r="PYJ226" s="537"/>
      <c r="PYK226" s="537"/>
      <c r="PYL226" s="537"/>
      <c r="PYM226" s="537"/>
      <c r="PYN226" s="537"/>
      <c r="PYO226" s="537"/>
      <c r="PYP226" s="537"/>
      <c r="PYQ226" s="537"/>
      <c r="PYR226" s="537"/>
      <c r="PYS226" s="537"/>
      <c r="PYT226" s="537"/>
      <c r="PYU226" s="537"/>
      <c r="PYV226" s="537"/>
      <c r="PYW226" s="537"/>
      <c r="PYX226" s="537"/>
      <c r="PYY226" s="537"/>
      <c r="PYZ226" s="537"/>
      <c r="PZA226" s="537"/>
      <c r="PZB226" s="537"/>
      <c r="PZC226" s="537"/>
      <c r="PZD226" s="537"/>
      <c r="PZE226" s="537"/>
      <c r="PZF226" s="537"/>
      <c r="PZG226" s="537"/>
      <c r="PZH226" s="537"/>
      <c r="PZI226" s="537"/>
      <c r="PZJ226" s="537"/>
      <c r="PZK226" s="537"/>
      <c r="PZL226" s="537"/>
      <c r="PZM226" s="537"/>
      <c r="PZN226" s="537"/>
      <c r="PZO226" s="537"/>
      <c r="PZP226" s="537"/>
      <c r="PZQ226" s="537"/>
      <c r="PZR226" s="537"/>
      <c r="PZS226" s="537"/>
      <c r="PZT226" s="537"/>
      <c r="PZU226" s="537"/>
      <c r="PZV226" s="537"/>
      <c r="PZW226" s="537"/>
      <c r="PZX226" s="537"/>
      <c r="PZY226" s="537"/>
      <c r="PZZ226" s="537"/>
      <c r="QAA226" s="537"/>
      <c r="QAB226" s="537"/>
      <c r="QAC226" s="537"/>
      <c r="QAD226" s="537"/>
      <c r="QAE226" s="537"/>
      <c r="QAF226" s="537"/>
      <c r="QAG226" s="537"/>
      <c r="QAH226" s="537"/>
      <c r="QAI226" s="537"/>
      <c r="QAJ226" s="537"/>
      <c r="QAK226" s="537"/>
      <c r="QAL226" s="537"/>
      <c r="QAM226" s="537"/>
      <c r="QAN226" s="537"/>
      <c r="QAO226" s="537"/>
      <c r="QAP226" s="537"/>
      <c r="QAQ226" s="537"/>
      <c r="QAR226" s="537"/>
      <c r="QAS226" s="537"/>
      <c r="QAT226" s="537"/>
      <c r="QAU226" s="537"/>
      <c r="QAV226" s="537"/>
      <c r="QAW226" s="537"/>
      <c r="QAX226" s="537"/>
      <c r="QAY226" s="537"/>
      <c r="QAZ226" s="537"/>
      <c r="QBA226" s="537"/>
      <c r="QBB226" s="537"/>
      <c r="QBC226" s="537"/>
      <c r="QBD226" s="537"/>
      <c r="QBE226" s="537"/>
      <c r="QBF226" s="537"/>
      <c r="QBG226" s="537"/>
      <c r="QBH226" s="537"/>
      <c r="QBI226" s="537"/>
      <c r="QBJ226" s="537"/>
      <c r="QBK226" s="537"/>
      <c r="QBL226" s="537"/>
      <c r="QBM226" s="537"/>
      <c r="QBN226" s="537"/>
      <c r="QBO226" s="537"/>
      <c r="QBP226" s="537"/>
      <c r="QBQ226" s="537"/>
      <c r="QBR226" s="537"/>
      <c r="QBS226" s="537"/>
      <c r="QBT226" s="537"/>
      <c r="QBU226" s="537"/>
      <c r="QBV226" s="537"/>
      <c r="QBW226" s="537"/>
      <c r="QBX226" s="537"/>
      <c r="QBY226" s="537"/>
      <c r="QBZ226" s="537"/>
      <c r="QCA226" s="537"/>
      <c r="QCB226" s="537"/>
      <c r="QCC226" s="537"/>
      <c r="QCD226" s="537"/>
      <c r="QCE226" s="537"/>
      <c r="QCF226" s="537"/>
      <c r="QCG226" s="537"/>
      <c r="QCH226" s="537"/>
      <c r="QCI226" s="537"/>
      <c r="QCJ226" s="537"/>
      <c r="QCK226" s="537"/>
      <c r="QCL226" s="537"/>
      <c r="QCM226" s="537"/>
      <c r="QCN226" s="537"/>
      <c r="QCO226" s="537"/>
      <c r="QCP226" s="537"/>
      <c r="QCQ226" s="537"/>
      <c r="QCR226" s="537"/>
      <c r="QCS226" s="537"/>
      <c r="QCT226" s="537"/>
      <c r="QCU226" s="537"/>
      <c r="QCV226" s="537"/>
      <c r="QCW226" s="537"/>
      <c r="QCX226" s="537"/>
      <c r="QCY226" s="537"/>
      <c r="QCZ226" s="537"/>
      <c r="QDA226" s="537"/>
      <c r="QDB226" s="537"/>
      <c r="QDC226" s="537"/>
      <c r="QDD226" s="537"/>
      <c r="QDE226" s="537"/>
      <c r="QDF226" s="537"/>
      <c r="QDG226" s="537"/>
      <c r="QDH226" s="537"/>
      <c r="QDI226" s="537"/>
      <c r="QDJ226" s="537"/>
      <c r="QDK226" s="537"/>
      <c r="QDL226" s="537"/>
      <c r="QDM226" s="537"/>
      <c r="QDN226" s="537"/>
      <c r="QDO226" s="537"/>
      <c r="QDP226" s="537"/>
      <c r="QDQ226" s="537"/>
      <c r="QDR226" s="537"/>
      <c r="QDS226" s="537"/>
      <c r="QDT226" s="537"/>
      <c r="QDU226" s="537"/>
      <c r="QDV226" s="537"/>
      <c r="QDW226" s="537"/>
      <c r="QDX226" s="537"/>
      <c r="QDY226" s="537"/>
      <c r="QDZ226" s="537"/>
      <c r="QEA226" s="537"/>
      <c r="QEB226" s="537"/>
      <c r="QEC226" s="537"/>
      <c r="QED226" s="537"/>
      <c r="QEE226" s="537"/>
      <c r="QEF226" s="537"/>
      <c r="QEG226" s="537"/>
      <c r="QEH226" s="537"/>
      <c r="QEI226" s="537"/>
      <c r="QEJ226" s="537"/>
      <c r="QEK226" s="537"/>
      <c r="QEL226" s="537"/>
      <c r="QEM226" s="537"/>
      <c r="QEN226" s="537"/>
      <c r="QEO226" s="537"/>
      <c r="QEP226" s="537"/>
      <c r="QEQ226" s="537"/>
      <c r="QER226" s="537"/>
      <c r="QES226" s="537"/>
      <c r="QET226" s="537"/>
      <c r="QEU226" s="537"/>
      <c r="QEV226" s="537"/>
      <c r="QEW226" s="537"/>
      <c r="QEX226" s="537"/>
      <c r="QEY226" s="537"/>
      <c r="QEZ226" s="537"/>
      <c r="QFA226" s="537"/>
      <c r="QFB226" s="537"/>
      <c r="QFC226" s="537"/>
      <c r="QFD226" s="537"/>
      <c r="QFE226" s="537"/>
      <c r="QFF226" s="537"/>
      <c r="QFG226" s="537"/>
      <c r="QFH226" s="537"/>
      <c r="QFI226" s="537"/>
      <c r="QFJ226" s="537"/>
      <c r="QFK226" s="537"/>
      <c r="QFL226" s="537"/>
      <c r="QFM226" s="537"/>
      <c r="QFN226" s="537"/>
      <c r="QFO226" s="537"/>
      <c r="QFP226" s="537"/>
      <c r="QFQ226" s="537"/>
      <c r="QFR226" s="537"/>
      <c r="QFS226" s="537"/>
      <c r="QFT226" s="537"/>
      <c r="QFU226" s="537"/>
      <c r="QFV226" s="537"/>
      <c r="QFW226" s="537"/>
      <c r="QFX226" s="537"/>
      <c r="QFY226" s="537"/>
      <c r="QFZ226" s="537"/>
      <c r="QGA226" s="537"/>
      <c r="QGB226" s="537"/>
      <c r="QGC226" s="537"/>
      <c r="QGD226" s="537"/>
      <c r="QGE226" s="537"/>
      <c r="QGF226" s="537"/>
      <c r="QGG226" s="537"/>
      <c r="QGH226" s="537"/>
      <c r="QGI226" s="537"/>
      <c r="QGJ226" s="537"/>
      <c r="QGK226" s="537"/>
      <c r="QGL226" s="537"/>
      <c r="QGM226" s="537"/>
      <c r="QGN226" s="537"/>
      <c r="QGO226" s="537"/>
      <c r="QGP226" s="537"/>
      <c r="QGQ226" s="537"/>
      <c r="QGR226" s="537"/>
      <c r="QGS226" s="537"/>
      <c r="QGT226" s="537"/>
      <c r="QGU226" s="537"/>
      <c r="QGV226" s="537"/>
      <c r="QGW226" s="537"/>
      <c r="QGX226" s="537"/>
      <c r="QGY226" s="537"/>
      <c r="QGZ226" s="537"/>
      <c r="QHA226" s="537"/>
      <c r="QHB226" s="537"/>
      <c r="QHC226" s="537"/>
      <c r="QHD226" s="537"/>
      <c r="QHE226" s="537"/>
      <c r="QHF226" s="537"/>
      <c r="QHG226" s="537"/>
      <c r="QHH226" s="537"/>
      <c r="QHI226" s="537"/>
      <c r="QHJ226" s="537"/>
      <c r="QHK226" s="537"/>
      <c r="QHL226" s="537"/>
      <c r="QHM226" s="537"/>
      <c r="QHN226" s="537"/>
      <c r="QHO226" s="537"/>
      <c r="QHP226" s="537"/>
      <c r="QHQ226" s="537"/>
      <c r="QHR226" s="537"/>
      <c r="QHS226" s="537"/>
      <c r="QHT226" s="537"/>
      <c r="QHU226" s="537"/>
      <c r="QHV226" s="537"/>
      <c r="QHW226" s="537"/>
      <c r="QHX226" s="537"/>
      <c r="QHY226" s="537"/>
      <c r="QHZ226" s="537"/>
      <c r="QIA226" s="537"/>
      <c r="QIB226" s="537"/>
      <c r="QIC226" s="537"/>
      <c r="QID226" s="537"/>
      <c r="QIE226" s="537"/>
      <c r="QIF226" s="537"/>
      <c r="QIG226" s="537"/>
      <c r="QIH226" s="537"/>
      <c r="QII226" s="537"/>
      <c r="QIJ226" s="537"/>
      <c r="QIK226" s="537"/>
      <c r="QIL226" s="537"/>
      <c r="QIM226" s="537"/>
      <c r="QIN226" s="537"/>
      <c r="QIO226" s="537"/>
      <c r="QIP226" s="537"/>
      <c r="QIQ226" s="537"/>
      <c r="QIR226" s="537"/>
      <c r="QIS226" s="537"/>
      <c r="QIT226" s="537"/>
      <c r="QIU226" s="537"/>
      <c r="QIV226" s="537"/>
      <c r="QIW226" s="537"/>
      <c r="QIX226" s="537"/>
      <c r="QIY226" s="537"/>
      <c r="QIZ226" s="537"/>
      <c r="QJA226" s="537"/>
      <c r="QJB226" s="537"/>
      <c r="QJC226" s="537"/>
      <c r="QJD226" s="537"/>
      <c r="QJE226" s="537"/>
      <c r="QJF226" s="537"/>
      <c r="QJG226" s="537"/>
      <c r="QJH226" s="537"/>
      <c r="QJI226" s="537"/>
      <c r="QJJ226" s="537"/>
      <c r="QJK226" s="537"/>
      <c r="QJL226" s="537"/>
      <c r="QJM226" s="537"/>
      <c r="QJN226" s="537"/>
      <c r="QJO226" s="537"/>
      <c r="QJP226" s="537"/>
      <c r="QJQ226" s="537"/>
      <c r="QJR226" s="537"/>
      <c r="QJS226" s="537"/>
      <c r="QJT226" s="537"/>
      <c r="QJU226" s="537"/>
      <c r="QJV226" s="537"/>
      <c r="QJW226" s="537"/>
      <c r="QJX226" s="537"/>
      <c r="QJY226" s="537"/>
      <c r="QJZ226" s="537"/>
      <c r="QKA226" s="537"/>
      <c r="QKB226" s="537"/>
      <c r="QKC226" s="537"/>
      <c r="QKD226" s="537"/>
      <c r="QKE226" s="537"/>
      <c r="QKF226" s="537"/>
      <c r="QKG226" s="537"/>
      <c r="QKH226" s="537"/>
      <c r="QKI226" s="537"/>
      <c r="QKJ226" s="537"/>
      <c r="QKK226" s="537"/>
      <c r="QKL226" s="537"/>
      <c r="QKM226" s="537"/>
      <c r="QKN226" s="537"/>
      <c r="QKO226" s="537"/>
      <c r="QKP226" s="537"/>
      <c r="QKQ226" s="537"/>
      <c r="QKR226" s="537"/>
      <c r="QKS226" s="537"/>
      <c r="QKT226" s="537"/>
      <c r="QKU226" s="537"/>
      <c r="QKV226" s="537"/>
      <c r="QKW226" s="537"/>
      <c r="QKX226" s="537"/>
      <c r="QKY226" s="537"/>
      <c r="QKZ226" s="537"/>
      <c r="QLA226" s="537"/>
      <c r="QLB226" s="537"/>
      <c r="QLC226" s="537"/>
      <c r="QLD226" s="537"/>
      <c r="QLE226" s="537"/>
      <c r="QLF226" s="537"/>
      <c r="QLG226" s="537"/>
      <c r="QLH226" s="537"/>
      <c r="QLI226" s="537"/>
      <c r="QLJ226" s="537"/>
      <c r="QLK226" s="537"/>
      <c r="QLL226" s="537"/>
      <c r="QLM226" s="537"/>
      <c r="QLN226" s="537"/>
      <c r="QLO226" s="537"/>
      <c r="QLP226" s="537"/>
      <c r="QLQ226" s="537"/>
      <c r="QLR226" s="537"/>
      <c r="QLS226" s="537"/>
      <c r="QLT226" s="537"/>
      <c r="QLU226" s="537"/>
      <c r="QLV226" s="537"/>
      <c r="QLW226" s="537"/>
      <c r="QLX226" s="537"/>
      <c r="QLY226" s="537"/>
      <c r="QLZ226" s="537"/>
      <c r="QMA226" s="537"/>
      <c r="QMB226" s="537"/>
      <c r="QMC226" s="537"/>
      <c r="QMD226" s="537"/>
      <c r="QME226" s="537"/>
      <c r="QMF226" s="537"/>
      <c r="QMG226" s="537"/>
      <c r="QMH226" s="537"/>
      <c r="QMI226" s="537"/>
      <c r="QMJ226" s="537"/>
      <c r="QMK226" s="537"/>
      <c r="QML226" s="537"/>
      <c r="QMM226" s="537"/>
      <c r="QMN226" s="537"/>
      <c r="QMO226" s="537"/>
      <c r="QMP226" s="537"/>
      <c r="QMQ226" s="537"/>
      <c r="QMR226" s="537"/>
      <c r="QMS226" s="537"/>
      <c r="QMT226" s="537"/>
      <c r="QMU226" s="537"/>
      <c r="QMV226" s="537"/>
      <c r="QMW226" s="537"/>
      <c r="QMX226" s="537"/>
      <c r="QMY226" s="537"/>
      <c r="QMZ226" s="537"/>
      <c r="QNA226" s="537"/>
      <c r="QNB226" s="537"/>
      <c r="QNC226" s="537"/>
      <c r="QND226" s="537"/>
      <c r="QNE226" s="537"/>
      <c r="QNF226" s="537"/>
      <c r="QNG226" s="537"/>
      <c r="QNH226" s="537"/>
      <c r="QNI226" s="537"/>
      <c r="QNJ226" s="537"/>
      <c r="QNK226" s="537"/>
      <c r="QNL226" s="537"/>
      <c r="QNM226" s="537"/>
      <c r="QNN226" s="537"/>
      <c r="QNO226" s="537"/>
      <c r="QNP226" s="537"/>
      <c r="QNQ226" s="537"/>
      <c r="QNR226" s="537"/>
      <c r="QNS226" s="537"/>
      <c r="QNT226" s="537"/>
      <c r="QNU226" s="537"/>
      <c r="QNV226" s="537"/>
      <c r="QNW226" s="537"/>
      <c r="QNX226" s="537"/>
      <c r="QNY226" s="537"/>
      <c r="QNZ226" s="537"/>
      <c r="QOA226" s="537"/>
      <c r="QOB226" s="537"/>
      <c r="QOC226" s="537"/>
      <c r="QOD226" s="537"/>
      <c r="QOE226" s="537"/>
      <c r="QOF226" s="537"/>
      <c r="QOG226" s="537"/>
      <c r="QOH226" s="537"/>
      <c r="QOI226" s="537"/>
      <c r="QOJ226" s="537"/>
      <c r="QOK226" s="537"/>
      <c r="QOL226" s="537"/>
      <c r="QOM226" s="537"/>
      <c r="QON226" s="537"/>
      <c r="QOO226" s="537"/>
      <c r="QOP226" s="537"/>
      <c r="QOQ226" s="537"/>
      <c r="QOR226" s="537"/>
      <c r="QOS226" s="537"/>
      <c r="QOT226" s="537"/>
      <c r="QOU226" s="537"/>
      <c r="QOV226" s="537"/>
      <c r="QOW226" s="537"/>
      <c r="QOX226" s="537"/>
      <c r="QOY226" s="537"/>
      <c r="QOZ226" s="537"/>
      <c r="QPA226" s="537"/>
      <c r="QPB226" s="537"/>
      <c r="QPC226" s="537"/>
      <c r="QPD226" s="537"/>
      <c r="QPE226" s="537"/>
      <c r="QPF226" s="537"/>
      <c r="QPG226" s="537"/>
      <c r="QPH226" s="537"/>
      <c r="QPI226" s="537"/>
      <c r="QPJ226" s="537"/>
      <c r="QPK226" s="537"/>
      <c r="QPL226" s="537"/>
      <c r="QPM226" s="537"/>
      <c r="QPN226" s="537"/>
      <c r="QPO226" s="537"/>
      <c r="QPP226" s="537"/>
      <c r="QPQ226" s="537"/>
      <c r="QPR226" s="537"/>
      <c r="QPS226" s="537"/>
      <c r="QPT226" s="537"/>
      <c r="QPU226" s="537"/>
      <c r="QPV226" s="537"/>
      <c r="QPW226" s="537"/>
      <c r="QPX226" s="537"/>
      <c r="QPY226" s="537"/>
      <c r="QPZ226" s="537"/>
      <c r="QQA226" s="537"/>
      <c r="QQB226" s="537"/>
      <c r="QQC226" s="537"/>
      <c r="QQD226" s="537"/>
      <c r="QQE226" s="537"/>
      <c r="QQF226" s="537"/>
      <c r="QQG226" s="537"/>
      <c r="QQH226" s="537"/>
      <c r="QQI226" s="537"/>
      <c r="QQJ226" s="537"/>
      <c r="QQK226" s="537"/>
      <c r="QQL226" s="537"/>
      <c r="QQM226" s="537"/>
      <c r="QQN226" s="537"/>
      <c r="QQO226" s="537"/>
      <c r="QQP226" s="537"/>
      <c r="QQQ226" s="537"/>
      <c r="QQR226" s="537"/>
      <c r="QQS226" s="537"/>
      <c r="QQT226" s="537"/>
      <c r="QQU226" s="537"/>
      <c r="QQV226" s="537"/>
      <c r="QQW226" s="537"/>
      <c r="QQX226" s="537"/>
      <c r="QQY226" s="537"/>
      <c r="QQZ226" s="537"/>
      <c r="QRA226" s="537"/>
      <c r="QRB226" s="537"/>
      <c r="QRC226" s="537"/>
      <c r="QRD226" s="537"/>
      <c r="QRE226" s="537"/>
      <c r="QRF226" s="537"/>
      <c r="QRG226" s="537"/>
      <c r="QRH226" s="537"/>
      <c r="QRI226" s="537"/>
      <c r="QRJ226" s="537"/>
      <c r="QRK226" s="537"/>
      <c r="QRL226" s="537"/>
      <c r="QRM226" s="537"/>
      <c r="QRN226" s="537"/>
      <c r="QRO226" s="537"/>
      <c r="QRP226" s="537"/>
      <c r="QRQ226" s="537"/>
      <c r="QRR226" s="537"/>
      <c r="QRS226" s="537"/>
      <c r="QRT226" s="537"/>
      <c r="QRU226" s="537"/>
      <c r="QRV226" s="537"/>
      <c r="QRW226" s="537"/>
      <c r="QRX226" s="537"/>
      <c r="QRY226" s="537"/>
      <c r="QRZ226" s="537"/>
      <c r="QSA226" s="537"/>
      <c r="QSB226" s="537"/>
      <c r="QSC226" s="537"/>
      <c r="QSD226" s="537"/>
      <c r="QSE226" s="537"/>
      <c r="QSF226" s="537"/>
      <c r="QSG226" s="537"/>
      <c r="QSH226" s="537"/>
      <c r="QSI226" s="537"/>
      <c r="QSJ226" s="537"/>
      <c r="QSK226" s="537"/>
      <c r="QSL226" s="537"/>
      <c r="QSM226" s="537"/>
      <c r="QSN226" s="537"/>
      <c r="QSO226" s="537"/>
      <c r="QSP226" s="537"/>
      <c r="QSQ226" s="537"/>
      <c r="QSR226" s="537"/>
      <c r="QSS226" s="537"/>
      <c r="QST226" s="537"/>
      <c r="QSU226" s="537"/>
      <c r="QSV226" s="537"/>
      <c r="QSW226" s="537"/>
      <c r="QSX226" s="537"/>
      <c r="QSY226" s="537"/>
      <c r="QSZ226" s="537"/>
      <c r="QTA226" s="537"/>
      <c r="QTB226" s="537"/>
      <c r="QTC226" s="537"/>
      <c r="QTD226" s="537"/>
      <c r="QTE226" s="537"/>
      <c r="QTF226" s="537"/>
      <c r="QTG226" s="537"/>
      <c r="QTH226" s="537"/>
      <c r="QTI226" s="537"/>
      <c r="QTJ226" s="537"/>
      <c r="QTK226" s="537"/>
      <c r="QTL226" s="537"/>
      <c r="QTM226" s="537"/>
      <c r="QTN226" s="537"/>
      <c r="QTO226" s="537"/>
      <c r="QTP226" s="537"/>
      <c r="QTQ226" s="537"/>
      <c r="QTR226" s="537"/>
      <c r="QTS226" s="537"/>
      <c r="QTT226" s="537"/>
      <c r="QTU226" s="537"/>
      <c r="QTV226" s="537"/>
      <c r="QTW226" s="537"/>
      <c r="QTX226" s="537"/>
      <c r="QTY226" s="537"/>
      <c r="QTZ226" s="537"/>
      <c r="QUA226" s="537"/>
      <c r="QUB226" s="537"/>
      <c r="QUC226" s="537"/>
      <c r="QUD226" s="537"/>
      <c r="QUE226" s="537"/>
      <c r="QUF226" s="537"/>
      <c r="QUG226" s="537"/>
      <c r="QUH226" s="537"/>
      <c r="QUI226" s="537"/>
      <c r="QUJ226" s="537"/>
      <c r="QUK226" s="537"/>
      <c r="QUL226" s="537"/>
      <c r="QUM226" s="537"/>
      <c r="QUN226" s="537"/>
      <c r="QUO226" s="537"/>
      <c r="QUP226" s="537"/>
      <c r="QUQ226" s="537"/>
      <c r="QUR226" s="537"/>
      <c r="QUS226" s="537"/>
      <c r="QUT226" s="537"/>
      <c r="QUU226" s="537"/>
      <c r="QUV226" s="537"/>
      <c r="QUW226" s="537"/>
      <c r="QUX226" s="537"/>
      <c r="QUY226" s="537"/>
      <c r="QUZ226" s="537"/>
      <c r="QVA226" s="537"/>
      <c r="QVB226" s="537"/>
      <c r="QVC226" s="537"/>
      <c r="QVD226" s="537"/>
      <c r="QVE226" s="537"/>
      <c r="QVF226" s="537"/>
      <c r="QVG226" s="537"/>
      <c r="QVH226" s="537"/>
      <c r="QVI226" s="537"/>
      <c r="QVJ226" s="537"/>
      <c r="QVK226" s="537"/>
      <c r="QVL226" s="537"/>
      <c r="QVM226" s="537"/>
      <c r="QVN226" s="537"/>
      <c r="QVO226" s="537"/>
      <c r="QVP226" s="537"/>
      <c r="QVQ226" s="537"/>
      <c r="QVR226" s="537"/>
      <c r="QVS226" s="537"/>
      <c r="QVT226" s="537"/>
      <c r="QVU226" s="537"/>
      <c r="QVV226" s="537"/>
      <c r="QVW226" s="537"/>
      <c r="QVX226" s="537"/>
      <c r="QVY226" s="537"/>
      <c r="QVZ226" s="537"/>
      <c r="QWA226" s="537"/>
      <c r="QWB226" s="537"/>
      <c r="QWC226" s="537"/>
      <c r="QWD226" s="537"/>
      <c r="QWE226" s="537"/>
      <c r="QWF226" s="537"/>
      <c r="QWG226" s="537"/>
      <c r="QWH226" s="537"/>
      <c r="QWI226" s="537"/>
      <c r="QWJ226" s="537"/>
      <c r="QWK226" s="537"/>
      <c r="QWL226" s="537"/>
      <c r="QWM226" s="537"/>
      <c r="QWN226" s="537"/>
      <c r="QWO226" s="537"/>
      <c r="QWP226" s="537"/>
      <c r="QWQ226" s="537"/>
      <c r="QWR226" s="537"/>
      <c r="QWS226" s="537"/>
      <c r="QWT226" s="537"/>
      <c r="QWU226" s="537"/>
      <c r="QWV226" s="537"/>
      <c r="QWW226" s="537"/>
      <c r="QWX226" s="537"/>
      <c r="QWY226" s="537"/>
      <c r="QWZ226" s="537"/>
      <c r="QXA226" s="537"/>
      <c r="QXB226" s="537"/>
      <c r="QXC226" s="537"/>
      <c r="QXD226" s="537"/>
      <c r="QXE226" s="537"/>
      <c r="QXF226" s="537"/>
      <c r="QXG226" s="537"/>
      <c r="QXH226" s="537"/>
      <c r="QXI226" s="537"/>
      <c r="QXJ226" s="537"/>
      <c r="QXK226" s="537"/>
      <c r="QXL226" s="537"/>
      <c r="QXM226" s="537"/>
      <c r="QXN226" s="537"/>
      <c r="QXO226" s="537"/>
      <c r="QXP226" s="537"/>
      <c r="QXQ226" s="537"/>
      <c r="QXR226" s="537"/>
      <c r="QXS226" s="537"/>
      <c r="QXT226" s="537"/>
      <c r="QXU226" s="537"/>
      <c r="QXV226" s="537"/>
      <c r="QXW226" s="537"/>
      <c r="QXX226" s="537"/>
      <c r="QXY226" s="537"/>
      <c r="QXZ226" s="537"/>
      <c r="QYA226" s="537"/>
      <c r="QYB226" s="537"/>
      <c r="QYC226" s="537"/>
      <c r="QYD226" s="537"/>
      <c r="QYE226" s="537"/>
      <c r="QYF226" s="537"/>
      <c r="QYG226" s="537"/>
      <c r="QYH226" s="537"/>
      <c r="QYI226" s="537"/>
      <c r="QYJ226" s="537"/>
      <c r="QYK226" s="537"/>
      <c r="QYL226" s="537"/>
      <c r="QYM226" s="537"/>
      <c r="QYN226" s="537"/>
      <c r="QYO226" s="537"/>
      <c r="QYP226" s="537"/>
      <c r="QYQ226" s="537"/>
      <c r="QYR226" s="537"/>
      <c r="QYS226" s="537"/>
      <c r="QYT226" s="537"/>
      <c r="QYU226" s="537"/>
      <c r="QYV226" s="537"/>
      <c r="QYW226" s="537"/>
      <c r="QYX226" s="537"/>
      <c r="QYY226" s="537"/>
      <c r="QYZ226" s="537"/>
      <c r="QZA226" s="537"/>
      <c r="QZB226" s="537"/>
      <c r="QZC226" s="537"/>
      <c r="QZD226" s="537"/>
      <c r="QZE226" s="537"/>
      <c r="QZF226" s="537"/>
      <c r="QZG226" s="537"/>
      <c r="QZH226" s="537"/>
      <c r="QZI226" s="537"/>
      <c r="QZJ226" s="537"/>
      <c r="QZK226" s="537"/>
      <c r="QZL226" s="537"/>
      <c r="QZM226" s="537"/>
      <c r="QZN226" s="537"/>
      <c r="QZO226" s="537"/>
      <c r="QZP226" s="537"/>
      <c r="QZQ226" s="537"/>
      <c r="QZR226" s="537"/>
      <c r="QZS226" s="537"/>
      <c r="QZT226" s="537"/>
      <c r="QZU226" s="537"/>
      <c r="QZV226" s="537"/>
      <c r="QZW226" s="537"/>
      <c r="QZX226" s="537"/>
      <c r="QZY226" s="537"/>
      <c r="QZZ226" s="537"/>
      <c r="RAA226" s="537"/>
      <c r="RAB226" s="537"/>
      <c r="RAC226" s="537"/>
      <c r="RAD226" s="537"/>
      <c r="RAE226" s="537"/>
      <c r="RAF226" s="537"/>
      <c r="RAG226" s="537"/>
      <c r="RAH226" s="537"/>
      <c r="RAI226" s="537"/>
      <c r="RAJ226" s="537"/>
      <c r="RAK226" s="537"/>
      <c r="RAL226" s="537"/>
      <c r="RAM226" s="537"/>
      <c r="RAN226" s="537"/>
      <c r="RAO226" s="537"/>
      <c r="RAP226" s="537"/>
      <c r="RAQ226" s="537"/>
      <c r="RAR226" s="537"/>
      <c r="RAS226" s="537"/>
      <c r="RAT226" s="537"/>
      <c r="RAU226" s="537"/>
      <c r="RAV226" s="537"/>
      <c r="RAW226" s="537"/>
      <c r="RAX226" s="537"/>
      <c r="RAY226" s="537"/>
      <c r="RAZ226" s="537"/>
      <c r="RBA226" s="537"/>
      <c r="RBB226" s="537"/>
      <c r="RBC226" s="537"/>
      <c r="RBD226" s="537"/>
      <c r="RBE226" s="537"/>
      <c r="RBF226" s="537"/>
      <c r="RBG226" s="537"/>
      <c r="RBH226" s="537"/>
      <c r="RBI226" s="537"/>
      <c r="RBJ226" s="537"/>
      <c r="RBK226" s="537"/>
      <c r="RBL226" s="537"/>
      <c r="RBM226" s="537"/>
      <c r="RBN226" s="537"/>
      <c r="RBO226" s="537"/>
      <c r="RBP226" s="537"/>
      <c r="RBQ226" s="537"/>
      <c r="RBR226" s="537"/>
      <c r="RBS226" s="537"/>
      <c r="RBT226" s="537"/>
      <c r="RBU226" s="537"/>
      <c r="RBV226" s="537"/>
      <c r="RBW226" s="537"/>
      <c r="RBX226" s="537"/>
      <c r="RBY226" s="537"/>
      <c r="RBZ226" s="537"/>
      <c r="RCA226" s="537"/>
      <c r="RCB226" s="537"/>
      <c r="RCC226" s="537"/>
      <c r="RCD226" s="537"/>
      <c r="RCE226" s="537"/>
      <c r="RCF226" s="537"/>
      <c r="RCG226" s="537"/>
      <c r="RCH226" s="537"/>
      <c r="RCI226" s="537"/>
      <c r="RCJ226" s="537"/>
      <c r="RCK226" s="537"/>
      <c r="RCL226" s="537"/>
      <c r="RCM226" s="537"/>
      <c r="RCN226" s="537"/>
      <c r="RCO226" s="537"/>
      <c r="RCP226" s="537"/>
      <c r="RCQ226" s="537"/>
      <c r="RCR226" s="537"/>
      <c r="RCS226" s="537"/>
      <c r="RCT226" s="537"/>
      <c r="RCU226" s="537"/>
      <c r="RCV226" s="537"/>
      <c r="RCW226" s="537"/>
      <c r="RCX226" s="537"/>
      <c r="RCY226" s="537"/>
      <c r="RCZ226" s="537"/>
      <c r="RDA226" s="537"/>
      <c r="RDB226" s="537"/>
      <c r="RDC226" s="537"/>
      <c r="RDD226" s="537"/>
      <c r="RDE226" s="537"/>
      <c r="RDF226" s="537"/>
      <c r="RDG226" s="537"/>
      <c r="RDH226" s="537"/>
      <c r="RDI226" s="537"/>
      <c r="RDJ226" s="537"/>
      <c r="RDK226" s="537"/>
      <c r="RDL226" s="537"/>
      <c r="RDM226" s="537"/>
      <c r="RDN226" s="537"/>
      <c r="RDO226" s="537"/>
      <c r="RDP226" s="537"/>
      <c r="RDQ226" s="537"/>
      <c r="RDR226" s="537"/>
      <c r="RDS226" s="537"/>
      <c r="RDT226" s="537"/>
      <c r="RDU226" s="537"/>
      <c r="RDV226" s="537"/>
      <c r="RDW226" s="537"/>
      <c r="RDX226" s="537"/>
      <c r="RDY226" s="537"/>
      <c r="RDZ226" s="537"/>
      <c r="REA226" s="537"/>
      <c r="REB226" s="537"/>
      <c r="REC226" s="537"/>
      <c r="RED226" s="537"/>
      <c r="REE226" s="537"/>
      <c r="REF226" s="537"/>
      <c r="REG226" s="537"/>
      <c r="REH226" s="537"/>
      <c r="REI226" s="537"/>
      <c r="REJ226" s="537"/>
      <c r="REK226" s="537"/>
      <c r="REL226" s="537"/>
      <c r="REM226" s="537"/>
      <c r="REN226" s="537"/>
      <c r="REO226" s="537"/>
      <c r="REP226" s="537"/>
      <c r="REQ226" s="537"/>
      <c r="RER226" s="537"/>
      <c r="RES226" s="537"/>
      <c r="RET226" s="537"/>
      <c r="REU226" s="537"/>
      <c r="REV226" s="537"/>
      <c r="REW226" s="537"/>
      <c r="REX226" s="537"/>
      <c r="REY226" s="537"/>
      <c r="REZ226" s="537"/>
      <c r="RFA226" s="537"/>
      <c r="RFB226" s="537"/>
      <c r="RFC226" s="537"/>
      <c r="RFD226" s="537"/>
      <c r="RFE226" s="537"/>
      <c r="RFF226" s="537"/>
      <c r="RFG226" s="537"/>
      <c r="RFH226" s="537"/>
      <c r="RFI226" s="537"/>
      <c r="RFJ226" s="537"/>
      <c r="RFK226" s="537"/>
      <c r="RFL226" s="537"/>
      <c r="RFM226" s="537"/>
      <c r="RFN226" s="537"/>
      <c r="RFO226" s="537"/>
      <c r="RFP226" s="537"/>
      <c r="RFQ226" s="537"/>
      <c r="RFR226" s="537"/>
      <c r="RFS226" s="537"/>
      <c r="RFT226" s="537"/>
      <c r="RFU226" s="537"/>
      <c r="RFV226" s="537"/>
      <c r="RFW226" s="537"/>
      <c r="RFX226" s="537"/>
      <c r="RFY226" s="537"/>
      <c r="RFZ226" s="537"/>
      <c r="RGA226" s="537"/>
      <c r="RGB226" s="537"/>
      <c r="RGC226" s="537"/>
      <c r="RGD226" s="537"/>
      <c r="RGE226" s="537"/>
      <c r="RGF226" s="537"/>
      <c r="RGG226" s="537"/>
      <c r="RGH226" s="537"/>
      <c r="RGI226" s="537"/>
      <c r="RGJ226" s="537"/>
      <c r="RGK226" s="537"/>
      <c r="RGL226" s="537"/>
      <c r="RGM226" s="537"/>
      <c r="RGN226" s="537"/>
      <c r="RGO226" s="537"/>
      <c r="RGP226" s="537"/>
      <c r="RGQ226" s="537"/>
      <c r="RGR226" s="537"/>
      <c r="RGS226" s="537"/>
      <c r="RGT226" s="537"/>
      <c r="RGU226" s="537"/>
      <c r="RGV226" s="537"/>
      <c r="RGW226" s="537"/>
      <c r="RGX226" s="537"/>
      <c r="RGY226" s="537"/>
      <c r="RGZ226" s="537"/>
      <c r="RHA226" s="537"/>
      <c r="RHB226" s="537"/>
      <c r="RHC226" s="537"/>
      <c r="RHD226" s="537"/>
      <c r="RHE226" s="537"/>
      <c r="RHF226" s="537"/>
      <c r="RHG226" s="537"/>
      <c r="RHH226" s="537"/>
      <c r="RHI226" s="537"/>
      <c r="RHJ226" s="537"/>
      <c r="RHK226" s="537"/>
      <c r="RHL226" s="537"/>
      <c r="RHM226" s="537"/>
      <c r="RHN226" s="537"/>
      <c r="RHO226" s="537"/>
      <c r="RHP226" s="537"/>
      <c r="RHQ226" s="537"/>
      <c r="RHR226" s="537"/>
      <c r="RHS226" s="537"/>
      <c r="RHT226" s="537"/>
      <c r="RHU226" s="537"/>
      <c r="RHV226" s="537"/>
      <c r="RHW226" s="537"/>
      <c r="RHX226" s="537"/>
      <c r="RHY226" s="537"/>
      <c r="RHZ226" s="537"/>
      <c r="RIA226" s="537"/>
      <c r="RIB226" s="537"/>
      <c r="RIC226" s="537"/>
      <c r="RID226" s="537"/>
      <c r="RIE226" s="537"/>
      <c r="RIF226" s="537"/>
      <c r="RIG226" s="537"/>
      <c r="RIH226" s="537"/>
      <c r="RII226" s="537"/>
      <c r="RIJ226" s="537"/>
      <c r="RIK226" s="537"/>
      <c r="RIL226" s="537"/>
      <c r="RIM226" s="537"/>
      <c r="RIN226" s="537"/>
      <c r="RIO226" s="537"/>
      <c r="RIP226" s="537"/>
      <c r="RIQ226" s="537"/>
      <c r="RIR226" s="537"/>
      <c r="RIS226" s="537"/>
      <c r="RIT226" s="537"/>
      <c r="RIU226" s="537"/>
      <c r="RIV226" s="537"/>
      <c r="RIW226" s="537"/>
      <c r="RIX226" s="537"/>
      <c r="RIY226" s="537"/>
      <c r="RIZ226" s="537"/>
      <c r="RJA226" s="537"/>
      <c r="RJB226" s="537"/>
      <c r="RJC226" s="537"/>
      <c r="RJD226" s="537"/>
      <c r="RJE226" s="537"/>
      <c r="RJF226" s="537"/>
      <c r="RJG226" s="537"/>
      <c r="RJH226" s="537"/>
      <c r="RJI226" s="537"/>
      <c r="RJJ226" s="537"/>
      <c r="RJK226" s="537"/>
      <c r="RJL226" s="537"/>
      <c r="RJM226" s="537"/>
      <c r="RJN226" s="537"/>
      <c r="RJO226" s="537"/>
      <c r="RJP226" s="537"/>
      <c r="RJQ226" s="537"/>
      <c r="RJR226" s="537"/>
      <c r="RJS226" s="537"/>
      <c r="RJT226" s="537"/>
      <c r="RJU226" s="537"/>
      <c r="RJV226" s="537"/>
      <c r="RJW226" s="537"/>
      <c r="RJX226" s="537"/>
      <c r="RJY226" s="537"/>
      <c r="RJZ226" s="537"/>
      <c r="RKA226" s="537"/>
      <c r="RKB226" s="537"/>
      <c r="RKC226" s="537"/>
      <c r="RKD226" s="537"/>
      <c r="RKE226" s="537"/>
      <c r="RKF226" s="537"/>
      <c r="RKG226" s="537"/>
      <c r="RKH226" s="537"/>
      <c r="RKI226" s="537"/>
      <c r="RKJ226" s="537"/>
      <c r="RKK226" s="537"/>
      <c r="RKL226" s="537"/>
      <c r="RKM226" s="537"/>
      <c r="RKN226" s="537"/>
      <c r="RKO226" s="537"/>
      <c r="RKP226" s="537"/>
      <c r="RKQ226" s="537"/>
      <c r="RKR226" s="537"/>
      <c r="RKS226" s="537"/>
      <c r="RKT226" s="537"/>
      <c r="RKU226" s="537"/>
      <c r="RKV226" s="537"/>
      <c r="RKW226" s="537"/>
      <c r="RKX226" s="537"/>
      <c r="RKY226" s="537"/>
      <c r="RKZ226" s="537"/>
      <c r="RLA226" s="537"/>
      <c r="RLB226" s="537"/>
      <c r="RLC226" s="537"/>
      <c r="RLD226" s="537"/>
      <c r="RLE226" s="537"/>
      <c r="RLF226" s="537"/>
      <c r="RLG226" s="537"/>
      <c r="RLH226" s="537"/>
      <c r="RLI226" s="537"/>
      <c r="RLJ226" s="537"/>
      <c r="RLK226" s="537"/>
      <c r="RLL226" s="537"/>
      <c r="RLM226" s="537"/>
      <c r="RLN226" s="537"/>
      <c r="RLO226" s="537"/>
      <c r="RLP226" s="537"/>
      <c r="RLQ226" s="537"/>
      <c r="RLR226" s="537"/>
      <c r="RLS226" s="537"/>
      <c r="RLT226" s="537"/>
      <c r="RLU226" s="537"/>
      <c r="RLV226" s="537"/>
      <c r="RLW226" s="537"/>
      <c r="RLX226" s="537"/>
      <c r="RLY226" s="537"/>
      <c r="RLZ226" s="537"/>
      <c r="RMA226" s="537"/>
      <c r="RMB226" s="537"/>
      <c r="RMC226" s="537"/>
      <c r="RMD226" s="537"/>
      <c r="RME226" s="537"/>
      <c r="RMF226" s="537"/>
      <c r="RMG226" s="537"/>
      <c r="RMH226" s="537"/>
      <c r="RMI226" s="537"/>
      <c r="RMJ226" s="537"/>
      <c r="RMK226" s="537"/>
      <c r="RML226" s="537"/>
      <c r="RMM226" s="537"/>
      <c r="RMN226" s="537"/>
      <c r="RMO226" s="537"/>
      <c r="RMP226" s="537"/>
      <c r="RMQ226" s="537"/>
      <c r="RMR226" s="537"/>
      <c r="RMS226" s="537"/>
      <c r="RMT226" s="537"/>
      <c r="RMU226" s="537"/>
      <c r="RMV226" s="537"/>
      <c r="RMW226" s="537"/>
      <c r="RMX226" s="537"/>
      <c r="RMY226" s="537"/>
      <c r="RMZ226" s="537"/>
      <c r="RNA226" s="537"/>
      <c r="RNB226" s="537"/>
      <c r="RNC226" s="537"/>
      <c r="RND226" s="537"/>
      <c r="RNE226" s="537"/>
      <c r="RNF226" s="537"/>
      <c r="RNG226" s="537"/>
      <c r="RNH226" s="537"/>
      <c r="RNI226" s="537"/>
      <c r="RNJ226" s="537"/>
      <c r="RNK226" s="537"/>
      <c r="RNL226" s="537"/>
      <c r="RNM226" s="537"/>
      <c r="RNN226" s="537"/>
      <c r="RNO226" s="537"/>
      <c r="RNP226" s="537"/>
      <c r="RNQ226" s="537"/>
      <c r="RNR226" s="537"/>
      <c r="RNS226" s="537"/>
      <c r="RNT226" s="537"/>
      <c r="RNU226" s="537"/>
      <c r="RNV226" s="537"/>
      <c r="RNW226" s="537"/>
      <c r="RNX226" s="537"/>
      <c r="RNY226" s="537"/>
      <c r="RNZ226" s="537"/>
      <c r="ROA226" s="537"/>
      <c r="ROB226" s="537"/>
      <c r="ROC226" s="537"/>
      <c r="ROD226" s="537"/>
      <c r="ROE226" s="537"/>
      <c r="ROF226" s="537"/>
      <c r="ROG226" s="537"/>
      <c r="ROH226" s="537"/>
      <c r="ROI226" s="537"/>
      <c r="ROJ226" s="537"/>
      <c r="ROK226" s="537"/>
      <c r="ROL226" s="537"/>
      <c r="ROM226" s="537"/>
      <c r="RON226" s="537"/>
      <c r="ROO226" s="537"/>
      <c r="ROP226" s="537"/>
      <c r="ROQ226" s="537"/>
      <c r="ROR226" s="537"/>
      <c r="ROS226" s="537"/>
      <c r="ROT226" s="537"/>
      <c r="ROU226" s="537"/>
      <c r="ROV226" s="537"/>
      <c r="ROW226" s="537"/>
      <c r="ROX226" s="537"/>
      <c r="ROY226" s="537"/>
      <c r="ROZ226" s="537"/>
      <c r="RPA226" s="537"/>
      <c r="RPB226" s="537"/>
      <c r="RPC226" s="537"/>
      <c r="RPD226" s="537"/>
      <c r="RPE226" s="537"/>
      <c r="RPF226" s="537"/>
      <c r="RPG226" s="537"/>
      <c r="RPH226" s="537"/>
      <c r="RPI226" s="537"/>
      <c r="RPJ226" s="537"/>
      <c r="RPK226" s="537"/>
      <c r="RPL226" s="537"/>
      <c r="RPM226" s="537"/>
      <c r="RPN226" s="537"/>
      <c r="RPO226" s="537"/>
      <c r="RPP226" s="537"/>
      <c r="RPQ226" s="537"/>
      <c r="RPR226" s="537"/>
      <c r="RPS226" s="537"/>
      <c r="RPT226" s="537"/>
      <c r="RPU226" s="537"/>
      <c r="RPV226" s="537"/>
      <c r="RPW226" s="537"/>
      <c r="RPX226" s="537"/>
      <c r="RPY226" s="537"/>
      <c r="RPZ226" s="537"/>
      <c r="RQA226" s="537"/>
      <c r="RQB226" s="537"/>
      <c r="RQC226" s="537"/>
      <c r="RQD226" s="537"/>
      <c r="RQE226" s="537"/>
      <c r="RQF226" s="537"/>
      <c r="RQG226" s="537"/>
      <c r="RQH226" s="537"/>
      <c r="RQI226" s="537"/>
      <c r="RQJ226" s="537"/>
      <c r="RQK226" s="537"/>
      <c r="RQL226" s="537"/>
      <c r="RQM226" s="537"/>
      <c r="RQN226" s="537"/>
      <c r="RQO226" s="537"/>
      <c r="RQP226" s="537"/>
      <c r="RQQ226" s="537"/>
      <c r="RQR226" s="537"/>
      <c r="RQS226" s="537"/>
      <c r="RQT226" s="537"/>
      <c r="RQU226" s="537"/>
      <c r="RQV226" s="537"/>
      <c r="RQW226" s="537"/>
      <c r="RQX226" s="537"/>
      <c r="RQY226" s="537"/>
      <c r="RQZ226" s="537"/>
      <c r="RRA226" s="537"/>
      <c r="RRB226" s="537"/>
      <c r="RRC226" s="537"/>
      <c r="RRD226" s="537"/>
      <c r="RRE226" s="537"/>
      <c r="RRF226" s="537"/>
      <c r="RRG226" s="537"/>
      <c r="RRH226" s="537"/>
      <c r="RRI226" s="537"/>
      <c r="RRJ226" s="537"/>
      <c r="RRK226" s="537"/>
      <c r="RRL226" s="537"/>
      <c r="RRM226" s="537"/>
      <c r="RRN226" s="537"/>
      <c r="RRO226" s="537"/>
      <c r="RRP226" s="537"/>
      <c r="RRQ226" s="537"/>
      <c r="RRR226" s="537"/>
      <c r="RRS226" s="537"/>
      <c r="RRT226" s="537"/>
      <c r="RRU226" s="537"/>
      <c r="RRV226" s="537"/>
      <c r="RRW226" s="537"/>
      <c r="RRX226" s="537"/>
      <c r="RRY226" s="537"/>
      <c r="RRZ226" s="537"/>
      <c r="RSA226" s="537"/>
      <c r="RSB226" s="537"/>
      <c r="RSC226" s="537"/>
      <c r="RSD226" s="537"/>
      <c r="RSE226" s="537"/>
      <c r="RSF226" s="537"/>
      <c r="RSG226" s="537"/>
      <c r="RSH226" s="537"/>
      <c r="RSI226" s="537"/>
      <c r="RSJ226" s="537"/>
      <c r="RSK226" s="537"/>
      <c r="RSL226" s="537"/>
      <c r="RSM226" s="537"/>
      <c r="RSN226" s="537"/>
      <c r="RSO226" s="537"/>
      <c r="RSP226" s="537"/>
      <c r="RSQ226" s="537"/>
      <c r="RSR226" s="537"/>
      <c r="RSS226" s="537"/>
      <c r="RST226" s="537"/>
      <c r="RSU226" s="537"/>
      <c r="RSV226" s="537"/>
      <c r="RSW226" s="537"/>
      <c r="RSX226" s="537"/>
      <c r="RSY226" s="537"/>
      <c r="RSZ226" s="537"/>
      <c r="RTA226" s="537"/>
      <c r="RTB226" s="537"/>
      <c r="RTC226" s="537"/>
      <c r="RTD226" s="537"/>
      <c r="RTE226" s="537"/>
      <c r="RTF226" s="537"/>
      <c r="RTG226" s="537"/>
      <c r="RTH226" s="537"/>
      <c r="RTI226" s="537"/>
      <c r="RTJ226" s="537"/>
      <c r="RTK226" s="537"/>
      <c r="RTL226" s="537"/>
      <c r="RTM226" s="537"/>
      <c r="RTN226" s="537"/>
      <c r="RTO226" s="537"/>
      <c r="RTP226" s="537"/>
      <c r="RTQ226" s="537"/>
      <c r="RTR226" s="537"/>
      <c r="RTS226" s="537"/>
      <c r="RTT226" s="537"/>
      <c r="RTU226" s="537"/>
      <c r="RTV226" s="537"/>
      <c r="RTW226" s="537"/>
      <c r="RTX226" s="537"/>
      <c r="RTY226" s="537"/>
      <c r="RTZ226" s="537"/>
      <c r="RUA226" s="537"/>
      <c r="RUB226" s="537"/>
      <c r="RUC226" s="537"/>
      <c r="RUD226" s="537"/>
      <c r="RUE226" s="537"/>
      <c r="RUF226" s="537"/>
      <c r="RUG226" s="537"/>
      <c r="RUH226" s="537"/>
      <c r="RUI226" s="537"/>
      <c r="RUJ226" s="537"/>
      <c r="RUK226" s="537"/>
      <c r="RUL226" s="537"/>
      <c r="RUM226" s="537"/>
      <c r="RUN226" s="537"/>
      <c r="RUO226" s="537"/>
      <c r="RUP226" s="537"/>
      <c r="RUQ226" s="537"/>
      <c r="RUR226" s="537"/>
      <c r="RUS226" s="537"/>
      <c r="RUT226" s="537"/>
      <c r="RUU226" s="537"/>
      <c r="RUV226" s="537"/>
      <c r="RUW226" s="537"/>
      <c r="RUX226" s="537"/>
      <c r="RUY226" s="537"/>
      <c r="RUZ226" s="537"/>
      <c r="RVA226" s="537"/>
      <c r="RVB226" s="537"/>
      <c r="RVC226" s="537"/>
      <c r="RVD226" s="537"/>
      <c r="RVE226" s="537"/>
      <c r="RVF226" s="537"/>
      <c r="RVG226" s="537"/>
      <c r="RVH226" s="537"/>
      <c r="RVI226" s="537"/>
      <c r="RVJ226" s="537"/>
      <c r="RVK226" s="537"/>
      <c r="RVL226" s="537"/>
      <c r="RVM226" s="537"/>
      <c r="RVN226" s="537"/>
      <c r="RVO226" s="537"/>
      <c r="RVP226" s="537"/>
      <c r="RVQ226" s="537"/>
      <c r="RVR226" s="537"/>
      <c r="RVS226" s="537"/>
      <c r="RVT226" s="537"/>
      <c r="RVU226" s="537"/>
      <c r="RVV226" s="537"/>
      <c r="RVW226" s="537"/>
      <c r="RVX226" s="537"/>
      <c r="RVY226" s="537"/>
      <c r="RVZ226" s="537"/>
      <c r="RWA226" s="537"/>
      <c r="RWB226" s="537"/>
      <c r="RWC226" s="537"/>
      <c r="RWD226" s="537"/>
      <c r="RWE226" s="537"/>
      <c r="RWF226" s="537"/>
      <c r="RWG226" s="537"/>
      <c r="RWH226" s="537"/>
      <c r="RWI226" s="537"/>
      <c r="RWJ226" s="537"/>
      <c r="RWK226" s="537"/>
      <c r="RWL226" s="537"/>
      <c r="RWM226" s="537"/>
      <c r="RWN226" s="537"/>
      <c r="RWO226" s="537"/>
      <c r="RWP226" s="537"/>
      <c r="RWQ226" s="537"/>
      <c r="RWR226" s="537"/>
      <c r="RWS226" s="537"/>
      <c r="RWT226" s="537"/>
      <c r="RWU226" s="537"/>
      <c r="RWV226" s="537"/>
      <c r="RWW226" s="537"/>
      <c r="RWX226" s="537"/>
      <c r="RWY226" s="537"/>
      <c r="RWZ226" s="537"/>
      <c r="RXA226" s="537"/>
      <c r="RXB226" s="537"/>
      <c r="RXC226" s="537"/>
      <c r="RXD226" s="537"/>
      <c r="RXE226" s="537"/>
      <c r="RXF226" s="537"/>
      <c r="RXG226" s="537"/>
      <c r="RXH226" s="537"/>
      <c r="RXI226" s="537"/>
      <c r="RXJ226" s="537"/>
      <c r="RXK226" s="537"/>
      <c r="RXL226" s="537"/>
      <c r="RXM226" s="537"/>
      <c r="RXN226" s="537"/>
      <c r="RXO226" s="537"/>
      <c r="RXP226" s="537"/>
      <c r="RXQ226" s="537"/>
      <c r="RXR226" s="537"/>
      <c r="RXS226" s="537"/>
      <c r="RXT226" s="537"/>
      <c r="RXU226" s="537"/>
      <c r="RXV226" s="537"/>
      <c r="RXW226" s="537"/>
      <c r="RXX226" s="537"/>
      <c r="RXY226" s="537"/>
      <c r="RXZ226" s="537"/>
      <c r="RYA226" s="537"/>
      <c r="RYB226" s="537"/>
      <c r="RYC226" s="537"/>
      <c r="RYD226" s="537"/>
      <c r="RYE226" s="537"/>
      <c r="RYF226" s="537"/>
      <c r="RYG226" s="537"/>
      <c r="RYH226" s="537"/>
      <c r="RYI226" s="537"/>
      <c r="RYJ226" s="537"/>
      <c r="RYK226" s="537"/>
      <c r="RYL226" s="537"/>
      <c r="RYM226" s="537"/>
      <c r="RYN226" s="537"/>
      <c r="RYO226" s="537"/>
      <c r="RYP226" s="537"/>
      <c r="RYQ226" s="537"/>
      <c r="RYR226" s="537"/>
      <c r="RYS226" s="537"/>
      <c r="RYT226" s="537"/>
      <c r="RYU226" s="537"/>
      <c r="RYV226" s="537"/>
      <c r="RYW226" s="537"/>
      <c r="RYX226" s="537"/>
      <c r="RYY226" s="537"/>
      <c r="RYZ226" s="537"/>
      <c r="RZA226" s="537"/>
      <c r="RZB226" s="537"/>
      <c r="RZC226" s="537"/>
      <c r="RZD226" s="537"/>
      <c r="RZE226" s="537"/>
      <c r="RZF226" s="537"/>
      <c r="RZG226" s="537"/>
      <c r="RZH226" s="537"/>
      <c r="RZI226" s="537"/>
      <c r="RZJ226" s="537"/>
      <c r="RZK226" s="537"/>
      <c r="RZL226" s="537"/>
      <c r="RZM226" s="537"/>
      <c r="RZN226" s="537"/>
      <c r="RZO226" s="537"/>
      <c r="RZP226" s="537"/>
      <c r="RZQ226" s="537"/>
      <c r="RZR226" s="537"/>
      <c r="RZS226" s="537"/>
      <c r="RZT226" s="537"/>
      <c r="RZU226" s="537"/>
      <c r="RZV226" s="537"/>
      <c r="RZW226" s="537"/>
      <c r="RZX226" s="537"/>
      <c r="RZY226" s="537"/>
      <c r="RZZ226" s="537"/>
      <c r="SAA226" s="537"/>
      <c r="SAB226" s="537"/>
      <c r="SAC226" s="537"/>
      <c r="SAD226" s="537"/>
      <c r="SAE226" s="537"/>
      <c r="SAF226" s="537"/>
      <c r="SAG226" s="537"/>
      <c r="SAH226" s="537"/>
      <c r="SAI226" s="537"/>
      <c r="SAJ226" s="537"/>
      <c r="SAK226" s="537"/>
      <c r="SAL226" s="537"/>
      <c r="SAM226" s="537"/>
      <c r="SAN226" s="537"/>
      <c r="SAO226" s="537"/>
      <c r="SAP226" s="537"/>
      <c r="SAQ226" s="537"/>
      <c r="SAR226" s="537"/>
      <c r="SAS226" s="537"/>
      <c r="SAT226" s="537"/>
      <c r="SAU226" s="537"/>
      <c r="SAV226" s="537"/>
      <c r="SAW226" s="537"/>
      <c r="SAX226" s="537"/>
      <c r="SAY226" s="537"/>
      <c r="SAZ226" s="537"/>
      <c r="SBA226" s="537"/>
      <c r="SBB226" s="537"/>
      <c r="SBC226" s="537"/>
      <c r="SBD226" s="537"/>
      <c r="SBE226" s="537"/>
      <c r="SBF226" s="537"/>
      <c r="SBG226" s="537"/>
      <c r="SBH226" s="537"/>
      <c r="SBI226" s="537"/>
      <c r="SBJ226" s="537"/>
      <c r="SBK226" s="537"/>
      <c r="SBL226" s="537"/>
      <c r="SBM226" s="537"/>
      <c r="SBN226" s="537"/>
      <c r="SBO226" s="537"/>
      <c r="SBP226" s="537"/>
      <c r="SBQ226" s="537"/>
      <c r="SBR226" s="537"/>
      <c r="SBS226" s="537"/>
      <c r="SBT226" s="537"/>
      <c r="SBU226" s="537"/>
      <c r="SBV226" s="537"/>
      <c r="SBW226" s="537"/>
      <c r="SBX226" s="537"/>
      <c r="SBY226" s="537"/>
      <c r="SBZ226" s="537"/>
      <c r="SCA226" s="537"/>
      <c r="SCB226" s="537"/>
      <c r="SCC226" s="537"/>
      <c r="SCD226" s="537"/>
      <c r="SCE226" s="537"/>
      <c r="SCF226" s="537"/>
      <c r="SCG226" s="537"/>
      <c r="SCH226" s="537"/>
      <c r="SCI226" s="537"/>
      <c r="SCJ226" s="537"/>
      <c r="SCK226" s="537"/>
      <c r="SCL226" s="537"/>
      <c r="SCM226" s="537"/>
      <c r="SCN226" s="537"/>
      <c r="SCO226" s="537"/>
      <c r="SCP226" s="537"/>
      <c r="SCQ226" s="537"/>
      <c r="SCR226" s="537"/>
      <c r="SCS226" s="537"/>
      <c r="SCT226" s="537"/>
      <c r="SCU226" s="537"/>
      <c r="SCV226" s="537"/>
      <c r="SCW226" s="537"/>
      <c r="SCX226" s="537"/>
      <c r="SCY226" s="537"/>
      <c r="SCZ226" s="537"/>
      <c r="SDA226" s="537"/>
      <c r="SDB226" s="537"/>
      <c r="SDC226" s="537"/>
      <c r="SDD226" s="537"/>
      <c r="SDE226" s="537"/>
      <c r="SDF226" s="537"/>
      <c r="SDG226" s="537"/>
      <c r="SDH226" s="537"/>
      <c r="SDI226" s="537"/>
      <c r="SDJ226" s="537"/>
      <c r="SDK226" s="537"/>
      <c r="SDL226" s="537"/>
      <c r="SDM226" s="537"/>
      <c r="SDN226" s="537"/>
      <c r="SDO226" s="537"/>
      <c r="SDP226" s="537"/>
      <c r="SDQ226" s="537"/>
      <c r="SDR226" s="537"/>
      <c r="SDS226" s="537"/>
      <c r="SDT226" s="537"/>
      <c r="SDU226" s="537"/>
      <c r="SDV226" s="537"/>
      <c r="SDW226" s="537"/>
      <c r="SDX226" s="537"/>
      <c r="SDY226" s="537"/>
      <c r="SDZ226" s="537"/>
      <c r="SEA226" s="537"/>
      <c r="SEB226" s="537"/>
      <c r="SEC226" s="537"/>
      <c r="SED226" s="537"/>
      <c r="SEE226" s="537"/>
      <c r="SEF226" s="537"/>
      <c r="SEG226" s="537"/>
      <c r="SEH226" s="537"/>
      <c r="SEI226" s="537"/>
      <c r="SEJ226" s="537"/>
      <c r="SEK226" s="537"/>
      <c r="SEL226" s="537"/>
      <c r="SEM226" s="537"/>
      <c r="SEN226" s="537"/>
      <c r="SEO226" s="537"/>
      <c r="SEP226" s="537"/>
      <c r="SEQ226" s="537"/>
      <c r="SER226" s="537"/>
      <c r="SES226" s="537"/>
      <c r="SET226" s="537"/>
      <c r="SEU226" s="537"/>
      <c r="SEV226" s="537"/>
      <c r="SEW226" s="537"/>
      <c r="SEX226" s="537"/>
      <c r="SEY226" s="537"/>
      <c r="SEZ226" s="537"/>
      <c r="SFA226" s="537"/>
      <c r="SFB226" s="537"/>
      <c r="SFC226" s="537"/>
      <c r="SFD226" s="537"/>
      <c r="SFE226" s="537"/>
      <c r="SFF226" s="537"/>
      <c r="SFG226" s="537"/>
      <c r="SFH226" s="537"/>
      <c r="SFI226" s="537"/>
      <c r="SFJ226" s="537"/>
      <c r="SFK226" s="537"/>
      <c r="SFL226" s="537"/>
      <c r="SFM226" s="537"/>
      <c r="SFN226" s="537"/>
      <c r="SFO226" s="537"/>
      <c r="SFP226" s="537"/>
      <c r="SFQ226" s="537"/>
      <c r="SFR226" s="537"/>
      <c r="SFS226" s="537"/>
      <c r="SFT226" s="537"/>
      <c r="SFU226" s="537"/>
      <c r="SFV226" s="537"/>
      <c r="SFW226" s="537"/>
      <c r="SFX226" s="537"/>
      <c r="SFY226" s="537"/>
      <c r="SFZ226" s="537"/>
      <c r="SGA226" s="537"/>
      <c r="SGB226" s="537"/>
      <c r="SGC226" s="537"/>
      <c r="SGD226" s="537"/>
      <c r="SGE226" s="537"/>
      <c r="SGF226" s="537"/>
      <c r="SGG226" s="537"/>
      <c r="SGH226" s="537"/>
      <c r="SGI226" s="537"/>
      <c r="SGJ226" s="537"/>
      <c r="SGK226" s="537"/>
      <c r="SGL226" s="537"/>
      <c r="SGM226" s="537"/>
      <c r="SGN226" s="537"/>
      <c r="SGO226" s="537"/>
      <c r="SGP226" s="537"/>
      <c r="SGQ226" s="537"/>
      <c r="SGR226" s="537"/>
      <c r="SGS226" s="537"/>
      <c r="SGT226" s="537"/>
      <c r="SGU226" s="537"/>
      <c r="SGV226" s="537"/>
      <c r="SGW226" s="537"/>
      <c r="SGX226" s="537"/>
      <c r="SGY226" s="537"/>
      <c r="SGZ226" s="537"/>
      <c r="SHA226" s="537"/>
      <c r="SHB226" s="537"/>
      <c r="SHC226" s="537"/>
      <c r="SHD226" s="537"/>
      <c r="SHE226" s="537"/>
      <c r="SHF226" s="537"/>
      <c r="SHG226" s="537"/>
      <c r="SHH226" s="537"/>
      <c r="SHI226" s="537"/>
      <c r="SHJ226" s="537"/>
      <c r="SHK226" s="537"/>
      <c r="SHL226" s="537"/>
      <c r="SHM226" s="537"/>
      <c r="SHN226" s="537"/>
      <c r="SHO226" s="537"/>
      <c r="SHP226" s="537"/>
      <c r="SHQ226" s="537"/>
      <c r="SHR226" s="537"/>
      <c r="SHS226" s="537"/>
      <c r="SHT226" s="537"/>
      <c r="SHU226" s="537"/>
      <c r="SHV226" s="537"/>
      <c r="SHW226" s="537"/>
      <c r="SHX226" s="537"/>
      <c r="SHY226" s="537"/>
      <c r="SHZ226" s="537"/>
      <c r="SIA226" s="537"/>
      <c r="SIB226" s="537"/>
      <c r="SIC226" s="537"/>
      <c r="SID226" s="537"/>
      <c r="SIE226" s="537"/>
      <c r="SIF226" s="537"/>
      <c r="SIG226" s="537"/>
      <c r="SIH226" s="537"/>
      <c r="SII226" s="537"/>
      <c r="SIJ226" s="537"/>
      <c r="SIK226" s="537"/>
      <c r="SIL226" s="537"/>
      <c r="SIM226" s="537"/>
      <c r="SIN226" s="537"/>
      <c r="SIO226" s="537"/>
      <c r="SIP226" s="537"/>
      <c r="SIQ226" s="537"/>
      <c r="SIR226" s="537"/>
      <c r="SIS226" s="537"/>
      <c r="SIT226" s="537"/>
      <c r="SIU226" s="537"/>
      <c r="SIV226" s="537"/>
      <c r="SIW226" s="537"/>
      <c r="SIX226" s="537"/>
      <c r="SIY226" s="537"/>
      <c r="SIZ226" s="537"/>
      <c r="SJA226" s="537"/>
      <c r="SJB226" s="537"/>
      <c r="SJC226" s="537"/>
      <c r="SJD226" s="537"/>
      <c r="SJE226" s="537"/>
      <c r="SJF226" s="537"/>
      <c r="SJG226" s="537"/>
      <c r="SJH226" s="537"/>
      <c r="SJI226" s="537"/>
      <c r="SJJ226" s="537"/>
      <c r="SJK226" s="537"/>
      <c r="SJL226" s="537"/>
      <c r="SJM226" s="537"/>
      <c r="SJN226" s="537"/>
      <c r="SJO226" s="537"/>
      <c r="SJP226" s="537"/>
      <c r="SJQ226" s="537"/>
      <c r="SJR226" s="537"/>
      <c r="SJS226" s="537"/>
      <c r="SJT226" s="537"/>
      <c r="SJU226" s="537"/>
      <c r="SJV226" s="537"/>
      <c r="SJW226" s="537"/>
      <c r="SJX226" s="537"/>
      <c r="SJY226" s="537"/>
      <c r="SJZ226" s="537"/>
      <c r="SKA226" s="537"/>
      <c r="SKB226" s="537"/>
      <c r="SKC226" s="537"/>
      <c r="SKD226" s="537"/>
      <c r="SKE226" s="537"/>
      <c r="SKF226" s="537"/>
      <c r="SKG226" s="537"/>
      <c r="SKH226" s="537"/>
      <c r="SKI226" s="537"/>
      <c r="SKJ226" s="537"/>
      <c r="SKK226" s="537"/>
      <c r="SKL226" s="537"/>
      <c r="SKM226" s="537"/>
      <c r="SKN226" s="537"/>
      <c r="SKO226" s="537"/>
      <c r="SKP226" s="537"/>
      <c r="SKQ226" s="537"/>
      <c r="SKR226" s="537"/>
      <c r="SKS226" s="537"/>
      <c r="SKT226" s="537"/>
      <c r="SKU226" s="537"/>
      <c r="SKV226" s="537"/>
      <c r="SKW226" s="537"/>
      <c r="SKX226" s="537"/>
      <c r="SKY226" s="537"/>
      <c r="SKZ226" s="537"/>
      <c r="SLA226" s="537"/>
      <c r="SLB226" s="537"/>
      <c r="SLC226" s="537"/>
      <c r="SLD226" s="537"/>
      <c r="SLE226" s="537"/>
      <c r="SLF226" s="537"/>
      <c r="SLG226" s="537"/>
      <c r="SLH226" s="537"/>
      <c r="SLI226" s="537"/>
      <c r="SLJ226" s="537"/>
      <c r="SLK226" s="537"/>
      <c r="SLL226" s="537"/>
      <c r="SLM226" s="537"/>
      <c r="SLN226" s="537"/>
      <c r="SLO226" s="537"/>
      <c r="SLP226" s="537"/>
      <c r="SLQ226" s="537"/>
      <c r="SLR226" s="537"/>
      <c r="SLS226" s="537"/>
      <c r="SLT226" s="537"/>
      <c r="SLU226" s="537"/>
      <c r="SLV226" s="537"/>
      <c r="SLW226" s="537"/>
      <c r="SLX226" s="537"/>
      <c r="SLY226" s="537"/>
      <c r="SLZ226" s="537"/>
      <c r="SMA226" s="537"/>
      <c r="SMB226" s="537"/>
      <c r="SMC226" s="537"/>
      <c r="SMD226" s="537"/>
      <c r="SME226" s="537"/>
      <c r="SMF226" s="537"/>
      <c r="SMG226" s="537"/>
      <c r="SMH226" s="537"/>
      <c r="SMI226" s="537"/>
      <c r="SMJ226" s="537"/>
      <c r="SMK226" s="537"/>
      <c r="SML226" s="537"/>
      <c r="SMM226" s="537"/>
      <c r="SMN226" s="537"/>
      <c r="SMO226" s="537"/>
      <c r="SMP226" s="537"/>
      <c r="SMQ226" s="537"/>
      <c r="SMR226" s="537"/>
      <c r="SMS226" s="537"/>
      <c r="SMT226" s="537"/>
      <c r="SMU226" s="537"/>
      <c r="SMV226" s="537"/>
      <c r="SMW226" s="537"/>
      <c r="SMX226" s="537"/>
      <c r="SMY226" s="537"/>
      <c r="SMZ226" s="537"/>
      <c r="SNA226" s="537"/>
      <c r="SNB226" s="537"/>
      <c r="SNC226" s="537"/>
      <c r="SND226" s="537"/>
      <c r="SNE226" s="537"/>
      <c r="SNF226" s="537"/>
      <c r="SNG226" s="537"/>
      <c r="SNH226" s="537"/>
      <c r="SNI226" s="537"/>
      <c r="SNJ226" s="537"/>
      <c r="SNK226" s="537"/>
      <c r="SNL226" s="537"/>
      <c r="SNM226" s="537"/>
      <c r="SNN226" s="537"/>
      <c r="SNO226" s="537"/>
      <c r="SNP226" s="537"/>
      <c r="SNQ226" s="537"/>
      <c r="SNR226" s="537"/>
      <c r="SNS226" s="537"/>
      <c r="SNT226" s="537"/>
      <c r="SNU226" s="537"/>
      <c r="SNV226" s="537"/>
      <c r="SNW226" s="537"/>
      <c r="SNX226" s="537"/>
      <c r="SNY226" s="537"/>
      <c r="SNZ226" s="537"/>
      <c r="SOA226" s="537"/>
      <c r="SOB226" s="537"/>
      <c r="SOC226" s="537"/>
      <c r="SOD226" s="537"/>
      <c r="SOE226" s="537"/>
      <c r="SOF226" s="537"/>
      <c r="SOG226" s="537"/>
      <c r="SOH226" s="537"/>
      <c r="SOI226" s="537"/>
      <c r="SOJ226" s="537"/>
      <c r="SOK226" s="537"/>
      <c r="SOL226" s="537"/>
      <c r="SOM226" s="537"/>
      <c r="SON226" s="537"/>
      <c r="SOO226" s="537"/>
      <c r="SOP226" s="537"/>
      <c r="SOQ226" s="537"/>
      <c r="SOR226" s="537"/>
      <c r="SOS226" s="537"/>
      <c r="SOT226" s="537"/>
      <c r="SOU226" s="537"/>
      <c r="SOV226" s="537"/>
      <c r="SOW226" s="537"/>
      <c r="SOX226" s="537"/>
      <c r="SOY226" s="537"/>
      <c r="SOZ226" s="537"/>
      <c r="SPA226" s="537"/>
      <c r="SPB226" s="537"/>
      <c r="SPC226" s="537"/>
      <c r="SPD226" s="537"/>
      <c r="SPE226" s="537"/>
      <c r="SPF226" s="537"/>
      <c r="SPG226" s="537"/>
      <c r="SPH226" s="537"/>
      <c r="SPI226" s="537"/>
      <c r="SPJ226" s="537"/>
      <c r="SPK226" s="537"/>
      <c r="SPL226" s="537"/>
      <c r="SPM226" s="537"/>
      <c r="SPN226" s="537"/>
      <c r="SPO226" s="537"/>
      <c r="SPP226" s="537"/>
      <c r="SPQ226" s="537"/>
      <c r="SPR226" s="537"/>
      <c r="SPS226" s="537"/>
      <c r="SPT226" s="537"/>
      <c r="SPU226" s="537"/>
      <c r="SPV226" s="537"/>
      <c r="SPW226" s="537"/>
      <c r="SPX226" s="537"/>
      <c r="SPY226" s="537"/>
      <c r="SPZ226" s="537"/>
      <c r="SQA226" s="537"/>
      <c r="SQB226" s="537"/>
      <c r="SQC226" s="537"/>
      <c r="SQD226" s="537"/>
      <c r="SQE226" s="537"/>
      <c r="SQF226" s="537"/>
      <c r="SQG226" s="537"/>
      <c r="SQH226" s="537"/>
      <c r="SQI226" s="537"/>
      <c r="SQJ226" s="537"/>
      <c r="SQK226" s="537"/>
      <c r="SQL226" s="537"/>
      <c r="SQM226" s="537"/>
      <c r="SQN226" s="537"/>
      <c r="SQO226" s="537"/>
      <c r="SQP226" s="537"/>
      <c r="SQQ226" s="537"/>
      <c r="SQR226" s="537"/>
      <c r="SQS226" s="537"/>
      <c r="SQT226" s="537"/>
      <c r="SQU226" s="537"/>
      <c r="SQV226" s="537"/>
      <c r="SQW226" s="537"/>
      <c r="SQX226" s="537"/>
      <c r="SQY226" s="537"/>
      <c r="SQZ226" s="537"/>
      <c r="SRA226" s="537"/>
      <c r="SRB226" s="537"/>
      <c r="SRC226" s="537"/>
      <c r="SRD226" s="537"/>
      <c r="SRE226" s="537"/>
      <c r="SRF226" s="537"/>
      <c r="SRG226" s="537"/>
      <c r="SRH226" s="537"/>
      <c r="SRI226" s="537"/>
      <c r="SRJ226" s="537"/>
      <c r="SRK226" s="537"/>
      <c r="SRL226" s="537"/>
      <c r="SRM226" s="537"/>
      <c r="SRN226" s="537"/>
      <c r="SRO226" s="537"/>
      <c r="SRP226" s="537"/>
      <c r="SRQ226" s="537"/>
      <c r="SRR226" s="537"/>
      <c r="SRS226" s="537"/>
      <c r="SRT226" s="537"/>
      <c r="SRU226" s="537"/>
      <c r="SRV226" s="537"/>
      <c r="SRW226" s="537"/>
      <c r="SRX226" s="537"/>
      <c r="SRY226" s="537"/>
      <c r="SRZ226" s="537"/>
      <c r="SSA226" s="537"/>
      <c r="SSB226" s="537"/>
      <c r="SSC226" s="537"/>
      <c r="SSD226" s="537"/>
      <c r="SSE226" s="537"/>
      <c r="SSF226" s="537"/>
      <c r="SSG226" s="537"/>
      <c r="SSH226" s="537"/>
      <c r="SSI226" s="537"/>
      <c r="SSJ226" s="537"/>
      <c r="SSK226" s="537"/>
      <c r="SSL226" s="537"/>
      <c r="SSM226" s="537"/>
      <c r="SSN226" s="537"/>
      <c r="SSO226" s="537"/>
      <c r="SSP226" s="537"/>
      <c r="SSQ226" s="537"/>
      <c r="SSR226" s="537"/>
      <c r="SSS226" s="537"/>
      <c r="SST226" s="537"/>
      <c r="SSU226" s="537"/>
      <c r="SSV226" s="537"/>
      <c r="SSW226" s="537"/>
      <c r="SSX226" s="537"/>
      <c r="SSY226" s="537"/>
      <c r="SSZ226" s="537"/>
      <c r="STA226" s="537"/>
      <c r="STB226" s="537"/>
      <c r="STC226" s="537"/>
      <c r="STD226" s="537"/>
      <c r="STE226" s="537"/>
      <c r="STF226" s="537"/>
      <c r="STG226" s="537"/>
      <c r="STH226" s="537"/>
      <c r="STI226" s="537"/>
      <c r="STJ226" s="537"/>
      <c r="STK226" s="537"/>
      <c r="STL226" s="537"/>
      <c r="STM226" s="537"/>
      <c r="STN226" s="537"/>
      <c r="STO226" s="537"/>
      <c r="STP226" s="537"/>
      <c r="STQ226" s="537"/>
      <c r="STR226" s="537"/>
      <c r="STS226" s="537"/>
      <c r="STT226" s="537"/>
      <c r="STU226" s="537"/>
      <c r="STV226" s="537"/>
      <c r="STW226" s="537"/>
      <c r="STX226" s="537"/>
      <c r="STY226" s="537"/>
      <c r="STZ226" s="537"/>
      <c r="SUA226" s="537"/>
      <c r="SUB226" s="537"/>
      <c r="SUC226" s="537"/>
      <c r="SUD226" s="537"/>
      <c r="SUE226" s="537"/>
      <c r="SUF226" s="537"/>
      <c r="SUG226" s="537"/>
      <c r="SUH226" s="537"/>
      <c r="SUI226" s="537"/>
      <c r="SUJ226" s="537"/>
      <c r="SUK226" s="537"/>
      <c r="SUL226" s="537"/>
      <c r="SUM226" s="537"/>
      <c r="SUN226" s="537"/>
      <c r="SUO226" s="537"/>
      <c r="SUP226" s="537"/>
      <c r="SUQ226" s="537"/>
      <c r="SUR226" s="537"/>
      <c r="SUS226" s="537"/>
      <c r="SUT226" s="537"/>
      <c r="SUU226" s="537"/>
      <c r="SUV226" s="537"/>
      <c r="SUW226" s="537"/>
      <c r="SUX226" s="537"/>
      <c r="SUY226" s="537"/>
      <c r="SUZ226" s="537"/>
      <c r="SVA226" s="537"/>
      <c r="SVB226" s="537"/>
      <c r="SVC226" s="537"/>
      <c r="SVD226" s="537"/>
      <c r="SVE226" s="537"/>
      <c r="SVF226" s="537"/>
      <c r="SVG226" s="537"/>
      <c r="SVH226" s="537"/>
      <c r="SVI226" s="537"/>
      <c r="SVJ226" s="537"/>
      <c r="SVK226" s="537"/>
      <c r="SVL226" s="537"/>
      <c r="SVM226" s="537"/>
      <c r="SVN226" s="537"/>
      <c r="SVO226" s="537"/>
      <c r="SVP226" s="537"/>
      <c r="SVQ226" s="537"/>
      <c r="SVR226" s="537"/>
      <c r="SVS226" s="537"/>
      <c r="SVT226" s="537"/>
      <c r="SVU226" s="537"/>
      <c r="SVV226" s="537"/>
      <c r="SVW226" s="537"/>
      <c r="SVX226" s="537"/>
      <c r="SVY226" s="537"/>
      <c r="SVZ226" s="537"/>
      <c r="SWA226" s="537"/>
      <c r="SWB226" s="537"/>
      <c r="SWC226" s="537"/>
      <c r="SWD226" s="537"/>
      <c r="SWE226" s="537"/>
      <c r="SWF226" s="537"/>
      <c r="SWG226" s="537"/>
      <c r="SWH226" s="537"/>
      <c r="SWI226" s="537"/>
      <c r="SWJ226" s="537"/>
      <c r="SWK226" s="537"/>
      <c r="SWL226" s="537"/>
      <c r="SWM226" s="537"/>
      <c r="SWN226" s="537"/>
      <c r="SWO226" s="537"/>
      <c r="SWP226" s="537"/>
      <c r="SWQ226" s="537"/>
      <c r="SWR226" s="537"/>
      <c r="SWS226" s="537"/>
      <c r="SWT226" s="537"/>
      <c r="SWU226" s="537"/>
      <c r="SWV226" s="537"/>
      <c r="SWW226" s="537"/>
      <c r="SWX226" s="537"/>
      <c r="SWY226" s="537"/>
      <c r="SWZ226" s="537"/>
      <c r="SXA226" s="537"/>
      <c r="SXB226" s="537"/>
      <c r="SXC226" s="537"/>
      <c r="SXD226" s="537"/>
      <c r="SXE226" s="537"/>
      <c r="SXF226" s="537"/>
      <c r="SXG226" s="537"/>
      <c r="SXH226" s="537"/>
      <c r="SXI226" s="537"/>
      <c r="SXJ226" s="537"/>
      <c r="SXK226" s="537"/>
      <c r="SXL226" s="537"/>
      <c r="SXM226" s="537"/>
      <c r="SXN226" s="537"/>
      <c r="SXO226" s="537"/>
      <c r="SXP226" s="537"/>
      <c r="SXQ226" s="537"/>
      <c r="SXR226" s="537"/>
      <c r="SXS226" s="537"/>
      <c r="SXT226" s="537"/>
      <c r="SXU226" s="537"/>
      <c r="SXV226" s="537"/>
      <c r="SXW226" s="537"/>
      <c r="SXX226" s="537"/>
      <c r="SXY226" s="537"/>
      <c r="SXZ226" s="537"/>
      <c r="SYA226" s="537"/>
      <c r="SYB226" s="537"/>
      <c r="SYC226" s="537"/>
      <c r="SYD226" s="537"/>
      <c r="SYE226" s="537"/>
      <c r="SYF226" s="537"/>
      <c r="SYG226" s="537"/>
      <c r="SYH226" s="537"/>
      <c r="SYI226" s="537"/>
      <c r="SYJ226" s="537"/>
      <c r="SYK226" s="537"/>
      <c r="SYL226" s="537"/>
      <c r="SYM226" s="537"/>
      <c r="SYN226" s="537"/>
      <c r="SYO226" s="537"/>
      <c r="SYP226" s="537"/>
      <c r="SYQ226" s="537"/>
      <c r="SYR226" s="537"/>
      <c r="SYS226" s="537"/>
      <c r="SYT226" s="537"/>
      <c r="SYU226" s="537"/>
      <c r="SYV226" s="537"/>
      <c r="SYW226" s="537"/>
      <c r="SYX226" s="537"/>
      <c r="SYY226" s="537"/>
      <c r="SYZ226" s="537"/>
      <c r="SZA226" s="537"/>
      <c r="SZB226" s="537"/>
      <c r="SZC226" s="537"/>
      <c r="SZD226" s="537"/>
      <c r="SZE226" s="537"/>
      <c r="SZF226" s="537"/>
      <c r="SZG226" s="537"/>
      <c r="SZH226" s="537"/>
      <c r="SZI226" s="537"/>
      <c r="SZJ226" s="537"/>
      <c r="SZK226" s="537"/>
      <c r="SZL226" s="537"/>
      <c r="SZM226" s="537"/>
      <c r="SZN226" s="537"/>
      <c r="SZO226" s="537"/>
      <c r="SZP226" s="537"/>
      <c r="SZQ226" s="537"/>
      <c r="SZR226" s="537"/>
      <c r="SZS226" s="537"/>
      <c r="SZT226" s="537"/>
      <c r="SZU226" s="537"/>
      <c r="SZV226" s="537"/>
      <c r="SZW226" s="537"/>
      <c r="SZX226" s="537"/>
      <c r="SZY226" s="537"/>
      <c r="SZZ226" s="537"/>
      <c r="TAA226" s="537"/>
      <c r="TAB226" s="537"/>
      <c r="TAC226" s="537"/>
      <c r="TAD226" s="537"/>
      <c r="TAE226" s="537"/>
      <c r="TAF226" s="537"/>
      <c r="TAG226" s="537"/>
      <c r="TAH226" s="537"/>
      <c r="TAI226" s="537"/>
      <c r="TAJ226" s="537"/>
      <c r="TAK226" s="537"/>
      <c r="TAL226" s="537"/>
      <c r="TAM226" s="537"/>
      <c r="TAN226" s="537"/>
      <c r="TAO226" s="537"/>
      <c r="TAP226" s="537"/>
      <c r="TAQ226" s="537"/>
      <c r="TAR226" s="537"/>
      <c r="TAS226" s="537"/>
      <c r="TAT226" s="537"/>
      <c r="TAU226" s="537"/>
      <c r="TAV226" s="537"/>
      <c r="TAW226" s="537"/>
      <c r="TAX226" s="537"/>
      <c r="TAY226" s="537"/>
      <c r="TAZ226" s="537"/>
      <c r="TBA226" s="537"/>
      <c r="TBB226" s="537"/>
      <c r="TBC226" s="537"/>
      <c r="TBD226" s="537"/>
      <c r="TBE226" s="537"/>
      <c r="TBF226" s="537"/>
      <c r="TBG226" s="537"/>
      <c r="TBH226" s="537"/>
      <c r="TBI226" s="537"/>
      <c r="TBJ226" s="537"/>
      <c r="TBK226" s="537"/>
      <c r="TBL226" s="537"/>
      <c r="TBM226" s="537"/>
      <c r="TBN226" s="537"/>
      <c r="TBO226" s="537"/>
      <c r="TBP226" s="537"/>
      <c r="TBQ226" s="537"/>
      <c r="TBR226" s="537"/>
      <c r="TBS226" s="537"/>
      <c r="TBT226" s="537"/>
      <c r="TBU226" s="537"/>
      <c r="TBV226" s="537"/>
      <c r="TBW226" s="537"/>
      <c r="TBX226" s="537"/>
      <c r="TBY226" s="537"/>
      <c r="TBZ226" s="537"/>
      <c r="TCA226" s="537"/>
      <c r="TCB226" s="537"/>
      <c r="TCC226" s="537"/>
      <c r="TCD226" s="537"/>
      <c r="TCE226" s="537"/>
      <c r="TCF226" s="537"/>
      <c r="TCG226" s="537"/>
      <c r="TCH226" s="537"/>
      <c r="TCI226" s="537"/>
      <c r="TCJ226" s="537"/>
      <c r="TCK226" s="537"/>
      <c r="TCL226" s="537"/>
      <c r="TCM226" s="537"/>
      <c r="TCN226" s="537"/>
      <c r="TCO226" s="537"/>
      <c r="TCP226" s="537"/>
      <c r="TCQ226" s="537"/>
      <c r="TCR226" s="537"/>
      <c r="TCS226" s="537"/>
      <c r="TCT226" s="537"/>
      <c r="TCU226" s="537"/>
      <c r="TCV226" s="537"/>
      <c r="TCW226" s="537"/>
      <c r="TCX226" s="537"/>
      <c r="TCY226" s="537"/>
      <c r="TCZ226" s="537"/>
      <c r="TDA226" s="537"/>
      <c r="TDB226" s="537"/>
      <c r="TDC226" s="537"/>
      <c r="TDD226" s="537"/>
      <c r="TDE226" s="537"/>
      <c r="TDF226" s="537"/>
      <c r="TDG226" s="537"/>
      <c r="TDH226" s="537"/>
      <c r="TDI226" s="537"/>
      <c r="TDJ226" s="537"/>
      <c r="TDK226" s="537"/>
      <c r="TDL226" s="537"/>
      <c r="TDM226" s="537"/>
      <c r="TDN226" s="537"/>
      <c r="TDO226" s="537"/>
      <c r="TDP226" s="537"/>
      <c r="TDQ226" s="537"/>
      <c r="TDR226" s="537"/>
      <c r="TDS226" s="537"/>
      <c r="TDT226" s="537"/>
      <c r="TDU226" s="537"/>
      <c r="TDV226" s="537"/>
      <c r="TDW226" s="537"/>
      <c r="TDX226" s="537"/>
      <c r="TDY226" s="537"/>
      <c r="TDZ226" s="537"/>
      <c r="TEA226" s="537"/>
      <c r="TEB226" s="537"/>
      <c r="TEC226" s="537"/>
      <c r="TED226" s="537"/>
      <c r="TEE226" s="537"/>
      <c r="TEF226" s="537"/>
      <c r="TEG226" s="537"/>
      <c r="TEH226" s="537"/>
      <c r="TEI226" s="537"/>
      <c r="TEJ226" s="537"/>
      <c r="TEK226" s="537"/>
      <c r="TEL226" s="537"/>
      <c r="TEM226" s="537"/>
      <c r="TEN226" s="537"/>
      <c r="TEO226" s="537"/>
      <c r="TEP226" s="537"/>
      <c r="TEQ226" s="537"/>
      <c r="TER226" s="537"/>
      <c r="TES226" s="537"/>
      <c r="TET226" s="537"/>
      <c r="TEU226" s="537"/>
      <c r="TEV226" s="537"/>
      <c r="TEW226" s="537"/>
      <c r="TEX226" s="537"/>
      <c r="TEY226" s="537"/>
      <c r="TEZ226" s="537"/>
      <c r="TFA226" s="537"/>
      <c r="TFB226" s="537"/>
      <c r="TFC226" s="537"/>
      <c r="TFD226" s="537"/>
      <c r="TFE226" s="537"/>
      <c r="TFF226" s="537"/>
      <c r="TFG226" s="537"/>
      <c r="TFH226" s="537"/>
      <c r="TFI226" s="537"/>
      <c r="TFJ226" s="537"/>
      <c r="TFK226" s="537"/>
      <c r="TFL226" s="537"/>
      <c r="TFM226" s="537"/>
      <c r="TFN226" s="537"/>
      <c r="TFO226" s="537"/>
      <c r="TFP226" s="537"/>
      <c r="TFQ226" s="537"/>
      <c r="TFR226" s="537"/>
      <c r="TFS226" s="537"/>
      <c r="TFT226" s="537"/>
      <c r="TFU226" s="537"/>
      <c r="TFV226" s="537"/>
      <c r="TFW226" s="537"/>
      <c r="TFX226" s="537"/>
      <c r="TFY226" s="537"/>
      <c r="TFZ226" s="537"/>
      <c r="TGA226" s="537"/>
      <c r="TGB226" s="537"/>
      <c r="TGC226" s="537"/>
      <c r="TGD226" s="537"/>
      <c r="TGE226" s="537"/>
      <c r="TGF226" s="537"/>
      <c r="TGG226" s="537"/>
      <c r="TGH226" s="537"/>
      <c r="TGI226" s="537"/>
      <c r="TGJ226" s="537"/>
      <c r="TGK226" s="537"/>
      <c r="TGL226" s="537"/>
      <c r="TGM226" s="537"/>
      <c r="TGN226" s="537"/>
      <c r="TGO226" s="537"/>
      <c r="TGP226" s="537"/>
      <c r="TGQ226" s="537"/>
      <c r="TGR226" s="537"/>
      <c r="TGS226" s="537"/>
      <c r="TGT226" s="537"/>
      <c r="TGU226" s="537"/>
      <c r="TGV226" s="537"/>
      <c r="TGW226" s="537"/>
      <c r="TGX226" s="537"/>
      <c r="TGY226" s="537"/>
      <c r="TGZ226" s="537"/>
      <c r="THA226" s="537"/>
      <c r="THB226" s="537"/>
      <c r="THC226" s="537"/>
      <c r="THD226" s="537"/>
      <c r="THE226" s="537"/>
      <c r="THF226" s="537"/>
      <c r="THG226" s="537"/>
      <c r="THH226" s="537"/>
      <c r="THI226" s="537"/>
      <c r="THJ226" s="537"/>
      <c r="THK226" s="537"/>
      <c r="THL226" s="537"/>
      <c r="THM226" s="537"/>
      <c r="THN226" s="537"/>
      <c r="THO226" s="537"/>
      <c r="THP226" s="537"/>
      <c r="THQ226" s="537"/>
      <c r="THR226" s="537"/>
      <c r="THS226" s="537"/>
      <c r="THT226" s="537"/>
      <c r="THU226" s="537"/>
      <c r="THV226" s="537"/>
      <c r="THW226" s="537"/>
      <c r="THX226" s="537"/>
      <c r="THY226" s="537"/>
      <c r="THZ226" s="537"/>
      <c r="TIA226" s="537"/>
      <c r="TIB226" s="537"/>
      <c r="TIC226" s="537"/>
      <c r="TID226" s="537"/>
      <c r="TIE226" s="537"/>
      <c r="TIF226" s="537"/>
      <c r="TIG226" s="537"/>
      <c r="TIH226" s="537"/>
      <c r="TII226" s="537"/>
      <c r="TIJ226" s="537"/>
      <c r="TIK226" s="537"/>
      <c r="TIL226" s="537"/>
      <c r="TIM226" s="537"/>
      <c r="TIN226" s="537"/>
      <c r="TIO226" s="537"/>
      <c r="TIP226" s="537"/>
      <c r="TIQ226" s="537"/>
      <c r="TIR226" s="537"/>
      <c r="TIS226" s="537"/>
      <c r="TIT226" s="537"/>
      <c r="TIU226" s="537"/>
      <c r="TIV226" s="537"/>
      <c r="TIW226" s="537"/>
      <c r="TIX226" s="537"/>
      <c r="TIY226" s="537"/>
      <c r="TIZ226" s="537"/>
      <c r="TJA226" s="537"/>
      <c r="TJB226" s="537"/>
      <c r="TJC226" s="537"/>
      <c r="TJD226" s="537"/>
      <c r="TJE226" s="537"/>
      <c r="TJF226" s="537"/>
      <c r="TJG226" s="537"/>
      <c r="TJH226" s="537"/>
      <c r="TJI226" s="537"/>
      <c r="TJJ226" s="537"/>
      <c r="TJK226" s="537"/>
      <c r="TJL226" s="537"/>
      <c r="TJM226" s="537"/>
      <c r="TJN226" s="537"/>
      <c r="TJO226" s="537"/>
      <c r="TJP226" s="537"/>
      <c r="TJQ226" s="537"/>
      <c r="TJR226" s="537"/>
      <c r="TJS226" s="537"/>
      <c r="TJT226" s="537"/>
      <c r="TJU226" s="537"/>
      <c r="TJV226" s="537"/>
      <c r="TJW226" s="537"/>
      <c r="TJX226" s="537"/>
      <c r="TJY226" s="537"/>
      <c r="TJZ226" s="537"/>
      <c r="TKA226" s="537"/>
      <c r="TKB226" s="537"/>
      <c r="TKC226" s="537"/>
      <c r="TKD226" s="537"/>
      <c r="TKE226" s="537"/>
      <c r="TKF226" s="537"/>
      <c r="TKG226" s="537"/>
      <c r="TKH226" s="537"/>
      <c r="TKI226" s="537"/>
      <c r="TKJ226" s="537"/>
      <c r="TKK226" s="537"/>
      <c r="TKL226" s="537"/>
      <c r="TKM226" s="537"/>
      <c r="TKN226" s="537"/>
      <c r="TKO226" s="537"/>
      <c r="TKP226" s="537"/>
      <c r="TKQ226" s="537"/>
      <c r="TKR226" s="537"/>
      <c r="TKS226" s="537"/>
      <c r="TKT226" s="537"/>
      <c r="TKU226" s="537"/>
      <c r="TKV226" s="537"/>
      <c r="TKW226" s="537"/>
      <c r="TKX226" s="537"/>
      <c r="TKY226" s="537"/>
      <c r="TKZ226" s="537"/>
      <c r="TLA226" s="537"/>
      <c r="TLB226" s="537"/>
      <c r="TLC226" s="537"/>
      <c r="TLD226" s="537"/>
      <c r="TLE226" s="537"/>
      <c r="TLF226" s="537"/>
      <c r="TLG226" s="537"/>
      <c r="TLH226" s="537"/>
      <c r="TLI226" s="537"/>
      <c r="TLJ226" s="537"/>
      <c r="TLK226" s="537"/>
      <c r="TLL226" s="537"/>
      <c r="TLM226" s="537"/>
      <c r="TLN226" s="537"/>
      <c r="TLO226" s="537"/>
      <c r="TLP226" s="537"/>
      <c r="TLQ226" s="537"/>
      <c r="TLR226" s="537"/>
      <c r="TLS226" s="537"/>
      <c r="TLT226" s="537"/>
      <c r="TLU226" s="537"/>
      <c r="TLV226" s="537"/>
      <c r="TLW226" s="537"/>
      <c r="TLX226" s="537"/>
      <c r="TLY226" s="537"/>
      <c r="TLZ226" s="537"/>
      <c r="TMA226" s="537"/>
      <c r="TMB226" s="537"/>
      <c r="TMC226" s="537"/>
      <c r="TMD226" s="537"/>
      <c r="TME226" s="537"/>
      <c r="TMF226" s="537"/>
      <c r="TMG226" s="537"/>
      <c r="TMH226" s="537"/>
      <c r="TMI226" s="537"/>
      <c r="TMJ226" s="537"/>
      <c r="TMK226" s="537"/>
      <c r="TML226" s="537"/>
      <c r="TMM226" s="537"/>
      <c r="TMN226" s="537"/>
      <c r="TMO226" s="537"/>
      <c r="TMP226" s="537"/>
      <c r="TMQ226" s="537"/>
      <c r="TMR226" s="537"/>
      <c r="TMS226" s="537"/>
      <c r="TMT226" s="537"/>
      <c r="TMU226" s="537"/>
      <c r="TMV226" s="537"/>
      <c r="TMW226" s="537"/>
      <c r="TMX226" s="537"/>
      <c r="TMY226" s="537"/>
      <c r="TMZ226" s="537"/>
      <c r="TNA226" s="537"/>
      <c r="TNB226" s="537"/>
      <c r="TNC226" s="537"/>
      <c r="TND226" s="537"/>
      <c r="TNE226" s="537"/>
      <c r="TNF226" s="537"/>
      <c r="TNG226" s="537"/>
      <c r="TNH226" s="537"/>
      <c r="TNI226" s="537"/>
      <c r="TNJ226" s="537"/>
      <c r="TNK226" s="537"/>
      <c r="TNL226" s="537"/>
      <c r="TNM226" s="537"/>
      <c r="TNN226" s="537"/>
      <c r="TNO226" s="537"/>
      <c r="TNP226" s="537"/>
      <c r="TNQ226" s="537"/>
      <c r="TNR226" s="537"/>
      <c r="TNS226" s="537"/>
      <c r="TNT226" s="537"/>
      <c r="TNU226" s="537"/>
      <c r="TNV226" s="537"/>
      <c r="TNW226" s="537"/>
      <c r="TNX226" s="537"/>
      <c r="TNY226" s="537"/>
      <c r="TNZ226" s="537"/>
      <c r="TOA226" s="537"/>
      <c r="TOB226" s="537"/>
      <c r="TOC226" s="537"/>
      <c r="TOD226" s="537"/>
      <c r="TOE226" s="537"/>
      <c r="TOF226" s="537"/>
      <c r="TOG226" s="537"/>
      <c r="TOH226" s="537"/>
      <c r="TOI226" s="537"/>
      <c r="TOJ226" s="537"/>
      <c r="TOK226" s="537"/>
      <c r="TOL226" s="537"/>
      <c r="TOM226" s="537"/>
      <c r="TON226" s="537"/>
      <c r="TOO226" s="537"/>
      <c r="TOP226" s="537"/>
      <c r="TOQ226" s="537"/>
      <c r="TOR226" s="537"/>
      <c r="TOS226" s="537"/>
      <c r="TOT226" s="537"/>
      <c r="TOU226" s="537"/>
      <c r="TOV226" s="537"/>
      <c r="TOW226" s="537"/>
      <c r="TOX226" s="537"/>
      <c r="TOY226" s="537"/>
      <c r="TOZ226" s="537"/>
      <c r="TPA226" s="537"/>
      <c r="TPB226" s="537"/>
      <c r="TPC226" s="537"/>
      <c r="TPD226" s="537"/>
      <c r="TPE226" s="537"/>
      <c r="TPF226" s="537"/>
      <c r="TPG226" s="537"/>
      <c r="TPH226" s="537"/>
      <c r="TPI226" s="537"/>
      <c r="TPJ226" s="537"/>
      <c r="TPK226" s="537"/>
      <c r="TPL226" s="537"/>
      <c r="TPM226" s="537"/>
      <c r="TPN226" s="537"/>
      <c r="TPO226" s="537"/>
      <c r="TPP226" s="537"/>
      <c r="TPQ226" s="537"/>
      <c r="TPR226" s="537"/>
      <c r="TPS226" s="537"/>
      <c r="TPT226" s="537"/>
      <c r="TPU226" s="537"/>
      <c r="TPV226" s="537"/>
      <c r="TPW226" s="537"/>
      <c r="TPX226" s="537"/>
      <c r="TPY226" s="537"/>
      <c r="TPZ226" s="537"/>
      <c r="TQA226" s="537"/>
      <c r="TQB226" s="537"/>
      <c r="TQC226" s="537"/>
      <c r="TQD226" s="537"/>
      <c r="TQE226" s="537"/>
      <c r="TQF226" s="537"/>
      <c r="TQG226" s="537"/>
      <c r="TQH226" s="537"/>
      <c r="TQI226" s="537"/>
      <c r="TQJ226" s="537"/>
      <c r="TQK226" s="537"/>
      <c r="TQL226" s="537"/>
      <c r="TQM226" s="537"/>
      <c r="TQN226" s="537"/>
      <c r="TQO226" s="537"/>
      <c r="TQP226" s="537"/>
      <c r="TQQ226" s="537"/>
      <c r="TQR226" s="537"/>
      <c r="TQS226" s="537"/>
      <c r="TQT226" s="537"/>
      <c r="TQU226" s="537"/>
      <c r="TQV226" s="537"/>
      <c r="TQW226" s="537"/>
      <c r="TQX226" s="537"/>
      <c r="TQY226" s="537"/>
      <c r="TQZ226" s="537"/>
      <c r="TRA226" s="537"/>
      <c r="TRB226" s="537"/>
      <c r="TRC226" s="537"/>
      <c r="TRD226" s="537"/>
      <c r="TRE226" s="537"/>
      <c r="TRF226" s="537"/>
      <c r="TRG226" s="537"/>
      <c r="TRH226" s="537"/>
      <c r="TRI226" s="537"/>
      <c r="TRJ226" s="537"/>
      <c r="TRK226" s="537"/>
      <c r="TRL226" s="537"/>
      <c r="TRM226" s="537"/>
      <c r="TRN226" s="537"/>
      <c r="TRO226" s="537"/>
      <c r="TRP226" s="537"/>
      <c r="TRQ226" s="537"/>
      <c r="TRR226" s="537"/>
      <c r="TRS226" s="537"/>
      <c r="TRT226" s="537"/>
      <c r="TRU226" s="537"/>
      <c r="TRV226" s="537"/>
      <c r="TRW226" s="537"/>
      <c r="TRX226" s="537"/>
      <c r="TRY226" s="537"/>
      <c r="TRZ226" s="537"/>
      <c r="TSA226" s="537"/>
      <c r="TSB226" s="537"/>
      <c r="TSC226" s="537"/>
      <c r="TSD226" s="537"/>
      <c r="TSE226" s="537"/>
      <c r="TSF226" s="537"/>
      <c r="TSG226" s="537"/>
      <c r="TSH226" s="537"/>
      <c r="TSI226" s="537"/>
      <c r="TSJ226" s="537"/>
      <c r="TSK226" s="537"/>
      <c r="TSL226" s="537"/>
      <c r="TSM226" s="537"/>
      <c r="TSN226" s="537"/>
      <c r="TSO226" s="537"/>
      <c r="TSP226" s="537"/>
      <c r="TSQ226" s="537"/>
      <c r="TSR226" s="537"/>
      <c r="TSS226" s="537"/>
      <c r="TST226" s="537"/>
      <c r="TSU226" s="537"/>
      <c r="TSV226" s="537"/>
      <c r="TSW226" s="537"/>
      <c r="TSX226" s="537"/>
      <c r="TSY226" s="537"/>
      <c r="TSZ226" s="537"/>
      <c r="TTA226" s="537"/>
      <c r="TTB226" s="537"/>
      <c r="TTC226" s="537"/>
      <c r="TTD226" s="537"/>
      <c r="TTE226" s="537"/>
      <c r="TTF226" s="537"/>
      <c r="TTG226" s="537"/>
      <c r="TTH226" s="537"/>
      <c r="TTI226" s="537"/>
      <c r="TTJ226" s="537"/>
      <c r="TTK226" s="537"/>
      <c r="TTL226" s="537"/>
      <c r="TTM226" s="537"/>
      <c r="TTN226" s="537"/>
      <c r="TTO226" s="537"/>
      <c r="TTP226" s="537"/>
      <c r="TTQ226" s="537"/>
      <c r="TTR226" s="537"/>
      <c r="TTS226" s="537"/>
      <c r="TTT226" s="537"/>
      <c r="TTU226" s="537"/>
      <c r="TTV226" s="537"/>
      <c r="TTW226" s="537"/>
      <c r="TTX226" s="537"/>
      <c r="TTY226" s="537"/>
      <c r="TTZ226" s="537"/>
      <c r="TUA226" s="537"/>
      <c r="TUB226" s="537"/>
      <c r="TUC226" s="537"/>
      <c r="TUD226" s="537"/>
      <c r="TUE226" s="537"/>
      <c r="TUF226" s="537"/>
      <c r="TUG226" s="537"/>
      <c r="TUH226" s="537"/>
      <c r="TUI226" s="537"/>
      <c r="TUJ226" s="537"/>
      <c r="TUK226" s="537"/>
      <c r="TUL226" s="537"/>
      <c r="TUM226" s="537"/>
      <c r="TUN226" s="537"/>
      <c r="TUO226" s="537"/>
      <c r="TUP226" s="537"/>
      <c r="TUQ226" s="537"/>
      <c r="TUR226" s="537"/>
      <c r="TUS226" s="537"/>
      <c r="TUT226" s="537"/>
      <c r="TUU226" s="537"/>
      <c r="TUV226" s="537"/>
      <c r="TUW226" s="537"/>
      <c r="TUX226" s="537"/>
      <c r="TUY226" s="537"/>
      <c r="TUZ226" s="537"/>
      <c r="TVA226" s="537"/>
      <c r="TVB226" s="537"/>
      <c r="TVC226" s="537"/>
      <c r="TVD226" s="537"/>
      <c r="TVE226" s="537"/>
      <c r="TVF226" s="537"/>
      <c r="TVG226" s="537"/>
      <c r="TVH226" s="537"/>
      <c r="TVI226" s="537"/>
      <c r="TVJ226" s="537"/>
      <c r="TVK226" s="537"/>
      <c r="TVL226" s="537"/>
      <c r="TVM226" s="537"/>
      <c r="TVN226" s="537"/>
      <c r="TVO226" s="537"/>
      <c r="TVP226" s="537"/>
      <c r="TVQ226" s="537"/>
      <c r="TVR226" s="537"/>
      <c r="TVS226" s="537"/>
      <c r="TVT226" s="537"/>
      <c r="TVU226" s="537"/>
      <c r="TVV226" s="537"/>
      <c r="TVW226" s="537"/>
      <c r="TVX226" s="537"/>
      <c r="TVY226" s="537"/>
      <c r="TVZ226" s="537"/>
      <c r="TWA226" s="537"/>
      <c r="TWB226" s="537"/>
      <c r="TWC226" s="537"/>
      <c r="TWD226" s="537"/>
      <c r="TWE226" s="537"/>
      <c r="TWF226" s="537"/>
      <c r="TWG226" s="537"/>
      <c r="TWH226" s="537"/>
      <c r="TWI226" s="537"/>
      <c r="TWJ226" s="537"/>
      <c r="TWK226" s="537"/>
      <c r="TWL226" s="537"/>
      <c r="TWM226" s="537"/>
      <c r="TWN226" s="537"/>
      <c r="TWO226" s="537"/>
      <c r="TWP226" s="537"/>
      <c r="TWQ226" s="537"/>
      <c r="TWR226" s="537"/>
      <c r="TWS226" s="537"/>
      <c r="TWT226" s="537"/>
      <c r="TWU226" s="537"/>
      <c r="TWV226" s="537"/>
      <c r="TWW226" s="537"/>
      <c r="TWX226" s="537"/>
      <c r="TWY226" s="537"/>
      <c r="TWZ226" s="537"/>
      <c r="TXA226" s="537"/>
      <c r="TXB226" s="537"/>
      <c r="TXC226" s="537"/>
      <c r="TXD226" s="537"/>
      <c r="TXE226" s="537"/>
      <c r="TXF226" s="537"/>
      <c r="TXG226" s="537"/>
      <c r="TXH226" s="537"/>
      <c r="TXI226" s="537"/>
      <c r="TXJ226" s="537"/>
      <c r="TXK226" s="537"/>
      <c r="TXL226" s="537"/>
      <c r="TXM226" s="537"/>
      <c r="TXN226" s="537"/>
      <c r="TXO226" s="537"/>
      <c r="TXP226" s="537"/>
      <c r="TXQ226" s="537"/>
      <c r="TXR226" s="537"/>
      <c r="TXS226" s="537"/>
      <c r="TXT226" s="537"/>
      <c r="TXU226" s="537"/>
      <c r="TXV226" s="537"/>
      <c r="TXW226" s="537"/>
      <c r="TXX226" s="537"/>
      <c r="TXY226" s="537"/>
      <c r="TXZ226" s="537"/>
      <c r="TYA226" s="537"/>
      <c r="TYB226" s="537"/>
      <c r="TYC226" s="537"/>
      <c r="TYD226" s="537"/>
      <c r="TYE226" s="537"/>
      <c r="TYF226" s="537"/>
      <c r="TYG226" s="537"/>
      <c r="TYH226" s="537"/>
      <c r="TYI226" s="537"/>
      <c r="TYJ226" s="537"/>
      <c r="TYK226" s="537"/>
      <c r="TYL226" s="537"/>
      <c r="TYM226" s="537"/>
      <c r="TYN226" s="537"/>
      <c r="TYO226" s="537"/>
      <c r="TYP226" s="537"/>
      <c r="TYQ226" s="537"/>
      <c r="TYR226" s="537"/>
      <c r="TYS226" s="537"/>
      <c r="TYT226" s="537"/>
      <c r="TYU226" s="537"/>
      <c r="TYV226" s="537"/>
      <c r="TYW226" s="537"/>
      <c r="TYX226" s="537"/>
      <c r="TYY226" s="537"/>
      <c r="TYZ226" s="537"/>
      <c r="TZA226" s="537"/>
      <c r="TZB226" s="537"/>
      <c r="TZC226" s="537"/>
      <c r="TZD226" s="537"/>
      <c r="TZE226" s="537"/>
      <c r="TZF226" s="537"/>
      <c r="TZG226" s="537"/>
      <c r="TZH226" s="537"/>
      <c r="TZI226" s="537"/>
      <c r="TZJ226" s="537"/>
      <c r="TZK226" s="537"/>
      <c r="TZL226" s="537"/>
      <c r="TZM226" s="537"/>
      <c r="TZN226" s="537"/>
      <c r="TZO226" s="537"/>
      <c r="TZP226" s="537"/>
      <c r="TZQ226" s="537"/>
      <c r="TZR226" s="537"/>
      <c r="TZS226" s="537"/>
      <c r="TZT226" s="537"/>
      <c r="TZU226" s="537"/>
      <c r="TZV226" s="537"/>
      <c r="TZW226" s="537"/>
      <c r="TZX226" s="537"/>
      <c r="TZY226" s="537"/>
      <c r="TZZ226" s="537"/>
      <c r="UAA226" s="537"/>
      <c r="UAB226" s="537"/>
      <c r="UAC226" s="537"/>
      <c r="UAD226" s="537"/>
      <c r="UAE226" s="537"/>
      <c r="UAF226" s="537"/>
      <c r="UAG226" s="537"/>
      <c r="UAH226" s="537"/>
      <c r="UAI226" s="537"/>
      <c r="UAJ226" s="537"/>
      <c r="UAK226" s="537"/>
      <c r="UAL226" s="537"/>
      <c r="UAM226" s="537"/>
      <c r="UAN226" s="537"/>
      <c r="UAO226" s="537"/>
      <c r="UAP226" s="537"/>
      <c r="UAQ226" s="537"/>
      <c r="UAR226" s="537"/>
      <c r="UAS226" s="537"/>
      <c r="UAT226" s="537"/>
      <c r="UAU226" s="537"/>
      <c r="UAV226" s="537"/>
      <c r="UAW226" s="537"/>
      <c r="UAX226" s="537"/>
      <c r="UAY226" s="537"/>
      <c r="UAZ226" s="537"/>
      <c r="UBA226" s="537"/>
      <c r="UBB226" s="537"/>
      <c r="UBC226" s="537"/>
      <c r="UBD226" s="537"/>
      <c r="UBE226" s="537"/>
      <c r="UBF226" s="537"/>
      <c r="UBG226" s="537"/>
      <c r="UBH226" s="537"/>
      <c r="UBI226" s="537"/>
      <c r="UBJ226" s="537"/>
      <c r="UBK226" s="537"/>
      <c r="UBL226" s="537"/>
      <c r="UBM226" s="537"/>
      <c r="UBN226" s="537"/>
      <c r="UBO226" s="537"/>
      <c r="UBP226" s="537"/>
      <c r="UBQ226" s="537"/>
      <c r="UBR226" s="537"/>
      <c r="UBS226" s="537"/>
      <c r="UBT226" s="537"/>
      <c r="UBU226" s="537"/>
      <c r="UBV226" s="537"/>
      <c r="UBW226" s="537"/>
      <c r="UBX226" s="537"/>
      <c r="UBY226" s="537"/>
      <c r="UBZ226" s="537"/>
      <c r="UCA226" s="537"/>
      <c r="UCB226" s="537"/>
      <c r="UCC226" s="537"/>
      <c r="UCD226" s="537"/>
      <c r="UCE226" s="537"/>
      <c r="UCF226" s="537"/>
      <c r="UCG226" s="537"/>
      <c r="UCH226" s="537"/>
      <c r="UCI226" s="537"/>
      <c r="UCJ226" s="537"/>
      <c r="UCK226" s="537"/>
      <c r="UCL226" s="537"/>
      <c r="UCM226" s="537"/>
      <c r="UCN226" s="537"/>
      <c r="UCO226" s="537"/>
      <c r="UCP226" s="537"/>
      <c r="UCQ226" s="537"/>
      <c r="UCR226" s="537"/>
      <c r="UCS226" s="537"/>
      <c r="UCT226" s="537"/>
      <c r="UCU226" s="537"/>
      <c r="UCV226" s="537"/>
      <c r="UCW226" s="537"/>
      <c r="UCX226" s="537"/>
      <c r="UCY226" s="537"/>
      <c r="UCZ226" s="537"/>
      <c r="UDA226" s="537"/>
      <c r="UDB226" s="537"/>
      <c r="UDC226" s="537"/>
      <c r="UDD226" s="537"/>
      <c r="UDE226" s="537"/>
      <c r="UDF226" s="537"/>
      <c r="UDG226" s="537"/>
      <c r="UDH226" s="537"/>
      <c r="UDI226" s="537"/>
      <c r="UDJ226" s="537"/>
      <c r="UDK226" s="537"/>
      <c r="UDL226" s="537"/>
      <c r="UDM226" s="537"/>
      <c r="UDN226" s="537"/>
      <c r="UDO226" s="537"/>
      <c r="UDP226" s="537"/>
      <c r="UDQ226" s="537"/>
      <c r="UDR226" s="537"/>
      <c r="UDS226" s="537"/>
      <c r="UDT226" s="537"/>
      <c r="UDU226" s="537"/>
      <c r="UDV226" s="537"/>
      <c r="UDW226" s="537"/>
      <c r="UDX226" s="537"/>
      <c r="UDY226" s="537"/>
      <c r="UDZ226" s="537"/>
      <c r="UEA226" s="537"/>
      <c r="UEB226" s="537"/>
      <c r="UEC226" s="537"/>
      <c r="UED226" s="537"/>
      <c r="UEE226" s="537"/>
      <c r="UEF226" s="537"/>
      <c r="UEG226" s="537"/>
      <c r="UEH226" s="537"/>
      <c r="UEI226" s="537"/>
      <c r="UEJ226" s="537"/>
      <c r="UEK226" s="537"/>
      <c r="UEL226" s="537"/>
      <c r="UEM226" s="537"/>
      <c r="UEN226" s="537"/>
      <c r="UEO226" s="537"/>
      <c r="UEP226" s="537"/>
      <c r="UEQ226" s="537"/>
      <c r="UER226" s="537"/>
      <c r="UES226" s="537"/>
      <c r="UET226" s="537"/>
      <c r="UEU226" s="537"/>
      <c r="UEV226" s="537"/>
      <c r="UEW226" s="537"/>
      <c r="UEX226" s="537"/>
      <c r="UEY226" s="537"/>
      <c r="UEZ226" s="537"/>
      <c r="UFA226" s="537"/>
      <c r="UFB226" s="537"/>
      <c r="UFC226" s="537"/>
      <c r="UFD226" s="537"/>
      <c r="UFE226" s="537"/>
      <c r="UFF226" s="537"/>
      <c r="UFG226" s="537"/>
      <c r="UFH226" s="537"/>
      <c r="UFI226" s="537"/>
      <c r="UFJ226" s="537"/>
      <c r="UFK226" s="537"/>
      <c r="UFL226" s="537"/>
      <c r="UFM226" s="537"/>
      <c r="UFN226" s="537"/>
      <c r="UFO226" s="537"/>
      <c r="UFP226" s="537"/>
      <c r="UFQ226" s="537"/>
      <c r="UFR226" s="537"/>
      <c r="UFS226" s="537"/>
      <c r="UFT226" s="537"/>
      <c r="UFU226" s="537"/>
      <c r="UFV226" s="537"/>
      <c r="UFW226" s="537"/>
      <c r="UFX226" s="537"/>
      <c r="UFY226" s="537"/>
      <c r="UFZ226" s="537"/>
      <c r="UGA226" s="537"/>
      <c r="UGB226" s="537"/>
      <c r="UGC226" s="537"/>
      <c r="UGD226" s="537"/>
      <c r="UGE226" s="537"/>
      <c r="UGF226" s="537"/>
      <c r="UGG226" s="537"/>
      <c r="UGH226" s="537"/>
      <c r="UGI226" s="537"/>
      <c r="UGJ226" s="537"/>
      <c r="UGK226" s="537"/>
      <c r="UGL226" s="537"/>
      <c r="UGM226" s="537"/>
      <c r="UGN226" s="537"/>
      <c r="UGO226" s="537"/>
      <c r="UGP226" s="537"/>
      <c r="UGQ226" s="537"/>
      <c r="UGR226" s="537"/>
      <c r="UGS226" s="537"/>
      <c r="UGT226" s="537"/>
      <c r="UGU226" s="537"/>
      <c r="UGV226" s="537"/>
      <c r="UGW226" s="537"/>
      <c r="UGX226" s="537"/>
      <c r="UGY226" s="537"/>
      <c r="UGZ226" s="537"/>
      <c r="UHA226" s="537"/>
      <c r="UHB226" s="537"/>
      <c r="UHC226" s="537"/>
      <c r="UHD226" s="537"/>
      <c r="UHE226" s="537"/>
      <c r="UHF226" s="537"/>
      <c r="UHG226" s="537"/>
      <c r="UHH226" s="537"/>
      <c r="UHI226" s="537"/>
      <c r="UHJ226" s="537"/>
      <c r="UHK226" s="537"/>
      <c r="UHL226" s="537"/>
      <c r="UHM226" s="537"/>
      <c r="UHN226" s="537"/>
      <c r="UHO226" s="537"/>
      <c r="UHP226" s="537"/>
      <c r="UHQ226" s="537"/>
      <c r="UHR226" s="537"/>
      <c r="UHS226" s="537"/>
      <c r="UHT226" s="537"/>
      <c r="UHU226" s="537"/>
      <c r="UHV226" s="537"/>
      <c r="UHW226" s="537"/>
      <c r="UHX226" s="537"/>
      <c r="UHY226" s="537"/>
      <c r="UHZ226" s="537"/>
      <c r="UIA226" s="537"/>
      <c r="UIB226" s="537"/>
      <c r="UIC226" s="537"/>
      <c r="UID226" s="537"/>
      <c r="UIE226" s="537"/>
      <c r="UIF226" s="537"/>
      <c r="UIG226" s="537"/>
      <c r="UIH226" s="537"/>
      <c r="UII226" s="537"/>
      <c r="UIJ226" s="537"/>
      <c r="UIK226" s="537"/>
      <c r="UIL226" s="537"/>
      <c r="UIM226" s="537"/>
      <c r="UIN226" s="537"/>
      <c r="UIO226" s="537"/>
      <c r="UIP226" s="537"/>
      <c r="UIQ226" s="537"/>
      <c r="UIR226" s="537"/>
      <c r="UIS226" s="537"/>
      <c r="UIT226" s="537"/>
      <c r="UIU226" s="537"/>
      <c r="UIV226" s="537"/>
      <c r="UIW226" s="537"/>
      <c r="UIX226" s="537"/>
      <c r="UIY226" s="537"/>
      <c r="UIZ226" s="537"/>
      <c r="UJA226" s="537"/>
      <c r="UJB226" s="537"/>
      <c r="UJC226" s="537"/>
      <c r="UJD226" s="537"/>
      <c r="UJE226" s="537"/>
      <c r="UJF226" s="537"/>
      <c r="UJG226" s="537"/>
      <c r="UJH226" s="537"/>
      <c r="UJI226" s="537"/>
      <c r="UJJ226" s="537"/>
      <c r="UJK226" s="537"/>
      <c r="UJL226" s="537"/>
      <c r="UJM226" s="537"/>
      <c r="UJN226" s="537"/>
      <c r="UJO226" s="537"/>
      <c r="UJP226" s="537"/>
      <c r="UJQ226" s="537"/>
      <c r="UJR226" s="537"/>
      <c r="UJS226" s="537"/>
      <c r="UJT226" s="537"/>
      <c r="UJU226" s="537"/>
      <c r="UJV226" s="537"/>
      <c r="UJW226" s="537"/>
      <c r="UJX226" s="537"/>
      <c r="UJY226" s="537"/>
      <c r="UJZ226" s="537"/>
      <c r="UKA226" s="537"/>
      <c r="UKB226" s="537"/>
      <c r="UKC226" s="537"/>
      <c r="UKD226" s="537"/>
      <c r="UKE226" s="537"/>
      <c r="UKF226" s="537"/>
      <c r="UKG226" s="537"/>
      <c r="UKH226" s="537"/>
      <c r="UKI226" s="537"/>
      <c r="UKJ226" s="537"/>
      <c r="UKK226" s="537"/>
      <c r="UKL226" s="537"/>
      <c r="UKM226" s="537"/>
      <c r="UKN226" s="537"/>
      <c r="UKO226" s="537"/>
      <c r="UKP226" s="537"/>
      <c r="UKQ226" s="537"/>
      <c r="UKR226" s="537"/>
      <c r="UKS226" s="537"/>
      <c r="UKT226" s="537"/>
      <c r="UKU226" s="537"/>
      <c r="UKV226" s="537"/>
      <c r="UKW226" s="537"/>
      <c r="UKX226" s="537"/>
      <c r="UKY226" s="537"/>
      <c r="UKZ226" s="537"/>
      <c r="ULA226" s="537"/>
      <c r="ULB226" s="537"/>
      <c r="ULC226" s="537"/>
      <c r="ULD226" s="537"/>
      <c r="ULE226" s="537"/>
      <c r="ULF226" s="537"/>
      <c r="ULG226" s="537"/>
      <c r="ULH226" s="537"/>
      <c r="ULI226" s="537"/>
      <c r="ULJ226" s="537"/>
      <c r="ULK226" s="537"/>
      <c r="ULL226" s="537"/>
      <c r="ULM226" s="537"/>
      <c r="ULN226" s="537"/>
      <c r="ULO226" s="537"/>
      <c r="ULP226" s="537"/>
      <c r="ULQ226" s="537"/>
      <c r="ULR226" s="537"/>
      <c r="ULS226" s="537"/>
      <c r="ULT226" s="537"/>
      <c r="ULU226" s="537"/>
      <c r="ULV226" s="537"/>
      <c r="ULW226" s="537"/>
      <c r="ULX226" s="537"/>
      <c r="ULY226" s="537"/>
      <c r="ULZ226" s="537"/>
      <c r="UMA226" s="537"/>
      <c r="UMB226" s="537"/>
      <c r="UMC226" s="537"/>
      <c r="UMD226" s="537"/>
      <c r="UME226" s="537"/>
      <c r="UMF226" s="537"/>
      <c r="UMG226" s="537"/>
      <c r="UMH226" s="537"/>
      <c r="UMI226" s="537"/>
      <c r="UMJ226" s="537"/>
      <c r="UMK226" s="537"/>
      <c r="UML226" s="537"/>
      <c r="UMM226" s="537"/>
      <c r="UMN226" s="537"/>
      <c r="UMO226" s="537"/>
      <c r="UMP226" s="537"/>
      <c r="UMQ226" s="537"/>
      <c r="UMR226" s="537"/>
      <c r="UMS226" s="537"/>
      <c r="UMT226" s="537"/>
      <c r="UMU226" s="537"/>
      <c r="UMV226" s="537"/>
      <c r="UMW226" s="537"/>
      <c r="UMX226" s="537"/>
      <c r="UMY226" s="537"/>
      <c r="UMZ226" s="537"/>
      <c r="UNA226" s="537"/>
      <c r="UNB226" s="537"/>
      <c r="UNC226" s="537"/>
      <c r="UND226" s="537"/>
      <c r="UNE226" s="537"/>
      <c r="UNF226" s="537"/>
      <c r="UNG226" s="537"/>
      <c r="UNH226" s="537"/>
      <c r="UNI226" s="537"/>
      <c r="UNJ226" s="537"/>
      <c r="UNK226" s="537"/>
      <c r="UNL226" s="537"/>
      <c r="UNM226" s="537"/>
      <c r="UNN226" s="537"/>
      <c r="UNO226" s="537"/>
      <c r="UNP226" s="537"/>
      <c r="UNQ226" s="537"/>
      <c r="UNR226" s="537"/>
      <c r="UNS226" s="537"/>
      <c r="UNT226" s="537"/>
      <c r="UNU226" s="537"/>
      <c r="UNV226" s="537"/>
      <c r="UNW226" s="537"/>
      <c r="UNX226" s="537"/>
      <c r="UNY226" s="537"/>
      <c r="UNZ226" s="537"/>
      <c r="UOA226" s="537"/>
      <c r="UOB226" s="537"/>
      <c r="UOC226" s="537"/>
      <c r="UOD226" s="537"/>
      <c r="UOE226" s="537"/>
      <c r="UOF226" s="537"/>
      <c r="UOG226" s="537"/>
      <c r="UOH226" s="537"/>
      <c r="UOI226" s="537"/>
      <c r="UOJ226" s="537"/>
      <c r="UOK226" s="537"/>
      <c r="UOL226" s="537"/>
      <c r="UOM226" s="537"/>
      <c r="UON226" s="537"/>
      <c r="UOO226" s="537"/>
      <c r="UOP226" s="537"/>
      <c r="UOQ226" s="537"/>
      <c r="UOR226" s="537"/>
      <c r="UOS226" s="537"/>
      <c r="UOT226" s="537"/>
      <c r="UOU226" s="537"/>
      <c r="UOV226" s="537"/>
      <c r="UOW226" s="537"/>
      <c r="UOX226" s="537"/>
      <c r="UOY226" s="537"/>
      <c r="UOZ226" s="537"/>
      <c r="UPA226" s="537"/>
      <c r="UPB226" s="537"/>
      <c r="UPC226" s="537"/>
      <c r="UPD226" s="537"/>
      <c r="UPE226" s="537"/>
      <c r="UPF226" s="537"/>
      <c r="UPG226" s="537"/>
      <c r="UPH226" s="537"/>
      <c r="UPI226" s="537"/>
      <c r="UPJ226" s="537"/>
      <c r="UPK226" s="537"/>
      <c r="UPL226" s="537"/>
      <c r="UPM226" s="537"/>
      <c r="UPN226" s="537"/>
      <c r="UPO226" s="537"/>
      <c r="UPP226" s="537"/>
      <c r="UPQ226" s="537"/>
      <c r="UPR226" s="537"/>
      <c r="UPS226" s="537"/>
      <c r="UPT226" s="537"/>
      <c r="UPU226" s="537"/>
      <c r="UPV226" s="537"/>
      <c r="UPW226" s="537"/>
      <c r="UPX226" s="537"/>
      <c r="UPY226" s="537"/>
      <c r="UPZ226" s="537"/>
      <c r="UQA226" s="537"/>
      <c r="UQB226" s="537"/>
      <c r="UQC226" s="537"/>
      <c r="UQD226" s="537"/>
      <c r="UQE226" s="537"/>
      <c r="UQF226" s="537"/>
      <c r="UQG226" s="537"/>
      <c r="UQH226" s="537"/>
      <c r="UQI226" s="537"/>
      <c r="UQJ226" s="537"/>
      <c r="UQK226" s="537"/>
      <c r="UQL226" s="537"/>
      <c r="UQM226" s="537"/>
      <c r="UQN226" s="537"/>
      <c r="UQO226" s="537"/>
      <c r="UQP226" s="537"/>
      <c r="UQQ226" s="537"/>
      <c r="UQR226" s="537"/>
      <c r="UQS226" s="537"/>
      <c r="UQT226" s="537"/>
      <c r="UQU226" s="537"/>
      <c r="UQV226" s="537"/>
      <c r="UQW226" s="537"/>
      <c r="UQX226" s="537"/>
      <c r="UQY226" s="537"/>
      <c r="UQZ226" s="537"/>
      <c r="URA226" s="537"/>
      <c r="URB226" s="537"/>
      <c r="URC226" s="537"/>
      <c r="URD226" s="537"/>
      <c r="URE226" s="537"/>
      <c r="URF226" s="537"/>
      <c r="URG226" s="537"/>
      <c r="URH226" s="537"/>
      <c r="URI226" s="537"/>
      <c r="URJ226" s="537"/>
      <c r="URK226" s="537"/>
      <c r="URL226" s="537"/>
      <c r="URM226" s="537"/>
      <c r="URN226" s="537"/>
      <c r="URO226" s="537"/>
      <c r="URP226" s="537"/>
      <c r="URQ226" s="537"/>
      <c r="URR226" s="537"/>
      <c r="URS226" s="537"/>
      <c r="URT226" s="537"/>
      <c r="URU226" s="537"/>
      <c r="URV226" s="537"/>
      <c r="URW226" s="537"/>
      <c r="URX226" s="537"/>
      <c r="URY226" s="537"/>
      <c r="URZ226" s="537"/>
      <c r="USA226" s="537"/>
      <c r="USB226" s="537"/>
      <c r="USC226" s="537"/>
      <c r="USD226" s="537"/>
      <c r="USE226" s="537"/>
      <c r="USF226" s="537"/>
      <c r="USG226" s="537"/>
      <c r="USH226" s="537"/>
      <c r="USI226" s="537"/>
      <c r="USJ226" s="537"/>
      <c r="USK226" s="537"/>
      <c r="USL226" s="537"/>
      <c r="USM226" s="537"/>
      <c r="USN226" s="537"/>
      <c r="USO226" s="537"/>
      <c r="USP226" s="537"/>
      <c r="USQ226" s="537"/>
      <c r="USR226" s="537"/>
      <c r="USS226" s="537"/>
      <c r="UST226" s="537"/>
      <c r="USU226" s="537"/>
      <c r="USV226" s="537"/>
      <c r="USW226" s="537"/>
      <c r="USX226" s="537"/>
      <c r="USY226" s="537"/>
      <c r="USZ226" s="537"/>
      <c r="UTA226" s="537"/>
      <c r="UTB226" s="537"/>
      <c r="UTC226" s="537"/>
      <c r="UTD226" s="537"/>
      <c r="UTE226" s="537"/>
      <c r="UTF226" s="537"/>
      <c r="UTG226" s="537"/>
      <c r="UTH226" s="537"/>
      <c r="UTI226" s="537"/>
      <c r="UTJ226" s="537"/>
      <c r="UTK226" s="537"/>
      <c r="UTL226" s="537"/>
      <c r="UTM226" s="537"/>
      <c r="UTN226" s="537"/>
      <c r="UTO226" s="537"/>
      <c r="UTP226" s="537"/>
      <c r="UTQ226" s="537"/>
      <c r="UTR226" s="537"/>
      <c r="UTS226" s="537"/>
      <c r="UTT226" s="537"/>
      <c r="UTU226" s="537"/>
      <c r="UTV226" s="537"/>
      <c r="UTW226" s="537"/>
      <c r="UTX226" s="537"/>
      <c r="UTY226" s="537"/>
      <c r="UTZ226" s="537"/>
      <c r="UUA226" s="537"/>
      <c r="UUB226" s="537"/>
      <c r="UUC226" s="537"/>
      <c r="UUD226" s="537"/>
      <c r="UUE226" s="537"/>
      <c r="UUF226" s="537"/>
      <c r="UUG226" s="537"/>
      <c r="UUH226" s="537"/>
      <c r="UUI226" s="537"/>
      <c r="UUJ226" s="537"/>
      <c r="UUK226" s="537"/>
      <c r="UUL226" s="537"/>
      <c r="UUM226" s="537"/>
      <c r="UUN226" s="537"/>
      <c r="UUO226" s="537"/>
      <c r="UUP226" s="537"/>
      <c r="UUQ226" s="537"/>
      <c r="UUR226" s="537"/>
      <c r="UUS226" s="537"/>
      <c r="UUT226" s="537"/>
      <c r="UUU226" s="537"/>
      <c r="UUV226" s="537"/>
      <c r="UUW226" s="537"/>
      <c r="UUX226" s="537"/>
      <c r="UUY226" s="537"/>
      <c r="UUZ226" s="537"/>
      <c r="UVA226" s="537"/>
      <c r="UVB226" s="537"/>
      <c r="UVC226" s="537"/>
      <c r="UVD226" s="537"/>
      <c r="UVE226" s="537"/>
      <c r="UVF226" s="537"/>
      <c r="UVG226" s="537"/>
      <c r="UVH226" s="537"/>
      <c r="UVI226" s="537"/>
      <c r="UVJ226" s="537"/>
      <c r="UVK226" s="537"/>
      <c r="UVL226" s="537"/>
      <c r="UVM226" s="537"/>
      <c r="UVN226" s="537"/>
      <c r="UVO226" s="537"/>
      <c r="UVP226" s="537"/>
      <c r="UVQ226" s="537"/>
      <c r="UVR226" s="537"/>
      <c r="UVS226" s="537"/>
      <c r="UVT226" s="537"/>
      <c r="UVU226" s="537"/>
      <c r="UVV226" s="537"/>
      <c r="UVW226" s="537"/>
      <c r="UVX226" s="537"/>
      <c r="UVY226" s="537"/>
      <c r="UVZ226" s="537"/>
      <c r="UWA226" s="537"/>
      <c r="UWB226" s="537"/>
      <c r="UWC226" s="537"/>
      <c r="UWD226" s="537"/>
      <c r="UWE226" s="537"/>
      <c r="UWF226" s="537"/>
      <c r="UWG226" s="537"/>
      <c r="UWH226" s="537"/>
      <c r="UWI226" s="537"/>
      <c r="UWJ226" s="537"/>
      <c r="UWK226" s="537"/>
      <c r="UWL226" s="537"/>
      <c r="UWM226" s="537"/>
      <c r="UWN226" s="537"/>
      <c r="UWO226" s="537"/>
      <c r="UWP226" s="537"/>
      <c r="UWQ226" s="537"/>
      <c r="UWR226" s="537"/>
      <c r="UWS226" s="537"/>
      <c r="UWT226" s="537"/>
      <c r="UWU226" s="537"/>
      <c r="UWV226" s="537"/>
      <c r="UWW226" s="537"/>
      <c r="UWX226" s="537"/>
      <c r="UWY226" s="537"/>
      <c r="UWZ226" s="537"/>
      <c r="UXA226" s="537"/>
      <c r="UXB226" s="537"/>
      <c r="UXC226" s="537"/>
      <c r="UXD226" s="537"/>
      <c r="UXE226" s="537"/>
      <c r="UXF226" s="537"/>
      <c r="UXG226" s="537"/>
      <c r="UXH226" s="537"/>
      <c r="UXI226" s="537"/>
      <c r="UXJ226" s="537"/>
      <c r="UXK226" s="537"/>
      <c r="UXL226" s="537"/>
      <c r="UXM226" s="537"/>
      <c r="UXN226" s="537"/>
      <c r="UXO226" s="537"/>
      <c r="UXP226" s="537"/>
      <c r="UXQ226" s="537"/>
      <c r="UXR226" s="537"/>
      <c r="UXS226" s="537"/>
      <c r="UXT226" s="537"/>
      <c r="UXU226" s="537"/>
      <c r="UXV226" s="537"/>
      <c r="UXW226" s="537"/>
      <c r="UXX226" s="537"/>
      <c r="UXY226" s="537"/>
      <c r="UXZ226" s="537"/>
      <c r="UYA226" s="537"/>
      <c r="UYB226" s="537"/>
      <c r="UYC226" s="537"/>
      <c r="UYD226" s="537"/>
      <c r="UYE226" s="537"/>
      <c r="UYF226" s="537"/>
      <c r="UYG226" s="537"/>
      <c r="UYH226" s="537"/>
      <c r="UYI226" s="537"/>
      <c r="UYJ226" s="537"/>
      <c r="UYK226" s="537"/>
      <c r="UYL226" s="537"/>
      <c r="UYM226" s="537"/>
      <c r="UYN226" s="537"/>
      <c r="UYO226" s="537"/>
      <c r="UYP226" s="537"/>
      <c r="UYQ226" s="537"/>
      <c r="UYR226" s="537"/>
      <c r="UYS226" s="537"/>
      <c r="UYT226" s="537"/>
      <c r="UYU226" s="537"/>
      <c r="UYV226" s="537"/>
      <c r="UYW226" s="537"/>
      <c r="UYX226" s="537"/>
      <c r="UYY226" s="537"/>
      <c r="UYZ226" s="537"/>
      <c r="UZA226" s="537"/>
      <c r="UZB226" s="537"/>
      <c r="UZC226" s="537"/>
      <c r="UZD226" s="537"/>
      <c r="UZE226" s="537"/>
      <c r="UZF226" s="537"/>
      <c r="UZG226" s="537"/>
      <c r="UZH226" s="537"/>
      <c r="UZI226" s="537"/>
      <c r="UZJ226" s="537"/>
      <c r="UZK226" s="537"/>
      <c r="UZL226" s="537"/>
      <c r="UZM226" s="537"/>
      <c r="UZN226" s="537"/>
      <c r="UZO226" s="537"/>
      <c r="UZP226" s="537"/>
      <c r="UZQ226" s="537"/>
      <c r="UZR226" s="537"/>
      <c r="UZS226" s="537"/>
      <c r="UZT226" s="537"/>
      <c r="UZU226" s="537"/>
      <c r="UZV226" s="537"/>
      <c r="UZW226" s="537"/>
      <c r="UZX226" s="537"/>
      <c r="UZY226" s="537"/>
      <c r="UZZ226" s="537"/>
      <c r="VAA226" s="537"/>
      <c r="VAB226" s="537"/>
      <c r="VAC226" s="537"/>
      <c r="VAD226" s="537"/>
      <c r="VAE226" s="537"/>
      <c r="VAF226" s="537"/>
      <c r="VAG226" s="537"/>
      <c r="VAH226" s="537"/>
      <c r="VAI226" s="537"/>
      <c r="VAJ226" s="537"/>
      <c r="VAK226" s="537"/>
      <c r="VAL226" s="537"/>
      <c r="VAM226" s="537"/>
      <c r="VAN226" s="537"/>
      <c r="VAO226" s="537"/>
      <c r="VAP226" s="537"/>
      <c r="VAQ226" s="537"/>
      <c r="VAR226" s="537"/>
      <c r="VAS226" s="537"/>
      <c r="VAT226" s="537"/>
      <c r="VAU226" s="537"/>
      <c r="VAV226" s="537"/>
      <c r="VAW226" s="537"/>
      <c r="VAX226" s="537"/>
      <c r="VAY226" s="537"/>
      <c r="VAZ226" s="537"/>
      <c r="VBA226" s="537"/>
      <c r="VBB226" s="537"/>
      <c r="VBC226" s="537"/>
      <c r="VBD226" s="537"/>
      <c r="VBE226" s="537"/>
      <c r="VBF226" s="537"/>
      <c r="VBG226" s="537"/>
      <c r="VBH226" s="537"/>
      <c r="VBI226" s="537"/>
      <c r="VBJ226" s="537"/>
      <c r="VBK226" s="537"/>
      <c r="VBL226" s="537"/>
      <c r="VBM226" s="537"/>
      <c r="VBN226" s="537"/>
      <c r="VBO226" s="537"/>
      <c r="VBP226" s="537"/>
      <c r="VBQ226" s="537"/>
      <c r="VBR226" s="537"/>
      <c r="VBS226" s="537"/>
      <c r="VBT226" s="537"/>
      <c r="VBU226" s="537"/>
      <c r="VBV226" s="537"/>
      <c r="VBW226" s="537"/>
      <c r="VBX226" s="537"/>
      <c r="VBY226" s="537"/>
      <c r="VBZ226" s="537"/>
      <c r="VCA226" s="537"/>
      <c r="VCB226" s="537"/>
      <c r="VCC226" s="537"/>
      <c r="VCD226" s="537"/>
      <c r="VCE226" s="537"/>
      <c r="VCF226" s="537"/>
      <c r="VCG226" s="537"/>
      <c r="VCH226" s="537"/>
      <c r="VCI226" s="537"/>
      <c r="VCJ226" s="537"/>
      <c r="VCK226" s="537"/>
      <c r="VCL226" s="537"/>
      <c r="VCM226" s="537"/>
      <c r="VCN226" s="537"/>
      <c r="VCO226" s="537"/>
      <c r="VCP226" s="537"/>
      <c r="VCQ226" s="537"/>
      <c r="VCR226" s="537"/>
      <c r="VCS226" s="537"/>
      <c r="VCT226" s="537"/>
      <c r="VCU226" s="537"/>
      <c r="VCV226" s="537"/>
      <c r="VCW226" s="537"/>
      <c r="VCX226" s="537"/>
      <c r="VCY226" s="537"/>
      <c r="VCZ226" s="537"/>
      <c r="VDA226" s="537"/>
      <c r="VDB226" s="537"/>
      <c r="VDC226" s="537"/>
      <c r="VDD226" s="537"/>
      <c r="VDE226" s="537"/>
      <c r="VDF226" s="537"/>
      <c r="VDG226" s="537"/>
      <c r="VDH226" s="537"/>
      <c r="VDI226" s="537"/>
      <c r="VDJ226" s="537"/>
      <c r="VDK226" s="537"/>
      <c r="VDL226" s="537"/>
      <c r="VDM226" s="537"/>
      <c r="VDN226" s="537"/>
      <c r="VDO226" s="537"/>
      <c r="VDP226" s="537"/>
      <c r="VDQ226" s="537"/>
      <c r="VDR226" s="537"/>
      <c r="VDS226" s="537"/>
      <c r="VDT226" s="537"/>
      <c r="VDU226" s="537"/>
      <c r="VDV226" s="537"/>
      <c r="VDW226" s="537"/>
      <c r="VDX226" s="537"/>
      <c r="VDY226" s="537"/>
      <c r="VDZ226" s="537"/>
      <c r="VEA226" s="537"/>
      <c r="VEB226" s="537"/>
      <c r="VEC226" s="537"/>
      <c r="VED226" s="537"/>
      <c r="VEE226" s="537"/>
      <c r="VEF226" s="537"/>
      <c r="VEG226" s="537"/>
      <c r="VEH226" s="537"/>
      <c r="VEI226" s="537"/>
      <c r="VEJ226" s="537"/>
      <c r="VEK226" s="537"/>
      <c r="VEL226" s="537"/>
      <c r="VEM226" s="537"/>
      <c r="VEN226" s="537"/>
      <c r="VEO226" s="537"/>
      <c r="VEP226" s="537"/>
      <c r="VEQ226" s="537"/>
      <c r="VER226" s="537"/>
      <c r="VES226" s="537"/>
      <c r="VET226" s="537"/>
      <c r="VEU226" s="537"/>
      <c r="VEV226" s="537"/>
      <c r="VEW226" s="537"/>
      <c r="VEX226" s="537"/>
      <c r="VEY226" s="537"/>
      <c r="VEZ226" s="537"/>
      <c r="VFA226" s="537"/>
      <c r="VFB226" s="537"/>
      <c r="VFC226" s="537"/>
      <c r="VFD226" s="537"/>
      <c r="VFE226" s="537"/>
      <c r="VFF226" s="537"/>
      <c r="VFG226" s="537"/>
      <c r="VFH226" s="537"/>
      <c r="VFI226" s="537"/>
      <c r="VFJ226" s="537"/>
      <c r="VFK226" s="537"/>
      <c r="VFL226" s="537"/>
      <c r="VFM226" s="537"/>
      <c r="VFN226" s="537"/>
      <c r="VFO226" s="537"/>
      <c r="VFP226" s="537"/>
      <c r="VFQ226" s="537"/>
      <c r="VFR226" s="537"/>
      <c r="VFS226" s="537"/>
      <c r="VFT226" s="537"/>
      <c r="VFU226" s="537"/>
      <c r="VFV226" s="537"/>
      <c r="VFW226" s="537"/>
      <c r="VFX226" s="537"/>
      <c r="VFY226" s="537"/>
      <c r="VFZ226" s="537"/>
      <c r="VGA226" s="537"/>
      <c r="VGB226" s="537"/>
      <c r="VGC226" s="537"/>
      <c r="VGD226" s="537"/>
      <c r="VGE226" s="537"/>
      <c r="VGF226" s="537"/>
      <c r="VGG226" s="537"/>
      <c r="VGH226" s="537"/>
      <c r="VGI226" s="537"/>
      <c r="VGJ226" s="537"/>
      <c r="VGK226" s="537"/>
      <c r="VGL226" s="537"/>
      <c r="VGM226" s="537"/>
      <c r="VGN226" s="537"/>
      <c r="VGO226" s="537"/>
      <c r="VGP226" s="537"/>
      <c r="VGQ226" s="537"/>
      <c r="VGR226" s="537"/>
      <c r="VGS226" s="537"/>
      <c r="VGT226" s="537"/>
      <c r="VGU226" s="537"/>
      <c r="VGV226" s="537"/>
      <c r="VGW226" s="537"/>
      <c r="VGX226" s="537"/>
      <c r="VGY226" s="537"/>
      <c r="VGZ226" s="537"/>
      <c r="VHA226" s="537"/>
      <c r="VHB226" s="537"/>
      <c r="VHC226" s="537"/>
      <c r="VHD226" s="537"/>
      <c r="VHE226" s="537"/>
      <c r="VHF226" s="537"/>
      <c r="VHG226" s="537"/>
      <c r="VHH226" s="537"/>
      <c r="VHI226" s="537"/>
      <c r="VHJ226" s="537"/>
      <c r="VHK226" s="537"/>
      <c r="VHL226" s="537"/>
      <c r="VHM226" s="537"/>
      <c r="VHN226" s="537"/>
      <c r="VHO226" s="537"/>
      <c r="VHP226" s="537"/>
      <c r="VHQ226" s="537"/>
      <c r="VHR226" s="537"/>
      <c r="VHS226" s="537"/>
      <c r="VHT226" s="537"/>
      <c r="VHU226" s="537"/>
      <c r="VHV226" s="537"/>
      <c r="VHW226" s="537"/>
      <c r="VHX226" s="537"/>
      <c r="VHY226" s="537"/>
      <c r="VHZ226" s="537"/>
      <c r="VIA226" s="537"/>
      <c r="VIB226" s="537"/>
      <c r="VIC226" s="537"/>
      <c r="VID226" s="537"/>
      <c r="VIE226" s="537"/>
      <c r="VIF226" s="537"/>
      <c r="VIG226" s="537"/>
      <c r="VIH226" s="537"/>
      <c r="VII226" s="537"/>
      <c r="VIJ226" s="537"/>
      <c r="VIK226" s="537"/>
      <c r="VIL226" s="537"/>
      <c r="VIM226" s="537"/>
      <c r="VIN226" s="537"/>
      <c r="VIO226" s="537"/>
      <c r="VIP226" s="537"/>
      <c r="VIQ226" s="537"/>
      <c r="VIR226" s="537"/>
      <c r="VIS226" s="537"/>
      <c r="VIT226" s="537"/>
      <c r="VIU226" s="537"/>
      <c r="VIV226" s="537"/>
      <c r="VIW226" s="537"/>
      <c r="VIX226" s="537"/>
      <c r="VIY226" s="537"/>
      <c r="VIZ226" s="537"/>
      <c r="VJA226" s="537"/>
      <c r="VJB226" s="537"/>
      <c r="VJC226" s="537"/>
      <c r="VJD226" s="537"/>
      <c r="VJE226" s="537"/>
      <c r="VJF226" s="537"/>
      <c r="VJG226" s="537"/>
      <c r="VJH226" s="537"/>
      <c r="VJI226" s="537"/>
      <c r="VJJ226" s="537"/>
      <c r="VJK226" s="537"/>
      <c r="VJL226" s="537"/>
      <c r="VJM226" s="537"/>
      <c r="VJN226" s="537"/>
      <c r="VJO226" s="537"/>
      <c r="VJP226" s="537"/>
      <c r="VJQ226" s="537"/>
      <c r="VJR226" s="537"/>
      <c r="VJS226" s="537"/>
      <c r="VJT226" s="537"/>
      <c r="VJU226" s="537"/>
      <c r="VJV226" s="537"/>
      <c r="VJW226" s="537"/>
      <c r="VJX226" s="537"/>
      <c r="VJY226" s="537"/>
      <c r="VJZ226" s="537"/>
      <c r="VKA226" s="537"/>
      <c r="VKB226" s="537"/>
      <c r="VKC226" s="537"/>
      <c r="VKD226" s="537"/>
      <c r="VKE226" s="537"/>
      <c r="VKF226" s="537"/>
      <c r="VKG226" s="537"/>
      <c r="VKH226" s="537"/>
      <c r="VKI226" s="537"/>
      <c r="VKJ226" s="537"/>
      <c r="VKK226" s="537"/>
      <c r="VKL226" s="537"/>
      <c r="VKM226" s="537"/>
      <c r="VKN226" s="537"/>
      <c r="VKO226" s="537"/>
      <c r="VKP226" s="537"/>
      <c r="VKQ226" s="537"/>
      <c r="VKR226" s="537"/>
      <c r="VKS226" s="537"/>
      <c r="VKT226" s="537"/>
      <c r="VKU226" s="537"/>
      <c r="VKV226" s="537"/>
      <c r="VKW226" s="537"/>
      <c r="VKX226" s="537"/>
      <c r="VKY226" s="537"/>
      <c r="VKZ226" s="537"/>
      <c r="VLA226" s="537"/>
      <c r="VLB226" s="537"/>
      <c r="VLC226" s="537"/>
      <c r="VLD226" s="537"/>
      <c r="VLE226" s="537"/>
      <c r="VLF226" s="537"/>
      <c r="VLG226" s="537"/>
      <c r="VLH226" s="537"/>
      <c r="VLI226" s="537"/>
      <c r="VLJ226" s="537"/>
      <c r="VLK226" s="537"/>
      <c r="VLL226" s="537"/>
      <c r="VLM226" s="537"/>
      <c r="VLN226" s="537"/>
      <c r="VLO226" s="537"/>
      <c r="VLP226" s="537"/>
      <c r="VLQ226" s="537"/>
      <c r="VLR226" s="537"/>
      <c r="VLS226" s="537"/>
      <c r="VLT226" s="537"/>
      <c r="VLU226" s="537"/>
      <c r="VLV226" s="537"/>
      <c r="VLW226" s="537"/>
      <c r="VLX226" s="537"/>
      <c r="VLY226" s="537"/>
      <c r="VLZ226" s="537"/>
      <c r="VMA226" s="537"/>
      <c r="VMB226" s="537"/>
      <c r="VMC226" s="537"/>
      <c r="VMD226" s="537"/>
      <c r="VME226" s="537"/>
      <c r="VMF226" s="537"/>
      <c r="VMG226" s="537"/>
      <c r="VMH226" s="537"/>
      <c r="VMI226" s="537"/>
      <c r="VMJ226" s="537"/>
      <c r="VMK226" s="537"/>
      <c r="VML226" s="537"/>
      <c r="VMM226" s="537"/>
      <c r="VMN226" s="537"/>
      <c r="VMO226" s="537"/>
      <c r="VMP226" s="537"/>
      <c r="VMQ226" s="537"/>
      <c r="VMR226" s="537"/>
      <c r="VMS226" s="537"/>
      <c r="VMT226" s="537"/>
      <c r="VMU226" s="537"/>
      <c r="VMV226" s="537"/>
      <c r="VMW226" s="537"/>
      <c r="VMX226" s="537"/>
      <c r="VMY226" s="537"/>
      <c r="VMZ226" s="537"/>
      <c r="VNA226" s="537"/>
      <c r="VNB226" s="537"/>
      <c r="VNC226" s="537"/>
      <c r="VND226" s="537"/>
      <c r="VNE226" s="537"/>
      <c r="VNF226" s="537"/>
      <c r="VNG226" s="537"/>
      <c r="VNH226" s="537"/>
      <c r="VNI226" s="537"/>
      <c r="VNJ226" s="537"/>
      <c r="VNK226" s="537"/>
      <c r="VNL226" s="537"/>
      <c r="VNM226" s="537"/>
      <c r="VNN226" s="537"/>
      <c r="VNO226" s="537"/>
      <c r="VNP226" s="537"/>
      <c r="VNQ226" s="537"/>
      <c r="VNR226" s="537"/>
      <c r="VNS226" s="537"/>
      <c r="VNT226" s="537"/>
      <c r="VNU226" s="537"/>
      <c r="VNV226" s="537"/>
      <c r="VNW226" s="537"/>
      <c r="VNX226" s="537"/>
      <c r="VNY226" s="537"/>
      <c r="VNZ226" s="537"/>
      <c r="VOA226" s="537"/>
      <c r="VOB226" s="537"/>
      <c r="VOC226" s="537"/>
      <c r="VOD226" s="537"/>
      <c r="VOE226" s="537"/>
      <c r="VOF226" s="537"/>
      <c r="VOG226" s="537"/>
      <c r="VOH226" s="537"/>
      <c r="VOI226" s="537"/>
      <c r="VOJ226" s="537"/>
      <c r="VOK226" s="537"/>
      <c r="VOL226" s="537"/>
      <c r="VOM226" s="537"/>
      <c r="VON226" s="537"/>
      <c r="VOO226" s="537"/>
      <c r="VOP226" s="537"/>
      <c r="VOQ226" s="537"/>
      <c r="VOR226" s="537"/>
      <c r="VOS226" s="537"/>
      <c r="VOT226" s="537"/>
      <c r="VOU226" s="537"/>
      <c r="VOV226" s="537"/>
      <c r="VOW226" s="537"/>
      <c r="VOX226" s="537"/>
      <c r="VOY226" s="537"/>
      <c r="VOZ226" s="537"/>
      <c r="VPA226" s="537"/>
      <c r="VPB226" s="537"/>
      <c r="VPC226" s="537"/>
      <c r="VPD226" s="537"/>
      <c r="VPE226" s="537"/>
      <c r="VPF226" s="537"/>
      <c r="VPG226" s="537"/>
      <c r="VPH226" s="537"/>
      <c r="VPI226" s="537"/>
      <c r="VPJ226" s="537"/>
      <c r="VPK226" s="537"/>
      <c r="VPL226" s="537"/>
      <c r="VPM226" s="537"/>
      <c r="VPN226" s="537"/>
      <c r="VPO226" s="537"/>
      <c r="VPP226" s="537"/>
      <c r="VPQ226" s="537"/>
      <c r="VPR226" s="537"/>
      <c r="VPS226" s="537"/>
      <c r="VPT226" s="537"/>
      <c r="VPU226" s="537"/>
      <c r="VPV226" s="537"/>
      <c r="VPW226" s="537"/>
      <c r="VPX226" s="537"/>
      <c r="VPY226" s="537"/>
      <c r="VPZ226" s="537"/>
      <c r="VQA226" s="537"/>
      <c r="VQB226" s="537"/>
      <c r="VQC226" s="537"/>
      <c r="VQD226" s="537"/>
      <c r="VQE226" s="537"/>
      <c r="VQF226" s="537"/>
      <c r="VQG226" s="537"/>
      <c r="VQH226" s="537"/>
      <c r="VQI226" s="537"/>
      <c r="VQJ226" s="537"/>
      <c r="VQK226" s="537"/>
      <c r="VQL226" s="537"/>
      <c r="VQM226" s="537"/>
      <c r="VQN226" s="537"/>
      <c r="VQO226" s="537"/>
      <c r="VQP226" s="537"/>
      <c r="VQQ226" s="537"/>
      <c r="VQR226" s="537"/>
      <c r="VQS226" s="537"/>
      <c r="VQT226" s="537"/>
      <c r="VQU226" s="537"/>
      <c r="VQV226" s="537"/>
      <c r="VQW226" s="537"/>
      <c r="VQX226" s="537"/>
      <c r="VQY226" s="537"/>
      <c r="VQZ226" s="537"/>
      <c r="VRA226" s="537"/>
      <c r="VRB226" s="537"/>
      <c r="VRC226" s="537"/>
      <c r="VRD226" s="537"/>
      <c r="VRE226" s="537"/>
      <c r="VRF226" s="537"/>
      <c r="VRG226" s="537"/>
      <c r="VRH226" s="537"/>
      <c r="VRI226" s="537"/>
      <c r="VRJ226" s="537"/>
      <c r="VRK226" s="537"/>
      <c r="VRL226" s="537"/>
      <c r="VRM226" s="537"/>
      <c r="VRN226" s="537"/>
      <c r="VRO226" s="537"/>
      <c r="VRP226" s="537"/>
      <c r="VRQ226" s="537"/>
      <c r="VRR226" s="537"/>
      <c r="VRS226" s="537"/>
      <c r="VRT226" s="537"/>
      <c r="VRU226" s="537"/>
      <c r="VRV226" s="537"/>
      <c r="VRW226" s="537"/>
      <c r="VRX226" s="537"/>
      <c r="VRY226" s="537"/>
      <c r="VRZ226" s="537"/>
      <c r="VSA226" s="537"/>
      <c r="VSB226" s="537"/>
      <c r="VSC226" s="537"/>
      <c r="VSD226" s="537"/>
      <c r="VSE226" s="537"/>
      <c r="VSF226" s="537"/>
      <c r="VSG226" s="537"/>
      <c r="VSH226" s="537"/>
      <c r="VSI226" s="537"/>
      <c r="VSJ226" s="537"/>
      <c r="VSK226" s="537"/>
      <c r="VSL226" s="537"/>
      <c r="VSM226" s="537"/>
      <c r="VSN226" s="537"/>
      <c r="VSO226" s="537"/>
      <c r="VSP226" s="537"/>
      <c r="VSQ226" s="537"/>
      <c r="VSR226" s="537"/>
      <c r="VSS226" s="537"/>
      <c r="VST226" s="537"/>
      <c r="VSU226" s="537"/>
      <c r="VSV226" s="537"/>
      <c r="VSW226" s="537"/>
      <c r="VSX226" s="537"/>
      <c r="VSY226" s="537"/>
      <c r="VSZ226" s="537"/>
      <c r="VTA226" s="537"/>
      <c r="VTB226" s="537"/>
      <c r="VTC226" s="537"/>
      <c r="VTD226" s="537"/>
      <c r="VTE226" s="537"/>
      <c r="VTF226" s="537"/>
      <c r="VTG226" s="537"/>
      <c r="VTH226" s="537"/>
      <c r="VTI226" s="537"/>
      <c r="VTJ226" s="537"/>
      <c r="VTK226" s="537"/>
      <c r="VTL226" s="537"/>
      <c r="VTM226" s="537"/>
      <c r="VTN226" s="537"/>
      <c r="VTO226" s="537"/>
      <c r="VTP226" s="537"/>
      <c r="VTQ226" s="537"/>
      <c r="VTR226" s="537"/>
      <c r="VTS226" s="537"/>
      <c r="VTT226" s="537"/>
      <c r="VTU226" s="537"/>
      <c r="VTV226" s="537"/>
      <c r="VTW226" s="537"/>
      <c r="VTX226" s="537"/>
      <c r="VTY226" s="537"/>
      <c r="VTZ226" s="537"/>
      <c r="VUA226" s="537"/>
      <c r="VUB226" s="537"/>
      <c r="VUC226" s="537"/>
      <c r="VUD226" s="537"/>
      <c r="VUE226" s="537"/>
      <c r="VUF226" s="537"/>
      <c r="VUG226" s="537"/>
      <c r="VUH226" s="537"/>
      <c r="VUI226" s="537"/>
      <c r="VUJ226" s="537"/>
      <c r="VUK226" s="537"/>
      <c r="VUL226" s="537"/>
      <c r="VUM226" s="537"/>
      <c r="VUN226" s="537"/>
      <c r="VUO226" s="537"/>
      <c r="VUP226" s="537"/>
      <c r="VUQ226" s="537"/>
      <c r="VUR226" s="537"/>
      <c r="VUS226" s="537"/>
      <c r="VUT226" s="537"/>
      <c r="VUU226" s="537"/>
      <c r="VUV226" s="537"/>
      <c r="VUW226" s="537"/>
      <c r="VUX226" s="537"/>
      <c r="VUY226" s="537"/>
      <c r="VUZ226" s="537"/>
      <c r="VVA226" s="537"/>
      <c r="VVB226" s="537"/>
      <c r="VVC226" s="537"/>
      <c r="VVD226" s="537"/>
      <c r="VVE226" s="537"/>
      <c r="VVF226" s="537"/>
      <c r="VVG226" s="537"/>
      <c r="VVH226" s="537"/>
      <c r="VVI226" s="537"/>
      <c r="VVJ226" s="537"/>
      <c r="VVK226" s="537"/>
      <c r="VVL226" s="537"/>
      <c r="VVM226" s="537"/>
      <c r="VVN226" s="537"/>
      <c r="VVO226" s="537"/>
      <c r="VVP226" s="537"/>
      <c r="VVQ226" s="537"/>
      <c r="VVR226" s="537"/>
      <c r="VVS226" s="537"/>
      <c r="VVT226" s="537"/>
      <c r="VVU226" s="537"/>
      <c r="VVV226" s="537"/>
      <c r="VVW226" s="537"/>
      <c r="VVX226" s="537"/>
      <c r="VVY226" s="537"/>
      <c r="VVZ226" s="537"/>
      <c r="VWA226" s="537"/>
      <c r="VWB226" s="537"/>
      <c r="VWC226" s="537"/>
      <c r="VWD226" s="537"/>
      <c r="VWE226" s="537"/>
      <c r="VWF226" s="537"/>
      <c r="VWG226" s="537"/>
      <c r="VWH226" s="537"/>
      <c r="VWI226" s="537"/>
      <c r="VWJ226" s="537"/>
      <c r="VWK226" s="537"/>
      <c r="VWL226" s="537"/>
      <c r="VWM226" s="537"/>
      <c r="VWN226" s="537"/>
      <c r="VWO226" s="537"/>
      <c r="VWP226" s="537"/>
      <c r="VWQ226" s="537"/>
      <c r="VWR226" s="537"/>
      <c r="VWS226" s="537"/>
      <c r="VWT226" s="537"/>
      <c r="VWU226" s="537"/>
      <c r="VWV226" s="537"/>
      <c r="VWW226" s="537"/>
      <c r="VWX226" s="537"/>
      <c r="VWY226" s="537"/>
      <c r="VWZ226" s="537"/>
      <c r="VXA226" s="537"/>
      <c r="VXB226" s="537"/>
      <c r="VXC226" s="537"/>
      <c r="VXD226" s="537"/>
      <c r="VXE226" s="537"/>
      <c r="VXF226" s="537"/>
      <c r="VXG226" s="537"/>
      <c r="VXH226" s="537"/>
      <c r="VXI226" s="537"/>
      <c r="VXJ226" s="537"/>
      <c r="VXK226" s="537"/>
      <c r="VXL226" s="537"/>
      <c r="VXM226" s="537"/>
      <c r="VXN226" s="537"/>
      <c r="VXO226" s="537"/>
      <c r="VXP226" s="537"/>
      <c r="VXQ226" s="537"/>
      <c r="VXR226" s="537"/>
      <c r="VXS226" s="537"/>
      <c r="VXT226" s="537"/>
      <c r="VXU226" s="537"/>
      <c r="VXV226" s="537"/>
      <c r="VXW226" s="537"/>
      <c r="VXX226" s="537"/>
      <c r="VXY226" s="537"/>
      <c r="VXZ226" s="537"/>
      <c r="VYA226" s="537"/>
      <c r="VYB226" s="537"/>
      <c r="VYC226" s="537"/>
      <c r="VYD226" s="537"/>
      <c r="VYE226" s="537"/>
      <c r="VYF226" s="537"/>
      <c r="VYG226" s="537"/>
      <c r="VYH226" s="537"/>
      <c r="VYI226" s="537"/>
      <c r="VYJ226" s="537"/>
      <c r="VYK226" s="537"/>
      <c r="VYL226" s="537"/>
      <c r="VYM226" s="537"/>
      <c r="VYN226" s="537"/>
      <c r="VYO226" s="537"/>
      <c r="VYP226" s="537"/>
      <c r="VYQ226" s="537"/>
      <c r="VYR226" s="537"/>
      <c r="VYS226" s="537"/>
      <c r="VYT226" s="537"/>
      <c r="VYU226" s="537"/>
      <c r="VYV226" s="537"/>
      <c r="VYW226" s="537"/>
      <c r="VYX226" s="537"/>
      <c r="VYY226" s="537"/>
      <c r="VYZ226" s="537"/>
      <c r="VZA226" s="537"/>
      <c r="VZB226" s="537"/>
      <c r="VZC226" s="537"/>
      <c r="VZD226" s="537"/>
      <c r="VZE226" s="537"/>
      <c r="VZF226" s="537"/>
      <c r="VZG226" s="537"/>
      <c r="VZH226" s="537"/>
      <c r="VZI226" s="537"/>
      <c r="VZJ226" s="537"/>
      <c r="VZK226" s="537"/>
      <c r="VZL226" s="537"/>
      <c r="VZM226" s="537"/>
      <c r="VZN226" s="537"/>
      <c r="VZO226" s="537"/>
      <c r="VZP226" s="537"/>
      <c r="VZQ226" s="537"/>
      <c r="VZR226" s="537"/>
      <c r="VZS226" s="537"/>
      <c r="VZT226" s="537"/>
      <c r="VZU226" s="537"/>
      <c r="VZV226" s="537"/>
      <c r="VZW226" s="537"/>
      <c r="VZX226" s="537"/>
      <c r="VZY226" s="537"/>
      <c r="VZZ226" s="537"/>
      <c r="WAA226" s="537"/>
      <c r="WAB226" s="537"/>
      <c r="WAC226" s="537"/>
      <c r="WAD226" s="537"/>
      <c r="WAE226" s="537"/>
      <c r="WAF226" s="537"/>
      <c r="WAG226" s="537"/>
      <c r="WAH226" s="537"/>
      <c r="WAI226" s="537"/>
      <c r="WAJ226" s="537"/>
      <c r="WAK226" s="537"/>
      <c r="WAL226" s="537"/>
      <c r="WAM226" s="537"/>
      <c r="WAN226" s="537"/>
      <c r="WAO226" s="537"/>
      <c r="WAP226" s="537"/>
      <c r="WAQ226" s="537"/>
      <c r="WAR226" s="537"/>
      <c r="WAS226" s="537"/>
      <c r="WAT226" s="537"/>
      <c r="WAU226" s="537"/>
      <c r="WAV226" s="537"/>
      <c r="WAW226" s="537"/>
      <c r="WAX226" s="537"/>
      <c r="WAY226" s="537"/>
      <c r="WAZ226" s="537"/>
      <c r="WBA226" s="537"/>
      <c r="WBB226" s="537"/>
      <c r="WBC226" s="537"/>
      <c r="WBD226" s="537"/>
      <c r="WBE226" s="537"/>
      <c r="WBF226" s="537"/>
      <c r="WBG226" s="537"/>
      <c r="WBH226" s="537"/>
      <c r="WBI226" s="537"/>
      <c r="WBJ226" s="537"/>
      <c r="WBK226" s="537"/>
      <c r="WBL226" s="537"/>
      <c r="WBM226" s="537"/>
      <c r="WBN226" s="537"/>
      <c r="WBO226" s="537"/>
      <c r="WBP226" s="537"/>
      <c r="WBQ226" s="537"/>
      <c r="WBR226" s="537"/>
      <c r="WBS226" s="537"/>
      <c r="WBT226" s="537"/>
      <c r="WBU226" s="537"/>
      <c r="WBV226" s="537"/>
      <c r="WBW226" s="537"/>
      <c r="WBX226" s="537"/>
      <c r="WBY226" s="537"/>
      <c r="WBZ226" s="537"/>
      <c r="WCA226" s="537"/>
      <c r="WCB226" s="537"/>
      <c r="WCC226" s="537"/>
      <c r="WCD226" s="537"/>
      <c r="WCE226" s="537"/>
      <c r="WCF226" s="537"/>
      <c r="WCG226" s="537"/>
      <c r="WCH226" s="537"/>
      <c r="WCI226" s="537"/>
      <c r="WCJ226" s="537"/>
      <c r="WCK226" s="537"/>
      <c r="WCL226" s="537"/>
      <c r="WCM226" s="537"/>
      <c r="WCN226" s="537"/>
      <c r="WCO226" s="537"/>
      <c r="WCP226" s="537"/>
      <c r="WCQ226" s="537"/>
      <c r="WCR226" s="537"/>
      <c r="WCS226" s="537"/>
      <c r="WCT226" s="537"/>
      <c r="WCU226" s="537"/>
      <c r="WCV226" s="537"/>
      <c r="WCW226" s="537"/>
      <c r="WCX226" s="537"/>
      <c r="WCY226" s="537"/>
      <c r="WCZ226" s="537"/>
      <c r="WDA226" s="537"/>
      <c r="WDB226" s="537"/>
      <c r="WDC226" s="537"/>
      <c r="WDD226" s="537"/>
      <c r="WDE226" s="537"/>
      <c r="WDF226" s="537"/>
      <c r="WDG226" s="537"/>
      <c r="WDH226" s="537"/>
      <c r="WDI226" s="537"/>
      <c r="WDJ226" s="537"/>
      <c r="WDK226" s="537"/>
      <c r="WDL226" s="537"/>
      <c r="WDM226" s="537"/>
      <c r="WDN226" s="537"/>
      <c r="WDO226" s="537"/>
      <c r="WDP226" s="537"/>
      <c r="WDQ226" s="537"/>
      <c r="WDR226" s="537"/>
      <c r="WDS226" s="537"/>
      <c r="WDT226" s="537"/>
      <c r="WDU226" s="537"/>
      <c r="WDV226" s="537"/>
      <c r="WDW226" s="537"/>
      <c r="WDX226" s="537"/>
      <c r="WDY226" s="537"/>
      <c r="WDZ226" s="537"/>
      <c r="WEA226" s="537"/>
      <c r="WEB226" s="537"/>
      <c r="WEC226" s="537"/>
      <c r="WED226" s="537"/>
      <c r="WEE226" s="537"/>
      <c r="WEF226" s="537"/>
      <c r="WEG226" s="537"/>
      <c r="WEH226" s="537"/>
      <c r="WEI226" s="537"/>
      <c r="WEJ226" s="537"/>
      <c r="WEK226" s="537"/>
      <c r="WEL226" s="537"/>
      <c r="WEM226" s="537"/>
      <c r="WEN226" s="537"/>
      <c r="WEO226" s="537"/>
      <c r="WEP226" s="537"/>
      <c r="WEQ226" s="537"/>
      <c r="WER226" s="537"/>
      <c r="WES226" s="537"/>
      <c r="WET226" s="537"/>
      <c r="WEU226" s="537"/>
      <c r="WEV226" s="537"/>
      <c r="WEW226" s="537"/>
      <c r="WEX226" s="537"/>
      <c r="WEY226" s="537"/>
      <c r="WEZ226" s="537"/>
      <c r="WFA226" s="537"/>
      <c r="WFB226" s="537"/>
      <c r="WFC226" s="537"/>
      <c r="WFD226" s="537"/>
      <c r="WFE226" s="537"/>
      <c r="WFF226" s="537"/>
      <c r="WFG226" s="537"/>
      <c r="WFH226" s="537"/>
      <c r="WFI226" s="537"/>
      <c r="WFJ226" s="537"/>
      <c r="WFK226" s="537"/>
      <c r="WFL226" s="537"/>
      <c r="WFM226" s="537"/>
      <c r="WFN226" s="537"/>
      <c r="WFO226" s="537"/>
      <c r="WFP226" s="537"/>
      <c r="WFQ226" s="537"/>
      <c r="WFR226" s="537"/>
      <c r="WFS226" s="537"/>
      <c r="WFT226" s="537"/>
      <c r="WFU226" s="537"/>
      <c r="WFV226" s="537"/>
      <c r="WFW226" s="537"/>
      <c r="WFX226" s="537"/>
      <c r="WFY226" s="537"/>
      <c r="WFZ226" s="537"/>
      <c r="WGA226" s="537"/>
      <c r="WGB226" s="537"/>
      <c r="WGC226" s="537"/>
      <c r="WGD226" s="537"/>
      <c r="WGE226" s="537"/>
      <c r="WGF226" s="537"/>
      <c r="WGG226" s="537"/>
      <c r="WGH226" s="537"/>
      <c r="WGI226" s="537"/>
      <c r="WGJ226" s="537"/>
      <c r="WGK226" s="537"/>
      <c r="WGL226" s="537"/>
      <c r="WGM226" s="537"/>
      <c r="WGN226" s="537"/>
      <c r="WGO226" s="537"/>
      <c r="WGP226" s="537"/>
      <c r="WGQ226" s="537"/>
      <c r="WGR226" s="537"/>
      <c r="WGS226" s="537"/>
      <c r="WGT226" s="537"/>
      <c r="WGU226" s="537"/>
      <c r="WGV226" s="537"/>
      <c r="WGW226" s="537"/>
      <c r="WGX226" s="537"/>
      <c r="WGY226" s="537"/>
      <c r="WGZ226" s="537"/>
      <c r="WHA226" s="537"/>
      <c r="WHB226" s="537"/>
      <c r="WHC226" s="537"/>
      <c r="WHD226" s="537"/>
      <c r="WHE226" s="537"/>
      <c r="WHF226" s="537"/>
      <c r="WHG226" s="537"/>
      <c r="WHH226" s="537"/>
      <c r="WHI226" s="537"/>
      <c r="WHJ226" s="537"/>
      <c r="WHK226" s="537"/>
      <c r="WHL226" s="537"/>
      <c r="WHM226" s="537"/>
      <c r="WHN226" s="537"/>
      <c r="WHO226" s="537"/>
      <c r="WHP226" s="537"/>
      <c r="WHQ226" s="537"/>
      <c r="WHR226" s="537"/>
      <c r="WHS226" s="537"/>
      <c r="WHT226" s="537"/>
      <c r="WHU226" s="537"/>
      <c r="WHV226" s="537"/>
      <c r="WHW226" s="537"/>
      <c r="WHX226" s="537"/>
      <c r="WHY226" s="537"/>
      <c r="WHZ226" s="537"/>
      <c r="WIA226" s="537"/>
      <c r="WIB226" s="537"/>
      <c r="WIC226" s="537"/>
      <c r="WID226" s="537"/>
      <c r="WIE226" s="537"/>
      <c r="WIF226" s="537"/>
      <c r="WIG226" s="537"/>
      <c r="WIH226" s="537"/>
      <c r="WII226" s="537"/>
      <c r="WIJ226" s="537"/>
      <c r="WIK226" s="537"/>
      <c r="WIL226" s="537"/>
      <c r="WIM226" s="537"/>
      <c r="WIN226" s="537"/>
      <c r="WIO226" s="537"/>
      <c r="WIP226" s="537"/>
      <c r="WIQ226" s="537"/>
      <c r="WIR226" s="537"/>
      <c r="WIS226" s="537"/>
      <c r="WIT226" s="537"/>
      <c r="WIU226" s="537"/>
      <c r="WIV226" s="537"/>
      <c r="WIW226" s="537"/>
      <c r="WIX226" s="537"/>
      <c r="WIY226" s="537"/>
      <c r="WIZ226" s="537"/>
      <c r="WJA226" s="537"/>
      <c r="WJB226" s="537"/>
      <c r="WJC226" s="537"/>
      <c r="WJD226" s="537"/>
      <c r="WJE226" s="537"/>
      <c r="WJF226" s="537"/>
      <c r="WJG226" s="537"/>
      <c r="WJH226" s="537"/>
      <c r="WJI226" s="537"/>
      <c r="WJJ226" s="537"/>
      <c r="WJK226" s="537"/>
      <c r="WJL226" s="537"/>
      <c r="WJM226" s="537"/>
      <c r="WJN226" s="537"/>
      <c r="WJO226" s="537"/>
      <c r="WJP226" s="537"/>
      <c r="WJQ226" s="537"/>
      <c r="WJR226" s="537"/>
      <c r="WJS226" s="537"/>
      <c r="WJT226" s="537"/>
      <c r="WJU226" s="537"/>
      <c r="WJV226" s="537"/>
      <c r="WJW226" s="537"/>
      <c r="WJX226" s="537"/>
      <c r="WJY226" s="537"/>
      <c r="WJZ226" s="537"/>
      <c r="WKA226" s="537"/>
      <c r="WKB226" s="537"/>
      <c r="WKC226" s="537"/>
      <c r="WKD226" s="537"/>
      <c r="WKE226" s="537"/>
      <c r="WKF226" s="537"/>
      <c r="WKG226" s="537"/>
      <c r="WKH226" s="537"/>
      <c r="WKI226" s="537"/>
      <c r="WKJ226" s="537"/>
      <c r="WKK226" s="537"/>
      <c r="WKL226" s="537"/>
      <c r="WKM226" s="537"/>
      <c r="WKN226" s="537"/>
      <c r="WKO226" s="537"/>
      <c r="WKP226" s="537"/>
      <c r="WKQ226" s="537"/>
      <c r="WKR226" s="537"/>
      <c r="WKS226" s="537"/>
      <c r="WKT226" s="537"/>
      <c r="WKU226" s="537"/>
      <c r="WKV226" s="537"/>
      <c r="WKW226" s="537"/>
      <c r="WKX226" s="537"/>
      <c r="WKY226" s="537"/>
      <c r="WKZ226" s="537"/>
      <c r="WLA226" s="537"/>
      <c r="WLB226" s="537"/>
      <c r="WLC226" s="537"/>
      <c r="WLD226" s="537"/>
      <c r="WLE226" s="537"/>
      <c r="WLF226" s="537"/>
      <c r="WLG226" s="537"/>
      <c r="WLH226" s="537"/>
      <c r="WLI226" s="537"/>
      <c r="WLJ226" s="537"/>
      <c r="WLK226" s="537"/>
      <c r="WLL226" s="537"/>
      <c r="WLM226" s="537"/>
      <c r="WLN226" s="537"/>
      <c r="WLO226" s="537"/>
      <c r="WLP226" s="537"/>
      <c r="WLQ226" s="537"/>
      <c r="WLR226" s="537"/>
      <c r="WLS226" s="537"/>
      <c r="WLT226" s="537"/>
      <c r="WLU226" s="537"/>
      <c r="WLV226" s="537"/>
      <c r="WLW226" s="537"/>
      <c r="WLX226" s="537"/>
      <c r="WLY226" s="537"/>
      <c r="WLZ226" s="537"/>
      <c r="WMA226" s="537"/>
      <c r="WMB226" s="537"/>
      <c r="WMC226" s="537"/>
      <c r="WMD226" s="537"/>
      <c r="WME226" s="537"/>
      <c r="WMF226" s="537"/>
      <c r="WMG226" s="537"/>
      <c r="WMH226" s="537"/>
      <c r="WMI226" s="537"/>
      <c r="WMJ226" s="537"/>
      <c r="WMK226" s="537"/>
      <c r="WML226" s="537"/>
      <c r="WMM226" s="537"/>
      <c r="WMN226" s="537"/>
      <c r="WMO226" s="537"/>
      <c r="WMP226" s="537"/>
      <c r="WMQ226" s="537"/>
      <c r="WMR226" s="537"/>
      <c r="WMS226" s="537"/>
      <c r="WMT226" s="537"/>
      <c r="WMU226" s="537"/>
      <c r="WMV226" s="537"/>
      <c r="WMW226" s="537"/>
      <c r="WMX226" s="537"/>
      <c r="WMY226" s="537"/>
      <c r="WMZ226" s="537"/>
      <c r="WNA226" s="537"/>
      <c r="WNB226" s="537"/>
      <c r="WNC226" s="537"/>
      <c r="WND226" s="537"/>
      <c r="WNE226" s="537"/>
      <c r="WNF226" s="537"/>
      <c r="WNG226" s="537"/>
      <c r="WNH226" s="537"/>
      <c r="WNI226" s="537"/>
      <c r="WNJ226" s="537"/>
      <c r="WNK226" s="537"/>
      <c r="WNL226" s="537"/>
      <c r="WNM226" s="537"/>
      <c r="WNN226" s="537"/>
      <c r="WNO226" s="537"/>
      <c r="WNP226" s="537"/>
      <c r="WNQ226" s="537"/>
      <c r="WNR226" s="537"/>
      <c r="WNS226" s="537"/>
      <c r="WNT226" s="537"/>
      <c r="WNU226" s="537"/>
      <c r="WNV226" s="537"/>
      <c r="WNW226" s="537"/>
      <c r="WNX226" s="537"/>
      <c r="WNY226" s="537"/>
      <c r="WNZ226" s="537"/>
      <c r="WOA226" s="537"/>
      <c r="WOB226" s="537"/>
      <c r="WOC226" s="537"/>
      <c r="WOD226" s="537"/>
      <c r="WOE226" s="537"/>
      <c r="WOF226" s="537"/>
      <c r="WOG226" s="537"/>
      <c r="WOH226" s="537"/>
      <c r="WOI226" s="537"/>
      <c r="WOJ226" s="537"/>
      <c r="WOK226" s="537"/>
      <c r="WOL226" s="537"/>
      <c r="WOM226" s="537"/>
      <c r="WON226" s="537"/>
      <c r="WOO226" s="537"/>
      <c r="WOP226" s="537"/>
      <c r="WOQ226" s="537"/>
      <c r="WOR226" s="537"/>
      <c r="WOS226" s="537"/>
      <c r="WOT226" s="537"/>
      <c r="WOU226" s="537"/>
      <c r="WOV226" s="537"/>
      <c r="WOW226" s="537"/>
      <c r="WOX226" s="537"/>
      <c r="WOY226" s="537"/>
      <c r="WOZ226" s="537"/>
      <c r="WPA226" s="537"/>
      <c r="WPB226" s="537"/>
      <c r="WPC226" s="537"/>
      <c r="WPD226" s="537"/>
      <c r="WPE226" s="537"/>
      <c r="WPF226" s="537"/>
      <c r="WPG226" s="537"/>
      <c r="WPH226" s="537"/>
      <c r="WPI226" s="537"/>
      <c r="WPJ226" s="537"/>
      <c r="WPK226" s="537"/>
      <c r="WPL226" s="537"/>
      <c r="WPM226" s="537"/>
      <c r="WPN226" s="537"/>
      <c r="WPO226" s="537"/>
      <c r="WPP226" s="537"/>
      <c r="WPQ226" s="537"/>
      <c r="WPR226" s="537"/>
      <c r="WPS226" s="537"/>
      <c r="WPT226" s="537"/>
      <c r="WPU226" s="537"/>
      <c r="WPV226" s="537"/>
      <c r="WPW226" s="537"/>
      <c r="WPX226" s="537"/>
      <c r="WPY226" s="537"/>
      <c r="WPZ226" s="537"/>
      <c r="WQA226" s="537"/>
      <c r="WQB226" s="537"/>
      <c r="WQC226" s="537"/>
      <c r="WQD226" s="537"/>
      <c r="WQE226" s="537"/>
      <c r="WQF226" s="537"/>
      <c r="WQG226" s="537"/>
      <c r="WQH226" s="537"/>
      <c r="WQI226" s="537"/>
      <c r="WQJ226" s="537"/>
      <c r="WQK226" s="537"/>
      <c r="WQL226" s="537"/>
      <c r="WQM226" s="537"/>
      <c r="WQN226" s="537"/>
      <c r="WQO226" s="537"/>
      <c r="WQP226" s="537"/>
      <c r="WQQ226" s="537"/>
      <c r="WQR226" s="537"/>
      <c r="WQS226" s="537"/>
      <c r="WQT226" s="537"/>
      <c r="WQU226" s="537"/>
      <c r="WQV226" s="537"/>
      <c r="WQW226" s="537"/>
      <c r="WQX226" s="537"/>
      <c r="WQY226" s="537"/>
      <c r="WQZ226" s="537"/>
      <c r="WRA226" s="537"/>
      <c r="WRB226" s="537"/>
      <c r="WRC226" s="537"/>
      <c r="WRD226" s="537"/>
      <c r="WRE226" s="537"/>
      <c r="WRF226" s="537"/>
      <c r="WRG226" s="537"/>
      <c r="WRH226" s="537"/>
      <c r="WRI226" s="537"/>
      <c r="WRJ226" s="537"/>
      <c r="WRK226" s="537"/>
      <c r="WRL226" s="537"/>
      <c r="WRM226" s="537"/>
      <c r="WRN226" s="537"/>
      <c r="WRO226" s="537"/>
      <c r="WRP226" s="537"/>
      <c r="WRQ226" s="537"/>
      <c r="WRR226" s="537"/>
      <c r="WRS226" s="537"/>
      <c r="WRT226" s="537"/>
      <c r="WRU226" s="537"/>
      <c r="WRV226" s="537"/>
      <c r="WRW226" s="537"/>
      <c r="WRX226" s="537"/>
      <c r="WRY226" s="537"/>
      <c r="WRZ226" s="537"/>
      <c r="WSA226" s="537"/>
      <c r="WSB226" s="537"/>
      <c r="WSC226" s="537"/>
      <c r="WSD226" s="537"/>
      <c r="WSE226" s="537"/>
      <c r="WSF226" s="537"/>
      <c r="WSG226" s="537"/>
      <c r="WSH226" s="537"/>
      <c r="WSI226" s="537"/>
      <c r="WSJ226" s="537"/>
      <c r="WSK226" s="537"/>
      <c r="WSL226" s="537"/>
      <c r="WSM226" s="537"/>
      <c r="WSN226" s="537"/>
      <c r="WSO226" s="537"/>
      <c r="WSP226" s="537"/>
      <c r="WSQ226" s="537"/>
      <c r="WSR226" s="537"/>
      <c r="WSS226" s="537"/>
      <c r="WST226" s="537"/>
      <c r="WSU226" s="537"/>
      <c r="WSV226" s="537"/>
      <c r="WSW226" s="537"/>
      <c r="WSX226" s="537"/>
      <c r="WSY226" s="537"/>
      <c r="WSZ226" s="537"/>
      <c r="WTA226" s="537"/>
      <c r="WTB226" s="537"/>
      <c r="WTC226" s="537"/>
      <c r="WTD226" s="537"/>
      <c r="WTE226" s="537"/>
      <c r="WTF226" s="537"/>
      <c r="WTG226" s="537"/>
      <c r="WTH226" s="537"/>
      <c r="WTI226" s="537"/>
      <c r="WTJ226" s="537"/>
      <c r="WTK226" s="537"/>
      <c r="WTL226" s="537"/>
      <c r="WTM226" s="537"/>
      <c r="WTN226" s="537"/>
      <c r="WTO226" s="537"/>
      <c r="WTP226" s="537"/>
      <c r="WTQ226" s="537"/>
      <c r="WTR226" s="537"/>
      <c r="WTS226" s="537"/>
      <c r="WTT226" s="537"/>
      <c r="WTU226" s="537"/>
      <c r="WTV226" s="537"/>
      <c r="WTW226" s="537"/>
      <c r="WTX226" s="537"/>
      <c r="WTY226" s="537"/>
      <c r="WTZ226" s="537"/>
      <c r="WUA226" s="537"/>
      <c r="WUB226" s="537"/>
      <c r="WUC226" s="537"/>
      <c r="WUD226" s="537"/>
      <c r="WUE226" s="537"/>
      <c r="WUF226" s="537"/>
      <c r="WUG226" s="537"/>
      <c r="WUH226" s="537"/>
      <c r="WUI226" s="537"/>
      <c r="WUJ226" s="537"/>
      <c r="WUK226" s="537"/>
      <c r="WUL226" s="537"/>
      <c r="WUM226" s="537"/>
      <c r="WUN226" s="537"/>
      <c r="WUO226" s="537"/>
      <c r="WUP226" s="537"/>
      <c r="WUQ226" s="537"/>
      <c r="WUR226" s="537"/>
      <c r="WUS226" s="537"/>
      <c r="WUT226" s="537"/>
      <c r="WUU226" s="537"/>
      <c r="WUV226" s="537"/>
      <c r="WUW226" s="537"/>
      <c r="WUX226" s="537"/>
      <c r="WUY226" s="537"/>
      <c r="WUZ226" s="537"/>
      <c r="WVA226" s="537"/>
      <c r="WVB226" s="537"/>
      <c r="WVC226" s="537"/>
      <c r="WVD226" s="537"/>
      <c r="WVE226" s="537"/>
      <c r="WVF226" s="537"/>
      <c r="WVG226" s="537"/>
      <c r="WVH226" s="537"/>
      <c r="WVI226" s="537"/>
      <c r="WVJ226" s="537"/>
      <c r="WVK226" s="537"/>
      <c r="WVL226" s="537"/>
      <c r="WVM226" s="537"/>
      <c r="WVN226" s="537"/>
      <c r="WVO226" s="537"/>
      <c r="WVP226" s="537"/>
      <c r="WVQ226" s="537"/>
      <c r="WVR226" s="537"/>
      <c r="WVS226" s="537"/>
      <c r="WVT226" s="537"/>
      <c r="WVU226" s="537"/>
      <c r="WVV226" s="537"/>
      <c r="WVW226" s="537"/>
      <c r="WVX226" s="537"/>
      <c r="WVY226" s="537"/>
      <c r="WVZ226" s="537"/>
      <c r="WWA226" s="537"/>
      <c r="WWB226" s="537"/>
      <c r="WWC226" s="537"/>
      <c r="WWD226" s="537"/>
      <c r="WWE226" s="537"/>
      <c r="WWF226" s="537"/>
      <c r="WWG226" s="537"/>
      <c r="WWH226" s="537"/>
      <c r="WWI226" s="537"/>
      <c r="WWJ226" s="537"/>
      <c r="WWK226" s="537"/>
      <c r="WWL226" s="537"/>
      <c r="WWM226" s="537"/>
      <c r="WWN226" s="537"/>
      <c r="WWO226" s="537"/>
      <c r="WWP226" s="537"/>
      <c r="WWQ226" s="537"/>
      <c r="WWR226" s="537"/>
      <c r="WWS226" s="537"/>
      <c r="WWT226" s="537"/>
      <c r="WWU226" s="537"/>
      <c r="WWV226" s="537"/>
      <c r="WWW226" s="537"/>
      <c r="WWX226" s="537"/>
      <c r="WWY226" s="537"/>
      <c r="WWZ226" s="537"/>
      <c r="WXA226" s="537"/>
      <c r="WXB226" s="537"/>
      <c r="WXC226" s="537"/>
      <c r="WXD226" s="537"/>
      <c r="WXE226" s="537"/>
      <c r="WXF226" s="537"/>
      <c r="WXG226" s="537"/>
      <c r="WXH226" s="537"/>
      <c r="WXI226" s="537"/>
      <c r="WXJ226" s="537"/>
      <c r="WXK226" s="537"/>
      <c r="WXL226" s="537"/>
      <c r="WXM226" s="537"/>
      <c r="WXN226" s="537"/>
      <c r="WXO226" s="537"/>
      <c r="WXP226" s="537"/>
      <c r="WXQ226" s="537"/>
      <c r="WXR226" s="537"/>
      <c r="WXS226" s="537"/>
      <c r="WXT226" s="537"/>
      <c r="WXU226" s="537"/>
      <c r="WXV226" s="537"/>
      <c r="WXW226" s="537"/>
      <c r="WXX226" s="537"/>
      <c r="WXY226" s="537"/>
      <c r="WXZ226" s="537"/>
      <c r="WYA226" s="537"/>
      <c r="WYB226" s="537"/>
      <c r="WYC226" s="537"/>
      <c r="WYD226" s="537"/>
      <c r="WYE226" s="537"/>
      <c r="WYF226" s="537"/>
      <c r="WYG226" s="537"/>
      <c r="WYH226" s="537"/>
      <c r="WYI226" s="537"/>
      <c r="WYJ226" s="537"/>
      <c r="WYK226" s="537"/>
      <c r="WYL226" s="537"/>
      <c r="WYM226" s="537"/>
      <c r="WYN226" s="537"/>
      <c r="WYO226" s="537"/>
      <c r="WYP226" s="537"/>
      <c r="WYQ226" s="537"/>
      <c r="WYR226" s="537"/>
      <c r="WYS226" s="537"/>
      <c r="WYT226" s="537"/>
      <c r="WYU226" s="537"/>
      <c r="WYV226" s="537"/>
      <c r="WYW226" s="537"/>
      <c r="WYX226" s="537"/>
      <c r="WYY226" s="537"/>
      <c r="WYZ226" s="537"/>
      <c r="WZA226" s="537"/>
      <c r="WZB226" s="537"/>
      <c r="WZC226" s="537"/>
      <c r="WZD226" s="537"/>
      <c r="WZE226" s="537"/>
      <c r="WZF226" s="537"/>
      <c r="WZG226" s="537"/>
      <c r="WZH226" s="537"/>
      <c r="WZI226" s="537"/>
      <c r="WZJ226" s="537"/>
      <c r="WZK226" s="537"/>
      <c r="WZL226" s="537"/>
      <c r="WZM226" s="537"/>
      <c r="WZN226" s="537"/>
      <c r="WZO226" s="537"/>
      <c r="WZP226" s="537"/>
      <c r="WZQ226" s="537"/>
      <c r="WZR226" s="537"/>
      <c r="WZS226" s="537"/>
      <c r="WZT226" s="537"/>
      <c r="WZU226" s="537"/>
      <c r="WZV226" s="537"/>
      <c r="WZW226" s="537"/>
      <c r="WZX226" s="537"/>
      <c r="WZY226" s="537"/>
      <c r="WZZ226" s="537"/>
      <c r="XAA226" s="537"/>
      <c r="XAB226" s="537"/>
      <c r="XAC226" s="537"/>
      <c r="XAD226" s="537"/>
      <c r="XAE226" s="537"/>
      <c r="XAF226" s="537"/>
      <c r="XAG226" s="537"/>
      <c r="XAH226" s="537"/>
      <c r="XAI226" s="537"/>
      <c r="XAJ226" s="537"/>
      <c r="XAK226" s="537"/>
      <c r="XAL226" s="537"/>
      <c r="XAM226" s="537"/>
      <c r="XAN226" s="537"/>
      <c r="XAO226" s="537"/>
      <c r="XAP226" s="537"/>
      <c r="XAQ226" s="537"/>
      <c r="XAR226" s="537"/>
      <c r="XAS226" s="537"/>
      <c r="XAT226" s="537"/>
      <c r="XAU226" s="537"/>
      <c r="XAV226" s="537"/>
      <c r="XAW226" s="537"/>
      <c r="XAX226" s="537"/>
      <c r="XAY226" s="537"/>
      <c r="XAZ226" s="537"/>
      <c r="XBA226" s="537"/>
      <c r="XBB226" s="537"/>
      <c r="XBC226" s="537"/>
      <c r="XBD226" s="537"/>
      <c r="XBE226" s="537"/>
      <c r="XBF226" s="537"/>
      <c r="XBG226" s="537"/>
      <c r="XBH226" s="537"/>
      <c r="XBI226" s="537"/>
      <c r="XBJ226" s="537"/>
      <c r="XBK226" s="537"/>
      <c r="XBL226" s="537"/>
      <c r="XBM226" s="537"/>
      <c r="XBN226" s="537"/>
      <c r="XBO226" s="537"/>
      <c r="XBP226" s="537"/>
      <c r="XBQ226" s="537"/>
      <c r="XBR226" s="537"/>
      <c r="XBS226" s="537"/>
      <c r="XBT226" s="537"/>
      <c r="XBU226" s="537"/>
      <c r="XBV226" s="537"/>
      <c r="XBW226" s="537"/>
      <c r="XBX226" s="537"/>
      <c r="XBY226" s="537"/>
      <c r="XBZ226" s="537"/>
      <c r="XCA226" s="537"/>
      <c r="XCB226" s="537"/>
      <c r="XCC226" s="537"/>
      <c r="XCD226" s="537"/>
      <c r="XCE226" s="537"/>
      <c r="XCF226" s="537"/>
      <c r="XCG226" s="537"/>
      <c r="XCH226" s="537"/>
      <c r="XCI226" s="537"/>
      <c r="XCJ226" s="537"/>
      <c r="XCK226" s="537"/>
      <c r="XCL226" s="537"/>
      <c r="XCM226" s="537"/>
      <c r="XCN226" s="537"/>
      <c r="XCO226" s="537"/>
      <c r="XCP226" s="537"/>
      <c r="XCQ226" s="537"/>
      <c r="XCR226" s="537"/>
      <c r="XCS226" s="537"/>
      <c r="XCT226" s="537"/>
      <c r="XCU226" s="537"/>
      <c r="XCV226" s="537"/>
      <c r="XCW226" s="537"/>
      <c r="XCX226" s="537"/>
      <c r="XCY226" s="537"/>
      <c r="XCZ226" s="537"/>
      <c r="XDA226" s="537"/>
      <c r="XDB226" s="537"/>
      <c r="XDC226" s="537"/>
      <c r="XDD226" s="537"/>
      <c r="XDE226" s="537"/>
      <c r="XDF226" s="537"/>
      <c r="XDG226" s="537"/>
      <c r="XDH226" s="537"/>
      <c r="XDI226" s="537"/>
      <c r="XDJ226" s="537"/>
      <c r="XDK226" s="537"/>
      <c r="XDL226" s="537"/>
      <c r="XDM226" s="537"/>
      <c r="XDN226" s="537"/>
      <c r="XDO226" s="537"/>
      <c r="XDP226" s="537"/>
      <c r="XDQ226" s="537"/>
      <c r="XDR226" s="537"/>
      <c r="XDS226" s="537"/>
      <c r="XDT226" s="537"/>
      <c r="XDU226" s="537"/>
      <c r="XDV226" s="537"/>
      <c r="XDW226" s="537"/>
      <c r="XDX226" s="537"/>
      <c r="XDY226" s="537"/>
      <c r="XDZ226" s="537"/>
      <c r="XEA226" s="537"/>
      <c r="XEB226" s="537"/>
      <c r="XEC226" s="537"/>
      <c r="XED226" s="537"/>
      <c r="XEE226" s="537"/>
      <c r="XEF226" s="537"/>
      <c r="XEG226" s="537"/>
      <c r="XEH226" s="537"/>
      <c r="XEI226" s="537"/>
      <c r="XEJ226" s="537"/>
      <c r="XEK226" s="537"/>
      <c r="XEL226" s="537"/>
      <c r="XEM226" s="537"/>
      <c r="XEN226" s="537"/>
      <c r="XEO226" s="537"/>
      <c r="XEP226" s="537"/>
      <c r="XEQ226" s="537"/>
      <c r="XER226" s="537"/>
      <c r="XES226" s="537"/>
      <c r="XET226" s="537"/>
      <c r="XEU226" s="537"/>
      <c r="XEV226" s="537"/>
      <c r="XEW226" s="537"/>
      <c r="XEX226" s="537"/>
      <c r="XEY226" s="537"/>
      <c r="XEZ226" s="537"/>
      <c r="XFA226" s="537"/>
      <c r="XFB226" s="537"/>
      <c r="XFC226" s="537"/>
      <c r="XFD226" s="537"/>
    </row>
    <row r="227" spans="1:16384">
      <c r="A227" s="279">
        <v>44562</v>
      </c>
      <c r="B227" s="26">
        <v>50.735999999999997</v>
      </c>
      <c r="C227" s="26">
        <v>9.8960000000000008</v>
      </c>
      <c r="D227" s="26">
        <v>72.287999999999997</v>
      </c>
      <c r="E227" s="26">
        <v>57.805999999999997</v>
      </c>
      <c r="F227" s="26">
        <v>43.587000000000003</v>
      </c>
      <c r="G227" s="26">
        <v>45.915999999999997</v>
      </c>
      <c r="H227" s="26">
        <v>45.308999999999997</v>
      </c>
      <c r="I227" s="26">
        <v>72.271000000000001</v>
      </c>
      <c r="J227" s="26">
        <v>42.676000000000002</v>
      </c>
      <c r="K227" s="26">
        <v>42.771000000000001</v>
      </c>
      <c r="L227" s="26">
        <v>82.944999999999993</v>
      </c>
      <c r="M227" s="26">
        <v>9.5562000000000005</v>
      </c>
      <c r="N227" s="26">
        <v>0.92288999999999999</v>
      </c>
      <c r="O227" s="26">
        <v>9.3917000000000002</v>
      </c>
      <c r="P227" s="26">
        <v>1.7370000000000001</v>
      </c>
      <c r="Q227" s="26">
        <v>3.1823000000000001</v>
      </c>
      <c r="R227" s="26">
        <v>14.510999999999999</v>
      </c>
      <c r="S227" s="26">
        <v>81.006</v>
      </c>
      <c r="T227" s="26">
        <v>43.396000000000001</v>
      </c>
      <c r="U227" s="26">
        <v>1.7471000000000001</v>
      </c>
      <c r="V227" s="26">
        <v>58.314</v>
      </c>
      <c r="W227" s="26">
        <v>44.786000000000001</v>
      </c>
      <c r="X227" s="26">
        <v>15.215999999999999</v>
      </c>
      <c r="Y227" s="26">
        <v>80.415000000000006</v>
      </c>
      <c r="Z227" s="26">
        <v>9.0417000000000005</v>
      </c>
      <c r="AA227" s="26">
        <v>45.45</v>
      </c>
      <c r="AB227" s="26">
        <v>9.5050000000000008</v>
      </c>
      <c r="AC227" s="26">
        <v>77.215000000000003</v>
      </c>
      <c r="AD227" s="26">
        <v>48.853000000000002</v>
      </c>
      <c r="AE227" s="26">
        <v>3.1057999999999999</v>
      </c>
      <c r="AF227" s="26">
        <v>48.01</v>
      </c>
      <c r="AG227" s="26">
        <v>82.462000000000003</v>
      </c>
      <c r="AH227" s="26">
        <v>75.623999999999995</v>
      </c>
      <c r="AI227" s="26">
        <v>74.253</v>
      </c>
      <c r="AJ227" s="26">
        <v>71.753</v>
      </c>
      <c r="AK227" s="26">
        <v>71.051000000000002</v>
      </c>
      <c r="AL227" s="26">
        <v>25.806999999999999</v>
      </c>
      <c r="AM227" s="26">
        <v>4.2026000000000001E-2</v>
      </c>
      <c r="AN227" s="26">
        <v>15.545</v>
      </c>
      <c r="AO227" s="26">
        <v>81.382999999999996</v>
      </c>
      <c r="AP227" s="26">
        <v>63.283999999999999</v>
      </c>
      <c r="AQ227" s="26">
        <v>81.367999999999995</v>
      </c>
      <c r="AR227" s="26">
        <v>16.93</v>
      </c>
      <c r="AS227" s="26">
        <v>44.747999999999998</v>
      </c>
      <c r="AT227" s="26">
        <v>10.519</v>
      </c>
      <c r="AU227" s="26">
        <v>5.5673000000000004</v>
      </c>
      <c r="AV227" s="26">
        <v>35.776000000000003</v>
      </c>
      <c r="AW227" s="26">
        <v>15.837</v>
      </c>
      <c r="AX227" s="26">
        <v>0.69813000000000003</v>
      </c>
      <c r="AY227" s="26">
        <v>45.225000000000001</v>
      </c>
      <c r="AZ227" s="26">
        <v>10.384</v>
      </c>
      <c r="BA227" s="26">
        <v>3.1880999999999999</v>
      </c>
      <c r="BB227" s="26">
        <v>52.591999999999999</v>
      </c>
      <c r="BC227" s="26">
        <v>1.6235999999999999</v>
      </c>
      <c r="BD227" s="26">
        <v>19.675000000000001</v>
      </c>
      <c r="BE227" s="26">
        <v>81.006</v>
      </c>
      <c r="BF227" s="26">
        <v>48.55</v>
      </c>
      <c r="BG227" s="26">
        <v>49.51</v>
      </c>
      <c r="BH227" s="26">
        <v>80.415000000000006</v>
      </c>
      <c r="BI227" s="26">
        <v>3.1650999999999998</v>
      </c>
      <c r="BJ227" s="26">
        <v>67.872</v>
      </c>
      <c r="BK227" s="26">
        <v>58.231999999999999</v>
      </c>
      <c r="BL227" s="26">
        <v>72.069000000000003</v>
      </c>
      <c r="BM227" s="26">
        <v>47.485999999999997</v>
      </c>
      <c r="BN227" s="26">
        <v>6.0006000000000004</v>
      </c>
      <c r="BO227" s="26">
        <v>1.9725999999999999</v>
      </c>
      <c r="BP227" s="26">
        <v>1.7496</v>
      </c>
      <c r="BQ227" s="26">
        <v>50.258000000000003</v>
      </c>
      <c r="BR227" s="26">
        <v>83.063999999999993</v>
      </c>
      <c r="BS227" s="26">
        <v>3.1901000000000002</v>
      </c>
      <c r="BT227" s="26">
        <v>42.667000000000002</v>
      </c>
      <c r="BU227" s="26">
        <v>0.29826000000000003</v>
      </c>
      <c r="BV227" s="26">
        <v>47.639000000000003</v>
      </c>
      <c r="BW227" s="26">
        <v>47.688000000000002</v>
      </c>
      <c r="BX227" s="26">
        <v>3.2888000000000001E-2</v>
      </c>
      <c r="BY227" s="26">
        <v>1.5234000000000001</v>
      </c>
      <c r="BZ227" s="26">
        <v>3.1591</v>
      </c>
      <c r="CA227" s="26">
        <v>3.1507999999999998</v>
      </c>
      <c r="CB227" s="26">
        <v>47.384</v>
      </c>
      <c r="CC227" s="26">
        <v>67.385999999999996</v>
      </c>
      <c r="CD227" s="26">
        <v>61.353999999999999</v>
      </c>
      <c r="CE227" s="26">
        <v>11.1</v>
      </c>
      <c r="CF227" s="26">
        <v>12.561</v>
      </c>
      <c r="CG227" s="26">
        <v>9.2246000000000006</v>
      </c>
      <c r="CH227" s="26">
        <v>67.375</v>
      </c>
      <c r="CI227" s="26">
        <v>11.590999999999999</v>
      </c>
      <c r="CJ227" s="26">
        <v>58.167000000000002</v>
      </c>
      <c r="CK227" s="26">
        <v>4.9059999999999997</v>
      </c>
      <c r="CL227" s="26">
        <v>71.95</v>
      </c>
      <c r="CM227" s="26">
        <v>5.1887999999999996</v>
      </c>
      <c r="CN227" s="26">
        <v>10.284000000000001</v>
      </c>
      <c r="CO227" s="26">
        <v>3.4082000000000001E-2</v>
      </c>
      <c r="CP227" s="26">
        <v>45.167999999999999</v>
      </c>
      <c r="CQ227" s="26">
        <v>0.31461</v>
      </c>
      <c r="CR227" s="26">
        <v>10.779</v>
      </c>
      <c r="CS227" s="26">
        <v>47.933999999999997</v>
      </c>
      <c r="CT227" s="26">
        <v>5.1966000000000001</v>
      </c>
      <c r="CU227" s="26">
        <v>0.68247999999999998</v>
      </c>
      <c r="CV227" s="26">
        <v>25.033999999999999</v>
      </c>
      <c r="CW227" s="26">
        <v>82.549000000000007</v>
      </c>
      <c r="CX227" s="26">
        <v>48.582999999999998</v>
      </c>
      <c r="CY227" s="61"/>
      <c r="CZ227" s="537"/>
      <c r="DA227" s="61"/>
    </row>
    <row r="228" spans="1:16384">
      <c r="A228" s="279">
        <v>44593</v>
      </c>
      <c r="B228" s="26">
        <v>63.283999999999999</v>
      </c>
      <c r="C228" s="26">
        <v>35.628999999999998</v>
      </c>
      <c r="D228" s="26">
        <v>82.224999999999994</v>
      </c>
      <c r="E228" s="26">
        <v>64.266999999999996</v>
      </c>
      <c r="F228" s="26">
        <v>48.956000000000003</v>
      </c>
      <c r="G228" s="26">
        <v>69.775000000000006</v>
      </c>
      <c r="H228" s="26">
        <v>69.775000000000006</v>
      </c>
      <c r="I228" s="26">
        <v>63.674999999999997</v>
      </c>
      <c r="J228" s="26">
        <v>35.814</v>
      </c>
      <c r="K228" s="26">
        <v>52.585000000000001</v>
      </c>
      <c r="L228" s="26">
        <v>96.924999999999997</v>
      </c>
      <c r="M228" s="26">
        <v>8.2469999999999999</v>
      </c>
      <c r="N228" s="26">
        <v>0.83894000000000002</v>
      </c>
      <c r="O228" s="26">
        <v>45.915999999999997</v>
      </c>
      <c r="P228" s="26">
        <v>0.85021000000000002</v>
      </c>
      <c r="Q228" s="26">
        <v>6.0190000000000001</v>
      </c>
      <c r="R228" s="26">
        <v>6.2302999999999997</v>
      </c>
      <c r="S228" s="26">
        <v>82.6</v>
      </c>
      <c r="T228" s="26">
        <v>75.641000000000005</v>
      </c>
      <c r="U228" s="26">
        <v>2.5735000000000001</v>
      </c>
      <c r="V228" s="26">
        <v>75.641000000000005</v>
      </c>
      <c r="W228" s="26">
        <v>38.99</v>
      </c>
      <c r="X228" s="26">
        <v>16.768000000000001</v>
      </c>
      <c r="Y228" s="26">
        <v>87.602999999999994</v>
      </c>
      <c r="Z228" s="26">
        <v>22.300999999999998</v>
      </c>
      <c r="AA228" s="26">
        <v>55.478000000000002</v>
      </c>
      <c r="AB228" s="26">
        <v>13.962999999999999</v>
      </c>
      <c r="AC228" s="26">
        <v>94.501999999999995</v>
      </c>
      <c r="AD228" s="26">
        <v>69.775000000000006</v>
      </c>
      <c r="AE228" s="26">
        <v>5.6574</v>
      </c>
      <c r="AF228" s="26">
        <v>69.775000000000006</v>
      </c>
      <c r="AG228" s="26">
        <v>140.36000000000001</v>
      </c>
      <c r="AH228" s="26">
        <v>113.53</v>
      </c>
      <c r="AI228" s="26">
        <v>82.6</v>
      </c>
      <c r="AJ228" s="26">
        <v>62.619</v>
      </c>
      <c r="AK228" s="26">
        <v>77.637</v>
      </c>
      <c r="AL228" s="26">
        <v>3.9679000000000002</v>
      </c>
      <c r="AM228" s="26">
        <v>7.0221000000000006E-2</v>
      </c>
      <c r="AN228" s="26">
        <v>10.166</v>
      </c>
      <c r="AO228" s="26">
        <v>92.537999999999997</v>
      </c>
      <c r="AP228" s="26">
        <v>77.637</v>
      </c>
      <c r="AQ228" s="26">
        <v>94.813999999999993</v>
      </c>
      <c r="AR228" s="26">
        <v>49.51</v>
      </c>
      <c r="AS228" s="26">
        <v>63.283999999999999</v>
      </c>
      <c r="AT228" s="26">
        <v>35.801000000000002</v>
      </c>
      <c r="AU228" s="26">
        <v>56.616</v>
      </c>
      <c r="AV228" s="26">
        <v>69.775000000000006</v>
      </c>
      <c r="AW228" s="26">
        <v>35.607999999999997</v>
      </c>
      <c r="AX228" s="26">
        <v>2.5533999999999999</v>
      </c>
      <c r="AY228" s="26">
        <v>48.970999999999997</v>
      </c>
      <c r="AZ228" s="26">
        <v>55.478000000000002</v>
      </c>
      <c r="BA228" s="26">
        <v>2.5667</v>
      </c>
      <c r="BB228" s="26">
        <v>69.775000000000006</v>
      </c>
      <c r="BC228" s="26">
        <v>0.84767999999999999</v>
      </c>
      <c r="BD228" s="26">
        <v>55.62</v>
      </c>
      <c r="BE228" s="26">
        <v>77.637</v>
      </c>
      <c r="BF228" s="26">
        <v>61.353999999999999</v>
      </c>
      <c r="BG228" s="26">
        <v>53.433999999999997</v>
      </c>
      <c r="BH228" s="26">
        <v>87.602999999999994</v>
      </c>
      <c r="BI228" s="26">
        <v>2.8767999999999998</v>
      </c>
      <c r="BJ228" s="26">
        <v>61.353999999999999</v>
      </c>
      <c r="BK228" s="26">
        <v>67.799000000000007</v>
      </c>
      <c r="BL228" s="26">
        <v>82.6</v>
      </c>
      <c r="BM228" s="26">
        <v>56.23</v>
      </c>
      <c r="BN228" s="26">
        <v>2.4129999999999998</v>
      </c>
      <c r="BO228" s="26">
        <v>42.667000000000002</v>
      </c>
      <c r="BP228" s="26">
        <v>7.0058999999999996</v>
      </c>
      <c r="BQ228" s="26">
        <v>77.637</v>
      </c>
      <c r="BR228" s="26">
        <v>92.518000000000001</v>
      </c>
      <c r="BS228" s="26">
        <v>2.5735000000000001</v>
      </c>
      <c r="BT228" s="26">
        <v>53.066000000000003</v>
      </c>
      <c r="BU228" s="26">
        <v>0.37672</v>
      </c>
      <c r="BV228" s="26">
        <v>68.870999999999995</v>
      </c>
      <c r="BW228" s="26">
        <v>43.396000000000001</v>
      </c>
      <c r="BX228" s="26">
        <v>0.3831</v>
      </c>
      <c r="BY228" s="26">
        <v>3.1305999999999998</v>
      </c>
      <c r="BZ228" s="26">
        <v>5.9196999999999997</v>
      </c>
      <c r="CA228" s="26">
        <v>3.3395000000000001</v>
      </c>
      <c r="CB228" s="26">
        <v>65.688999999999993</v>
      </c>
      <c r="CC228" s="26">
        <v>71.2</v>
      </c>
      <c r="CD228" s="26">
        <v>77.637</v>
      </c>
      <c r="CE228" s="26">
        <v>21.056999999999999</v>
      </c>
      <c r="CF228" s="26">
        <v>42.765000000000001</v>
      </c>
      <c r="CG228" s="26">
        <v>42.667000000000002</v>
      </c>
      <c r="CH228" s="26">
        <v>65.888000000000005</v>
      </c>
      <c r="CI228" s="26">
        <v>52.923000000000002</v>
      </c>
      <c r="CJ228" s="26">
        <v>69.233000000000004</v>
      </c>
      <c r="CK228" s="26">
        <v>0.84289000000000003</v>
      </c>
      <c r="CL228" s="26">
        <v>77.637</v>
      </c>
      <c r="CM228" s="26">
        <v>3.1217999999999999</v>
      </c>
      <c r="CN228" s="26">
        <v>55.478000000000002</v>
      </c>
      <c r="CO228" s="26">
        <v>8.8647000000000004E-2</v>
      </c>
      <c r="CP228" s="26">
        <v>44.021000000000001</v>
      </c>
      <c r="CQ228" s="26">
        <v>0.37683</v>
      </c>
      <c r="CR228" s="26">
        <v>45.915999999999997</v>
      </c>
      <c r="CS228" s="26">
        <v>45.915999999999997</v>
      </c>
      <c r="CT228" s="26">
        <v>7.3186</v>
      </c>
      <c r="CU228" s="26">
        <v>0.85535000000000005</v>
      </c>
      <c r="CV228" s="26">
        <v>44.715000000000003</v>
      </c>
      <c r="CW228" s="26">
        <v>99.106999999999999</v>
      </c>
      <c r="CX228" s="26">
        <v>57.304000000000002</v>
      </c>
      <c r="CY228" s="61"/>
      <c r="CZ228" s="537"/>
      <c r="DA228" s="61"/>
    </row>
    <row r="229" spans="1:16384">
      <c r="A229" s="279">
        <v>44621</v>
      </c>
      <c r="B229" s="26">
        <v>42.765000000000001</v>
      </c>
      <c r="C229" s="26">
        <v>48.423000000000002</v>
      </c>
      <c r="D229" s="26">
        <v>67.521000000000001</v>
      </c>
      <c r="E229" s="26">
        <v>61.764000000000003</v>
      </c>
      <c r="F229" s="26">
        <v>26.73</v>
      </c>
      <c r="G229" s="26">
        <v>63.283999999999999</v>
      </c>
      <c r="H229" s="26">
        <v>49.51</v>
      </c>
      <c r="I229" s="26">
        <v>75.138000000000005</v>
      </c>
      <c r="J229" s="26">
        <v>26.98</v>
      </c>
      <c r="K229" s="26">
        <v>42.765000000000001</v>
      </c>
      <c r="L229" s="26">
        <v>75.138000000000005</v>
      </c>
      <c r="M229" s="26">
        <v>5.6802999999999999</v>
      </c>
      <c r="N229" s="26">
        <v>1.6740999999999999</v>
      </c>
      <c r="O229" s="26">
        <v>55.478000000000002</v>
      </c>
      <c r="P229" s="26">
        <v>3.2012999999999998</v>
      </c>
      <c r="Q229" s="26">
        <v>3.7216999999999998</v>
      </c>
      <c r="R229" s="26">
        <v>7.4665999999999997</v>
      </c>
      <c r="S229" s="26">
        <v>61.353999999999999</v>
      </c>
      <c r="T229" s="26">
        <v>77.326999999999998</v>
      </c>
      <c r="U229" s="26">
        <v>9.3168000000000006</v>
      </c>
      <c r="V229" s="26">
        <v>69.325000000000003</v>
      </c>
      <c r="W229" s="26">
        <v>45.915999999999997</v>
      </c>
      <c r="X229" s="26">
        <v>42.777999999999999</v>
      </c>
      <c r="Y229" s="26">
        <v>49.6</v>
      </c>
      <c r="Z229" s="26">
        <v>42.667000000000002</v>
      </c>
      <c r="AA229" s="26">
        <v>69.325000000000003</v>
      </c>
      <c r="AB229" s="26">
        <v>69.325000000000003</v>
      </c>
      <c r="AC229" s="26">
        <v>75.138000000000005</v>
      </c>
      <c r="AD229" s="26">
        <v>69.325000000000003</v>
      </c>
      <c r="AE229" s="26">
        <v>8.6646999999999998</v>
      </c>
      <c r="AF229" s="26">
        <v>82.263999999999996</v>
      </c>
      <c r="AG229" s="26">
        <v>77.326999999999998</v>
      </c>
      <c r="AH229" s="26">
        <v>82.263999999999996</v>
      </c>
      <c r="AI229" s="26">
        <v>69.325000000000003</v>
      </c>
      <c r="AJ229" s="26">
        <v>69.263000000000005</v>
      </c>
      <c r="AK229" s="26">
        <v>70.554000000000002</v>
      </c>
      <c r="AL229" s="26">
        <v>7.5068000000000001</v>
      </c>
      <c r="AM229" s="26">
        <v>1.0805</v>
      </c>
      <c r="AN229" s="26">
        <v>42.667000000000002</v>
      </c>
      <c r="AO229" s="26">
        <v>75.138000000000005</v>
      </c>
      <c r="AP229" s="26">
        <v>69.325000000000003</v>
      </c>
      <c r="AQ229" s="26">
        <v>75.292000000000002</v>
      </c>
      <c r="AR229" s="26">
        <v>69.325000000000003</v>
      </c>
      <c r="AS229" s="26">
        <v>48.423000000000002</v>
      </c>
      <c r="AT229" s="26">
        <v>51.307000000000002</v>
      </c>
      <c r="AU229" s="26">
        <v>56.616</v>
      </c>
      <c r="AV229" s="26">
        <v>77.326999999999998</v>
      </c>
      <c r="AW229" s="26">
        <v>49.51</v>
      </c>
      <c r="AX229" s="26">
        <v>6.6169000000000002</v>
      </c>
      <c r="AY229" s="26">
        <v>56.682000000000002</v>
      </c>
      <c r="AZ229" s="26">
        <v>56.616</v>
      </c>
      <c r="BA229" s="26">
        <v>16.994</v>
      </c>
      <c r="BB229" s="26">
        <v>43.646999999999998</v>
      </c>
      <c r="BC229" s="26">
        <v>3.0809E-2</v>
      </c>
      <c r="BD229" s="26">
        <v>69.325000000000003</v>
      </c>
      <c r="BE229" s="26">
        <v>62.482999999999997</v>
      </c>
      <c r="BF229" s="26">
        <v>47.607999999999997</v>
      </c>
      <c r="BG229" s="26">
        <v>75.138000000000005</v>
      </c>
      <c r="BH229" s="26">
        <v>67.745999999999995</v>
      </c>
      <c r="BI229" s="26">
        <v>42.765000000000001</v>
      </c>
      <c r="BJ229" s="26">
        <v>60.375999999999998</v>
      </c>
      <c r="BK229" s="26">
        <v>69.325000000000003</v>
      </c>
      <c r="BL229" s="26">
        <v>66.673000000000002</v>
      </c>
      <c r="BM229" s="26">
        <v>66.823999999999998</v>
      </c>
      <c r="BN229" s="26">
        <v>22.628</v>
      </c>
      <c r="BO229" s="26">
        <v>42.765000000000001</v>
      </c>
      <c r="BP229" s="26">
        <v>35.860999999999997</v>
      </c>
      <c r="BQ229" s="26">
        <v>77.326999999999998</v>
      </c>
      <c r="BR229" s="26">
        <v>64.582999999999998</v>
      </c>
      <c r="BS229" s="26">
        <v>2.6013000000000002</v>
      </c>
      <c r="BT229" s="26">
        <v>75.138000000000005</v>
      </c>
      <c r="BU229" s="26">
        <v>1.5943000000000001</v>
      </c>
      <c r="BV229" s="26">
        <v>63.283999999999999</v>
      </c>
      <c r="BW229" s="26">
        <v>63.283999999999999</v>
      </c>
      <c r="BX229" s="26">
        <v>0.88800000000000001</v>
      </c>
      <c r="BY229" s="26">
        <v>0.95374999999999999</v>
      </c>
      <c r="BZ229" s="26">
        <v>42.667000000000002</v>
      </c>
      <c r="CA229" s="26">
        <v>3.6507999999999998</v>
      </c>
      <c r="CB229" s="26">
        <v>77.326999999999998</v>
      </c>
      <c r="CC229" s="26">
        <v>75.138000000000005</v>
      </c>
      <c r="CD229" s="26">
        <v>69.325000000000003</v>
      </c>
      <c r="CE229" s="26">
        <v>48.070999999999998</v>
      </c>
      <c r="CF229" s="26">
        <v>69.325000000000003</v>
      </c>
      <c r="CG229" s="26">
        <v>42.777999999999999</v>
      </c>
      <c r="CH229" s="26">
        <v>82.263999999999996</v>
      </c>
      <c r="CI229" s="26">
        <v>55.478000000000002</v>
      </c>
      <c r="CJ229" s="26">
        <v>61.462000000000003</v>
      </c>
      <c r="CK229" s="26">
        <v>2.3856999999999999</v>
      </c>
      <c r="CL229" s="26">
        <v>27.702999999999999</v>
      </c>
      <c r="CM229" s="26">
        <v>7.9265999999999996</v>
      </c>
      <c r="CN229" s="26">
        <v>61.353999999999999</v>
      </c>
      <c r="CO229" s="26">
        <v>0.96269000000000005</v>
      </c>
      <c r="CP229" s="26">
        <v>43.320999999999998</v>
      </c>
      <c r="CQ229" s="26">
        <v>1.3512999999999999</v>
      </c>
      <c r="CR229" s="26">
        <v>75.138000000000005</v>
      </c>
      <c r="CS229" s="26">
        <v>75.138000000000005</v>
      </c>
      <c r="CT229" s="26">
        <v>37.451000000000001</v>
      </c>
      <c r="CU229" s="26">
        <v>1.6067</v>
      </c>
      <c r="CV229" s="26">
        <v>55.62</v>
      </c>
      <c r="CW229" s="26">
        <v>75.138000000000005</v>
      </c>
      <c r="CX229" s="26">
        <v>53.890999999999998</v>
      </c>
      <c r="CY229" s="61"/>
      <c r="CZ229" s="537"/>
      <c r="DA229" s="61"/>
    </row>
    <row r="230" spans="1:16384">
      <c r="A230" s="279">
        <v>44652</v>
      </c>
      <c r="B230" s="26">
        <v>2.2403</v>
      </c>
      <c r="C230" s="26">
        <v>17.184999999999999</v>
      </c>
      <c r="D230" s="26">
        <v>20.062999999999999</v>
      </c>
      <c r="E230" s="26">
        <v>44.613</v>
      </c>
      <c r="F230" s="26">
        <v>7.5807000000000002</v>
      </c>
      <c r="G230" s="26">
        <v>35.966999999999999</v>
      </c>
      <c r="H230" s="26">
        <v>48.423000000000002</v>
      </c>
      <c r="I230" s="26">
        <v>55.44</v>
      </c>
      <c r="J230" s="26">
        <v>21.477</v>
      </c>
      <c r="K230" s="26">
        <v>15.308999999999999</v>
      </c>
      <c r="L230" s="26">
        <v>82.683999999999997</v>
      </c>
      <c r="M230" s="26">
        <v>14.036</v>
      </c>
      <c r="N230" s="26">
        <v>0.86638999999999999</v>
      </c>
      <c r="O230" s="26">
        <v>26.925000000000001</v>
      </c>
      <c r="P230" s="26">
        <v>2.0396000000000001</v>
      </c>
      <c r="Q230" s="26">
        <v>0.9032</v>
      </c>
      <c r="R230" s="26">
        <v>7.7586000000000004</v>
      </c>
      <c r="S230" s="26">
        <v>43.396000000000001</v>
      </c>
      <c r="T230" s="26">
        <v>63.283999999999999</v>
      </c>
      <c r="U230" s="26">
        <v>8.9931000000000001</v>
      </c>
      <c r="V230" s="26">
        <v>24.643000000000001</v>
      </c>
      <c r="W230" s="26">
        <v>55.478000000000002</v>
      </c>
      <c r="X230" s="26">
        <v>63.674999999999997</v>
      </c>
      <c r="Y230" s="26">
        <v>20.776</v>
      </c>
      <c r="Z230" s="26">
        <v>22.812000000000001</v>
      </c>
      <c r="AA230" s="26">
        <v>42.78</v>
      </c>
      <c r="AB230" s="26">
        <v>42.78</v>
      </c>
      <c r="AC230" s="26">
        <v>43.543999999999997</v>
      </c>
      <c r="AD230" s="26">
        <v>23.786999999999999</v>
      </c>
      <c r="AE230" s="26">
        <v>6.2962999999999996</v>
      </c>
      <c r="AF230" s="26">
        <v>69.849999999999994</v>
      </c>
      <c r="AG230" s="26">
        <v>69.849999999999994</v>
      </c>
      <c r="AH230" s="26">
        <v>61.353999999999999</v>
      </c>
      <c r="AI230" s="26">
        <v>48.531999999999996</v>
      </c>
      <c r="AJ230" s="26">
        <v>21.396999999999998</v>
      </c>
      <c r="AK230" s="26">
        <v>31.922999999999998</v>
      </c>
      <c r="AL230" s="26">
        <v>1.1254999999999999</v>
      </c>
      <c r="AM230" s="26">
        <v>6.3461000000000004E-2</v>
      </c>
      <c r="AN230" s="26">
        <v>42.685000000000002</v>
      </c>
      <c r="AO230" s="26">
        <v>43.1</v>
      </c>
      <c r="AP230" s="26">
        <v>12.807</v>
      </c>
      <c r="AQ230" s="26">
        <v>61.353999999999999</v>
      </c>
      <c r="AR230" s="26">
        <v>63.674999999999997</v>
      </c>
      <c r="AS230" s="26">
        <v>9.0710999999999995</v>
      </c>
      <c r="AT230" s="26">
        <v>42.685000000000002</v>
      </c>
      <c r="AU230" s="26">
        <v>42.78</v>
      </c>
      <c r="AV230" s="26">
        <v>69.849999999999994</v>
      </c>
      <c r="AW230" s="26">
        <v>45.915999999999997</v>
      </c>
      <c r="AX230" s="26">
        <v>9.1199999999999992</v>
      </c>
      <c r="AY230" s="26">
        <v>20.219000000000001</v>
      </c>
      <c r="AZ230" s="26">
        <v>43.509</v>
      </c>
      <c r="BA230" s="26">
        <v>10.218999999999999</v>
      </c>
      <c r="BB230" s="26">
        <v>30.298999999999999</v>
      </c>
      <c r="BC230" s="26">
        <v>1.1194999999999999</v>
      </c>
      <c r="BD230" s="26">
        <v>49.51</v>
      </c>
      <c r="BE230" s="26">
        <v>25.760999999999999</v>
      </c>
      <c r="BF230" s="26">
        <v>26.12</v>
      </c>
      <c r="BG230" s="26">
        <v>69.849999999999994</v>
      </c>
      <c r="BH230" s="26">
        <v>42.703000000000003</v>
      </c>
      <c r="BI230" s="26">
        <v>9.2420000000000009</v>
      </c>
      <c r="BJ230" s="26">
        <v>35.621000000000002</v>
      </c>
      <c r="BK230" s="26">
        <v>37.302</v>
      </c>
      <c r="BL230" s="26">
        <v>23.370999999999999</v>
      </c>
      <c r="BM230" s="26">
        <v>23.658000000000001</v>
      </c>
      <c r="BN230" s="26">
        <v>69.849999999999994</v>
      </c>
      <c r="BO230" s="26">
        <v>17.893000000000001</v>
      </c>
      <c r="BP230" s="26">
        <v>42.685000000000002</v>
      </c>
      <c r="BQ230" s="26">
        <v>63.283999999999999</v>
      </c>
      <c r="BR230" s="26">
        <v>69.849999999999994</v>
      </c>
      <c r="BS230" s="26">
        <v>8.9014000000000006</v>
      </c>
      <c r="BT230" s="26">
        <v>43.396000000000001</v>
      </c>
      <c r="BU230" s="26">
        <v>1.0467</v>
      </c>
      <c r="BV230" s="26">
        <v>43.396000000000001</v>
      </c>
      <c r="BW230" s="26">
        <v>12.349</v>
      </c>
      <c r="BX230" s="26">
        <v>0.92591000000000001</v>
      </c>
      <c r="BY230" s="26">
        <v>1.2198</v>
      </c>
      <c r="BZ230" s="26">
        <v>49.51</v>
      </c>
      <c r="CA230" s="26">
        <v>4.9493</v>
      </c>
      <c r="CB230" s="26">
        <v>45.915999999999997</v>
      </c>
      <c r="CC230" s="26">
        <v>42.685000000000002</v>
      </c>
      <c r="CD230" s="26">
        <v>52.923000000000002</v>
      </c>
      <c r="CE230" s="26">
        <v>42.685000000000002</v>
      </c>
      <c r="CF230" s="26">
        <v>45.915999999999997</v>
      </c>
      <c r="CG230" s="26">
        <v>13.589</v>
      </c>
      <c r="CH230" s="26">
        <v>75.724999999999994</v>
      </c>
      <c r="CI230" s="26">
        <v>63.283999999999999</v>
      </c>
      <c r="CJ230" s="26">
        <v>42.683</v>
      </c>
      <c r="CK230" s="26">
        <v>1.1684000000000001</v>
      </c>
      <c r="CL230" s="26">
        <v>26.071000000000002</v>
      </c>
      <c r="CM230" s="26">
        <v>43.396000000000001</v>
      </c>
      <c r="CN230" s="26">
        <v>35.984999999999999</v>
      </c>
      <c r="CO230" s="26">
        <v>1.1876</v>
      </c>
      <c r="CP230" s="26">
        <v>42.685000000000002</v>
      </c>
      <c r="CQ230" s="26">
        <v>2.0752000000000002</v>
      </c>
      <c r="CR230" s="26">
        <v>43.457000000000001</v>
      </c>
      <c r="CS230" s="26">
        <v>43.396000000000001</v>
      </c>
      <c r="CT230" s="26">
        <v>9.5395000000000003</v>
      </c>
      <c r="CU230" s="26">
        <v>2.0779999999999998</v>
      </c>
      <c r="CV230" s="26">
        <v>42.78</v>
      </c>
      <c r="CW230" s="26">
        <v>16.058</v>
      </c>
      <c r="CX230" s="26">
        <v>47.081000000000003</v>
      </c>
      <c r="CY230" s="61"/>
      <c r="CZ230" s="537"/>
      <c r="DA230" s="61"/>
    </row>
    <row r="231" spans="1:16384">
      <c r="A231" s="279">
        <v>44682</v>
      </c>
      <c r="B231" s="26">
        <v>2.6583000000000001</v>
      </c>
      <c r="C231" s="26">
        <v>14.042999999999999</v>
      </c>
      <c r="D231" s="26">
        <v>22.945</v>
      </c>
      <c r="E231" s="26">
        <v>46.085999999999999</v>
      </c>
      <c r="F231" s="26">
        <v>13.874000000000001</v>
      </c>
      <c r="G231" s="26">
        <v>8.3015000000000008</v>
      </c>
      <c r="H231" s="26">
        <v>43.165999999999997</v>
      </c>
      <c r="I231" s="26">
        <v>53.64</v>
      </c>
      <c r="J231" s="26">
        <v>28.477</v>
      </c>
      <c r="K231" s="26">
        <v>15.493</v>
      </c>
      <c r="L231" s="26">
        <v>68.5</v>
      </c>
      <c r="M231" s="26">
        <v>23.035</v>
      </c>
      <c r="N231" s="26">
        <v>0.90320999999999996</v>
      </c>
      <c r="O231" s="26">
        <v>14.054</v>
      </c>
      <c r="P231" s="26">
        <v>4.3845999999999998</v>
      </c>
      <c r="Q231" s="26">
        <v>1.0505</v>
      </c>
      <c r="R231" s="26">
        <v>6.1003999999999996</v>
      </c>
      <c r="S231" s="26">
        <v>43.53</v>
      </c>
      <c r="T231" s="26">
        <v>26.870999999999999</v>
      </c>
      <c r="U231" s="26">
        <v>24.161000000000001</v>
      </c>
      <c r="V231" s="26">
        <v>10.186999999999999</v>
      </c>
      <c r="W231" s="26">
        <v>16.579000000000001</v>
      </c>
      <c r="X231" s="26">
        <v>36.381999999999998</v>
      </c>
      <c r="Y231" s="26">
        <v>25.864999999999998</v>
      </c>
      <c r="Z231" s="26">
        <v>22.794</v>
      </c>
      <c r="AA231" s="26">
        <v>23.873999999999999</v>
      </c>
      <c r="AB231" s="26">
        <v>16.643000000000001</v>
      </c>
      <c r="AC231" s="26">
        <v>18.568999999999999</v>
      </c>
      <c r="AD231" s="26">
        <v>14.372</v>
      </c>
      <c r="AE231" s="26">
        <v>6.1093999999999999</v>
      </c>
      <c r="AF231" s="26">
        <v>34.22</v>
      </c>
      <c r="AG231" s="26">
        <v>42.98</v>
      </c>
      <c r="AH231" s="26">
        <v>43.011000000000003</v>
      </c>
      <c r="AI231" s="26">
        <v>55.62</v>
      </c>
      <c r="AJ231" s="26">
        <v>28.472999999999999</v>
      </c>
      <c r="AK231" s="26">
        <v>26.012</v>
      </c>
      <c r="AL231" s="26">
        <v>1.6317999999999999</v>
      </c>
      <c r="AM231" s="26">
        <v>1.1361000000000001</v>
      </c>
      <c r="AN231" s="26">
        <v>26.178000000000001</v>
      </c>
      <c r="AO231" s="26">
        <v>34.088000000000001</v>
      </c>
      <c r="AP231" s="26">
        <v>17.010000000000002</v>
      </c>
      <c r="AQ231" s="26">
        <v>30.931999999999999</v>
      </c>
      <c r="AR231" s="26">
        <v>27.052</v>
      </c>
      <c r="AS231" s="26">
        <v>23.786999999999999</v>
      </c>
      <c r="AT231" s="26">
        <v>15.878</v>
      </c>
      <c r="AU231" s="26">
        <v>15.621</v>
      </c>
      <c r="AV231" s="26">
        <v>51.88</v>
      </c>
      <c r="AW231" s="26">
        <v>48.08</v>
      </c>
      <c r="AX231" s="26">
        <v>13.987</v>
      </c>
      <c r="AY231" s="26">
        <v>22.946000000000002</v>
      </c>
      <c r="AZ231" s="26">
        <v>4.1261000000000001</v>
      </c>
      <c r="BA231" s="26">
        <v>1.0348999999999999</v>
      </c>
      <c r="BB231" s="26">
        <v>35.725999999999999</v>
      </c>
      <c r="BC231" s="26">
        <v>1.2217</v>
      </c>
      <c r="BD231" s="26">
        <v>32.435000000000002</v>
      </c>
      <c r="BE231" s="26">
        <v>30.501999999999999</v>
      </c>
      <c r="BF231" s="26">
        <v>23.603000000000002</v>
      </c>
      <c r="BG231" s="26">
        <v>26.690999999999999</v>
      </c>
      <c r="BH231" s="26">
        <v>18.78</v>
      </c>
      <c r="BI231" s="26">
        <v>2.6594000000000002</v>
      </c>
      <c r="BJ231" s="26">
        <v>49.167000000000002</v>
      </c>
      <c r="BK231" s="26">
        <v>40.024000000000001</v>
      </c>
      <c r="BL231" s="26">
        <v>14.792</v>
      </c>
      <c r="BM231" s="26">
        <v>27.007000000000001</v>
      </c>
      <c r="BN231" s="26">
        <v>18.608000000000001</v>
      </c>
      <c r="BO231" s="26">
        <v>8.3015000000000008</v>
      </c>
      <c r="BP231" s="26">
        <v>15.787000000000001</v>
      </c>
      <c r="BQ231" s="26">
        <v>43.627000000000002</v>
      </c>
      <c r="BR231" s="26">
        <v>68.5</v>
      </c>
      <c r="BS231" s="26">
        <v>8.0554000000000006</v>
      </c>
      <c r="BT231" s="26">
        <v>10.645</v>
      </c>
      <c r="BU231" s="26">
        <v>1.7410000000000001</v>
      </c>
      <c r="BV231" s="26">
        <v>26.664999999999999</v>
      </c>
      <c r="BW231" s="26">
        <v>2.7320000000000002</v>
      </c>
      <c r="BX231" s="26">
        <v>0.90610999999999997</v>
      </c>
      <c r="BY231" s="26">
        <v>1.3363</v>
      </c>
      <c r="BZ231" s="26">
        <v>9.4955999999999996</v>
      </c>
      <c r="CA231" s="26">
        <v>15.236000000000001</v>
      </c>
      <c r="CB231" s="26">
        <v>53.75</v>
      </c>
      <c r="CC231" s="26">
        <v>28.134</v>
      </c>
      <c r="CD231" s="26">
        <v>16.134</v>
      </c>
      <c r="CE231" s="26">
        <v>15.355</v>
      </c>
      <c r="CF231" s="26">
        <v>31.774999999999999</v>
      </c>
      <c r="CG231" s="26">
        <v>22.413</v>
      </c>
      <c r="CH231" s="26">
        <v>43.470999999999997</v>
      </c>
      <c r="CI231" s="26">
        <v>42.914999999999999</v>
      </c>
      <c r="CJ231" s="26">
        <v>48.423000000000002</v>
      </c>
      <c r="CK231" s="26">
        <v>1.2746999999999999</v>
      </c>
      <c r="CL231" s="26">
        <v>27.966999999999999</v>
      </c>
      <c r="CM231" s="26">
        <v>26.853999999999999</v>
      </c>
      <c r="CN231" s="26">
        <v>8.9764999999999997</v>
      </c>
      <c r="CO231" s="26">
        <v>1.0064</v>
      </c>
      <c r="CP231" s="26">
        <v>42.805999999999997</v>
      </c>
      <c r="CQ231" s="26">
        <v>1.1434</v>
      </c>
      <c r="CR231" s="26">
        <v>36.418999999999997</v>
      </c>
      <c r="CS231" s="26">
        <v>8.2985000000000007</v>
      </c>
      <c r="CT231" s="26">
        <v>1.0326</v>
      </c>
      <c r="CU231" s="26">
        <v>6.2586000000000004</v>
      </c>
      <c r="CV231" s="26">
        <v>43.444000000000003</v>
      </c>
      <c r="CW231" s="26">
        <v>9.6510999999999996</v>
      </c>
      <c r="CX231" s="26">
        <v>40.045000000000002</v>
      </c>
      <c r="CY231" s="61"/>
      <c r="CZ231" s="537"/>
      <c r="DA231" s="61"/>
    </row>
    <row r="232" spans="1:16384">
      <c r="A232" s="279">
        <v>44713</v>
      </c>
      <c r="B232" s="26">
        <v>0.85721999999999998</v>
      </c>
      <c r="C232" s="26">
        <v>27.152999999999999</v>
      </c>
      <c r="D232" s="26">
        <v>25.645</v>
      </c>
      <c r="E232" s="26">
        <v>45.807000000000002</v>
      </c>
      <c r="F232" s="26">
        <v>27.716999999999999</v>
      </c>
      <c r="G232" s="26">
        <v>4.0195999999999996</v>
      </c>
      <c r="H232" s="26">
        <v>36.915999999999997</v>
      </c>
      <c r="I232" s="26">
        <v>56.616</v>
      </c>
      <c r="J232" s="26">
        <v>32.450000000000003</v>
      </c>
      <c r="K232" s="26">
        <v>15.195</v>
      </c>
      <c r="L232" s="26">
        <v>66.722999999999999</v>
      </c>
      <c r="M232" s="26">
        <v>15.134</v>
      </c>
      <c r="N232" s="26">
        <v>0.32340000000000002</v>
      </c>
      <c r="O232" s="26">
        <v>23.577000000000002</v>
      </c>
      <c r="P232" s="26">
        <v>0.92910999999999999</v>
      </c>
      <c r="Q232" s="26">
        <v>0.8569</v>
      </c>
      <c r="R232" s="26">
        <v>3.7187999999999999</v>
      </c>
      <c r="S232" s="26">
        <v>45.347000000000001</v>
      </c>
      <c r="T232" s="26">
        <v>25.22</v>
      </c>
      <c r="U232" s="26">
        <v>34.128999999999998</v>
      </c>
      <c r="V232" s="26">
        <v>2.4575999999999998</v>
      </c>
      <c r="W232" s="26">
        <v>15.917</v>
      </c>
      <c r="X232" s="26">
        <v>25.597000000000001</v>
      </c>
      <c r="Y232" s="26">
        <v>27.998000000000001</v>
      </c>
      <c r="Z232" s="26">
        <v>8.9129000000000005</v>
      </c>
      <c r="AA232" s="26">
        <v>7.4278000000000004</v>
      </c>
      <c r="AB232" s="26">
        <v>5.1562999999999999</v>
      </c>
      <c r="AC232" s="26">
        <v>25.292000000000002</v>
      </c>
      <c r="AD232" s="26">
        <v>15.07</v>
      </c>
      <c r="AE232" s="26">
        <v>2.6065999999999998</v>
      </c>
      <c r="AF232" s="26">
        <v>39.264000000000003</v>
      </c>
      <c r="AG232" s="26">
        <v>52.643000000000001</v>
      </c>
      <c r="AH232" s="26">
        <v>37.246000000000002</v>
      </c>
      <c r="AI232" s="26">
        <v>74.207999999999998</v>
      </c>
      <c r="AJ232" s="26">
        <v>34.146999999999998</v>
      </c>
      <c r="AK232" s="26">
        <v>22.248999999999999</v>
      </c>
      <c r="AL232" s="26">
        <v>1.6919999999999999</v>
      </c>
      <c r="AM232" s="26">
        <v>1.0402E-2</v>
      </c>
      <c r="AN232" s="26">
        <v>14.61</v>
      </c>
      <c r="AO232" s="26">
        <v>30.745000000000001</v>
      </c>
      <c r="AP232" s="26">
        <v>15.335000000000001</v>
      </c>
      <c r="AQ232" s="26">
        <v>27.815999999999999</v>
      </c>
      <c r="AR232" s="26">
        <v>22.670999999999999</v>
      </c>
      <c r="AS232" s="26">
        <v>15.5</v>
      </c>
      <c r="AT232" s="26">
        <v>11.332000000000001</v>
      </c>
      <c r="AU232" s="26">
        <v>24.783000000000001</v>
      </c>
      <c r="AV232" s="26">
        <v>34.369999999999997</v>
      </c>
      <c r="AW232" s="26">
        <v>39.198999999999998</v>
      </c>
      <c r="AX232" s="26">
        <v>15.007</v>
      </c>
      <c r="AY232" s="26">
        <v>33.841000000000001</v>
      </c>
      <c r="AZ232" s="26">
        <v>11.065</v>
      </c>
      <c r="BA232" s="26">
        <v>28.863</v>
      </c>
      <c r="BB232" s="26">
        <v>34.459000000000003</v>
      </c>
      <c r="BC232" s="26">
        <v>2.8894000000000002</v>
      </c>
      <c r="BD232" s="26">
        <v>15.362</v>
      </c>
      <c r="BE232" s="26">
        <v>34.521000000000001</v>
      </c>
      <c r="BF232" s="26">
        <v>14.946999999999999</v>
      </c>
      <c r="BG232" s="26">
        <v>32.183999999999997</v>
      </c>
      <c r="BH232" s="26">
        <v>14.68</v>
      </c>
      <c r="BI232" s="26">
        <v>0.85799000000000003</v>
      </c>
      <c r="BJ232" s="26">
        <v>46.085999999999999</v>
      </c>
      <c r="BK232" s="26">
        <v>42.69</v>
      </c>
      <c r="BL232" s="26">
        <v>7.4976000000000003</v>
      </c>
      <c r="BM232" s="26">
        <v>31.248000000000001</v>
      </c>
      <c r="BN232" s="26">
        <v>10.050000000000001</v>
      </c>
      <c r="BO232" s="26">
        <v>0.8569</v>
      </c>
      <c r="BP232" s="26">
        <v>28.373000000000001</v>
      </c>
      <c r="BQ232" s="26">
        <v>16.091999999999999</v>
      </c>
      <c r="BR232" s="26">
        <v>57.826000000000001</v>
      </c>
      <c r="BS232" s="26">
        <v>14.686</v>
      </c>
      <c r="BT232" s="26">
        <v>15.407</v>
      </c>
      <c r="BU232" s="26">
        <v>1.7313000000000001</v>
      </c>
      <c r="BV232" s="26">
        <v>29.893000000000001</v>
      </c>
      <c r="BW232" s="26">
        <v>0.85721999999999998</v>
      </c>
      <c r="BX232" s="26">
        <v>5.4704999999999997E-2</v>
      </c>
      <c r="BY232" s="26">
        <v>1.7755000000000001</v>
      </c>
      <c r="BZ232" s="26">
        <v>9.3161000000000005</v>
      </c>
      <c r="CA232" s="26">
        <v>8.9070999999999998</v>
      </c>
      <c r="CB232" s="26">
        <v>29.201000000000001</v>
      </c>
      <c r="CC232" s="26">
        <v>34.130000000000003</v>
      </c>
      <c r="CD232" s="26">
        <v>4.4206000000000003</v>
      </c>
      <c r="CE232" s="26">
        <v>14.79</v>
      </c>
      <c r="CF232" s="26">
        <v>39.838999999999999</v>
      </c>
      <c r="CG232" s="26">
        <v>14.656000000000001</v>
      </c>
      <c r="CH232" s="26">
        <v>42.746000000000002</v>
      </c>
      <c r="CI232" s="26">
        <v>34.969000000000001</v>
      </c>
      <c r="CJ232" s="26">
        <v>77.403999999999996</v>
      </c>
      <c r="CK232" s="26">
        <v>8.6212</v>
      </c>
      <c r="CL232" s="26">
        <v>36.905000000000001</v>
      </c>
      <c r="CM232" s="26">
        <v>30.645</v>
      </c>
      <c r="CN232" s="26">
        <v>3.5406</v>
      </c>
      <c r="CO232" s="26">
        <v>0</v>
      </c>
      <c r="CP232" s="26">
        <v>17.262</v>
      </c>
      <c r="CQ232" s="26">
        <v>0.85626999999999998</v>
      </c>
      <c r="CR232" s="26">
        <v>40.594000000000001</v>
      </c>
      <c r="CS232" s="26">
        <v>10.602</v>
      </c>
      <c r="CT232" s="26">
        <v>0.85590999999999995</v>
      </c>
      <c r="CU232" s="26">
        <v>9.2978000000000005</v>
      </c>
      <c r="CV232" s="26">
        <v>35.628999999999998</v>
      </c>
      <c r="CW232" s="26">
        <v>15.327</v>
      </c>
      <c r="CX232" s="26">
        <v>37.405000000000001</v>
      </c>
      <c r="CY232" s="61"/>
      <c r="CZ232" s="537"/>
      <c r="DA232" s="61"/>
    </row>
    <row r="233" spans="1:16384">
      <c r="A233" s="279">
        <v>44743</v>
      </c>
      <c r="B233" s="26">
        <v>0.53969</v>
      </c>
      <c r="C233" s="26">
        <v>21.428999999999998</v>
      </c>
      <c r="D233" s="26">
        <v>36.709000000000003</v>
      </c>
      <c r="E233" s="26">
        <v>37.194000000000003</v>
      </c>
      <c r="F233" s="26">
        <v>15.92</v>
      </c>
      <c r="G233" s="26">
        <v>4.4486999999999997</v>
      </c>
      <c r="H233" s="26">
        <v>12.558999999999999</v>
      </c>
      <c r="I233" s="26">
        <v>53.677</v>
      </c>
      <c r="J233" s="26">
        <v>29.158999999999999</v>
      </c>
      <c r="K233" s="26">
        <v>30.225000000000001</v>
      </c>
      <c r="L233" s="26">
        <v>35.936</v>
      </c>
      <c r="M233" s="26">
        <v>3.3704999999999998</v>
      </c>
      <c r="N233" s="26">
        <v>1.0377000000000001</v>
      </c>
      <c r="O233" s="26">
        <v>14.569000000000001</v>
      </c>
      <c r="P233" s="26">
        <v>4.2324000000000002</v>
      </c>
      <c r="Q233" s="26">
        <v>2.7633999999999999</v>
      </c>
      <c r="R233" s="26">
        <v>2.8043999999999998</v>
      </c>
      <c r="S233" s="26">
        <v>30.48</v>
      </c>
      <c r="T233" s="26">
        <v>25.119</v>
      </c>
      <c r="U233" s="26">
        <v>35.970999999999997</v>
      </c>
      <c r="V233" s="26">
        <v>14.959</v>
      </c>
      <c r="W233" s="26">
        <v>20.303999999999998</v>
      </c>
      <c r="X233" s="26">
        <v>33</v>
      </c>
      <c r="Y233" s="26">
        <v>36.337000000000003</v>
      </c>
      <c r="Z233" s="26">
        <v>8.6029999999999998</v>
      </c>
      <c r="AA233" s="26">
        <v>10.433</v>
      </c>
      <c r="AB233" s="26">
        <v>15.16</v>
      </c>
      <c r="AC233" s="26">
        <v>27.361999999999998</v>
      </c>
      <c r="AD233" s="26">
        <v>28.082999999999998</v>
      </c>
      <c r="AE233" s="26">
        <v>2.2682000000000002</v>
      </c>
      <c r="AF233" s="26">
        <v>42.889000000000003</v>
      </c>
      <c r="AG233" s="26">
        <v>55.552999999999997</v>
      </c>
      <c r="AH233" s="26">
        <v>50.040999999999997</v>
      </c>
      <c r="AI233" s="26">
        <v>75.221999999999994</v>
      </c>
      <c r="AJ233" s="26">
        <v>28.63</v>
      </c>
      <c r="AK233" s="26">
        <v>27.373999999999999</v>
      </c>
      <c r="AL233" s="26">
        <v>2.3249</v>
      </c>
      <c r="AM233" s="26">
        <v>1.1595</v>
      </c>
      <c r="AN233" s="26">
        <v>21.507000000000001</v>
      </c>
      <c r="AO233" s="26">
        <v>37.604999999999997</v>
      </c>
      <c r="AP233" s="26">
        <v>8.3449000000000009</v>
      </c>
      <c r="AQ233" s="26">
        <v>43.119</v>
      </c>
      <c r="AR233" s="26">
        <v>24.329000000000001</v>
      </c>
      <c r="AS233" s="26">
        <v>20.295999999999999</v>
      </c>
      <c r="AT233" s="26">
        <v>19.815000000000001</v>
      </c>
      <c r="AU233" s="26">
        <v>28.579000000000001</v>
      </c>
      <c r="AV233" s="26">
        <v>41.292999999999999</v>
      </c>
      <c r="AW233" s="26">
        <v>37.018999999999998</v>
      </c>
      <c r="AX233" s="26">
        <v>19.396000000000001</v>
      </c>
      <c r="AY233" s="26">
        <v>40.954000000000001</v>
      </c>
      <c r="AZ233" s="26">
        <v>9.0817999999999994</v>
      </c>
      <c r="BA233" s="26">
        <v>11.234999999999999</v>
      </c>
      <c r="BB233" s="26">
        <v>42.585000000000001</v>
      </c>
      <c r="BC233" s="26">
        <v>0.83050999999999997</v>
      </c>
      <c r="BD233" s="26">
        <v>21.443000000000001</v>
      </c>
      <c r="BE233" s="26">
        <v>43.737000000000002</v>
      </c>
      <c r="BF233" s="26">
        <v>24.239000000000001</v>
      </c>
      <c r="BG233" s="26">
        <v>45.47</v>
      </c>
      <c r="BH233" s="26">
        <v>16.888999999999999</v>
      </c>
      <c r="BI233" s="26">
        <v>1.1614</v>
      </c>
      <c r="BJ233" s="26">
        <v>44.963000000000001</v>
      </c>
      <c r="BK233" s="26">
        <v>34.368000000000002</v>
      </c>
      <c r="BL233" s="26">
        <v>2.927</v>
      </c>
      <c r="BM233" s="26">
        <v>21.731999999999999</v>
      </c>
      <c r="BN233" s="26">
        <v>3.3748</v>
      </c>
      <c r="BO233" s="26">
        <v>1.0502</v>
      </c>
      <c r="BP233" s="26">
        <v>42.77</v>
      </c>
      <c r="BQ233" s="26">
        <v>41.326999999999998</v>
      </c>
      <c r="BR233" s="26">
        <v>50.616</v>
      </c>
      <c r="BS233" s="26">
        <v>25.216999999999999</v>
      </c>
      <c r="BT233" s="26">
        <v>28.292999999999999</v>
      </c>
      <c r="BU233" s="26">
        <v>1.133</v>
      </c>
      <c r="BV233" s="26">
        <v>36.478000000000002</v>
      </c>
      <c r="BW233" s="26">
        <v>0.85592000000000001</v>
      </c>
      <c r="BX233" s="26">
        <v>0.79047000000000001</v>
      </c>
      <c r="BY233" s="26">
        <v>7.9543999999999997</v>
      </c>
      <c r="BZ233" s="26">
        <v>15.821999999999999</v>
      </c>
      <c r="CA233" s="26">
        <v>3.4457</v>
      </c>
      <c r="CB233" s="26">
        <v>12.725</v>
      </c>
      <c r="CC233" s="26">
        <v>25.568999999999999</v>
      </c>
      <c r="CD233" s="26">
        <v>12.323</v>
      </c>
      <c r="CE233" s="26">
        <v>21.294</v>
      </c>
      <c r="CF233" s="26">
        <v>42.963999999999999</v>
      </c>
      <c r="CG233" s="26">
        <v>19.385000000000002</v>
      </c>
      <c r="CH233" s="26">
        <v>48.375999999999998</v>
      </c>
      <c r="CI233" s="26">
        <v>43.491</v>
      </c>
      <c r="CJ233" s="26">
        <v>61.353999999999999</v>
      </c>
      <c r="CK233" s="26">
        <v>4.6177000000000001</v>
      </c>
      <c r="CL233" s="26">
        <v>27.335000000000001</v>
      </c>
      <c r="CM233" s="26">
        <v>19.672999999999998</v>
      </c>
      <c r="CN233" s="26">
        <v>3.1707000000000001</v>
      </c>
      <c r="CO233" s="26">
        <v>9.0010999999999997E-3</v>
      </c>
      <c r="CP233" s="26">
        <v>12.007</v>
      </c>
      <c r="CQ233" s="26">
        <v>0.85282000000000002</v>
      </c>
      <c r="CR233" s="26">
        <v>25.718</v>
      </c>
      <c r="CS233" s="26">
        <v>17.600999999999999</v>
      </c>
      <c r="CT233" s="26">
        <v>1.0159</v>
      </c>
      <c r="CU233" s="26">
        <v>20.178999999999998</v>
      </c>
      <c r="CV233" s="26">
        <v>37.527999999999999</v>
      </c>
      <c r="CW233" s="26">
        <v>23.808</v>
      </c>
      <c r="CX233" s="26">
        <v>38.018999999999998</v>
      </c>
      <c r="CY233" s="61"/>
      <c r="CZ233" s="537"/>
      <c r="DA233" s="61"/>
    </row>
    <row r="234" spans="1:16384">
      <c r="A234" s="279">
        <v>44774</v>
      </c>
      <c r="B234" s="26">
        <v>0.53969</v>
      </c>
      <c r="C234" s="26">
        <v>34.595999999999997</v>
      </c>
      <c r="D234" s="26">
        <v>34.893000000000001</v>
      </c>
      <c r="E234" s="26">
        <v>32.853999999999999</v>
      </c>
      <c r="F234" s="26">
        <v>34.320999999999998</v>
      </c>
      <c r="G234" s="26">
        <v>9.1598000000000006</v>
      </c>
      <c r="H234" s="26">
        <v>32.29</v>
      </c>
      <c r="I234" s="26">
        <v>46.003</v>
      </c>
      <c r="J234" s="26">
        <v>22.018000000000001</v>
      </c>
      <c r="K234" s="26">
        <v>30.071999999999999</v>
      </c>
      <c r="L234" s="26">
        <v>21.849</v>
      </c>
      <c r="M234" s="26">
        <v>1.7146999999999999</v>
      </c>
      <c r="N234" s="26">
        <v>1.2118</v>
      </c>
      <c r="O234" s="26">
        <v>18.297999999999998</v>
      </c>
      <c r="P234" s="26">
        <v>1.21</v>
      </c>
      <c r="Q234" s="26">
        <v>4.718</v>
      </c>
      <c r="R234" s="26">
        <v>4.5255999999999998</v>
      </c>
      <c r="S234" s="26">
        <v>32.637</v>
      </c>
      <c r="T234" s="26">
        <v>22.323</v>
      </c>
      <c r="U234" s="26">
        <v>41.738999999999997</v>
      </c>
      <c r="V234" s="26">
        <v>13.21</v>
      </c>
      <c r="W234" s="26">
        <v>24.568000000000001</v>
      </c>
      <c r="X234" s="26">
        <v>34.125999999999998</v>
      </c>
      <c r="Y234" s="26">
        <v>35.045000000000002</v>
      </c>
      <c r="Z234" s="26">
        <v>13.169</v>
      </c>
      <c r="AA234" s="26">
        <v>1.4077</v>
      </c>
      <c r="AB234" s="26">
        <v>22.558</v>
      </c>
      <c r="AC234" s="26">
        <v>41.514000000000003</v>
      </c>
      <c r="AD234" s="26">
        <v>34.063000000000002</v>
      </c>
      <c r="AE234" s="26">
        <v>5.9081999999999999</v>
      </c>
      <c r="AF234" s="26">
        <v>35.695</v>
      </c>
      <c r="AG234" s="26">
        <v>50.86</v>
      </c>
      <c r="AH234" s="26">
        <v>53.868000000000002</v>
      </c>
      <c r="AI234" s="26">
        <v>33.473999999999997</v>
      </c>
      <c r="AJ234" s="26">
        <v>43.396000000000001</v>
      </c>
      <c r="AK234" s="26">
        <v>26.885000000000002</v>
      </c>
      <c r="AL234" s="26">
        <v>1.5697000000000001</v>
      </c>
      <c r="AM234" s="26">
        <v>5.6684000000000001</v>
      </c>
      <c r="AN234" s="26">
        <v>17.486999999999998</v>
      </c>
      <c r="AO234" s="26">
        <v>34.771000000000001</v>
      </c>
      <c r="AP234" s="26">
        <v>6.9212999999999996</v>
      </c>
      <c r="AQ234" s="26">
        <v>48.241999999999997</v>
      </c>
      <c r="AR234" s="26">
        <v>24.841000000000001</v>
      </c>
      <c r="AS234" s="26">
        <v>34.354999999999997</v>
      </c>
      <c r="AT234" s="26">
        <v>21.341999999999999</v>
      </c>
      <c r="AU234" s="26">
        <v>33.488999999999997</v>
      </c>
      <c r="AV234" s="26">
        <v>44.058</v>
      </c>
      <c r="AW234" s="26">
        <v>34.555999999999997</v>
      </c>
      <c r="AX234" s="26">
        <v>9.1763999999999992</v>
      </c>
      <c r="AY234" s="26">
        <v>43.204999999999998</v>
      </c>
      <c r="AZ234" s="26">
        <v>14.154</v>
      </c>
      <c r="BA234" s="26">
        <v>16.378</v>
      </c>
      <c r="BB234" s="26">
        <v>41.975000000000001</v>
      </c>
      <c r="BC234" s="26">
        <v>0.82508999999999999</v>
      </c>
      <c r="BD234" s="26">
        <v>22.574999999999999</v>
      </c>
      <c r="BE234" s="26">
        <v>45.554000000000002</v>
      </c>
      <c r="BF234" s="26">
        <v>42.241999999999997</v>
      </c>
      <c r="BG234" s="26">
        <v>57.414999999999999</v>
      </c>
      <c r="BH234" s="26">
        <v>31.853000000000002</v>
      </c>
      <c r="BI234" s="26">
        <v>0.90925999999999996</v>
      </c>
      <c r="BJ234" s="26">
        <v>34.502000000000002</v>
      </c>
      <c r="BK234" s="26">
        <v>43.396000000000001</v>
      </c>
      <c r="BL234" s="26">
        <v>13.407999999999999</v>
      </c>
      <c r="BM234" s="26">
        <v>33.305</v>
      </c>
      <c r="BN234" s="26">
        <v>5.0426000000000002</v>
      </c>
      <c r="BO234" s="26">
        <v>0.85690999999999995</v>
      </c>
      <c r="BP234" s="26">
        <v>22.725000000000001</v>
      </c>
      <c r="BQ234" s="26">
        <v>42.746000000000002</v>
      </c>
      <c r="BR234" s="26">
        <v>56.280999999999999</v>
      </c>
      <c r="BS234" s="26">
        <v>21.099</v>
      </c>
      <c r="BT234" s="26">
        <v>42.685000000000002</v>
      </c>
      <c r="BU234" s="26">
        <v>0.87143999999999999</v>
      </c>
      <c r="BV234" s="26">
        <v>44.704999999999998</v>
      </c>
      <c r="BW234" s="26">
        <v>0.85799999999999998</v>
      </c>
      <c r="BX234" s="26">
        <v>1.3694999999999999</v>
      </c>
      <c r="BY234" s="26">
        <v>7.0171000000000001</v>
      </c>
      <c r="BZ234" s="26">
        <v>22.08</v>
      </c>
      <c r="CA234" s="26">
        <v>7.9950999999999999</v>
      </c>
      <c r="CB234" s="26">
        <v>6.1432000000000002</v>
      </c>
      <c r="CC234" s="26">
        <v>34.654000000000003</v>
      </c>
      <c r="CD234" s="26">
        <v>21.1</v>
      </c>
      <c r="CE234" s="26">
        <v>14.178000000000001</v>
      </c>
      <c r="CF234" s="26">
        <v>35.668999999999997</v>
      </c>
      <c r="CG234" s="26">
        <v>32.463999999999999</v>
      </c>
      <c r="CH234" s="26">
        <v>47.088999999999999</v>
      </c>
      <c r="CI234" s="26">
        <v>36.322000000000003</v>
      </c>
      <c r="CJ234" s="26">
        <v>78.100999999999999</v>
      </c>
      <c r="CK234" s="26">
        <v>1.7244999999999999</v>
      </c>
      <c r="CL234" s="26">
        <v>34.627000000000002</v>
      </c>
      <c r="CM234" s="26">
        <v>21.47</v>
      </c>
      <c r="CN234" s="26">
        <v>3.9588000000000001</v>
      </c>
      <c r="CO234" s="26">
        <v>1.1166</v>
      </c>
      <c r="CP234" s="26">
        <v>21.242999999999999</v>
      </c>
      <c r="CQ234" s="26">
        <v>1.0276000000000001</v>
      </c>
      <c r="CR234" s="26">
        <v>41.866999999999997</v>
      </c>
      <c r="CS234" s="26">
        <v>22.126000000000001</v>
      </c>
      <c r="CT234" s="26">
        <v>0.88429000000000002</v>
      </c>
      <c r="CU234" s="26">
        <v>13.632999999999999</v>
      </c>
      <c r="CV234" s="26">
        <v>42.353999999999999</v>
      </c>
      <c r="CW234" s="26">
        <v>34.411000000000001</v>
      </c>
      <c r="CX234" s="26">
        <v>38.293999999999997</v>
      </c>
      <c r="CY234" s="61"/>
      <c r="CZ234" s="537"/>
      <c r="DA234" s="61"/>
    </row>
    <row r="235" spans="1:16384">
      <c r="A235" s="279">
        <v>44805</v>
      </c>
      <c r="B235" s="26">
        <v>0.61429999999999996</v>
      </c>
      <c r="C235" s="26">
        <v>28.375</v>
      </c>
      <c r="D235" s="26">
        <v>26.73</v>
      </c>
      <c r="E235" s="26">
        <v>43.457000000000001</v>
      </c>
      <c r="F235" s="26">
        <v>43.097999999999999</v>
      </c>
      <c r="G235" s="26">
        <v>15.041</v>
      </c>
      <c r="H235" s="26">
        <v>25.971</v>
      </c>
      <c r="I235" s="26">
        <v>49.286000000000001</v>
      </c>
      <c r="J235" s="26">
        <v>30.751000000000001</v>
      </c>
      <c r="K235" s="26">
        <v>42.421999999999997</v>
      </c>
      <c r="L235" s="26">
        <v>28.457999999999998</v>
      </c>
      <c r="M235" s="26">
        <v>12.827999999999999</v>
      </c>
      <c r="N235" s="26">
        <v>13.768000000000001</v>
      </c>
      <c r="O235" s="26">
        <v>28.303999999999998</v>
      </c>
      <c r="P235" s="26">
        <v>11.569000000000001</v>
      </c>
      <c r="Q235" s="26">
        <v>0.86577999999999999</v>
      </c>
      <c r="R235" s="26">
        <v>6.7625999999999999</v>
      </c>
      <c r="S235" s="26">
        <v>40.445</v>
      </c>
      <c r="T235" s="26">
        <v>21.965</v>
      </c>
      <c r="U235" s="26">
        <v>28.989000000000001</v>
      </c>
      <c r="V235" s="26">
        <v>9.8286999999999995</v>
      </c>
      <c r="W235" s="26">
        <v>19.562000000000001</v>
      </c>
      <c r="X235" s="26">
        <v>27.033999999999999</v>
      </c>
      <c r="Y235" s="26">
        <v>27.111000000000001</v>
      </c>
      <c r="Z235" s="26">
        <v>19.619</v>
      </c>
      <c r="AA235" s="26">
        <v>0.85590999999999995</v>
      </c>
      <c r="AB235" s="26">
        <v>27.687000000000001</v>
      </c>
      <c r="AC235" s="26">
        <v>44.122</v>
      </c>
      <c r="AD235" s="26">
        <v>18.768000000000001</v>
      </c>
      <c r="AE235" s="26">
        <v>7.5141</v>
      </c>
      <c r="AF235" s="26">
        <v>37.136000000000003</v>
      </c>
      <c r="AG235" s="26">
        <v>61.353999999999999</v>
      </c>
      <c r="AH235" s="26">
        <v>47.780999999999999</v>
      </c>
      <c r="AI235" s="26">
        <v>42.927</v>
      </c>
      <c r="AJ235" s="26">
        <v>44.526000000000003</v>
      </c>
      <c r="AK235" s="26">
        <v>35.244</v>
      </c>
      <c r="AL235" s="26">
        <v>4.8052000000000001</v>
      </c>
      <c r="AM235" s="26">
        <v>1.6779999999999999</v>
      </c>
      <c r="AN235" s="26">
        <v>21.303999999999998</v>
      </c>
      <c r="AO235" s="26">
        <v>48.472000000000001</v>
      </c>
      <c r="AP235" s="26">
        <v>19.329000000000001</v>
      </c>
      <c r="AQ235" s="26">
        <v>39.158999999999999</v>
      </c>
      <c r="AR235" s="26">
        <v>12.867000000000001</v>
      </c>
      <c r="AS235" s="26">
        <v>45.929000000000002</v>
      </c>
      <c r="AT235" s="26">
        <v>21.225999999999999</v>
      </c>
      <c r="AU235" s="26">
        <v>42.72</v>
      </c>
      <c r="AV235" s="26">
        <v>42.152000000000001</v>
      </c>
      <c r="AW235" s="26">
        <v>44.185000000000002</v>
      </c>
      <c r="AX235" s="26">
        <v>7.0343999999999998</v>
      </c>
      <c r="AY235" s="26">
        <v>44.994999999999997</v>
      </c>
      <c r="AZ235" s="26">
        <v>14.58</v>
      </c>
      <c r="BA235" s="26">
        <v>27.079000000000001</v>
      </c>
      <c r="BB235" s="26">
        <v>43.618000000000002</v>
      </c>
      <c r="BC235" s="26">
        <v>0.70479999999999998</v>
      </c>
      <c r="BD235" s="26">
        <v>27.027000000000001</v>
      </c>
      <c r="BE235" s="26">
        <v>56.616</v>
      </c>
      <c r="BF235" s="26">
        <v>44.414999999999999</v>
      </c>
      <c r="BG235" s="26">
        <v>77.066000000000003</v>
      </c>
      <c r="BH235" s="26">
        <v>28.321999999999999</v>
      </c>
      <c r="BI235" s="26">
        <v>0.86577999999999999</v>
      </c>
      <c r="BJ235" s="26">
        <v>30.254999999999999</v>
      </c>
      <c r="BK235" s="26">
        <v>78.798000000000002</v>
      </c>
      <c r="BL235" s="26">
        <v>0.84726999999999997</v>
      </c>
      <c r="BM235" s="26">
        <v>28.672999999999998</v>
      </c>
      <c r="BN235" s="26">
        <v>13.872</v>
      </c>
      <c r="BO235" s="26">
        <v>1.0138</v>
      </c>
      <c r="BP235" s="26">
        <v>30.670999999999999</v>
      </c>
      <c r="BQ235" s="26">
        <v>44.622</v>
      </c>
      <c r="BR235" s="26">
        <v>61.353999999999999</v>
      </c>
      <c r="BS235" s="26">
        <v>20.096</v>
      </c>
      <c r="BT235" s="26">
        <v>42.765000000000001</v>
      </c>
      <c r="BU235" s="26">
        <v>0.83928000000000003</v>
      </c>
      <c r="BV235" s="26">
        <v>45.345999999999997</v>
      </c>
      <c r="BW235" s="26">
        <v>0.84896000000000005</v>
      </c>
      <c r="BX235" s="26">
        <v>1.2907</v>
      </c>
      <c r="BY235" s="26">
        <v>10.058999999999999</v>
      </c>
      <c r="BZ235" s="26">
        <v>19.786999999999999</v>
      </c>
      <c r="CA235" s="26">
        <v>11.481999999999999</v>
      </c>
      <c r="CB235" s="26">
        <v>11.342000000000001</v>
      </c>
      <c r="CC235" s="26">
        <v>30.163</v>
      </c>
      <c r="CD235" s="26">
        <v>27.555</v>
      </c>
      <c r="CE235" s="26">
        <v>25.431999999999999</v>
      </c>
      <c r="CF235" s="26">
        <v>27.295999999999999</v>
      </c>
      <c r="CG235" s="26">
        <v>42.5</v>
      </c>
      <c r="CH235" s="26">
        <v>48.662999999999997</v>
      </c>
      <c r="CI235" s="26">
        <v>49.951999999999998</v>
      </c>
      <c r="CJ235" s="26">
        <v>83.861000000000004</v>
      </c>
      <c r="CK235" s="26">
        <v>2.0851000000000002</v>
      </c>
      <c r="CL235" s="26">
        <v>14.007</v>
      </c>
      <c r="CM235" s="26">
        <v>20.245000000000001</v>
      </c>
      <c r="CN235" s="26">
        <v>1.1987000000000001</v>
      </c>
      <c r="CO235" s="26">
        <v>3.3372000000000002</v>
      </c>
      <c r="CP235" s="26">
        <v>21.276</v>
      </c>
      <c r="CQ235" s="26">
        <v>0.82730999999999999</v>
      </c>
      <c r="CR235" s="26">
        <v>36.561</v>
      </c>
      <c r="CS235" s="26">
        <v>42.807000000000002</v>
      </c>
      <c r="CT235" s="26">
        <v>0.81118999999999997</v>
      </c>
      <c r="CU235" s="26">
        <v>11.337999999999999</v>
      </c>
      <c r="CV235" s="26">
        <v>44.884999999999998</v>
      </c>
      <c r="CW235" s="26">
        <v>44.445999999999998</v>
      </c>
      <c r="CX235" s="26">
        <v>40.435000000000002</v>
      </c>
      <c r="CY235" s="61"/>
      <c r="CZ235" s="537"/>
      <c r="DA235" s="61"/>
    </row>
    <row r="236" spans="1:16384">
      <c r="A236" s="279">
        <v>44835</v>
      </c>
      <c r="B236" s="26">
        <v>0.85592000000000001</v>
      </c>
      <c r="C236" s="26">
        <v>47.387999999999998</v>
      </c>
      <c r="D236" s="26">
        <v>33.4</v>
      </c>
      <c r="E236" s="26">
        <v>47.712000000000003</v>
      </c>
      <c r="F236" s="26">
        <v>23.463000000000001</v>
      </c>
      <c r="G236" s="26">
        <v>21.266999999999999</v>
      </c>
      <c r="H236" s="26">
        <v>22.824000000000002</v>
      </c>
      <c r="I236" s="26">
        <v>47.387</v>
      </c>
      <c r="J236" s="26">
        <v>42.701000000000001</v>
      </c>
      <c r="K236" s="26">
        <v>43.448</v>
      </c>
      <c r="L236" s="26">
        <v>33.667000000000002</v>
      </c>
      <c r="M236" s="26">
        <v>18.492999999999999</v>
      </c>
      <c r="N236" s="26">
        <v>22.042000000000002</v>
      </c>
      <c r="O236" s="26">
        <v>42.701999999999998</v>
      </c>
      <c r="P236" s="26">
        <v>22.163</v>
      </c>
      <c r="Q236" s="26">
        <v>1.4029</v>
      </c>
      <c r="R236" s="26">
        <v>12.162000000000001</v>
      </c>
      <c r="S236" s="26">
        <v>44.237000000000002</v>
      </c>
      <c r="T236" s="26">
        <v>12.504</v>
      </c>
      <c r="U236" s="26">
        <v>35.104999999999997</v>
      </c>
      <c r="V236" s="26">
        <v>1.2069000000000001</v>
      </c>
      <c r="W236" s="26">
        <v>17.053999999999998</v>
      </c>
      <c r="X236" s="26">
        <v>23.091000000000001</v>
      </c>
      <c r="Y236" s="26">
        <v>33.380000000000003</v>
      </c>
      <c r="Z236" s="26">
        <v>17.971</v>
      </c>
      <c r="AA236" s="26">
        <v>11.734</v>
      </c>
      <c r="AB236" s="26">
        <v>37.286000000000001</v>
      </c>
      <c r="AC236" s="26">
        <v>36.555</v>
      </c>
      <c r="AD236" s="26">
        <v>17.353999999999999</v>
      </c>
      <c r="AE236" s="26">
        <v>12.082000000000001</v>
      </c>
      <c r="AF236" s="26">
        <v>44.741999999999997</v>
      </c>
      <c r="AG236" s="26">
        <v>58.49</v>
      </c>
      <c r="AH236" s="26">
        <v>32.765000000000001</v>
      </c>
      <c r="AI236" s="26">
        <v>30.823</v>
      </c>
      <c r="AJ236" s="26">
        <v>43.418999999999997</v>
      </c>
      <c r="AK236" s="26">
        <v>18.213999999999999</v>
      </c>
      <c r="AL236" s="26">
        <v>1.5369999999999999</v>
      </c>
      <c r="AM236" s="26">
        <v>0.97472000000000003</v>
      </c>
      <c r="AN236" s="26">
        <v>31.786000000000001</v>
      </c>
      <c r="AO236" s="26">
        <v>47.920999999999999</v>
      </c>
      <c r="AP236" s="26">
        <v>35.424999999999997</v>
      </c>
      <c r="AQ236" s="26">
        <v>34.036000000000001</v>
      </c>
      <c r="AR236" s="26">
        <v>18.731999999999999</v>
      </c>
      <c r="AS236" s="26">
        <v>47.874000000000002</v>
      </c>
      <c r="AT236" s="26">
        <v>33.720999999999997</v>
      </c>
      <c r="AU236" s="26">
        <v>46.265000000000001</v>
      </c>
      <c r="AV236" s="26">
        <v>46.174999999999997</v>
      </c>
      <c r="AW236" s="26">
        <v>47.871000000000002</v>
      </c>
      <c r="AX236" s="26">
        <v>22.224</v>
      </c>
      <c r="AY236" s="26">
        <v>48.411999999999999</v>
      </c>
      <c r="AZ236" s="26">
        <v>22.216999999999999</v>
      </c>
      <c r="BA236" s="26">
        <v>23.056999999999999</v>
      </c>
      <c r="BB236" s="26">
        <v>46.055999999999997</v>
      </c>
      <c r="BC236" s="26">
        <v>0.85043000000000002</v>
      </c>
      <c r="BD236" s="26">
        <v>36.700000000000003</v>
      </c>
      <c r="BE236" s="26">
        <v>49.298999999999999</v>
      </c>
      <c r="BF236" s="26">
        <v>47.685000000000002</v>
      </c>
      <c r="BG236" s="26">
        <v>43.098999999999997</v>
      </c>
      <c r="BH236" s="26">
        <v>23.016999999999999</v>
      </c>
      <c r="BI236" s="26">
        <v>2.5508999999999999</v>
      </c>
      <c r="BJ236" s="26">
        <v>12.233000000000001</v>
      </c>
      <c r="BK236" s="26">
        <v>69.325000000000003</v>
      </c>
      <c r="BL236" s="26">
        <v>1.5483</v>
      </c>
      <c r="BM236" s="26">
        <v>37.482999999999997</v>
      </c>
      <c r="BN236" s="26">
        <v>2.5825</v>
      </c>
      <c r="BO236" s="26">
        <v>1.0326</v>
      </c>
      <c r="BP236" s="26">
        <v>35.726999999999997</v>
      </c>
      <c r="BQ236" s="26">
        <v>46.447000000000003</v>
      </c>
      <c r="BR236" s="26">
        <v>56.67</v>
      </c>
      <c r="BS236" s="26">
        <v>18.010000000000002</v>
      </c>
      <c r="BT236" s="26">
        <v>42.902999999999999</v>
      </c>
      <c r="BU236" s="26">
        <v>0.85723000000000005</v>
      </c>
      <c r="BV236" s="26">
        <v>48.595999999999997</v>
      </c>
      <c r="BW236" s="26">
        <v>0.85592000000000001</v>
      </c>
      <c r="BX236" s="26">
        <v>0.85799999999999998</v>
      </c>
      <c r="BY236" s="26">
        <v>2.0175000000000001</v>
      </c>
      <c r="BZ236" s="26">
        <v>22.585000000000001</v>
      </c>
      <c r="CA236" s="26">
        <v>22.422000000000001</v>
      </c>
      <c r="CB236" s="26">
        <v>21.73</v>
      </c>
      <c r="CC236" s="26">
        <v>37.005000000000003</v>
      </c>
      <c r="CD236" s="26">
        <v>18.484000000000002</v>
      </c>
      <c r="CE236" s="26">
        <v>22.882999999999999</v>
      </c>
      <c r="CF236" s="26">
        <v>37.070999999999998</v>
      </c>
      <c r="CG236" s="26">
        <v>45.51</v>
      </c>
      <c r="CH236" s="26">
        <v>38.646999999999998</v>
      </c>
      <c r="CI236" s="26">
        <v>47.119</v>
      </c>
      <c r="CJ236" s="26">
        <v>60.911000000000001</v>
      </c>
      <c r="CK236" s="26">
        <v>1.7090000000000001</v>
      </c>
      <c r="CL236" s="26">
        <v>12.163</v>
      </c>
      <c r="CM236" s="26">
        <v>17.791</v>
      </c>
      <c r="CN236" s="26">
        <v>1.0657000000000001</v>
      </c>
      <c r="CO236" s="26">
        <v>7.6448</v>
      </c>
      <c r="CP236" s="26">
        <v>24.367000000000001</v>
      </c>
      <c r="CQ236" s="26">
        <v>0.86578999999999995</v>
      </c>
      <c r="CR236" s="26">
        <v>46.405999999999999</v>
      </c>
      <c r="CS236" s="26">
        <v>46.835999999999999</v>
      </c>
      <c r="CT236" s="26">
        <v>1.0326</v>
      </c>
      <c r="CU236" s="26">
        <v>16.204999999999998</v>
      </c>
      <c r="CV236" s="26">
        <v>42.783999999999999</v>
      </c>
      <c r="CW236" s="26">
        <v>47.436999999999998</v>
      </c>
      <c r="CX236" s="26">
        <v>39.706000000000003</v>
      </c>
      <c r="CY236" s="61"/>
      <c r="CZ236" s="537"/>
      <c r="DA236" s="61"/>
    </row>
    <row r="237" spans="1:16384">
      <c r="A237" s="279">
        <v>44866</v>
      </c>
      <c r="B237" s="26">
        <v>0.86638999999999999</v>
      </c>
      <c r="C237" s="26">
        <v>48.685000000000002</v>
      </c>
      <c r="D237" s="26">
        <v>21.459</v>
      </c>
      <c r="E237" s="26">
        <v>57.12</v>
      </c>
      <c r="F237" s="26">
        <v>29.157</v>
      </c>
      <c r="G237" s="26">
        <v>27.638999999999999</v>
      </c>
      <c r="H237" s="26">
        <v>22.672000000000001</v>
      </c>
      <c r="I237" s="26">
        <v>47.186999999999998</v>
      </c>
      <c r="J237" s="26">
        <v>44.125999999999998</v>
      </c>
      <c r="K237" s="26">
        <v>44.271999999999998</v>
      </c>
      <c r="L237" s="26">
        <v>36.912999999999997</v>
      </c>
      <c r="M237" s="26">
        <v>28.815999999999999</v>
      </c>
      <c r="N237" s="26">
        <v>28.43</v>
      </c>
      <c r="O237" s="26">
        <v>54.415999999999997</v>
      </c>
      <c r="P237" s="26">
        <v>21.273</v>
      </c>
      <c r="Q237" s="26">
        <v>0.9032</v>
      </c>
      <c r="R237" s="26">
        <v>7.6802000000000001</v>
      </c>
      <c r="S237" s="26">
        <v>56.228000000000002</v>
      </c>
      <c r="T237" s="26">
        <v>17.847999999999999</v>
      </c>
      <c r="U237" s="26">
        <v>56.616</v>
      </c>
      <c r="V237" s="26">
        <v>0.98114999999999997</v>
      </c>
      <c r="W237" s="26">
        <v>13.238</v>
      </c>
      <c r="X237" s="26">
        <v>8.1288</v>
      </c>
      <c r="Y237" s="26">
        <v>44.426000000000002</v>
      </c>
      <c r="Z237" s="26">
        <v>12.358000000000001</v>
      </c>
      <c r="AA237" s="26">
        <v>15.177</v>
      </c>
      <c r="AB237" s="26">
        <v>30.074999999999999</v>
      </c>
      <c r="AC237" s="26">
        <v>30.875</v>
      </c>
      <c r="AD237" s="26">
        <v>13.457000000000001</v>
      </c>
      <c r="AE237" s="26">
        <v>17.626999999999999</v>
      </c>
      <c r="AF237" s="26">
        <v>52.79</v>
      </c>
      <c r="AG237" s="26">
        <v>63.670999999999999</v>
      </c>
      <c r="AH237" s="26">
        <v>37.029000000000003</v>
      </c>
      <c r="AI237" s="26">
        <v>36.140999999999998</v>
      </c>
      <c r="AJ237" s="26">
        <v>29.463999999999999</v>
      </c>
      <c r="AK237" s="26">
        <v>43.037999999999997</v>
      </c>
      <c r="AL237" s="26">
        <v>8.0298999999999996</v>
      </c>
      <c r="AM237" s="26">
        <v>0.86638999999999999</v>
      </c>
      <c r="AN237" s="26">
        <v>46.529000000000003</v>
      </c>
      <c r="AO237" s="26">
        <v>52.429000000000002</v>
      </c>
      <c r="AP237" s="26">
        <v>28.468</v>
      </c>
      <c r="AQ237" s="26">
        <v>26.19</v>
      </c>
      <c r="AR237" s="26">
        <v>19.242000000000001</v>
      </c>
      <c r="AS237" s="26">
        <v>53.04</v>
      </c>
      <c r="AT237" s="26">
        <v>46.820999999999998</v>
      </c>
      <c r="AU237" s="26">
        <v>53.43</v>
      </c>
      <c r="AV237" s="26">
        <v>52.7</v>
      </c>
      <c r="AW237" s="26">
        <v>55.58</v>
      </c>
      <c r="AX237" s="26">
        <v>28.826000000000001</v>
      </c>
      <c r="AY237" s="26">
        <v>57.201000000000001</v>
      </c>
      <c r="AZ237" s="26">
        <v>44.356000000000002</v>
      </c>
      <c r="BA237" s="26">
        <v>35.323</v>
      </c>
      <c r="BB237" s="26">
        <v>43.613</v>
      </c>
      <c r="BC237" s="26">
        <v>16.303999999999998</v>
      </c>
      <c r="BD237" s="26">
        <v>45.198</v>
      </c>
      <c r="BE237" s="26">
        <v>52.573999999999998</v>
      </c>
      <c r="BF237" s="26">
        <v>53.779000000000003</v>
      </c>
      <c r="BG237" s="26">
        <v>45.968000000000004</v>
      </c>
      <c r="BH237" s="26">
        <v>44.517000000000003</v>
      </c>
      <c r="BI237" s="26">
        <v>2.8548</v>
      </c>
      <c r="BJ237" s="26">
        <v>21.788</v>
      </c>
      <c r="BK237" s="26">
        <v>68.352000000000004</v>
      </c>
      <c r="BL237" s="26">
        <v>12.707000000000001</v>
      </c>
      <c r="BM237" s="26">
        <v>43.627000000000002</v>
      </c>
      <c r="BN237" s="26">
        <v>14.753</v>
      </c>
      <c r="BO237" s="26">
        <v>1.0325</v>
      </c>
      <c r="BP237" s="26">
        <v>56.616</v>
      </c>
      <c r="BQ237" s="26">
        <v>55.637999999999998</v>
      </c>
      <c r="BR237" s="26">
        <v>60.725999999999999</v>
      </c>
      <c r="BS237" s="26">
        <v>42.746000000000002</v>
      </c>
      <c r="BT237" s="26">
        <v>52.177999999999997</v>
      </c>
      <c r="BU237" s="26">
        <v>0.9032</v>
      </c>
      <c r="BV237" s="26">
        <v>59.21</v>
      </c>
      <c r="BW237" s="26">
        <v>0.86638999999999999</v>
      </c>
      <c r="BX237" s="26">
        <v>0.86638999999999999</v>
      </c>
      <c r="BY237" s="26">
        <v>11.739000000000001</v>
      </c>
      <c r="BZ237" s="26">
        <v>27.43</v>
      </c>
      <c r="CA237" s="26">
        <v>21.478999999999999</v>
      </c>
      <c r="CB237" s="26">
        <v>29.303999999999998</v>
      </c>
      <c r="CC237" s="26">
        <v>47.207000000000001</v>
      </c>
      <c r="CD237" s="26">
        <v>28.966000000000001</v>
      </c>
      <c r="CE237" s="26">
        <v>43.366</v>
      </c>
      <c r="CF237" s="26">
        <v>44.92</v>
      </c>
      <c r="CG237" s="26">
        <v>43.588999999999999</v>
      </c>
      <c r="CH237" s="26">
        <v>10.952999999999999</v>
      </c>
      <c r="CI237" s="26">
        <v>47.649000000000001</v>
      </c>
      <c r="CJ237" s="26">
        <v>66.046999999999997</v>
      </c>
      <c r="CK237" s="26">
        <v>13.305999999999999</v>
      </c>
      <c r="CL237" s="26">
        <v>13.614000000000001</v>
      </c>
      <c r="CM237" s="26">
        <v>29.367999999999999</v>
      </c>
      <c r="CN237" s="26">
        <v>0.86638999999999999</v>
      </c>
      <c r="CO237" s="26">
        <v>16.126999999999999</v>
      </c>
      <c r="CP237" s="26">
        <v>45.915999999999997</v>
      </c>
      <c r="CQ237" s="26">
        <v>0.86638999999999999</v>
      </c>
      <c r="CR237" s="26">
        <v>52.277999999999999</v>
      </c>
      <c r="CS237" s="26">
        <v>51.081000000000003</v>
      </c>
      <c r="CT237" s="26">
        <v>1.0325</v>
      </c>
      <c r="CU237" s="26">
        <v>13.268000000000001</v>
      </c>
      <c r="CV237" s="26">
        <v>53.408999999999999</v>
      </c>
      <c r="CW237" s="26">
        <v>60.725999999999999</v>
      </c>
      <c r="CX237" s="26">
        <v>42.061</v>
      </c>
      <c r="CY237" s="61"/>
      <c r="CZ237" s="537"/>
      <c r="DA237" s="61"/>
    </row>
    <row r="238" spans="1:16384">
      <c r="A238" s="279">
        <v>44896</v>
      </c>
      <c r="B238" s="26">
        <v>5.9617000000000004</v>
      </c>
      <c r="C238" s="26">
        <v>42.765000000000001</v>
      </c>
      <c r="D238" s="26">
        <v>37.527000000000001</v>
      </c>
      <c r="E238" s="26">
        <v>71.286000000000001</v>
      </c>
      <c r="F238" s="26">
        <v>20.713999999999999</v>
      </c>
      <c r="G238" s="26">
        <v>37.616</v>
      </c>
      <c r="H238" s="26">
        <v>20.457000000000001</v>
      </c>
      <c r="I238" s="26">
        <v>43.405999999999999</v>
      </c>
      <c r="J238" s="26">
        <v>57.582999999999998</v>
      </c>
      <c r="K238" s="26">
        <v>21.129000000000001</v>
      </c>
      <c r="L238" s="26">
        <v>63.286999999999999</v>
      </c>
      <c r="M238" s="26">
        <v>40.11</v>
      </c>
      <c r="N238" s="26">
        <v>20.623000000000001</v>
      </c>
      <c r="O238" s="26">
        <v>64.760000000000005</v>
      </c>
      <c r="P238" s="26">
        <v>17.25</v>
      </c>
      <c r="Q238" s="26">
        <v>8.2847000000000008</v>
      </c>
      <c r="R238" s="26">
        <v>13.798</v>
      </c>
      <c r="S238" s="26">
        <v>71.546000000000006</v>
      </c>
      <c r="T238" s="26">
        <v>21.573</v>
      </c>
      <c r="U238" s="26">
        <v>59.027999999999999</v>
      </c>
      <c r="V238" s="26">
        <v>1.7186999999999999</v>
      </c>
      <c r="W238" s="26">
        <v>17.184999999999999</v>
      </c>
      <c r="X238" s="26">
        <v>6.0848000000000004</v>
      </c>
      <c r="Y238" s="26">
        <v>20.562999999999999</v>
      </c>
      <c r="Z238" s="26">
        <v>10.664</v>
      </c>
      <c r="AA238" s="26">
        <v>21.120999999999999</v>
      </c>
      <c r="AB238" s="26">
        <v>38.133000000000003</v>
      </c>
      <c r="AC238" s="26">
        <v>39.145000000000003</v>
      </c>
      <c r="AD238" s="26">
        <v>12.484999999999999</v>
      </c>
      <c r="AE238" s="26">
        <v>10.430999999999999</v>
      </c>
      <c r="AF238" s="26">
        <v>63.45</v>
      </c>
      <c r="AG238" s="26">
        <v>68.980999999999995</v>
      </c>
      <c r="AH238" s="26">
        <v>40.914000000000001</v>
      </c>
      <c r="AI238" s="26">
        <v>55.371000000000002</v>
      </c>
      <c r="AJ238" s="26">
        <v>40.21</v>
      </c>
      <c r="AK238" s="26">
        <v>37.908999999999999</v>
      </c>
      <c r="AL238" s="26">
        <v>17.318999999999999</v>
      </c>
      <c r="AM238" s="26">
        <v>13.696</v>
      </c>
      <c r="AN238" s="26">
        <v>56.517000000000003</v>
      </c>
      <c r="AO238" s="26">
        <v>64.251000000000005</v>
      </c>
      <c r="AP238" s="26">
        <v>40.646999999999998</v>
      </c>
      <c r="AQ238" s="26">
        <v>37.395000000000003</v>
      </c>
      <c r="AR238" s="26">
        <v>20.466000000000001</v>
      </c>
      <c r="AS238" s="26">
        <v>57.139000000000003</v>
      </c>
      <c r="AT238" s="26">
        <v>63.677999999999997</v>
      </c>
      <c r="AU238" s="26">
        <v>56.012</v>
      </c>
      <c r="AV238" s="26">
        <v>56.820999999999998</v>
      </c>
      <c r="AW238" s="26">
        <v>67.162999999999997</v>
      </c>
      <c r="AX238" s="26">
        <v>44.927999999999997</v>
      </c>
      <c r="AY238" s="26">
        <v>69.346000000000004</v>
      </c>
      <c r="AZ238" s="26">
        <v>57.953000000000003</v>
      </c>
      <c r="BA238" s="26">
        <v>37.762</v>
      </c>
      <c r="BB238" s="26">
        <v>63.283999999999999</v>
      </c>
      <c r="BC238" s="26">
        <v>23.923999999999999</v>
      </c>
      <c r="BD238" s="26">
        <v>56.09</v>
      </c>
      <c r="BE238" s="26">
        <v>55.701999999999998</v>
      </c>
      <c r="BF238" s="26">
        <v>63.783000000000001</v>
      </c>
      <c r="BG238" s="26">
        <v>47.570999999999998</v>
      </c>
      <c r="BH238" s="26">
        <v>56.616</v>
      </c>
      <c r="BI238" s="26">
        <v>19.117999999999999</v>
      </c>
      <c r="BJ238" s="26">
        <v>14.132999999999999</v>
      </c>
      <c r="BK238" s="26">
        <v>73.83</v>
      </c>
      <c r="BL238" s="26">
        <v>6.2016999999999998</v>
      </c>
      <c r="BM238" s="26">
        <v>41.097999999999999</v>
      </c>
      <c r="BN238" s="26">
        <v>19.376999999999999</v>
      </c>
      <c r="BO238" s="26">
        <v>6.5164</v>
      </c>
      <c r="BP238" s="26">
        <v>43.393000000000001</v>
      </c>
      <c r="BQ238" s="26">
        <v>62.747999999999998</v>
      </c>
      <c r="BR238" s="26">
        <v>68.191999999999993</v>
      </c>
      <c r="BS238" s="26">
        <v>21.405000000000001</v>
      </c>
      <c r="BT238" s="26">
        <v>63.915999999999997</v>
      </c>
      <c r="BU238" s="26">
        <v>6.5754000000000001</v>
      </c>
      <c r="BV238" s="26">
        <v>45.920999999999999</v>
      </c>
      <c r="BW238" s="26">
        <v>10.252000000000001</v>
      </c>
      <c r="BX238" s="26">
        <v>7.7290999999999999</v>
      </c>
      <c r="BY238" s="26">
        <v>21.385000000000002</v>
      </c>
      <c r="BZ238" s="26">
        <v>24.079000000000001</v>
      </c>
      <c r="CA238" s="26">
        <v>18.582999999999998</v>
      </c>
      <c r="CB238" s="26">
        <v>45.298000000000002</v>
      </c>
      <c r="CC238" s="26">
        <v>57.67</v>
      </c>
      <c r="CD238" s="26">
        <v>14.317</v>
      </c>
      <c r="CE238" s="26">
        <v>38.366</v>
      </c>
      <c r="CF238" s="26">
        <v>45.917999999999999</v>
      </c>
      <c r="CG238" s="26">
        <v>39.648000000000003</v>
      </c>
      <c r="CH238" s="26">
        <v>16.727</v>
      </c>
      <c r="CI238" s="26">
        <v>13.683</v>
      </c>
      <c r="CJ238" s="26">
        <v>73.483000000000004</v>
      </c>
      <c r="CK238" s="26">
        <v>18.283000000000001</v>
      </c>
      <c r="CL238" s="26">
        <v>20.776</v>
      </c>
      <c r="CM238" s="26">
        <v>42.674999999999997</v>
      </c>
      <c r="CN238" s="26">
        <v>1.0326</v>
      </c>
      <c r="CO238" s="26">
        <v>20.623000000000001</v>
      </c>
      <c r="CP238" s="26">
        <v>45.524000000000001</v>
      </c>
      <c r="CQ238" s="26">
        <v>23.411000000000001</v>
      </c>
      <c r="CR238" s="26">
        <v>57.143999999999998</v>
      </c>
      <c r="CS238" s="26">
        <v>40.450000000000003</v>
      </c>
      <c r="CT238" s="26">
        <v>7.5730000000000004</v>
      </c>
      <c r="CU238" s="26">
        <v>20.346</v>
      </c>
      <c r="CV238" s="26">
        <v>62.795000000000002</v>
      </c>
      <c r="CW238" s="26">
        <v>67.006</v>
      </c>
      <c r="CX238" s="26">
        <v>46.033000000000001</v>
      </c>
      <c r="CY238" s="61"/>
      <c r="CZ238" s="537"/>
      <c r="DA238" s="61"/>
    </row>
    <row r="239" spans="1:16384" s="540" customFormat="1">
      <c r="A239" s="538" t="s">
        <v>126</v>
      </c>
      <c r="B239" s="539">
        <f t="shared" ref="B239:AG239" si="31">AVERAGE(B227:B238)</f>
        <v>14.3265425</v>
      </c>
      <c r="C239" s="539">
        <f t="shared" si="31"/>
        <v>31.297250000000002</v>
      </c>
      <c r="D239" s="539">
        <f t="shared" si="31"/>
        <v>40.117083333333333</v>
      </c>
      <c r="E239" s="539">
        <f t="shared" si="31"/>
        <v>50.830499999999994</v>
      </c>
      <c r="F239" s="539">
        <f t="shared" si="31"/>
        <v>27.926475</v>
      </c>
      <c r="G239" s="539">
        <f t="shared" si="31"/>
        <v>28.536216666666665</v>
      </c>
      <c r="H239" s="539">
        <f t="shared" si="31"/>
        <v>35.82266666666667</v>
      </c>
      <c r="I239" s="539">
        <f t="shared" si="31"/>
        <v>55.310499999999998</v>
      </c>
      <c r="J239" s="539">
        <f t="shared" si="31"/>
        <v>34.517666666666663</v>
      </c>
      <c r="K239" s="539">
        <f t="shared" si="31"/>
        <v>32.973833333333332</v>
      </c>
      <c r="L239" s="539">
        <f t="shared" si="31"/>
        <v>57.752083333333339</v>
      </c>
      <c r="M239" s="539">
        <f t="shared" si="31"/>
        <v>15.085058333333331</v>
      </c>
      <c r="N239" s="539">
        <f t="shared" si="31"/>
        <v>7.7201191666666666</v>
      </c>
      <c r="O239" s="539">
        <f t="shared" si="31"/>
        <v>33.199224999999998</v>
      </c>
      <c r="P239" s="539">
        <f t="shared" si="31"/>
        <v>7.5699350000000001</v>
      </c>
      <c r="Q239" s="539">
        <f t="shared" si="31"/>
        <v>2.8892983333333331</v>
      </c>
      <c r="R239" s="539">
        <f t="shared" si="31"/>
        <v>7.7932083333333333</v>
      </c>
      <c r="S239" s="539">
        <f t="shared" si="31"/>
        <v>52.733833333333337</v>
      </c>
      <c r="T239" s="539">
        <f t="shared" si="31"/>
        <v>36.08925</v>
      </c>
      <c r="U239" s="539">
        <f t="shared" si="31"/>
        <v>28.197375000000005</v>
      </c>
      <c r="V239" s="539">
        <f t="shared" si="31"/>
        <v>23.539337500000013</v>
      </c>
      <c r="W239" s="539">
        <f t="shared" si="31"/>
        <v>27.464749999999999</v>
      </c>
      <c r="X239" s="539">
        <f t="shared" si="31"/>
        <v>27.656716666666668</v>
      </c>
      <c r="Y239" s="539">
        <f t="shared" si="31"/>
        <v>40.759916666666662</v>
      </c>
      <c r="Z239" s="539">
        <f t="shared" si="31"/>
        <v>17.576050000000002</v>
      </c>
      <c r="AA239" s="539">
        <f t="shared" si="31"/>
        <v>25.421950833333327</v>
      </c>
      <c r="AB239" s="539">
        <f t="shared" si="31"/>
        <v>27.355941666666666</v>
      </c>
      <c r="AC239" s="539">
        <f t="shared" si="31"/>
        <v>46.152750000000005</v>
      </c>
      <c r="AD239" s="539">
        <f t="shared" si="31"/>
        <v>30.449333333333332</v>
      </c>
      <c r="AE239" s="539">
        <f t="shared" si="31"/>
        <v>7.3558916666666656</v>
      </c>
      <c r="AF239" s="539">
        <f t="shared" si="31"/>
        <v>51.673750000000013</v>
      </c>
      <c r="AG239" s="539">
        <f t="shared" si="31"/>
        <v>68.710916666666677</v>
      </c>
      <c r="AH239" s="539">
        <f t="shared" ref="AH239:BM239" si="32">AVERAGE(AH227:AH238)</f>
        <v>56.285583333333328</v>
      </c>
      <c r="AI239" s="539">
        <f t="shared" si="32"/>
        <v>56.541333333333334</v>
      </c>
      <c r="AJ239" s="539">
        <f t="shared" si="32"/>
        <v>43.108083333333333</v>
      </c>
      <c r="AK239" s="539">
        <f t="shared" si="32"/>
        <v>40.674166666666672</v>
      </c>
      <c r="AL239" s="539">
        <f t="shared" si="32"/>
        <v>6.4430583333333331</v>
      </c>
      <c r="AM239" s="539">
        <f t="shared" si="32"/>
        <v>2.2038100000000003</v>
      </c>
      <c r="AN239" s="539">
        <f t="shared" si="32"/>
        <v>28.915083333333332</v>
      </c>
      <c r="AO239" s="539">
        <f t="shared" si="32"/>
        <v>53.536750000000005</v>
      </c>
      <c r="AP239" s="539">
        <f t="shared" si="32"/>
        <v>32.877766666666666</v>
      </c>
      <c r="AQ239" s="539">
        <f t="shared" si="32"/>
        <v>49.976416666666665</v>
      </c>
      <c r="AR239" s="539">
        <f t="shared" si="32"/>
        <v>30.803333333333338</v>
      </c>
      <c r="AS239" s="539">
        <f t="shared" si="32"/>
        <v>38.620508333333341</v>
      </c>
      <c r="AT239" s="539">
        <f t="shared" si="32"/>
        <v>31.177083333333332</v>
      </c>
      <c r="AU239" s="539">
        <f t="shared" si="32"/>
        <v>38.539858333333335</v>
      </c>
      <c r="AV239" s="539">
        <f t="shared" si="32"/>
        <v>51.848083333333335</v>
      </c>
      <c r="AW239" s="539">
        <f t="shared" si="32"/>
        <v>43.376999999999988</v>
      </c>
      <c r="AX239" s="539">
        <f t="shared" si="32"/>
        <v>14.963935833333336</v>
      </c>
      <c r="AY239" s="539">
        <f t="shared" si="32"/>
        <v>44.333083333333327</v>
      </c>
      <c r="AZ239" s="539">
        <f t="shared" si="32"/>
        <v>28.626658333333335</v>
      </c>
      <c r="BA239" s="539">
        <f t="shared" si="32"/>
        <v>17.808308333333333</v>
      </c>
      <c r="BB239" s="539">
        <f t="shared" si="32"/>
        <v>45.635750000000002</v>
      </c>
      <c r="BC239" s="539">
        <f t="shared" si="32"/>
        <v>4.2642932499999997</v>
      </c>
      <c r="BD239" s="539">
        <f t="shared" si="32"/>
        <v>37.579999999999991</v>
      </c>
      <c r="BE239" s="539">
        <f t="shared" si="32"/>
        <v>51.282666666666664</v>
      </c>
      <c r="BF239" s="539">
        <f t="shared" si="32"/>
        <v>41.527083333333337</v>
      </c>
      <c r="BG239" s="539">
        <f t="shared" si="32"/>
        <v>51.949666666666673</v>
      </c>
      <c r="BH239" s="539">
        <f t="shared" si="32"/>
        <v>42.761749999999999</v>
      </c>
      <c r="BI239" s="539">
        <f t="shared" si="32"/>
        <v>7.4188691666666662</v>
      </c>
      <c r="BJ239" s="539">
        <f t="shared" si="32"/>
        <v>39.862500000000004</v>
      </c>
      <c r="BK239" s="539">
        <f t="shared" si="32"/>
        <v>56.953416666666669</v>
      </c>
      <c r="BL239" s="539">
        <f t="shared" si="32"/>
        <v>25.386822499999997</v>
      </c>
      <c r="BM239" s="539">
        <f t="shared" si="32"/>
        <v>38.197583333333334</v>
      </c>
      <c r="BN239" s="539">
        <f t="shared" ref="BN239:CS239" si="33">AVERAGE(BN227:BN238)</f>
        <v>15.712625000000003</v>
      </c>
      <c r="BO239" s="539">
        <f t="shared" si="33"/>
        <v>10.496534166666668</v>
      </c>
      <c r="BP239" s="539">
        <f t="shared" si="33"/>
        <v>30.28029166666666</v>
      </c>
      <c r="BQ239" s="539">
        <f t="shared" si="33"/>
        <v>51.812750000000001</v>
      </c>
      <c r="BR239" s="539">
        <f t="shared" si="33"/>
        <v>65.848333333333329</v>
      </c>
      <c r="BS239" s="539">
        <f t="shared" si="33"/>
        <v>15.715058333333333</v>
      </c>
      <c r="BT239" s="539">
        <f t="shared" si="33"/>
        <v>42.754916666666666</v>
      </c>
      <c r="BU239" s="539">
        <f t="shared" si="33"/>
        <v>1.4973191666666665</v>
      </c>
      <c r="BV239" s="539">
        <f t="shared" si="33"/>
        <v>46.667000000000002</v>
      </c>
      <c r="BW239" s="539">
        <f t="shared" si="33"/>
        <v>15.403617500000001</v>
      </c>
      <c r="BX239" s="539">
        <f t="shared" si="33"/>
        <v>1.3412394166666666</v>
      </c>
      <c r="BY239" s="539">
        <f t="shared" si="33"/>
        <v>5.8426125000000004</v>
      </c>
      <c r="BZ239" s="539">
        <f t="shared" si="33"/>
        <v>20.987541666666669</v>
      </c>
      <c r="CA239" s="539">
        <f t="shared" si="33"/>
        <v>10.386691666666666</v>
      </c>
      <c r="CB239" s="539">
        <f t="shared" si="33"/>
        <v>37.150766666666662</v>
      </c>
      <c r="CC239" s="539">
        <f t="shared" si="33"/>
        <v>45.911750000000005</v>
      </c>
      <c r="CD239" s="539">
        <f t="shared" si="33"/>
        <v>33.711549999999995</v>
      </c>
      <c r="CE239" s="539">
        <f t="shared" si="33"/>
        <v>26.548083333333334</v>
      </c>
      <c r="CF239" s="539">
        <f t="shared" si="33"/>
        <v>39.668249999999993</v>
      </c>
      <c r="CG239" s="539">
        <f t="shared" si="33"/>
        <v>30.701966666666667</v>
      </c>
      <c r="CH239" s="539">
        <f t="shared" si="33"/>
        <v>48.993666666666655</v>
      </c>
      <c r="CI239" s="539">
        <f t="shared" si="33"/>
        <v>41.614666666666665</v>
      </c>
      <c r="CJ239" s="539">
        <f t="shared" si="33"/>
        <v>65.09408333333333</v>
      </c>
      <c r="CK239" s="539">
        <f t="shared" si="33"/>
        <v>5.0770158333333333</v>
      </c>
      <c r="CL239" s="539">
        <f t="shared" si="33"/>
        <v>32.562916666666659</v>
      </c>
      <c r="CM239" s="539">
        <f t="shared" si="33"/>
        <v>22.362849999999998</v>
      </c>
      <c r="CN239" s="539">
        <f t="shared" si="33"/>
        <v>15.575915833333333</v>
      </c>
      <c r="CO239" s="539">
        <f t="shared" si="33"/>
        <v>4.3447516750000004</v>
      </c>
      <c r="CP239" s="539">
        <f t="shared" si="33"/>
        <v>33.799666666666667</v>
      </c>
      <c r="CQ239" s="539">
        <f t="shared" si="33"/>
        <v>2.8307100000000003</v>
      </c>
      <c r="CR239" s="539">
        <f t="shared" si="33"/>
        <v>42.689750000000004</v>
      </c>
      <c r="CS239" s="539">
        <f t="shared" si="33"/>
        <v>37.682125000000006</v>
      </c>
      <c r="CT239" s="539">
        <f>AVERAGE(CT227:CT238)</f>
        <v>6.1453075000000013</v>
      </c>
      <c r="CU239" s="539">
        <f>AVERAGE(CU227:CU238)</f>
        <v>9.6456608333333325</v>
      </c>
      <c r="CV239" s="539">
        <f>AVERAGE(CV227:CV238)</f>
        <v>44.248083333333334</v>
      </c>
      <c r="CW239" s="539">
        <f>AVERAGE(CW227:CW238)</f>
        <v>47.972008333333328</v>
      </c>
      <c r="CX239" s="539">
        <f>AVERAGE(CX227:CX238)</f>
        <v>44.071416666666664</v>
      </c>
      <c r="CY239" s="61"/>
      <c r="CZ239" s="537"/>
      <c r="DA239" s="537"/>
      <c r="DB239" s="537"/>
      <c r="DC239" s="537"/>
      <c r="DD239" s="537"/>
      <c r="DE239" s="537"/>
      <c r="DF239" s="537"/>
      <c r="DG239" s="537"/>
      <c r="DH239" s="537"/>
      <c r="DI239" s="537"/>
      <c r="DJ239" s="537"/>
      <c r="DK239" s="537"/>
      <c r="DL239" s="537"/>
      <c r="DM239" s="537"/>
      <c r="DN239" s="537"/>
      <c r="DO239" s="537"/>
      <c r="DP239" s="537"/>
      <c r="DQ239" s="537"/>
      <c r="DR239" s="537"/>
      <c r="DS239" s="537"/>
      <c r="DT239" s="537"/>
      <c r="DU239" s="537"/>
      <c r="DV239" s="537"/>
      <c r="DW239" s="537"/>
      <c r="DX239" s="537"/>
      <c r="DY239" s="537"/>
      <c r="DZ239" s="537"/>
      <c r="EA239" s="537"/>
      <c r="EB239" s="537"/>
      <c r="EC239" s="537"/>
      <c r="ED239" s="537"/>
      <c r="EE239" s="537"/>
      <c r="EF239" s="537"/>
      <c r="EG239" s="537"/>
      <c r="EH239" s="537"/>
      <c r="EI239" s="537"/>
      <c r="EJ239" s="537"/>
      <c r="EK239" s="537"/>
      <c r="EL239" s="537"/>
      <c r="EM239" s="537"/>
      <c r="EN239" s="537"/>
      <c r="EO239" s="537"/>
      <c r="EP239" s="537"/>
      <c r="EQ239" s="537"/>
      <c r="ER239" s="537"/>
      <c r="ES239" s="537"/>
      <c r="ET239" s="537"/>
      <c r="EU239" s="537"/>
      <c r="EV239" s="537"/>
      <c r="EW239" s="537"/>
      <c r="EX239" s="537"/>
      <c r="EY239" s="537"/>
      <c r="EZ239" s="537"/>
      <c r="FA239" s="537"/>
      <c r="FB239" s="537"/>
      <c r="FC239" s="537"/>
      <c r="FD239" s="537"/>
      <c r="FE239" s="537"/>
      <c r="FF239" s="537"/>
      <c r="FG239" s="537"/>
      <c r="FH239" s="537"/>
      <c r="FI239" s="537"/>
      <c r="FJ239" s="537"/>
      <c r="FK239" s="537"/>
      <c r="FL239" s="537"/>
      <c r="FM239" s="537"/>
      <c r="FN239" s="537"/>
      <c r="FO239" s="537"/>
      <c r="FP239" s="537"/>
      <c r="FQ239" s="537"/>
      <c r="FR239" s="537"/>
      <c r="FS239" s="537"/>
      <c r="FT239" s="537"/>
      <c r="FU239" s="537"/>
      <c r="FV239" s="537"/>
      <c r="FW239" s="537"/>
      <c r="FX239" s="537"/>
      <c r="FY239" s="537"/>
      <c r="FZ239" s="537"/>
      <c r="GA239" s="537"/>
      <c r="GB239" s="537"/>
      <c r="GC239" s="537"/>
      <c r="GD239" s="537"/>
      <c r="GE239" s="537"/>
      <c r="GF239" s="537"/>
      <c r="GG239" s="537"/>
      <c r="GH239" s="537"/>
      <c r="GI239" s="537"/>
      <c r="GJ239" s="537"/>
      <c r="GK239" s="537"/>
      <c r="GL239" s="537"/>
      <c r="GM239" s="537"/>
      <c r="GN239" s="537"/>
      <c r="GO239" s="537"/>
      <c r="GP239" s="537"/>
      <c r="GQ239" s="537"/>
      <c r="GR239" s="537"/>
      <c r="GS239" s="537"/>
      <c r="GT239" s="537"/>
      <c r="GU239" s="537"/>
      <c r="GV239" s="537"/>
      <c r="GW239" s="537"/>
      <c r="GX239" s="537"/>
      <c r="GY239" s="537"/>
      <c r="GZ239" s="537"/>
      <c r="HA239" s="537"/>
      <c r="HB239" s="537"/>
      <c r="HC239" s="537"/>
      <c r="HD239" s="537"/>
      <c r="HE239" s="537"/>
      <c r="HF239" s="537"/>
      <c r="HG239" s="537"/>
      <c r="HH239" s="537"/>
      <c r="HI239" s="537"/>
      <c r="HJ239" s="537"/>
      <c r="HK239" s="537"/>
      <c r="HL239" s="537"/>
      <c r="HM239" s="537"/>
      <c r="HN239" s="537"/>
      <c r="HO239" s="537"/>
      <c r="HP239" s="537"/>
      <c r="HQ239" s="537"/>
      <c r="HR239" s="537"/>
      <c r="HS239" s="537"/>
      <c r="HT239" s="537"/>
      <c r="HU239" s="537"/>
      <c r="HV239" s="537"/>
      <c r="HW239" s="537"/>
      <c r="HX239" s="537"/>
      <c r="HY239" s="537"/>
      <c r="HZ239" s="537"/>
      <c r="IA239" s="537"/>
      <c r="IB239" s="537"/>
      <c r="IC239" s="537"/>
      <c r="ID239" s="537"/>
      <c r="IE239" s="537"/>
      <c r="IF239" s="537"/>
      <c r="IG239" s="537"/>
      <c r="IH239" s="537"/>
      <c r="II239" s="537"/>
      <c r="IJ239" s="537"/>
      <c r="IK239" s="537"/>
      <c r="IL239" s="537"/>
      <c r="IM239" s="537"/>
      <c r="IN239" s="537"/>
      <c r="IO239" s="537"/>
      <c r="IP239" s="537"/>
      <c r="IQ239" s="537"/>
      <c r="IR239" s="537"/>
      <c r="IS239" s="537"/>
      <c r="IT239" s="537"/>
      <c r="IU239" s="537"/>
      <c r="IV239" s="537"/>
      <c r="IW239" s="537"/>
      <c r="IX239" s="537"/>
      <c r="IY239" s="537"/>
      <c r="IZ239" s="537"/>
      <c r="JA239" s="537"/>
      <c r="JB239" s="537"/>
      <c r="JC239" s="537"/>
      <c r="JD239" s="537"/>
      <c r="JE239" s="537"/>
      <c r="JF239" s="537"/>
      <c r="JG239" s="537"/>
      <c r="JH239" s="537"/>
      <c r="JI239" s="537"/>
      <c r="JJ239" s="537"/>
      <c r="JK239" s="537"/>
      <c r="JL239" s="537"/>
      <c r="JM239" s="537"/>
      <c r="JN239" s="537"/>
      <c r="JO239" s="537"/>
      <c r="JP239" s="537"/>
      <c r="JQ239" s="537"/>
      <c r="JR239" s="537"/>
      <c r="JS239" s="537"/>
      <c r="JT239" s="537"/>
      <c r="JU239" s="537"/>
      <c r="JV239" s="537"/>
      <c r="JW239" s="537"/>
      <c r="JX239" s="537"/>
      <c r="JY239" s="537"/>
      <c r="JZ239" s="537"/>
      <c r="KA239" s="537"/>
      <c r="KB239" s="537"/>
      <c r="KC239" s="537"/>
      <c r="KD239" s="537"/>
      <c r="KE239" s="537"/>
      <c r="KF239" s="537"/>
      <c r="KG239" s="537"/>
      <c r="KH239" s="537"/>
      <c r="KI239" s="537"/>
      <c r="KJ239" s="537"/>
      <c r="KK239" s="537"/>
      <c r="KL239" s="537"/>
      <c r="KM239" s="537"/>
      <c r="KN239" s="537"/>
      <c r="KO239" s="537"/>
      <c r="KP239" s="537"/>
      <c r="KQ239" s="537"/>
      <c r="KR239" s="537"/>
      <c r="KS239" s="537"/>
      <c r="KT239" s="537"/>
      <c r="KU239" s="537"/>
      <c r="KV239" s="537"/>
      <c r="KW239" s="537"/>
      <c r="KX239" s="537"/>
      <c r="KY239" s="537"/>
      <c r="KZ239" s="537"/>
      <c r="LA239" s="537"/>
      <c r="LB239" s="537"/>
      <c r="LC239" s="537"/>
      <c r="LD239" s="537"/>
      <c r="LE239" s="537"/>
      <c r="LF239" s="537"/>
      <c r="LG239" s="537"/>
      <c r="LH239" s="537"/>
      <c r="LI239" s="537"/>
      <c r="LJ239" s="537"/>
      <c r="LK239" s="537"/>
      <c r="LL239" s="537"/>
      <c r="LM239" s="537"/>
      <c r="LN239" s="537"/>
      <c r="LO239" s="537"/>
      <c r="LP239" s="537"/>
      <c r="LQ239" s="537"/>
      <c r="LR239" s="537"/>
      <c r="LS239" s="537"/>
      <c r="LT239" s="537"/>
      <c r="LU239" s="537"/>
      <c r="LV239" s="537"/>
      <c r="LW239" s="537"/>
      <c r="LX239" s="537"/>
      <c r="LY239" s="537"/>
      <c r="LZ239" s="537"/>
      <c r="MA239" s="537"/>
      <c r="MB239" s="537"/>
      <c r="MC239" s="537"/>
      <c r="MD239" s="537"/>
      <c r="ME239" s="537"/>
      <c r="MF239" s="537"/>
      <c r="MG239" s="537"/>
      <c r="MH239" s="537"/>
      <c r="MI239" s="537"/>
      <c r="MJ239" s="537"/>
      <c r="MK239" s="537"/>
      <c r="ML239" s="537"/>
      <c r="MM239" s="537"/>
      <c r="MN239" s="537"/>
      <c r="MO239" s="537"/>
      <c r="MP239" s="537"/>
      <c r="MQ239" s="537"/>
      <c r="MR239" s="537"/>
      <c r="MS239" s="537"/>
      <c r="MT239" s="537"/>
      <c r="MU239" s="537"/>
      <c r="MV239" s="537"/>
      <c r="MW239" s="537"/>
      <c r="MX239" s="537"/>
      <c r="MY239" s="537"/>
      <c r="MZ239" s="537"/>
      <c r="NA239" s="537"/>
      <c r="NB239" s="537"/>
      <c r="NC239" s="537"/>
      <c r="ND239" s="537"/>
      <c r="NE239" s="537"/>
      <c r="NF239" s="537"/>
      <c r="NG239" s="537"/>
      <c r="NH239" s="537"/>
      <c r="NI239" s="537"/>
      <c r="NJ239" s="537"/>
      <c r="NK239" s="537"/>
      <c r="NL239" s="537"/>
      <c r="NM239" s="537"/>
      <c r="NN239" s="537"/>
      <c r="NO239" s="537"/>
      <c r="NP239" s="537"/>
      <c r="NQ239" s="537"/>
      <c r="NR239" s="537"/>
      <c r="NS239" s="537"/>
      <c r="NT239" s="537"/>
      <c r="NU239" s="537"/>
      <c r="NV239" s="537"/>
      <c r="NW239" s="537"/>
      <c r="NX239" s="537"/>
      <c r="NY239" s="537"/>
      <c r="NZ239" s="537"/>
      <c r="OA239" s="537"/>
      <c r="OB239" s="537"/>
      <c r="OC239" s="537"/>
      <c r="OD239" s="537"/>
      <c r="OE239" s="537"/>
      <c r="OF239" s="537"/>
      <c r="OG239" s="537"/>
      <c r="OH239" s="537"/>
      <c r="OI239" s="537"/>
      <c r="OJ239" s="537"/>
      <c r="OK239" s="537"/>
      <c r="OL239" s="537"/>
      <c r="OM239" s="537"/>
      <c r="ON239" s="537"/>
      <c r="OO239" s="537"/>
      <c r="OP239" s="537"/>
      <c r="OQ239" s="537"/>
      <c r="OR239" s="537"/>
      <c r="OS239" s="537"/>
      <c r="OT239" s="537"/>
      <c r="OU239" s="537"/>
      <c r="OV239" s="537"/>
      <c r="OW239" s="537"/>
      <c r="OX239" s="537"/>
      <c r="OY239" s="537"/>
      <c r="OZ239" s="537"/>
      <c r="PA239" s="537"/>
      <c r="PB239" s="537"/>
      <c r="PC239" s="537"/>
      <c r="PD239" s="537"/>
      <c r="PE239" s="537"/>
      <c r="PF239" s="537"/>
      <c r="PG239" s="537"/>
      <c r="PH239" s="537"/>
      <c r="PI239" s="537"/>
      <c r="PJ239" s="537"/>
      <c r="PK239" s="537"/>
      <c r="PL239" s="537"/>
      <c r="PM239" s="537"/>
      <c r="PN239" s="537"/>
      <c r="PO239" s="537"/>
      <c r="PP239" s="537"/>
      <c r="PQ239" s="537"/>
      <c r="PR239" s="537"/>
      <c r="PS239" s="537"/>
      <c r="PT239" s="537"/>
      <c r="PU239" s="537"/>
      <c r="PV239" s="537"/>
      <c r="PW239" s="537"/>
      <c r="PX239" s="537"/>
      <c r="PY239" s="537"/>
      <c r="PZ239" s="537"/>
      <c r="QA239" s="537"/>
      <c r="QB239" s="537"/>
      <c r="QC239" s="537"/>
      <c r="QD239" s="537"/>
      <c r="QE239" s="537"/>
      <c r="QF239" s="537"/>
      <c r="QG239" s="537"/>
      <c r="QH239" s="537"/>
      <c r="QI239" s="537"/>
      <c r="QJ239" s="537"/>
      <c r="QK239" s="537"/>
      <c r="QL239" s="537"/>
      <c r="QM239" s="537"/>
      <c r="QN239" s="537"/>
      <c r="QO239" s="537"/>
      <c r="QP239" s="537"/>
      <c r="QQ239" s="537"/>
      <c r="QR239" s="537"/>
      <c r="QS239" s="537"/>
      <c r="QT239" s="537"/>
      <c r="QU239" s="537"/>
      <c r="QV239" s="537"/>
      <c r="QW239" s="537"/>
      <c r="QX239" s="537"/>
      <c r="QY239" s="537"/>
      <c r="QZ239" s="537"/>
      <c r="RA239" s="537"/>
      <c r="RB239" s="537"/>
      <c r="RC239" s="537"/>
      <c r="RD239" s="537"/>
      <c r="RE239" s="537"/>
      <c r="RF239" s="537"/>
      <c r="RG239" s="537"/>
      <c r="RH239" s="537"/>
      <c r="RI239" s="537"/>
      <c r="RJ239" s="537"/>
      <c r="RK239" s="537"/>
      <c r="RL239" s="537"/>
      <c r="RM239" s="537"/>
      <c r="RN239" s="537"/>
      <c r="RO239" s="537"/>
      <c r="RP239" s="537"/>
      <c r="RQ239" s="537"/>
      <c r="RR239" s="537"/>
      <c r="RS239" s="537"/>
      <c r="RT239" s="537"/>
      <c r="RU239" s="537"/>
      <c r="RV239" s="537"/>
      <c r="RW239" s="537"/>
      <c r="RX239" s="537"/>
      <c r="RY239" s="537"/>
      <c r="RZ239" s="537"/>
      <c r="SA239" s="537"/>
      <c r="SB239" s="537"/>
      <c r="SC239" s="537"/>
      <c r="SD239" s="537"/>
      <c r="SE239" s="537"/>
      <c r="SF239" s="537"/>
      <c r="SG239" s="537"/>
      <c r="SH239" s="537"/>
      <c r="SI239" s="537"/>
      <c r="SJ239" s="537"/>
      <c r="SK239" s="537"/>
      <c r="SL239" s="537"/>
      <c r="SM239" s="537"/>
      <c r="SN239" s="537"/>
      <c r="SO239" s="537"/>
      <c r="SP239" s="537"/>
      <c r="SQ239" s="537"/>
      <c r="SR239" s="537"/>
      <c r="SS239" s="537"/>
      <c r="ST239" s="537"/>
      <c r="SU239" s="537"/>
      <c r="SV239" s="537"/>
      <c r="SW239" s="537"/>
      <c r="SX239" s="537"/>
      <c r="SY239" s="537"/>
      <c r="SZ239" s="537"/>
      <c r="TA239" s="537"/>
      <c r="TB239" s="537"/>
      <c r="TC239" s="537"/>
      <c r="TD239" s="537"/>
      <c r="TE239" s="537"/>
      <c r="TF239" s="537"/>
      <c r="TG239" s="537"/>
      <c r="TH239" s="537"/>
      <c r="TI239" s="537"/>
      <c r="TJ239" s="537"/>
      <c r="TK239" s="537"/>
      <c r="TL239" s="537"/>
      <c r="TM239" s="537"/>
      <c r="TN239" s="537"/>
      <c r="TO239" s="537"/>
      <c r="TP239" s="537"/>
      <c r="TQ239" s="537"/>
      <c r="TR239" s="537"/>
      <c r="TS239" s="537"/>
      <c r="TT239" s="537"/>
      <c r="TU239" s="537"/>
      <c r="TV239" s="537"/>
      <c r="TW239" s="537"/>
      <c r="TX239" s="537"/>
      <c r="TY239" s="537"/>
      <c r="TZ239" s="537"/>
      <c r="UA239" s="537"/>
      <c r="UB239" s="537"/>
      <c r="UC239" s="537"/>
      <c r="UD239" s="537"/>
      <c r="UE239" s="537"/>
      <c r="UF239" s="537"/>
      <c r="UG239" s="537"/>
      <c r="UH239" s="537"/>
      <c r="UI239" s="537"/>
      <c r="UJ239" s="537"/>
      <c r="UK239" s="537"/>
      <c r="UL239" s="537"/>
      <c r="UM239" s="537"/>
      <c r="UN239" s="537"/>
      <c r="UO239" s="537"/>
      <c r="UP239" s="537"/>
      <c r="UQ239" s="537"/>
      <c r="UR239" s="537"/>
      <c r="US239" s="537"/>
      <c r="UT239" s="537"/>
      <c r="UU239" s="537"/>
      <c r="UV239" s="537"/>
      <c r="UW239" s="537"/>
      <c r="UX239" s="537"/>
      <c r="UY239" s="537"/>
      <c r="UZ239" s="537"/>
      <c r="VA239" s="537"/>
      <c r="VB239" s="537"/>
      <c r="VC239" s="537"/>
      <c r="VD239" s="537"/>
      <c r="VE239" s="537"/>
      <c r="VF239" s="537"/>
      <c r="VG239" s="537"/>
      <c r="VH239" s="537"/>
      <c r="VI239" s="537"/>
      <c r="VJ239" s="537"/>
      <c r="VK239" s="537"/>
      <c r="VL239" s="537"/>
      <c r="VM239" s="537"/>
      <c r="VN239" s="537"/>
      <c r="VO239" s="537"/>
      <c r="VP239" s="537"/>
      <c r="VQ239" s="537"/>
      <c r="VR239" s="537"/>
      <c r="VS239" s="537"/>
      <c r="VT239" s="537"/>
      <c r="VU239" s="537"/>
      <c r="VV239" s="537"/>
      <c r="VW239" s="537"/>
      <c r="VX239" s="537"/>
      <c r="VY239" s="537"/>
      <c r="VZ239" s="537"/>
      <c r="WA239" s="537"/>
      <c r="WB239" s="537"/>
      <c r="WC239" s="537"/>
      <c r="WD239" s="537"/>
      <c r="WE239" s="537"/>
      <c r="WF239" s="537"/>
      <c r="WG239" s="537"/>
      <c r="WH239" s="537"/>
      <c r="WI239" s="537"/>
      <c r="WJ239" s="537"/>
      <c r="WK239" s="537"/>
      <c r="WL239" s="537"/>
      <c r="WM239" s="537"/>
      <c r="WN239" s="537"/>
      <c r="WO239" s="537"/>
      <c r="WP239" s="537"/>
      <c r="WQ239" s="537"/>
      <c r="WR239" s="537"/>
      <c r="WS239" s="537"/>
      <c r="WT239" s="537"/>
      <c r="WU239" s="537"/>
      <c r="WV239" s="537"/>
      <c r="WW239" s="537"/>
      <c r="WX239" s="537"/>
      <c r="WY239" s="537"/>
      <c r="WZ239" s="537"/>
      <c r="XA239" s="537"/>
      <c r="XB239" s="537"/>
      <c r="XC239" s="537"/>
      <c r="XD239" s="537"/>
      <c r="XE239" s="537"/>
      <c r="XF239" s="537"/>
      <c r="XG239" s="537"/>
      <c r="XH239" s="537"/>
      <c r="XI239" s="537"/>
      <c r="XJ239" s="537"/>
      <c r="XK239" s="537"/>
      <c r="XL239" s="537"/>
      <c r="XM239" s="537"/>
      <c r="XN239" s="537"/>
      <c r="XO239" s="537"/>
      <c r="XP239" s="537"/>
      <c r="XQ239" s="537"/>
      <c r="XR239" s="537"/>
      <c r="XS239" s="537"/>
      <c r="XT239" s="537"/>
      <c r="XU239" s="537"/>
      <c r="XV239" s="537"/>
      <c r="XW239" s="537"/>
      <c r="XX239" s="537"/>
      <c r="XY239" s="537"/>
      <c r="XZ239" s="537"/>
      <c r="YA239" s="537"/>
      <c r="YB239" s="537"/>
      <c r="YC239" s="537"/>
      <c r="YD239" s="537"/>
      <c r="YE239" s="537"/>
      <c r="YF239" s="537"/>
      <c r="YG239" s="537"/>
      <c r="YH239" s="537"/>
      <c r="YI239" s="537"/>
      <c r="YJ239" s="537"/>
      <c r="YK239" s="537"/>
      <c r="YL239" s="537"/>
      <c r="YM239" s="537"/>
      <c r="YN239" s="537"/>
      <c r="YO239" s="537"/>
      <c r="YP239" s="537"/>
      <c r="YQ239" s="537"/>
      <c r="YR239" s="537"/>
      <c r="YS239" s="537"/>
      <c r="YT239" s="537"/>
      <c r="YU239" s="537"/>
      <c r="YV239" s="537"/>
      <c r="YW239" s="537"/>
      <c r="YX239" s="537"/>
      <c r="YY239" s="537"/>
      <c r="YZ239" s="537"/>
      <c r="ZA239" s="537"/>
      <c r="ZB239" s="537"/>
      <c r="ZC239" s="537"/>
      <c r="ZD239" s="537"/>
      <c r="ZE239" s="537"/>
      <c r="ZF239" s="537"/>
      <c r="ZG239" s="537"/>
      <c r="ZH239" s="537"/>
      <c r="ZI239" s="537"/>
      <c r="ZJ239" s="537"/>
      <c r="ZK239" s="537"/>
      <c r="ZL239" s="537"/>
      <c r="ZM239" s="537"/>
      <c r="ZN239" s="537"/>
      <c r="ZO239" s="537"/>
      <c r="ZP239" s="537"/>
      <c r="ZQ239" s="537"/>
      <c r="ZR239" s="537"/>
      <c r="ZS239" s="537"/>
      <c r="ZT239" s="537"/>
      <c r="ZU239" s="537"/>
      <c r="ZV239" s="537"/>
      <c r="ZW239" s="537"/>
      <c r="ZX239" s="537"/>
      <c r="ZY239" s="537"/>
      <c r="ZZ239" s="537"/>
      <c r="AAA239" s="537"/>
      <c r="AAB239" s="537"/>
      <c r="AAC239" s="537"/>
      <c r="AAD239" s="537"/>
      <c r="AAE239" s="537"/>
      <c r="AAF239" s="537"/>
      <c r="AAG239" s="537"/>
      <c r="AAH239" s="537"/>
      <c r="AAI239" s="537"/>
      <c r="AAJ239" s="537"/>
      <c r="AAK239" s="537"/>
      <c r="AAL239" s="537"/>
      <c r="AAM239" s="537"/>
      <c r="AAN239" s="537"/>
      <c r="AAO239" s="537"/>
      <c r="AAP239" s="537"/>
      <c r="AAQ239" s="537"/>
      <c r="AAR239" s="537"/>
      <c r="AAS239" s="537"/>
      <c r="AAT239" s="537"/>
      <c r="AAU239" s="537"/>
      <c r="AAV239" s="537"/>
      <c r="AAW239" s="537"/>
      <c r="AAX239" s="537"/>
      <c r="AAY239" s="537"/>
      <c r="AAZ239" s="537"/>
      <c r="ABA239" s="537"/>
      <c r="ABB239" s="537"/>
      <c r="ABC239" s="537"/>
      <c r="ABD239" s="537"/>
      <c r="ABE239" s="537"/>
      <c r="ABF239" s="537"/>
      <c r="ABG239" s="537"/>
      <c r="ABH239" s="537"/>
      <c r="ABI239" s="537"/>
      <c r="ABJ239" s="537"/>
      <c r="ABK239" s="537"/>
      <c r="ABL239" s="537"/>
      <c r="ABM239" s="537"/>
      <c r="ABN239" s="537"/>
      <c r="ABO239" s="537"/>
      <c r="ABP239" s="537"/>
      <c r="ABQ239" s="537"/>
      <c r="ABR239" s="537"/>
      <c r="ABS239" s="537"/>
      <c r="ABT239" s="537"/>
      <c r="ABU239" s="537"/>
      <c r="ABV239" s="537"/>
      <c r="ABW239" s="537"/>
      <c r="ABX239" s="537"/>
      <c r="ABY239" s="537"/>
      <c r="ABZ239" s="537"/>
      <c r="ACA239" s="537"/>
      <c r="ACB239" s="537"/>
      <c r="ACC239" s="537"/>
      <c r="ACD239" s="537"/>
      <c r="ACE239" s="537"/>
      <c r="ACF239" s="537"/>
      <c r="ACG239" s="537"/>
      <c r="ACH239" s="537"/>
      <c r="ACI239" s="537"/>
      <c r="ACJ239" s="537"/>
      <c r="ACK239" s="537"/>
      <c r="ACL239" s="537"/>
      <c r="ACM239" s="537"/>
      <c r="ACN239" s="537"/>
      <c r="ACO239" s="537"/>
      <c r="ACP239" s="537"/>
      <c r="ACQ239" s="537"/>
      <c r="ACR239" s="537"/>
      <c r="ACS239" s="537"/>
      <c r="ACT239" s="537"/>
      <c r="ACU239" s="537"/>
      <c r="ACV239" s="537"/>
      <c r="ACW239" s="537"/>
      <c r="ACX239" s="537"/>
      <c r="ACY239" s="537"/>
      <c r="ACZ239" s="537"/>
      <c r="ADA239" s="537"/>
      <c r="ADB239" s="537"/>
      <c r="ADC239" s="537"/>
      <c r="ADD239" s="537"/>
      <c r="ADE239" s="537"/>
      <c r="ADF239" s="537"/>
      <c r="ADG239" s="537"/>
      <c r="ADH239" s="537"/>
      <c r="ADI239" s="537"/>
      <c r="ADJ239" s="537"/>
      <c r="ADK239" s="537"/>
      <c r="ADL239" s="537"/>
      <c r="ADM239" s="537"/>
      <c r="ADN239" s="537"/>
      <c r="ADO239" s="537"/>
      <c r="ADP239" s="537"/>
      <c r="ADQ239" s="537"/>
      <c r="ADR239" s="537"/>
      <c r="ADS239" s="537"/>
      <c r="ADT239" s="537"/>
      <c r="ADU239" s="537"/>
      <c r="ADV239" s="537"/>
      <c r="ADW239" s="537"/>
      <c r="ADX239" s="537"/>
      <c r="ADY239" s="537"/>
      <c r="ADZ239" s="537"/>
      <c r="AEA239" s="537"/>
      <c r="AEB239" s="537"/>
      <c r="AEC239" s="537"/>
      <c r="AED239" s="537"/>
      <c r="AEE239" s="537"/>
      <c r="AEF239" s="537"/>
      <c r="AEG239" s="537"/>
      <c r="AEH239" s="537"/>
      <c r="AEI239" s="537"/>
      <c r="AEJ239" s="537"/>
      <c r="AEK239" s="537"/>
      <c r="AEL239" s="537"/>
      <c r="AEM239" s="537"/>
      <c r="AEN239" s="537"/>
      <c r="AEO239" s="537"/>
      <c r="AEP239" s="537"/>
      <c r="AEQ239" s="537"/>
      <c r="AER239" s="537"/>
      <c r="AES239" s="537"/>
      <c r="AET239" s="537"/>
      <c r="AEU239" s="537"/>
      <c r="AEV239" s="537"/>
      <c r="AEW239" s="537"/>
      <c r="AEX239" s="537"/>
      <c r="AEY239" s="537"/>
      <c r="AEZ239" s="537"/>
      <c r="AFA239" s="537"/>
      <c r="AFB239" s="537"/>
      <c r="AFC239" s="537"/>
      <c r="AFD239" s="537"/>
      <c r="AFE239" s="537"/>
      <c r="AFF239" s="537"/>
      <c r="AFG239" s="537"/>
      <c r="AFH239" s="537"/>
      <c r="AFI239" s="537"/>
      <c r="AFJ239" s="537"/>
      <c r="AFK239" s="537"/>
      <c r="AFL239" s="537"/>
      <c r="AFM239" s="537"/>
      <c r="AFN239" s="537"/>
      <c r="AFO239" s="537"/>
      <c r="AFP239" s="537"/>
      <c r="AFQ239" s="537"/>
      <c r="AFR239" s="537"/>
      <c r="AFS239" s="537"/>
      <c r="AFT239" s="537"/>
      <c r="AFU239" s="537"/>
      <c r="AFV239" s="537"/>
      <c r="AFW239" s="537"/>
      <c r="AFX239" s="537"/>
      <c r="AFY239" s="537"/>
      <c r="AFZ239" s="537"/>
      <c r="AGA239" s="537"/>
      <c r="AGB239" s="537"/>
      <c r="AGC239" s="537"/>
      <c r="AGD239" s="537"/>
      <c r="AGE239" s="537"/>
      <c r="AGF239" s="537"/>
      <c r="AGG239" s="537"/>
      <c r="AGH239" s="537"/>
      <c r="AGI239" s="537"/>
      <c r="AGJ239" s="537"/>
      <c r="AGK239" s="537"/>
      <c r="AGL239" s="537"/>
      <c r="AGM239" s="537"/>
      <c r="AGN239" s="537"/>
      <c r="AGO239" s="537"/>
      <c r="AGP239" s="537"/>
      <c r="AGQ239" s="537"/>
      <c r="AGR239" s="537"/>
      <c r="AGS239" s="537"/>
      <c r="AGT239" s="537"/>
      <c r="AGU239" s="537"/>
      <c r="AGV239" s="537"/>
      <c r="AGW239" s="537"/>
      <c r="AGX239" s="537"/>
      <c r="AGY239" s="537"/>
      <c r="AGZ239" s="537"/>
      <c r="AHA239" s="537"/>
      <c r="AHB239" s="537"/>
      <c r="AHC239" s="537"/>
      <c r="AHD239" s="537"/>
      <c r="AHE239" s="537"/>
      <c r="AHF239" s="537"/>
      <c r="AHG239" s="537"/>
      <c r="AHH239" s="537"/>
      <c r="AHI239" s="537"/>
      <c r="AHJ239" s="537"/>
      <c r="AHK239" s="537"/>
      <c r="AHL239" s="537"/>
      <c r="AHM239" s="537"/>
      <c r="AHN239" s="537"/>
      <c r="AHO239" s="537"/>
      <c r="AHP239" s="537"/>
      <c r="AHQ239" s="537"/>
      <c r="AHR239" s="537"/>
      <c r="AHS239" s="537"/>
      <c r="AHT239" s="537"/>
      <c r="AHU239" s="537"/>
      <c r="AHV239" s="537"/>
      <c r="AHW239" s="537"/>
      <c r="AHX239" s="537"/>
      <c r="AHY239" s="537"/>
      <c r="AHZ239" s="537"/>
      <c r="AIA239" s="537"/>
      <c r="AIB239" s="537"/>
      <c r="AIC239" s="537"/>
      <c r="AID239" s="537"/>
      <c r="AIE239" s="537"/>
      <c r="AIF239" s="537"/>
      <c r="AIG239" s="537"/>
      <c r="AIH239" s="537"/>
      <c r="AII239" s="537"/>
      <c r="AIJ239" s="537"/>
      <c r="AIK239" s="537"/>
      <c r="AIL239" s="537"/>
      <c r="AIM239" s="537"/>
      <c r="AIN239" s="537"/>
      <c r="AIO239" s="537"/>
      <c r="AIP239" s="537"/>
      <c r="AIQ239" s="537"/>
      <c r="AIR239" s="537"/>
      <c r="AIS239" s="537"/>
      <c r="AIT239" s="537"/>
      <c r="AIU239" s="537"/>
      <c r="AIV239" s="537"/>
      <c r="AIW239" s="537"/>
      <c r="AIX239" s="537"/>
      <c r="AIY239" s="537"/>
      <c r="AIZ239" s="537"/>
      <c r="AJA239" s="537"/>
      <c r="AJB239" s="537"/>
      <c r="AJC239" s="537"/>
      <c r="AJD239" s="537"/>
      <c r="AJE239" s="537"/>
      <c r="AJF239" s="537"/>
      <c r="AJG239" s="537"/>
      <c r="AJH239" s="537"/>
      <c r="AJI239" s="537"/>
      <c r="AJJ239" s="537"/>
      <c r="AJK239" s="537"/>
      <c r="AJL239" s="537"/>
      <c r="AJM239" s="537"/>
      <c r="AJN239" s="537"/>
      <c r="AJO239" s="537"/>
      <c r="AJP239" s="537"/>
      <c r="AJQ239" s="537"/>
      <c r="AJR239" s="537"/>
      <c r="AJS239" s="537"/>
      <c r="AJT239" s="537"/>
      <c r="AJU239" s="537"/>
      <c r="AJV239" s="537"/>
      <c r="AJW239" s="537"/>
      <c r="AJX239" s="537"/>
      <c r="AJY239" s="537"/>
      <c r="AJZ239" s="537"/>
      <c r="AKA239" s="537"/>
      <c r="AKB239" s="537"/>
      <c r="AKC239" s="537"/>
      <c r="AKD239" s="537"/>
      <c r="AKE239" s="537"/>
      <c r="AKF239" s="537"/>
      <c r="AKG239" s="537"/>
      <c r="AKH239" s="537"/>
      <c r="AKI239" s="537"/>
      <c r="AKJ239" s="537"/>
      <c r="AKK239" s="537"/>
      <c r="AKL239" s="537"/>
      <c r="AKM239" s="537"/>
      <c r="AKN239" s="537"/>
      <c r="AKO239" s="537"/>
      <c r="AKP239" s="537"/>
      <c r="AKQ239" s="537"/>
      <c r="AKR239" s="537"/>
      <c r="AKS239" s="537"/>
      <c r="AKT239" s="537"/>
      <c r="AKU239" s="537"/>
      <c r="AKV239" s="537"/>
      <c r="AKW239" s="537"/>
      <c r="AKX239" s="537"/>
      <c r="AKY239" s="537"/>
      <c r="AKZ239" s="537"/>
      <c r="ALA239" s="537"/>
      <c r="ALB239" s="537"/>
      <c r="ALC239" s="537"/>
      <c r="ALD239" s="537"/>
      <c r="ALE239" s="537"/>
      <c r="ALF239" s="537"/>
      <c r="ALG239" s="537"/>
      <c r="ALH239" s="537"/>
      <c r="ALI239" s="537"/>
      <c r="ALJ239" s="537"/>
      <c r="ALK239" s="537"/>
      <c r="ALL239" s="537"/>
      <c r="ALM239" s="537"/>
      <c r="ALN239" s="537"/>
      <c r="ALO239" s="537"/>
      <c r="ALP239" s="537"/>
      <c r="ALQ239" s="537"/>
      <c r="ALR239" s="537"/>
      <c r="ALS239" s="537"/>
      <c r="ALT239" s="537"/>
      <c r="ALU239" s="537"/>
      <c r="ALV239" s="537"/>
      <c r="ALW239" s="537"/>
      <c r="ALX239" s="537"/>
      <c r="ALY239" s="537"/>
      <c r="ALZ239" s="537"/>
      <c r="AMA239" s="537"/>
      <c r="AMB239" s="537"/>
      <c r="AMC239" s="537"/>
      <c r="AMD239" s="537"/>
      <c r="AME239" s="537"/>
      <c r="AMF239" s="537"/>
      <c r="AMG239" s="537"/>
      <c r="AMH239" s="537"/>
      <c r="AMI239" s="537"/>
      <c r="AMJ239" s="537"/>
      <c r="AMK239" s="537"/>
      <c r="AML239" s="537"/>
      <c r="AMM239" s="537"/>
      <c r="AMN239" s="537"/>
      <c r="AMO239" s="537"/>
      <c r="AMP239" s="537"/>
      <c r="AMQ239" s="537"/>
      <c r="AMR239" s="537"/>
      <c r="AMS239" s="537"/>
      <c r="AMT239" s="537"/>
      <c r="AMU239" s="537"/>
      <c r="AMV239" s="537"/>
      <c r="AMW239" s="537"/>
      <c r="AMX239" s="537"/>
      <c r="AMY239" s="537"/>
      <c r="AMZ239" s="537"/>
      <c r="ANA239" s="537"/>
      <c r="ANB239" s="537"/>
      <c r="ANC239" s="537"/>
      <c r="AND239" s="537"/>
      <c r="ANE239" s="537"/>
      <c r="ANF239" s="537"/>
      <c r="ANG239" s="537"/>
      <c r="ANH239" s="537"/>
      <c r="ANI239" s="537"/>
      <c r="ANJ239" s="537"/>
      <c r="ANK239" s="537"/>
      <c r="ANL239" s="537"/>
      <c r="ANM239" s="537"/>
      <c r="ANN239" s="537"/>
      <c r="ANO239" s="537"/>
      <c r="ANP239" s="537"/>
      <c r="ANQ239" s="537"/>
      <c r="ANR239" s="537"/>
      <c r="ANS239" s="537"/>
      <c r="ANT239" s="537"/>
      <c r="ANU239" s="537"/>
      <c r="ANV239" s="537"/>
      <c r="ANW239" s="537"/>
      <c r="ANX239" s="537"/>
      <c r="ANY239" s="537"/>
      <c r="ANZ239" s="537"/>
      <c r="AOA239" s="537"/>
      <c r="AOB239" s="537"/>
      <c r="AOC239" s="537"/>
      <c r="AOD239" s="537"/>
      <c r="AOE239" s="537"/>
      <c r="AOF239" s="537"/>
      <c r="AOG239" s="537"/>
      <c r="AOH239" s="537"/>
      <c r="AOI239" s="537"/>
      <c r="AOJ239" s="537"/>
      <c r="AOK239" s="537"/>
      <c r="AOL239" s="537"/>
      <c r="AOM239" s="537"/>
      <c r="AON239" s="537"/>
      <c r="AOO239" s="537"/>
      <c r="AOP239" s="537"/>
      <c r="AOQ239" s="537"/>
      <c r="AOR239" s="537"/>
      <c r="AOS239" s="537"/>
      <c r="AOT239" s="537"/>
      <c r="AOU239" s="537"/>
      <c r="AOV239" s="537"/>
      <c r="AOW239" s="537"/>
      <c r="AOX239" s="537"/>
      <c r="AOY239" s="537"/>
      <c r="AOZ239" s="537"/>
      <c r="APA239" s="537"/>
      <c r="APB239" s="537"/>
      <c r="APC239" s="537"/>
      <c r="APD239" s="537"/>
      <c r="APE239" s="537"/>
      <c r="APF239" s="537"/>
      <c r="APG239" s="537"/>
      <c r="APH239" s="537"/>
      <c r="API239" s="537"/>
      <c r="APJ239" s="537"/>
      <c r="APK239" s="537"/>
      <c r="APL239" s="537"/>
      <c r="APM239" s="537"/>
      <c r="APN239" s="537"/>
      <c r="APO239" s="537"/>
      <c r="APP239" s="537"/>
      <c r="APQ239" s="537"/>
      <c r="APR239" s="537"/>
      <c r="APS239" s="537"/>
      <c r="APT239" s="537"/>
      <c r="APU239" s="537"/>
      <c r="APV239" s="537"/>
      <c r="APW239" s="537"/>
      <c r="APX239" s="537"/>
      <c r="APY239" s="537"/>
      <c r="APZ239" s="537"/>
      <c r="AQA239" s="537"/>
      <c r="AQB239" s="537"/>
      <c r="AQC239" s="537"/>
      <c r="AQD239" s="537"/>
      <c r="AQE239" s="537"/>
      <c r="AQF239" s="537"/>
      <c r="AQG239" s="537"/>
      <c r="AQH239" s="537"/>
      <c r="AQI239" s="537"/>
      <c r="AQJ239" s="537"/>
      <c r="AQK239" s="537"/>
      <c r="AQL239" s="537"/>
      <c r="AQM239" s="537"/>
      <c r="AQN239" s="537"/>
      <c r="AQO239" s="537"/>
      <c r="AQP239" s="537"/>
      <c r="AQQ239" s="537"/>
      <c r="AQR239" s="537"/>
      <c r="AQS239" s="537"/>
      <c r="AQT239" s="537"/>
      <c r="AQU239" s="537"/>
      <c r="AQV239" s="537"/>
      <c r="AQW239" s="537"/>
      <c r="AQX239" s="537"/>
      <c r="AQY239" s="537"/>
      <c r="AQZ239" s="537"/>
      <c r="ARA239" s="537"/>
      <c r="ARB239" s="537"/>
      <c r="ARC239" s="537"/>
      <c r="ARD239" s="537"/>
      <c r="ARE239" s="537"/>
      <c r="ARF239" s="537"/>
      <c r="ARG239" s="537"/>
      <c r="ARH239" s="537"/>
      <c r="ARI239" s="537"/>
      <c r="ARJ239" s="537"/>
      <c r="ARK239" s="537"/>
      <c r="ARL239" s="537"/>
      <c r="ARM239" s="537"/>
      <c r="ARN239" s="537"/>
      <c r="ARO239" s="537"/>
      <c r="ARP239" s="537"/>
      <c r="ARQ239" s="537"/>
      <c r="ARR239" s="537"/>
      <c r="ARS239" s="537"/>
      <c r="ART239" s="537"/>
      <c r="ARU239" s="537"/>
      <c r="ARV239" s="537"/>
      <c r="ARW239" s="537"/>
      <c r="ARX239" s="537"/>
      <c r="ARY239" s="537"/>
      <c r="ARZ239" s="537"/>
      <c r="ASA239" s="537"/>
      <c r="ASB239" s="537"/>
      <c r="ASC239" s="537"/>
      <c r="ASD239" s="537"/>
      <c r="ASE239" s="537"/>
      <c r="ASF239" s="537"/>
      <c r="ASG239" s="537"/>
      <c r="ASH239" s="537"/>
      <c r="ASI239" s="537"/>
      <c r="ASJ239" s="537"/>
      <c r="ASK239" s="537"/>
      <c r="ASL239" s="537"/>
      <c r="ASM239" s="537"/>
      <c r="ASN239" s="537"/>
      <c r="ASO239" s="537"/>
      <c r="ASP239" s="537"/>
      <c r="ASQ239" s="537"/>
      <c r="ASR239" s="537"/>
      <c r="ASS239" s="537"/>
      <c r="AST239" s="537"/>
      <c r="ASU239" s="537"/>
      <c r="ASV239" s="537"/>
      <c r="ASW239" s="537"/>
      <c r="ASX239" s="537"/>
      <c r="ASY239" s="537"/>
      <c r="ASZ239" s="537"/>
      <c r="ATA239" s="537"/>
      <c r="ATB239" s="537"/>
      <c r="ATC239" s="537"/>
      <c r="ATD239" s="537"/>
      <c r="ATE239" s="537"/>
      <c r="ATF239" s="537"/>
      <c r="ATG239" s="537"/>
      <c r="ATH239" s="537"/>
      <c r="ATI239" s="537"/>
      <c r="ATJ239" s="537"/>
      <c r="ATK239" s="537"/>
      <c r="ATL239" s="537"/>
      <c r="ATM239" s="537"/>
      <c r="ATN239" s="537"/>
      <c r="ATO239" s="537"/>
      <c r="ATP239" s="537"/>
      <c r="ATQ239" s="537"/>
      <c r="ATR239" s="537"/>
      <c r="ATS239" s="537"/>
      <c r="ATT239" s="537"/>
      <c r="ATU239" s="537"/>
      <c r="ATV239" s="537"/>
      <c r="ATW239" s="537"/>
      <c r="ATX239" s="537"/>
      <c r="ATY239" s="537"/>
      <c r="ATZ239" s="537"/>
      <c r="AUA239" s="537"/>
      <c r="AUB239" s="537"/>
      <c r="AUC239" s="537"/>
      <c r="AUD239" s="537"/>
      <c r="AUE239" s="537"/>
      <c r="AUF239" s="537"/>
      <c r="AUG239" s="537"/>
      <c r="AUH239" s="537"/>
      <c r="AUI239" s="537"/>
      <c r="AUJ239" s="537"/>
      <c r="AUK239" s="537"/>
      <c r="AUL239" s="537"/>
      <c r="AUM239" s="537"/>
      <c r="AUN239" s="537"/>
      <c r="AUO239" s="537"/>
      <c r="AUP239" s="537"/>
      <c r="AUQ239" s="537"/>
      <c r="AUR239" s="537"/>
      <c r="AUS239" s="537"/>
      <c r="AUT239" s="537"/>
      <c r="AUU239" s="537"/>
      <c r="AUV239" s="537"/>
      <c r="AUW239" s="537"/>
      <c r="AUX239" s="537"/>
      <c r="AUY239" s="537"/>
      <c r="AUZ239" s="537"/>
      <c r="AVA239" s="537"/>
      <c r="AVB239" s="537"/>
      <c r="AVC239" s="537"/>
      <c r="AVD239" s="537"/>
      <c r="AVE239" s="537"/>
      <c r="AVF239" s="537"/>
      <c r="AVG239" s="537"/>
      <c r="AVH239" s="537"/>
      <c r="AVI239" s="537"/>
      <c r="AVJ239" s="537"/>
      <c r="AVK239" s="537"/>
      <c r="AVL239" s="537"/>
      <c r="AVM239" s="537"/>
      <c r="AVN239" s="537"/>
      <c r="AVO239" s="537"/>
      <c r="AVP239" s="537"/>
      <c r="AVQ239" s="537"/>
      <c r="AVR239" s="537"/>
      <c r="AVS239" s="537"/>
      <c r="AVT239" s="537"/>
      <c r="AVU239" s="537"/>
      <c r="AVV239" s="537"/>
      <c r="AVW239" s="537"/>
      <c r="AVX239" s="537"/>
      <c r="AVY239" s="537"/>
      <c r="AVZ239" s="537"/>
      <c r="AWA239" s="537"/>
      <c r="AWB239" s="537"/>
      <c r="AWC239" s="537"/>
      <c r="AWD239" s="537"/>
      <c r="AWE239" s="537"/>
      <c r="AWF239" s="537"/>
      <c r="AWG239" s="537"/>
      <c r="AWH239" s="537"/>
      <c r="AWI239" s="537"/>
      <c r="AWJ239" s="537"/>
      <c r="AWK239" s="537"/>
      <c r="AWL239" s="537"/>
      <c r="AWM239" s="537"/>
      <c r="AWN239" s="537"/>
      <c r="AWO239" s="537"/>
      <c r="AWP239" s="537"/>
      <c r="AWQ239" s="537"/>
      <c r="AWR239" s="537"/>
      <c r="AWS239" s="537"/>
      <c r="AWT239" s="537"/>
      <c r="AWU239" s="537"/>
      <c r="AWV239" s="537"/>
      <c r="AWW239" s="537"/>
      <c r="AWX239" s="537"/>
      <c r="AWY239" s="537"/>
      <c r="AWZ239" s="537"/>
      <c r="AXA239" s="537"/>
      <c r="AXB239" s="537"/>
      <c r="AXC239" s="537"/>
      <c r="AXD239" s="537"/>
      <c r="AXE239" s="537"/>
      <c r="AXF239" s="537"/>
      <c r="AXG239" s="537"/>
      <c r="AXH239" s="537"/>
      <c r="AXI239" s="537"/>
      <c r="AXJ239" s="537"/>
      <c r="AXK239" s="537"/>
      <c r="AXL239" s="537"/>
      <c r="AXM239" s="537"/>
      <c r="AXN239" s="537"/>
      <c r="AXO239" s="537"/>
      <c r="AXP239" s="537"/>
      <c r="AXQ239" s="537"/>
      <c r="AXR239" s="537"/>
      <c r="AXS239" s="537"/>
      <c r="AXT239" s="537"/>
      <c r="AXU239" s="537"/>
      <c r="AXV239" s="537"/>
      <c r="AXW239" s="537"/>
      <c r="AXX239" s="537"/>
      <c r="AXY239" s="537"/>
      <c r="AXZ239" s="537"/>
      <c r="AYA239" s="537"/>
      <c r="AYB239" s="537"/>
      <c r="AYC239" s="537"/>
      <c r="AYD239" s="537"/>
      <c r="AYE239" s="537"/>
      <c r="AYF239" s="537"/>
      <c r="AYG239" s="537"/>
      <c r="AYH239" s="537"/>
      <c r="AYI239" s="537"/>
      <c r="AYJ239" s="537"/>
      <c r="AYK239" s="537"/>
      <c r="AYL239" s="537"/>
      <c r="AYM239" s="537"/>
      <c r="AYN239" s="537"/>
      <c r="AYO239" s="537"/>
      <c r="AYP239" s="537"/>
      <c r="AYQ239" s="537"/>
      <c r="AYR239" s="537"/>
      <c r="AYS239" s="537"/>
      <c r="AYT239" s="537"/>
      <c r="AYU239" s="537"/>
      <c r="AYV239" s="537"/>
      <c r="AYW239" s="537"/>
      <c r="AYX239" s="537"/>
      <c r="AYY239" s="537"/>
      <c r="AYZ239" s="537"/>
      <c r="AZA239" s="537"/>
      <c r="AZB239" s="537"/>
      <c r="AZC239" s="537"/>
      <c r="AZD239" s="537"/>
      <c r="AZE239" s="537"/>
      <c r="AZF239" s="537"/>
      <c r="AZG239" s="537"/>
      <c r="AZH239" s="537"/>
      <c r="AZI239" s="537"/>
      <c r="AZJ239" s="537"/>
      <c r="AZK239" s="537"/>
      <c r="AZL239" s="537"/>
      <c r="AZM239" s="537"/>
      <c r="AZN239" s="537"/>
      <c r="AZO239" s="537"/>
      <c r="AZP239" s="537"/>
      <c r="AZQ239" s="537"/>
      <c r="AZR239" s="537"/>
      <c r="AZS239" s="537"/>
      <c r="AZT239" s="537"/>
      <c r="AZU239" s="537"/>
      <c r="AZV239" s="537"/>
      <c r="AZW239" s="537"/>
      <c r="AZX239" s="537"/>
      <c r="AZY239" s="537"/>
      <c r="AZZ239" s="537"/>
      <c r="BAA239" s="537"/>
      <c r="BAB239" s="537"/>
      <c r="BAC239" s="537"/>
      <c r="BAD239" s="537"/>
      <c r="BAE239" s="537"/>
      <c r="BAF239" s="537"/>
      <c r="BAG239" s="537"/>
      <c r="BAH239" s="537"/>
      <c r="BAI239" s="537"/>
      <c r="BAJ239" s="537"/>
      <c r="BAK239" s="537"/>
      <c r="BAL239" s="537"/>
      <c r="BAM239" s="537"/>
      <c r="BAN239" s="537"/>
      <c r="BAO239" s="537"/>
      <c r="BAP239" s="537"/>
      <c r="BAQ239" s="537"/>
      <c r="BAR239" s="537"/>
      <c r="BAS239" s="537"/>
      <c r="BAT239" s="537"/>
      <c r="BAU239" s="537"/>
      <c r="BAV239" s="537"/>
      <c r="BAW239" s="537"/>
      <c r="BAX239" s="537"/>
      <c r="BAY239" s="537"/>
      <c r="BAZ239" s="537"/>
      <c r="BBA239" s="537"/>
      <c r="BBB239" s="537"/>
      <c r="BBC239" s="537"/>
      <c r="BBD239" s="537"/>
      <c r="BBE239" s="537"/>
      <c r="BBF239" s="537"/>
      <c r="BBG239" s="537"/>
      <c r="BBH239" s="537"/>
      <c r="BBI239" s="537"/>
      <c r="BBJ239" s="537"/>
      <c r="BBK239" s="537"/>
      <c r="BBL239" s="537"/>
      <c r="BBM239" s="537"/>
      <c r="BBN239" s="537"/>
      <c r="BBO239" s="537"/>
      <c r="BBP239" s="537"/>
      <c r="BBQ239" s="537"/>
      <c r="BBR239" s="537"/>
      <c r="BBS239" s="537"/>
      <c r="BBT239" s="537"/>
      <c r="BBU239" s="537"/>
      <c r="BBV239" s="537"/>
      <c r="BBW239" s="537"/>
      <c r="BBX239" s="537"/>
      <c r="BBY239" s="537"/>
      <c r="BBZ239" s="537"/>
      <c r="BCA239" s="537"/>
      <c r="BCB239" s="537"/>
      <c r="BCC239" s="537"/>
      <c r="BCD239" s="537"/>
      <c r="BCE239" s="537"/>
      <c r="BCF239" s="537"/>
      <c r="BCG239" s="537"/>
      <c r="BCH239" s="537"/>
      <c r="BCI239" s="537"/>
      <c r="BCJ239" s="537"/>
      <c r="BCK239" s="537"/>
      <c r="BCL239" s="537"/>
      <c r="BCM239" s="537"/>
      <c r="BCN239" s="537"/>
      <c r="BCO239" s="537"/>
      <c r="BCP239" s="537"/>
      <c r="BCQ239" s="537"/>
      <c r="BCR239" s="537"/>
      <c r="BCS239" s="537"/>
      <c r="BCT239" s="537"/>
      <c r="BCU239" s="537"/>
      <c r="BCV239" s="537"/>
      <c r="BCW239" s="537"/>
      <c r="BCX239" s="537"/>
      <c r="BCY239" s="537"/>
      <c r="BCZ239" s="537"/>
      <c r="BDA239" s="537"/>
      <c r="BDB239" s="537"/>
      <c r="BDC239" s="537"/>
      <c r="BDD239" s="537"/>
      <c r="BDE239" s="537"/>
      <c r="BDF239" s="537"/>
      <c r="BDG239" s="537"/>
      <c r="BDH239" s="537"/>
      <c r="BDI239" s="537"/>
      <c r="BDJ239" s="537"/>
      <c r="BDK239" s="537"/>
      <c r="BDL239" s="537"/>
      <c r="BDM239" s="537"/>
      <c r="BDN239" s="537"/>
      <c r="BDO239" s="537"/>
      <c r="BDP239" s="537"/>
      <c r="BDQ239" s="537"/>
      <c r="BDR239" s="537"/>
      <c r="BDS239" s="537"/>
      <c r="BDT239" s="537"/>
      <c r="BDU239" s="537"/>
      <c r="BDV239" s="537"/>
      <c r="BDW239" s="537"/>
      <c r="BDX239" s="537"/>
      <c r="BDY239" s="537"/>
      <c r="BDZ239" s="537"/>
      <c r="BEA239" s="537"/>
      <c r="BEB239" s="537"/>
      <c r="BEC239" s="537"/>
      <c r="BED239" s="537"/>
      <c r="BEE239" s="537"/>
      <c r="BEF239" s="537"/>
      <c r="BEG239" s="537"/>
      <c r="BEH239" s="537"/>
      <c r="BEI239" s="537"/>
      <c r="BEJ239" s="537"/>
      <c r="BEK239" s="537"/>
      <c r="BEL239" s="537"/>
      <c r="BEM239" s="537"/>
      <c r="BEN239" s="537"/>
      <c r="BEO239" s="537"/>
      <c r="BEP239" s="537"/>
      <c r="BEQ239" s="537"/>
      <c r="BER239" s="537"/>
      <c r="BES239" s="537"/>
      <c r="BET239" s="537"/>
      <c r="BEU239" s="537"/>
      <c r="BEV239" s="537"/>
      <c r="BEW239" s="537"/>
      <c r="BEX239" s="537"/>
      <c r="BEY239" s="537"/>
      <c r="BEZ239" s="537"/>
      <c r="BFA239" s="537"/>
      <c r="BFB239" s="537"/>
      <c r="BFC239" s="537"/>
      <c r="BFD239" s="537"/>
      <c r="BFE239" s="537"/>
      <c r="BFF239" s="537"/>
      <c r="BFG239" s="537"/>
      <c r="BFH239" s="537"/>
      <c r="BFI239" s="537"/>
      <c r="BFJ239" s="537"/>
      <c r="BFK239" s="537"/>
      <c r="BFL239" s="537"/>
      <c r="BFM239" s="537"/>
      <c r="BFN239" s="537"/>
      <c r="BFO239" s="537"/>
      <c r="BFP239" s="537"/>
      <c r="BFQ239" s="537"/>
      <c r="BFR239" s="537"/>
      <c r="BFS239" s="537"/>
      <c r="BFT239" s="537"/>
      <c r="BFU239" s="537"/>
      <c r="BFV239" s="537"/>
      <c r="BFW239" s="537"/>
      <c r="BFX239" s="537"/>
      <c r="BFY239" s="537"/>
      <c r="BFZ239" s="537"/>
      <c r="BGA239" s="537"/>
      <c r="BGB239" s="537"/>
      <c r="BGC239" s="537"/>
      <c r="BGD239" s="537"/>
      <c r="BGE239" s="537"/>
      <c r="BGF239" s="537"/>
      <c r="BGG239" s="537"/>
      <c r="BGH239" s="537"/>
      <c r="BGI239" s="537"/>
      <c r="BGJ239" s="537"/>
      <c r="BGK239" s="537"/>
      <c r="BGL239" s="537"/>
      <c r="BGM239" s="537"/>
      <c r="BGN239" s="537"/>
      <c r="BGO239" s="537"/>
      <c r="BGP239" s="537"/>
      <c r="BGQ239" s="537"/>
      <c r="BGR239" s="537"/>
      <c r="BGS239" s="537"/>
      <c r="BGT239" s="537"/>
      <c r="BGU239" s="537"/>
      <c r="BGV239" s="537"/>
      <c r="BGW239" s="537"/>
      <c r="BGX239" s="537"/>
      <c r="BGY239" s="537"/>
      <c r="BGZ239" s="537"/>
      <c r="BHA239" s="537"/>
      <c r="BHB239" s="537"/>
      <c r="BHC239" s="537"/>
      <c r="BHD239" s="537"/>
      <c r="BHE239" s="537"/>
      <c r="BHF239" s="537"/>
      <c r="BHG239" s="537"/>
      <c r="BHH239" s="537"/>
      <c r="BHI239" s="537"/>
      <c r="BHJ239" s="537"/>
      <c r="BHK239" s="537"/>
      <c r="BHL239" s="537"/>
      <c r="BHM239" s="537"/>
      <c r="BHN239" s="537"/>
      <c r="BHO239" s="537"/>
      <c r="BHP239" s="537"/>
      <c r="BHQ239" s="537"/>
      <c r="BHR239" s="537"/>
      <c r="BHS239" s="537"/>
      <c r="BHT239" s="537"/>
      <c r="BHU239" s="537"/>
      <c r="BHV239" s="537"/>
      <c r="BHW239" s="537"/>
      <c r="BHX239" s="537"/>
      <c r="BHY239" s="537"/>
      <c r="BHZ239" s="537"/>
      <c r="BIA239" s="537"/>
      <c r="BIB239" s="537"/>
      <c r="BIC239" s="537"/>
      <c r="BID239" s="537"/>
      <c r="BIE239" s="537"/>
      <c r="BIF239" s="537"/>
      <c r="BIG239" s="537"/>
      <c r="BIH239" s="537"/>
      <c r="BII239" s="537"/>
      <c r="BIJ239" s="537"/>
      <c r="BIK239" s="537"/>
      <c r="BIL239" s="537"/>
      <c r="BIM239" s="537"/>
      <c r="BIN239" s="537"/>
      <c r="BIO239" s="537"/>
      <c r="BIP239" s="537"/>
      <c r="BIQ239" s="537"/>
      <c r="BIR239" s="537"/>
      <c r="BIS239" s="537"/>
      <c r="BIT239" s="537"/>
      <c r="BIU239" s="537"/>
      <c r="BIV239" s="537"/>
      <c r="BIW239" s="537"/>
      <c r="BIX239" s="537"/>
      <c r="BIY239" s="537"/>
      <c r="BIZ239" s="537"/>
      <c r="BJA239" s="537"/>
      <c r="BJB239" s="537"/>
      <c r="BJC239" s="537"/>
      <c r="BJD239" s="537"/>
      <c r="BJE239" s="537"/>
      <c r="BJF239" s="537"/>
      <c r="BJG239" s="537"/>
      <c r="BJH239" s="537"/>
      <c r="BJI239" s="537"/>
      <c r="BJJ239" s="537"/>
      <c r="BJK239" s="537"/>
      <c r="BJL239" s="537"/>
      <c r="BJM239" s="537"/>
      <c r="BJN239" s="537"/>
      <c r="BJO239" s="537"/>
      <c r="BJP239" s="537"/>
      <c r="BJQ239" s="537"/>
      <c r="BJR239" s="537"/>
      <c r="BJS239" s="537"/>
      <c r="BJT239" s="537"/>
      <c r="BJU239" s="537"/>
      <c r="BJV239" s="537"/>
      <c r="BJW239" s="537"/>
      <c r="BJX239" s="537"/>
      <c r="BJY239" s="537"/>
      <c r="BJZ239" s="537"/>
      <c r="BKA239" s="537"/>
      <c r="BKB239" s="537"/>
      <c r="BKC239" s="537"/>
      <c r="BKD239" s="537"/>
      <c r="BKE239" s="537"/>
      <c r="BKF239" s="537"/>
      <c r="BKG239" s="537"/>
      <c r="BKH239" s="537"/>
      <c r="BKI239" s="537"/>
      <c r="BKJ239" s="537"/>
      <c r="BKK239" s="537"/>
      <c r="BKL239" s="537"/>
      <c r="BKM239" s="537"/>
      <c r="BKN239" s="537"/>
      <c r="BKO239" s="537"/>
      <c r="BKP239" s="537"/>
      <c r="BKQ239" s="537"/>
      <c r="BKR239" s="537"/>
      <c r="BKS239" s="537"/>
      <c r="BKT239" s="537"/>
      <c r="BKU239" s="537"/>
      <c r="BKV239" s="537"/>
      <c r="BKW239" s="537"/>
      <c r="BKX239" s="537"/>
      <c r="BKY239" s="537"/>
      <c r="BKZ239" s="537"/>
      <c r="BLA239" s="537"/>
      <c r="BLB239" s="537"/>
      <c r="BLC239" s="537"/>
      <c r="BLD239" s="537"/>
      <c r="BLE239" s="537"/>
      <c r="BLF239" s="537"/>
      <c r="BLG239" s="537"/>
      <c r="BLH239" s="537"/>
      <c r="BLI239" s="537"/>
      <c r="BLJ239" s="537"/>
      <c r="BLK239" s="537"/>
      <c r="BLL239" s="537"/>
      <c r="BLM239" s="537"/>
      <c r="BLN239" s="537"/>
      <c r="BLO239" s="537"/>
      <c r="BLP239" s="537"/>
      <c r="BLQ239" s="537"/>
      <c r="BLR239" s="537"/>
      <c r="BLS239" s="537"/>
      <c r="BLT239" s="537"/>
      <c r="BLU239" s="537"/>
      <c r="BLV239" s="537"/>
      <c r="BLW239" s="537"/>
      <c r="BLX239" s="537"/>
      <c r="BLY239" s="537"/>
      <c r="BLZ239" s="537"/>
      <c r="BMA239" s="537"/>
      <c r="BMB239" s="537"/>
      <c r="BMC239" s="537"/>
      <c r="BMD239" s="537"/>
      <c r="BME239" s="537"/>
      <c r="BMF239" s="537"/>
      <c r="BMG239" s="537"/>
      <c r="BMH239" s="537"/>
      <c r="BMI239" s="537"/>
      <c r="BMJ239" s="537"/>
      <c r="BMK239" s="537"/>
      <c r="BML239" s="537"/>
      <c r="BMM239" s="537"/>
      <c r="BMN239" s="537"/>
      <c r="BMO239" s="537"/>
      <c r="BMP239" s="537"/>
      <c r="BMQ239" s="537"/>
      <c r="BMR239" s="537"/>
      <c r="BMS239" s="537"/>
      <c r="BMT239" s="537"/>
      <c r="BMU239" s="537"/>
      <c r="BMV239" s="537"/>
      <c r="BMW239" s="537"/>
      <c r="BMX239" s="537"/>
      <c r="BMY239" s="537"/>
      <c r="BMZ239" s="537"/>
      <c r="BNA239" s="537"/>
      <c r="BNB239" s="537"/>
      <c r="BNC239" s="537"/>
      <c r="BND239" s="537"/>
      <c r="BNE239" s="537"/>
      <c r="BNF239" s="537"/>
      <c r="BNG239" s="537"/>
      <c r="BNH239" s="537"/>
      <c r="BNI239" s="537"/>
      <c r="BNJ239" s="537"/>
      <c r="BNK239" s="537"/>
      <c r="BNL239" s="537"/>
      <c r="BNM239" s="537"/>
      <c r="BNN239" s="537"/>
      <c r="BNO239" s="537"/>
      <c r="BNP239" s="537"/>
      <c r="BNQ239" s="537"/>
      <c r="BNR239" s="537"/>
      <c r="BNS239" s="537"/>
      <c r="BNT239" s="537"/>
      <c r="BNU239" s="537"/>
      <c r="BNV239" s="537"/>
      <c r="BNW239" s="537"/>
      <c r="BNX239" s="537"/>
      <c r="BNY239" s="537"/>
      <c r="BNZ239" s="537"/>
      <c r="BOA239" s="537"/>
      <c r="BOB239" s="537"/>
      <c r="BOC239" s="537"/>
      <c r="BOD239" s="537"/>
      <c r="BOE239" s="537"/>
      <c r="BOF239" s="537"/>
      <c r="BOG239" s="537"/>
      <c r="BOH239" s="537"/>
      <c r="BOI239" s="537"/>
      <c r="BOJ239" s="537"/>
      <c r="BOK239" s="537"/>
      <c r="BOL239" s="537"/>
      <c r="BOM239" s="537"/>
      <c r="BON239" s="537"/>
      <c r="BOO239" s="537"/>
      <c r="BOP239" s="537"/>
      <c r="BOQ239" s="537"/>
      <c r="BOR239" s="537"/>
      <c r="BOS239" s="537"/>
      <c r="BOT239" s="537"/>
      <c r="BOU239" s="537"/>
      <c r="BOV239" s="537"/>
      <c r="BOW239" s="537"/>
      <c r="BOX239" s="537"/>
      <c r="BOY239" s="537"/>
      <c r="BOZ239" s="537"/>
      <c r="BPA239" s="537"/>
      <c r="BPB239" s="537"/>
      <c r="BPC239" s="537"/>
      <c r="BPD239" s="537"/>
      <c r="BPE239" s="537"/>
      <c r="BPF239" s="537"/>
      <c r="BPG239" s="537"/>
      <c r="BPH239" s="537"/>
      <c r="BPI239" s="537"/>
      <c r="BPJ239" s="537"/>
      <c r="BPK239" s="537"/>
      <c r="BPL239" s="537"/>
      <c r="BPM239" s="537"/>
      <c r="BPN239" s="537"/>
      <c r="BPO239" s="537"/>
      <c r="BPP239" s="537"/>
      <c r="BPQ239" s="537"/>
      <c r="BPR239" s="537"/>
      <c r="BPS239" s="537"/>
      <c r="BPT239" s="537"/>
      <c r="BPU239" s="537"/>
      <c r="BPV239" s="537"/>
      <c r="BPW239" s="537"/>
      <c r="BPX239" s="537"/>
      <c r="BPY239" s="537"/>
      <c r="BPZ239" s="537"/>
      <c r="BQA239" s="537"/>
      <c r="BQB239" s="537"/>
      <c r="BQC239" s="537"/>
      <c r="BQD239" s="537"/>
      <c r="BQE239" s="537"/>
      <c r="BQF239" s="537"/>
      <c r="BQG239" s="537"/>
      <c r="BQH239" s="537"/>
      <c r="BQI239" s="537"/>
      <c r="BQJ239" s="537"/>
      <c r="BQK239" s="537"/>
      <c r="BQL239" s="537"/>
      <c r="BQM239" s="537"/>
      <c r="BQN239" s="537"/>
      <c r="BQO239" s="537"/>
      <c r="BQP239" s="537"/>
      <c r="BQQ239" s="537"/>
      <c r="BQR239" s="537"/>
      <c r="BQS239" s="537"/>
      <c r="BQT239" s="537"/>
      <c r="BQU239" s="537"/>
      <c r="BQV239" s="537"/>
      <c r="BQW239" s="537"/>
      <c r="BQX239" s="537"/>
      <c r="BQY239" s="537"/>
      <c r="BQZ239" s="537"/>
      <c r="BRA239" s="537"/>
      <c r="BRB239" s="537"/>
      <c r="BRC239" s="537"/>
      <c r="BRD239" s="537"/>
      <c r="BRE239" s="537"/>
      <c r="BRF239" s="537"/>
      <c r="BRG239" s="537"/>
      <c r="BRH239" s="537"/>
      <c r="BRI239" s="537"/>
      <c r="BRJ239" s="537"/>
      <c r="BRK239" s="537"/>
      <c r="BRL239" s="537"/>
      <c r="BRM239" s="537"/>
      <c r="BRN239" s="537"/>
      <c r="BRO239" s="537"/>
      <c r="BRP239" s="537"/>
      <c r="BRQ239" s="537"/>
      <c r="BRR239" s="537"/>
      <c r="BRS239" s="537"/>
      <c r="BRT239" s="537"/>
      <c r="BRU239" s="537"/>
      <c r="BRV239" s="537"/>
      <c r="BRW239" s="537"/>
      <c r="BRX239" s="537"/>
      <c r="BRY239" s="537"/>
      <c r="BRZ239" s="537"/>
      <c r="BSA239" s="537"/>
      <c r="BSB239" s="537"/>
      <c r="BSC239" s="537"/>
      <c r="BSD239" s="537"/>
      <c r="BSE239" s="537"/>
      <c r="BSF239" s="537"/>
      <c r="BSG239" s="537"/>
      <c r="BSH239" s="537"/>
      <c r="BSI239" s="537"/>
      <c r="BSJ239" s="537"/>
      <c r="BSK239" s="537"/>
      <c r="BSL239" s="537"/>
      <c r="BSM239" s="537"/>
      <c r="BSN239" s="537"/>
      <c r="BSO239" s="537"/>
      <c r="BSP239" s="537"/>
      <c r="BSQ239" s="537"/>
      <c r="BSR239" s="537"/>
      <c r="BSS239" s="537"/>
      <c r="BST239" s="537"/>
      <c r="BSU239" s="537"/>
      <c r="BSV239" s="537"/>
      <c r="BSW239" s="537"/>
      <c r="BSX239" s="537"/>
      <c r="BSY239" s="537"/>
      <c r="BSZ239" s="537"/>
      <c r="BTA239" s="537"/>
      <c r="BTB239" s="537"/>
      <c r="BTC239" s="537"/>
      <c r="BTD239" s="537"/>
      <c r="BTE239" s="537"/>
      <c r="BTF239" s="537"/>
      <c r="BTG239" s="537"/>
      <c r="BTH239" s="537"/>
      <c r="BTI239" s="537"/>
      <c r="BTJ239" s="537"/>
      <c r="BTK239" s="537"/>
      <c r="BTL239" s="537"/>
      <c r="BTM239" s="537"/>
      <c r="BTN239" s="537"/>
      <c r="BTO239" s="537"/>
      <c r="BTP239" s="537"/>
      <c r="BTQ239" s="537"/>
      <c r="BTR239" s="537"/>
      <c r="BTS239" s="537"/>
      <c r="BTT239" s="537"/>
      <c r="BTU239" s="537"/>
      <c r="BTV239" s="537"/>
      <c r="BTW239" s="537"/>
      <c r="BTX239" s="537"/>
      <c r="BTY239" s="537"/>
      <c r="BTZ239" s="537"/>
      <c r="BUA239" s="537"/>
      <c r="BUB239" s="537"/>
      <c r="BUC239" s="537"/>
      <c r="BUD239" s="537"/>
      <c r="BUE239" s="537"/>
      <c r="BUF239" s="537"/>
      <c r="BUG239" s="537"/>
      <c r="BUH239" s="537"/>
      <c r="BUI239" s="537"/>
      <c r="BUJ239" s="537"/>
      <c r="BUK239" s="537"/>
      <c r="BUL239" s="537"/>
      <c r="BUM239" s="537"/>
      <c r="BUN239" s="537"/>
      <c r="BUO239" s="537"/>
      <c r="BUP239" s="537"/>
      <c r="BUQ239" s="537"/>
      <c r="BUR239" s="537"/>
      <c r="BUS239" s="537"/>
      <c r="BUT239" s="537"/>
      <c r="BUU239" s="537"/>
      <c r="BUV239" s="537"/>
      <c r="BUW239" s="537"/>
      <c r="BUX239" s="537"/>
      <c r="BUY239" s="537"/>
      <c r="BUZ239" s="537"/>
      <c r="BVA239" s="537"/>
      <c r="BVB239" s="537"/>
      <c r="BVC239" s="537"/>
      <c r="BVD239" s="537"/>
      <c r="BVE239" s="537"/>
      <c r="BVF239" s="537"/>
      <c r="BVG239" s="537"/>
      <c r="BVH239" s="537"/>
      <c r="BVI239" s="537"/>
      <c r="BVJ239" s="537"/>
      <c r="BVK239" s="537"/>
      <c r="BVL239" s="537"/>
      <c r="BVM239" s="537"/>
      <c r="BVN239" s="537"/>
      <c r="BVO239" s="537"/>
      <c r="BVP239" s="537"/>
      <c r="BVQ239" s="537"/>
      <c r="BVR239" s="537"/>
      <c r="BVS239" s="537"/>
      <c r="BVT239" s="537"/>
      <c r="BVU239" s="537"/>
      <c r="BVV239" s="537"/>
      <c r="BVW239" s="537"/>
      <c r="BVX239" s="537"/>
      <c r="BVY239" s="537"/>
      <c r="BVZ239" s="537"/>
      <c r="BWA239" s="537"/>
      <c r="BWB239" s="537"/>
      <c r="BWC239" s="537"/>
      <c r="BWD239" s="537"/>
      <c r="BWE239" s="537"/>
      <c r="BWF239" s="537"/>
      <c r="BWG239" s="537"/>
      <c r="BWH239" s="537"/>
      <c r="BWI239" s="537"/>
      <c r="BWJ239" s="537"/>
      <c r="BWK239" s="537"/>
      <c r="BWL239" s="537"/>
      <c r="BWM239" s="537"/>
      <c r="BWN239" s="537"/>
      <c r="BWO239" s="537"/>
      <c r="BWP239" s="537"/>
      <c r="BWQ239" s="537"/>
      <c r="BWR239" s="537"/>
      <c r="BWS239" s="537"/>
      <c r="BWT239" s="537"/>
      <c r="BWU239" s="537"/>
      <c r="BWV239" s="537"/>
      <c r="BWW239" s="537"/>
      <c r="BWX239" s="537"/>
      <c r="BWY239" s="537"/>
      <c r="BWZ239" s="537"/>
      <c r="BXA239" s="537"/>
      <c r="BXB239" s="537"/>
      <c r="BXC239" s="537"/>
      <c r="BXD239" s="537"/>
      <c r="BXE239" s="537"/>
      <c r="BXF239" s="537"/>
      <c r="BXG239" s="537"/>
      <c r="BXH239" s="537"/>
      <c r="BXI239" s="537"/>
      <c r="BXJ239" s="537"/>
      <c r="BXK239" s="537"/>
      <c r="BXL239" s="537"/>
      <c r="BXM239" s="537"/>
      <c r="BXN239" s="537"/>
      <c r="BXO239" s="537"/>
      <c r="BXP239" s="537"/>
      <c r="BXQ239" s="537"/>
      <c r="BXR239" s="537"/>
      <c r="BXS239" s="537"/>
      <c r="BXT239" s="537"/>
      <c r="BXU239" s="537"/>
      <c r="BXV239" s="537"/>
      <c r="BXW239" s="537"/>
      <c r="BXX239" s="537"/>
      <c r="BXY239" s="537"/>
      <c r="BXZ239" s="537"/>
      <c r="BYA239" s="537"/>
      <c r="BYB239" s="537"/>
      <c r="BYC239" s="537"/>
      <c r="BYD239" s="537"/>
      <c r="BYE239" s="537"/>
      <c r="BYF239" s="537"/>
      <c r="BYG239" s="537"/>
      <c r="BYH239" s="537"/>
      <c r="BYI239" s="537"/>
      <c r="BYJ239" s="537"/>
      <c r="BYK239" s="537"/>
      <c r="BYL239" s="537"/>
      <c r="BYM239" s="537"/>
      <c r="BYN239" s="537"/>
      <c r="BYO239" s="537"/>
      <c r="BYP239" s="537"/>
      <c r="BYQ239" s="537"/>
      <c r="BYR239" s="537"/>
      <c r="BYS239" s="537"/>
      <c r="BYT239" s="537"/>
      <c r="BYU239" s="537"/>
      <c r="BYV239" s="537"/>
      <c r="BYW239" s="537"/>
      <c r="BYX239" s="537"/>
      <c r="BYY239" s="537"/>
      <c r="BYZ239" s="537"/>
      <c r="BZA239" s="537"/>
      <c r="BZB239" s="537"/>
      <c r="BZC239" s="537"/>
      <c r="BZD239" s="537"/>
      <c r="BZE239" s="537"/>
      <c r="BZF239" s="537"/>
      <c r="BZG239" s="537"/>
      <c r="BZH239" s="537"/>
      <c r="BZI239" s="537"/>
      <c r="BZJ239" s="537"/>
      <c r="BZK239" s="537"/>
      <c r="BZL239" s="537"/>
      <c r="BZM239" s="537"/>
      <c r="BZN239" s="537"/>
      <c r="BZO239" s="537"/>
      <c r="BZP239" s="537"/>
      <c r="BZQ239" s="537"/>
      <c r="BZR239" s="537"/>
      <c r="BZS239" s="537"/>
      <c r="BZT239" s="537"/>
      <c r="BZU239" s="537"/>
      <c r="BZV239" s="537"/>
      <c r="BZW239" s="537"/>
      <c r="BZX239" s="537"/>
      <c r="BZY239" s="537"/>
      <c r="BZZ239" s="537"/>
      <c r="CAA239" s="537"/>
      <c r="CAB239" s="537"/>
      <c r="CAC239" s="537"/>
      <c r="CAD239" s="537"/>
      <c r="CAE239" s="537"/>
      <c r="CAF239" s="537"/>
      <c r="CAG239" s="537"/>
      <c r="CAH239" s="537"/>
      <c r="CAI239" s="537"/>
      <c r="CAJ239" s="537"/>
      <c r="CAK239" s="537"/>
      <c r="CAL239" s="537"/>
      <c r="CAM239" s="537"/>
      <c r="CAN239" s="537"/>
      <c r="CAO239" s="537"/>
      <c r="CAP239" s="537"/>
      <c r="CAQ239" s="537"/>
      <c r="CAR239" s="537"/>
      <c r="CAS239" s="537"/>
      <c r="CAT239" s="537"/>
      <c r="CAU239" s="537"/>
      <c r="CAV239" s="537"/>
      <c r="CAW239" s="537"/>
      <c r="CAX239" s="537"/>
      <c r="CAY239" s="537"/>
      <c r="CAZ239" s="537"/>
      <c r="CBA239" s="537"/>
      <c r="CBB239" s="537"/>
      <c r="CBC239" s="537"/>
      <c r="CBD239" s="537"/>
      <c r="CBE239" s="537"/>
      <c r="CBF239" s="537"/>
      <c r="CBG239" s="537"/>
      <c r="CBH239" s="537"/>
      <c r="CBI239" s="537"/>
      <c r="CBJ239" s="537"/>
      <c r="CBK239" s="537"/>
      <c r="CBL239" s="537"/>
      <c r="CBM239" s="537"/>
      <c r="CBN239" s="537"/>
      <c r="CBO239" s="537"/>
      <c r="CBP239" s="537"/>
      <c r="CBQ239" s="537"/>
      <c r="CBR239" s="537"/>
      <c r="CBS239" s="537"/>
      <c r="CBT239" s="537"/>
      <c r="CBU239" s="537"/>
      <c r="CBV239" s="537"/>
      <c r="CBW239" s="537"/>
      <c r="CBX239" s="537"/>
      <c r="CBY239" s="537"/>
      <c r="CBZ239" s="537"/>
      <c r="CCA239" s="537"/>
      <c r="CCB239" s="537"/>
      <c r="CCC239" s="537"/>
      <c r="CCD239" s="537"/>
      <c r="CCE239" s="537"/>
      <c r="CCF239" s="537"/>
      <c r="CCG239" s="537"/>
      <c r="CCH239" s="537"/>
      <c r="CCI239" s="537"/>
      <c r="CCJ239" s="537"/>
      <c r="CCK239" s="537"/>
      <c r="CCL239" s="537"/>
      <c r="CCM239" s="537"/>
      <c r="CCN239" s="537"/>
      <c r="CCO239" s="537"/>
      <c r="CCP239" s="537"/>
      <c r="CCQ239" s="537"/>
      <c r="CCR239" s="537"/>
      <c r="CCS239" s="537"/>
      <c r="CCT239" s="537"/>
      <c r="CCU239" s="537"/>
      <c r="CCV239" s="537"/>
      <c r="CCW239" s="537"/>
      <c r="CCX239" s="537"/>
      <c r="CCY239" s="537"/>
      <c r="CCZ239" s="537"/>
      <c r="CDA239" s="537"/>
      <c r="CDB239" s="537"/>
      <c r="CDC239" s="537"/>
      <c r="CDD239" s="537"/>
      <c r="CDE239" s="537"/>
      <c r="CDF239" s="537"/>
      <c r="CDG239" s="537"/>
      <c r="CDH239" s="537"/>
      <c r="CDI239" s="537"/>
      <c r="CDJ239" s="537"/>
      <c r="CDK239" s="537"/>
      <c r="CDL239" s="537"/>
      <c r="CDM239" s="537"/>
      <c r="CDN239" s="537"/>
      <c r="CDO239" s="537"/>
      <c r="CDP239" s="537"/>
      <c r="CDQ239" s="537"/>
      <c r="CDR239" s="537"/>
      <c r="CDS239" s="537"/>
      <c r="CDT239" s="537"/>
      <c r="CDU239" s="537"/>
      <c r="CDV239" s="537"/>
      <c r="CDW239" s="537"/>
      <c r="CDX239" s="537"/>
      <c r="CDY239" s="537"/>
      <c r="CDZ239" s="537"/>
      <c r="CEA239" s="537"/>
      <c r="CEB239" s="537"/>
      <c r="CEC239" s="537"/>
      <c r="CED239" s="537"/>
      <c r="CEE239" s="537"/>
      <c r="CEF239" s="537"/>
      <c r="CEG239" s="537"/>
      <c r="CEH239" s="537"/>
      <c r="CEI239" s="537"/>
      <c r="CEJ239" s="537"/>
      <c r="CEK239" s="537"/>
      <c r="CEL239" s="537"/>
      <c r="CEM239" s="537"/>
      <c r="CEN239" s="537"/>
      <c r="CEO239" s="537"/>
      <c r="CEP239" s="537"/>
      <c r="CEQ239" s="537"/>
      <c r="CER239" s="537"/>
      <c r="CES239" s="537"/>
      <c r="CET239" s="537"/>
      <c r="CEU239" s="537"/>
      <c r="CEV239" s="537"/>
      <c r="CEW239" s="537"/>
      <c r="CEX239" s="537"/>
      <c r="CEY239" s="537"/>
      <c r="CEZ239" s="537"/>
      <c r="CFA239" s="537"/>
      <c r="CFB239" s="537"/>
      <c r="CFC239" s="537"/>
      <c r="CFD239" s="537"/>
      <c r="CFE239" s="537"/>
      <c r="CFF239" s="537"/>
      <c r="CFG239" s="537"/>
      <c r="CFH239" s="537"/>
      <c r="CFI239" s="537"/>
      <c r="CFJ239" s="537"/>
      <c r="CFK239" s="537"/>
      <c r="CFL239" s="537"/>
      <c r="CFM239" s="537"/>
      <c r="CFN239" s="537"/>
      <c r="CFO239" s="537"/>
      <c r="CFP239" s="537"/>
      <c r="CFQ239" s="537"/>
      <c r="CFR239" s="537"/>
      <c r="CFS239" s="537"/>
      <c r="CFT239" s="537"/>
      <c r="CFU239" s="537"/>
      <c r="CFV239" s="537"/>
      <c r="CFW239" s="537"/>
      <c r="CFX239" s="537"/>
      <c r="CFY239" s="537"/>
      <c r="CFZ239" s="537"/>
      <c r="CGA239" s="537"/>
      <c r="CGB239" s="537"/>
      <c r="CGC239" s="537"/>
      <c r="CGD239" s="537"/>
      <c r="CGE239" s="537"/>
      <c r="CGF239" s="537"/>
      <c r="CGG239" s="537"/>
      <c r="CGH239" s="537"/>
      <c r="CGI239" s="537"/>
      <c r="CGJ239" s="537"/>
      <c r="CGK239" s="537"/>
      <c r="CGL239" s="537"/>
      <c r="CGM239" s="537"/>
      <c r="CGN239" s="537"/>
      <c r="CGO239" s="537"/>
      <c r="CGP239" s="537"/>
      <c r="CGQ239" s="537"/>
      <c r="CGR239" s="537"/>
      <c r="CGS239" s="537"/>
      <c r="CGT239" s="537"/>
      <c r="CGU239" s="537"/>
      <c r="CGV239" s="537"/>
      <c r="CGW239" s="537"/>
      <c r="CGX239" s="537"/>
      <c r="CGY239" s="537"/>
      <c r="CGZ239" s="537"/>
      <c r="CHA239" s="537"/>
      <c r="CHB239" s="537"/>
      <c r="CHC239" s="537"/>
      <c r="CHD239" s="537"/>
      <c r="CHE239" s="537"/>
      <c r="CHF239" s="537"/>
      <c r="CHG239" s="537"/>
      <c r="CHH239" s="537"/>
      <c r="CHI239" s="537"/>
      <c r="CHJ239" s="537"/>
      <c r="CHK239" s="537"/>
      <c r="CHL239" s="537"/>
      <c r="CHM239" s="537"/>
      <c r="CHN239" s="537"/>
      <c r="CHO239" s="537"/>
      <c r="CHP239" s="537"/>
      <c r="CHQ239" s="537"/>
      <c r="CHR239" s="537"/>
      <c r="CHS239" s="537"/>
      <c r="CHT239" s="537"/>
      <c r="CHU239" s="537"/>
      <c r="CHV239" s="537"/>
      <c r="CHW239" s="537"/>
      <c r="CHX239" s="537"/>
      <c r="CHY239" s="537"/>
      <c r="CHZ239" s="537"/>
      <c r="CIA239" s="537"/>
      <c r="CIB239" s="537"/>
      <c r="CIC239" s="537"/>
      <c r="CID239" s="537"/>
      <c r="CIE239" s="537"/>
      <c r="CIF239" s="537"/>
      <c r="CIG239" s="537"/>
      <c r="CIH239" s="537"/>
      <c r="CII239" s="537"/>
      <c r="CIJ239" s="537"/>
      <c r="CIK239" s="537"/>
      <c r="CIL239" s="537"/>
      <c r="CIM239" s="537"/>
      <c r="CIN239" s="537"/>
      <c r="CIO239" s="537"/>
      <c r="CIP239" s="537"/>
      <c r="CIQ239" s="537"/>
      <c r="CIR239" s="537"/>
      <c r="CIS239" s="537"/>
      <c r="CIT239" s="537"/>
      <c r="CIU239" s="537"/>
      <c r="CIV239" s="537"/>
      <c r="CIW239" s="537"/>
      <c r="CIX239" s="537"/>
      <c r="CIY239" s="537"/>
      <c r="CIZ239" s="537"/>
      <c r="CJA239" s="537"/>
      <c r="CJB239" s="537"/>
      <c r="CJC239" s="537"/>
      <c r="CJD239" s="537"/>
      <c r="CJE239" s="537"/>
      <c r="CJF239" s="537"/>
      <c r="CJG239" s="537"/>
      <c r="CJH239" s="537"/>
      <c r="CJI239" s="537"/>
      <c r="CJJ239" s="537"/>
      <c r="CJK239" s="537"/>
      <c r="CJL239" s="537"/>
      <c r="CJM239" s="537"/>
      <c r="CJN239" s="537"/>
      <c r="CJO239" s="537"/>
      <c r="CJP239" s="537"/>
      <c r="CJQ239" s="537"/>
      <c r="CJR239" s="537"/>
      <c r="CJS239" s="537"/>
      <c r="CJT239" s="537"/>
      <c r="CJU239" s="537"/>
      <c r="CJV239" s="537"/>
      <c r="CJW239" s="537"/>
      <c r="CJX239" s="537"/>
      <c r="CJY239" s="537"/>
      <c r="CJZ239" s="537"/>
      <c r="CKA239" s="537"/>
      <c r="CKB239" s="537"/>
      <c r="CKC239" s="537"/>
      <c r="CKD239" s="537"/>
      <c r="CKE239" s="537"/>
      <c r="CKF239" s="537"/>
      <c r="CKG239" s="537"/>
      <c r="CKH239" s="537"/>
      <c r="CKI239" s="537"/>
      <c r="CKJ239" s="537"/>
      <c r="CKK239" s="537"/>
      <c r="CKL239" s="537"/>
      <c r="CKM239" s="537"/>
      <c r="CKN239" s="537"/>
      <c r="CKO239" s="537"/>
      <c r="CKP239" s="537"/>
      <c r="CKQ239" s="537"/>
      <c r="CKR239" s="537"/>
      <c r="CKS239" s="537"/>
      <c r="CKT239" s="537"/>
      <c r="CKU239" s="537"/>
      <c r="CKV239" s="537"/>
      <c r="CKW239" s="537"/>
      <c r="CKX239" s="537"/>
      <c r="CKY239" s="537"/>
      <c r="CKZ239" s="537"/>
      <c r="CLA239" s="537"/>
      <c r="CLB239" s="537"/>
      <c r="CLC239" s="537"/>
      <c r="CLD239" s="537"/>
      <c r="CLE239" s="537"/>
      <c r="CLF239" s="537"/>
      <c r="CLG239" s="537"/>
      <c r="CLH239" s="537"/>
      <c r="CLI239" s="537"/>
      <c r="CLJ239" s="537"/>
      <c r="CLK239" s="537"/>
      <c r="CLL239" s="537"/>
      <c r="CLM239" s="537"/>
      <c r="CLN239" s="537"/>
      <c r="CLO239" s="537"/>
      <c r="CLP239" s="537"/>
      <c r="CLQ239" s="537"/>
      <c r="CLR239" s="537"/>
      <c r="CLS239" s="537"/>
      <c r="CLT239" s="537"/>
      <c r="CLU239" s="537"/>
      <c r="CLV239" s="537"/>
      <c r="CLW239" s="537"/>
      <c r="CLX239" s="537"/>
      <c r="CLY239" s="537"/>
      <c r="CLZ239" s="537"/>
      <c r="CMA239" s="537"/>
      <c r="CMB239" s="537"/>
      <c r="CMC239" s="537"/>
      <c r="CMD239" s="537"/>
      <c r="CME239" s="537"/>
      <c r="CMF239" s="537"/>
      <c r="CMG239" s="537"/>
      <c r="CMH239" s="537"/>
      <c r="CMI239" s="537"/>
      <c r="CMJ239" s="537"/>
      <c r="CMK239" s="537"/>
      <c r="CML239" s="537"/>
      <c r="CMM239" s="537"/>
      <c r="CMN239" s="537"/>
      <c r="CMO239" s="537"/>
      <c r="CMP239" s="537"/>
      <c r="CMQ239" s="537"/>
      <c r="CMR239" s="537"/>
      <c r="CMS239" s="537"/>
      <c r="CMT239" s="537"/>
      <c r="CMU239" s="537"/>
      <c r="CMV239" s="537"/>
      <c r="CMW239" s="537"/>
      <c r="CMX239" s="537"/>
      <c r="CMY239" s="537"/>
      <c r="CMZ239" s="537"/>
      <c r="CNA239" s="537"/>
      <c r="CNB239" s="537"/>
      <c r="CNC239" s="537"/>
      <c r="CND239" s="537"/>
      <c r="CNE239" s="537"/>
      <c r="CNF239" s="537"/>
      <c r="CNG239" s="537"/>
      <c r="CNH239" s="537"/>
      <c r="CNI239" s="537"/>
      <c r="CNJ239" s="537"/>
      <c r="CNK239" s="537"/>
      <c r="CNL239" s="537"/>
      <c r="CNM239" s="537"/>
      <c r="CNN239" s="537"/>
      <c r="CNO239" s="537"/>
      <c r="CNP239" s="537"/>
      <c r="CNQ239" s="537"/>
      <c r="CNR239" s="537"/>
      <c r="CNS239" s="537"/>
      <c r="CNT239" s="537"/>
      <c r="CNU239" s="537"/>
      <c r="CNV239" s="537"/>
      <c r="CNW239" s="537"/>
      <c r="CNX239" s="537"/>
      <c r="CNY239" s="537"/>
      <c r="CNZ239" s="537"/>
      <c r="COA239" s="537"/>
      <c r="COB239" s="537"/>
      <c r="COC239" s="537"/>
      <c r="COD239" s="537"/>
      <c r="COE239" s="537"/>
      <c r="COF239" s="537"/>
      <c r="COG239" s="537"/>
      <c r="COH239" s="537"/>
      <c r="COI239" s="537"/>
      <c r="COJ239" s="537"/>
      <c r="COK239" s="537"/>
      <c r="COL239" s="537"/>
      <c r="COM239" s="537"/>
      <c r="CON239" s="537"/>
      <c r="COO239" s="537"/>
      <c r="COP239" s="537"/>
      <c r="COQ239" s="537"/>
      <c r="COR239" s="537"/>
      <c r="COS239" s="537"/>
      <c r="COT239" s="537"/>
      <c r="COU239" s="537"/>
      <c r="COV239" s="537"/>
      <c r="COW239" s="537"/>
      <c r="COX239" s="537"/>
      <c r="COY239" s="537"/>
      <c r="COZ239" s="537"/>
      <c r="CPA239" s="537"/>
      <c r="CPB239" s="537"/>
      <c r="CPC239" s="537"/>
      <c r="CPD239" s="537"/>
      <c r="CPE239" s="537"/>
      <c r="CPF239" s="537"/>
      <c r="CPG239" s="537"/>
      <c r="CPH239" s="537"/>
      <c r="CPI239" s="537"/>
      <c r="CPJ239" s="537"/>
      <c r="CPK239" s="537"/>
      <c r="CPL239" s="537"/>
      <c r="CPM239" s="537"/>
      <c r="CPN239" s="537"/>
      <c r="CPO239" s="537"/>
      <c r="CPP239" s="537"/>
      <c r="CPQ239" s="537"/>
      <c r="CPR239" s="537"/>
      <c r="CPS239" s="537"/>
      <c r="CPT239" s="537"/>
      <c r="CPU239" s="537"/>
      <c r="CPV239" s="537"/>
      <c r="CPW239" s="537"/>
      <c r="CPX239" s="537"/>
      <c r="CPY239" s="537"/>
      <c r="CPZ239" s="537"/>
      <c r="CQA239" s="537"/>
      <c r="CQB239" s="537"/>
      <c r="CQC239" s="537"/>
      <c r="CQD239" s="537"/>
      <c r="CQE239" s="537"/>
      <c r="CQF239" s="537"/>
      <c r="CQG239" s="537"/>
      <c r="CQH239" s="537"/>
      <c r="CQI239" s="537"/>
      <c r="CQJ239" s="537"/>
      <c r="CQK239" s="537"/>
      <c r="CQL239" s="537"/>
      <c r="CQM239" s="537"/>
      <c r="CQN239" s="537"/>
      <c r="CQO239" s="537"/>
      <c r="CQP239" s="537"/>
      <c r="CQQ239" s="537"/>
      <c r="CQR239" s="537"/>
      <c r="CQS239" s="537"/>
      <c r="CQT239" s="537"/>
      <c r="CQU239" s="537"/>
      <c r="CQV239" s="537"/>
      <c r="CQW239" s="537"/>
      <c r="CQX239" s="537"/>
      <c r="CQY239" s="537"/>
      <c r="CQZ239" s="537"/>
      <c r="CRA239" s="537"/>
      <c r="CRB239" s="537"/>
      <c r="CRC239" s="537"/>
      <c r="CRD239" s="537"/>
      <c r="CRE239" s="537"/>
      <c r="CRF239" s="537"/>
      <c r="CRG239" s="537"/>
      <c r="CRH239" s="537"/>
      <c r="CRI239" s="537"/>
      <c r="CRJ239" s="537"/>
      <c r="CRK239" s="537"/>
      <c r="CRL239" s="537"/>
      <c r="CRM239" s="537"/>
      <c r="CRN239" s="537"/>
      <c r="CRO239" s="537"/>
      <c r="CRP239" s="537"/>
      <c r="CRQ239" s="537"/>
      <c r="CRR239" s="537"/>
      <c r="CRS239" s="537"/>
      <c r="CRT239" s="537"/>
      <c r="CRU239" s="537"/>
      <c r="CRV239" s="537"/>
      <c r="CRW239" s="537"/>
      <c r="CRX239" s="537"/>
      <c r="CRY239" s="537"/>
      <c r="CRZ239" s="537"/>
      <c r="CSA239" s="537"/>
      <c r="CSB239" s="537"/>
      <c r="CSC239" s="537"/>
      <c r="CSD239" s="537"/>
      <c r="CSE239" s="537"/>
      <c r="CSF239" s="537"/>
      <c r="CSG239" s="537"/>
      <c r="CSH239" s="537"/>
      <c r="CSI239" s="537"/>
      <c r="CSJ239" s="537"/>
      <c r="CSK239" s="537"/>
      <c r="CSL239" s="537"/>
      <c r="CSM239" s="537"/>
      <c r="CSN239" s="537"/>
      <c r="CSO239" s="537"/>
      <c r="CSP239" s="537"/>
      <c r="CSQ239" s="537"/>
      <c r="CSR239" s="537"/>
      <c r="CSS239" s="537"/>
      <c r="CST239" s="537"/>
      <c r="CSU239" s="537"/>
      <c r="CSV239" s="537"/>
      <c r="CSW239" s="537"/>
      <c r="CSX239" s="537"/>
      <c r="CSY239" s="537"/>
      <c r="CSZ239" s="537"/>
      <c r="CTA239" s="537"/>
      <c r="CTB239" s="537"/>
      <c r="CTC239" s="537"/>
      <c r="CTD239" s="537"/>
      <c r="CTE239" s="537"/>
      <c r="CTF239" s="537"/>
      <c r="CTG239" s="537"/>
      <c r="CTH239" s="537"/>
      <c r="CTI239" s="537"/>
      <c r="CTJ239" s="537"/>
      <c r="CTK239" s="537"/>
      <c r="CTL239" s="537"/>
      <c r="CTM239" s="537"/>
      <c r="CTN239" s="537"/>
      <c r="CTO239" s="537"/>
      <c r="CTP239" s="537"/>
      <c r="CTQ239" s="537"/>
      <c r="CTR239" s="537"/>
      <c r="CTS239" s="537"/>
      <c r="CTT239" s="537"/>
      <c r="CTU239" s="537"/>
      <c r="CTV239" s="537"/>
      <c r="CTW239" s="537"/>
      <c r="CTX239" s="537"/>
      <c r="CTY239" s="537"/>
      <c r="CTZ239" s="537"/>
      <c r="CUA239" s="537"/>
      <c r="CUB239" s="537"/>
      <c r="CUC239" s="537"/>
      <c r="CUD239" s="537"/>
      <c r="CUE239" s="537"/>
      <c r="CUF239" s="537"/>
      <c r="CUG239" s="537"/>
      <c r="CUH239" s="537"/>
      <c r="CUI239" s="537"/>
      <c r="CUJ239" s="537"/>
      <c r="CUK239" s="537"/>
      <c r="CUL239" s="537"/>
      <c r="CUM239" s="537"/>
      <c r="CUN239" s="537"/>
      <c r="CUO239" s="537"/>
      <c r="CUP239" s="537"/>
      <c r="CUQ239" s="537"/>
      <c r="CUR239" s="537"/>
      <c r="CUS239" s="537"/>
      <c r="CUT239" s="537"/>
      <c r="CUU239" s="537"/>
      <c r="CUV239" s="537"/>
      <c r="CUW239" s="537"/>
      <c r="CUX239" s="537"/>
      <c r="CUY239" s="537"/>
      <c r="CUZ239" s="537"/>
      <c r="CVA239" s="537"/>
      <c r="CVB239" s="537"/>
      <c r="CVC239" s="537"/>
      <c r="CVD239" s="537"/>
      <c r="CVE239" s="537"/>
      <c r="CVF239" s="537"/>
      <c r="CVG239" s="537"/>
      <c r="CVH239" s="537"/>
      <c r="CVI239" s="537"/>
      <c r="CVJ239" s="537"/>
      <c r="CVK239" s="537"/>
      <c r="CVL239" s="537"/>
      <c r="CVM239" s="537"/>
      <c r="CVN239" s="537"/>
      <c r="CVO239" s="537"/>
      <c r="CVP239" s="537"/>
      <c r="CVQ239" s="537"/>
      <c r="CVR239" s="537"/>
      <c r="CVS239" s="537"/>
      <c r="CVT239" s="537"/>
      <c r="CVU239" s="537"/>
      <c r="CVV239" s="537"/>
      <c r="CVW239" s="537"/>
      <c r="CVX239" s="537"/>
      <c r="CVY239" s="537"/>
      <c r="CVZ239" s="537"/>
      <c r="CWA239" s="537"/>
      <c r="CWB239" s="537"/>
      <c r="CWC239" s="537"/>
      <c r="CWD239" s="537"/>
      <c r="CWE239" s="537"/>
      <c r="CWF239" s="537"/>
      <c r="CWG239" s="537"/>
      <c r="CWH239" s="537"/>
      <c r="CWI239" s="537"/>
      <c r="CWJ239" s="537"/>
      <c r="CWK239" s="537"/>
      <c r="CWL239" s="537"/>
      <c r="CWM239" s="537"/>
      <c r="CWN239" s="537"/>
      <c r="CWO239" s="537"/>
      <c r="CWP239" s="537"/>
      <c r="CWQ239" s="537"/>
      <c r="CWR239" s="537"/>
      <c r="CWS239" s="537"/>
      <c r="CWT239" s="537"/>
      <c r="CWU239" s="537"/>
      <c r="CWV239" s="537"/>
      <c r="CWW239" s="537"/>
      <c r="CWX239" s="537"/>
      <c r="CWY239" s="537"/>
      <c r="CWZ239" s="537"/>
      <c r="CXA239" s="537"/>
      <c r="CXB239" s="537"/>
      <c r="CXC239" s="537"/>
      <c r="CXD239" s="537"/>
      <c r="CXE239" s="537"/>
      <c r="CXF239" s="537"/>
      <c r="CXG239" s="537"/>
      <c r="CXH239" s="537"/>
      <c r="CXI239" s="537"/>
      <c r="CXJ239" s="537"/>
      <c r="CXK239" s="537"/>
      <c r="CXL239" s="537"/>
      <c r="CXM239" s="537"/>
      <c r="CXN239" s="537"/>
      <c r="CXO239" s="537"/>
      <c r="CXP239" s="537"/>
      <c r="CXQ239" s="537"/>
      <c r="CXR239" s="537"/>
      <c r="CXS239" s="537"/>
      <c r="CXT239" s="537"/>
      <c r="CXU239" s="537"/>
      <c r="CXV239" s="537"/>
      <c r="CXW239" s="537"/>
      <c r="CXX239" s="537"/>
      <c r="CXY239" s="537"/>
      <c r="CXZ239" s="537"/>
      <c r="CYA239" s="537"/>
      <c r="CYB239" s="537"/>
      <c r="CYC239" s="537"/>
      <c r="CYD239" s="537"/>
      <c r="CYE239" s="537"/>
      <c r="CYF239" s="537"/>
      <c r="CYG239" s="537"/>
      <c r="CYH239" s="537"/>
      <c r="CYI239" s="537"/>
      <c r="CYJ239" s="537"/>
      <c r="CYK239" s="537"/>
      <c r="CYL239" s="537"/>
      <c r="CYM239" s="537"/>
      <c r="CYN239" s="537"/>
      <c r="CYO239" s="537"/>
      <c r="CYP239" s="537"/>
      <c r="CYQ239" s="537"/>
      <c r="CYR239" s="537"/>
      <c r="CYS239" s="537"/>
      <c r="CYT239" s="537"/>
      <c r="CYU239" s="537"/>
      <c r="CYV239" s="537"/>
      <c r="CYW239" s="537"/>
      <c r="CYX239" s="537"/>
      <c r="CYY239" s="537"/>
      <c r="CYZ239" s="537"/>
      <c r="CZA239" s="537"/>
      <c r="CZB239" s="537"/>
      <c r="CZC239" s="537"/>
      <c r="CZD239" s="537"/>
      <c r="CZE239" s="537"/>
      <c r="CZF239" s="537"/>
      <c r="CZG239" s="537"/>
      <c r="CZH239" s="537"/>
      <c r="CZI239" s="537"/>
      <c r="CZJ239" s="537"/>
      <c r="CZK239" s="537"/>
      <c r="CZL239" s="537"/>
      <c r="CZM239" s="537"/>
      <c r="CZN239" s="537"/>
      <c r="CZO239" s="537"/>
      <c r="CZP239" s="537"/>
      <c r="CZQ239" s="537"/>
      <c r="CZR239" s="537"/>
      <c r="CZS239" s="537"/>
      <c r="CZT239" s="537"/>
      <c r="CZU239" s="537"/>
      <c r="CZV239" s="537"/>
      <c r="CZW239" s="537"/>
      <c r="CZX239" s="537"/>
      <c r="CZY239" s="537"/>
      <c r="CZZ239" s="537"/>
      <c r="DAA239" s="537"/>
      <c r="DAB239" s="537"/>
      <c r="DAC239" s="537"/>
      <c r="DAD239" s="537"/>
      <c r="DAE239" s="537"/>
      <c r="DAF239" s="537"/>
      <c r="DAG239" s="537"/>
      <c r="DAH239" s="537"/>
      <c r="DAI239" s="537"/>
      <c r="DAJ239" s="537"/>
      <c r="DAK239" s="537"/>
      <c r="DAL239" s="537"/>
      <c r="DAM239" s="537"/>
      <c r="DAN239" s="537"/>
      <c r="DAO239" s="537"/>
      <c r="DAP239" s="537"/>
      <c r="DAQ239" s="537"/>
      <c r="DAR239" s="537"/>
      <c r="DAS239" s="537"/>
      <c r="DAT239" s="537"/>
      <c r="DAU239" s="537"/>
      <c r="DAV239" s="537"/>
      <c r="DAW239" s="537"/>
      <c r="DAX239" s="537"/>
      <c r="DAY239" s="537"/>
      <c r="DAZ239" s="537"/>
      <c r="DBA239" s="537"/>
      <c r="DBB239" s="537"/>
      <c r="DBC239" s="537"/>
      <c r="DBD239" s="537"/>
      <c r="DBE239" s="537"/>
      <c r="DBF239" s="537"/>
      <c r="DBG239" s="537"/>
      <c r="DBH239" s="537"/>
      <c r="DBI239" s="537"/>
      <c r="DBJ239" s="537"/>
      <c r="DBK239" s="537"/>
      <c r="DBL239" s="537"/>
      <c r="DBM239" s="537"/>
      <c r="DBN239" s="537"/>
      <c r="DBO239" s="537"/>
      <c r="DBP239" s="537"/>
      <c r="DBQ239" s="537"/>
      <c r="DBR239" s="537"/>
      <c r="DBS239" s="537"/>
      <c r="DBT239" s="537"/>
      <c r="DBU239" s="537"/>
      <c r="DBV239" s="537"/>
      <c r="DBW239" s="537"/>
      <c r="DBX239" s="537"/>
      <c r="DBY239" s="537"/>
      <c r="DBZ239" s="537"/>
      <c r="DCA239" s="537"/>
      <c r="DCB239" s="537"/>
      <c r="DCC239" s="537"/>
      <c r="DCD239" s="537"/>
      <c r="DCE239" s="537"/>
      <c r="DCF239" s="537"/>
      <c r="DCG239" s="537"/>
      <c r="DCH239" s="537"/>
      <c r="DCI239" s="537"/>
      <c r="DCJ239" s="537"/>
      <c r="DCK239" s="537"/>
      <c r="DCL239" s="537"/>
      <c r="DCM239" s="537"/>
      <c r="DCN239" s="537"/>
      <c r="DCO239" s="537"/>
      <c r="DCP239" s="537"/>
      <c r="DCQ239" s="537"/>
      <c r="DCR239" s="537"/>
      <c r="DCS239" s="537"/>
      <c r="DCT239" s="537"/>
      <c r="DCU239" s="537"/>
      <c r="DCV239" s="537"/>
      <c r="DCW239" s="537"/>
      <c r="DCX239" s="537"/>
      <c r="DCY239" s="537"/>
      <c r="DCZ239" s="537"/>
      <c r="DDA239" s="537"/>
      <c r="DDB239" s="537"/>
      <c r="DDC239" s="537"/>
      <c r="DDD239" s="537"/>
      <c r="DDE239" s="537"/>
      <c r="DDF239" s="537"/>
      <c r="DDG239" s="537"/>
      <c r="DDH239" s="537"/>
      <c r="DDI239" s="537"/>
      <c r="DDJ239" s="537"/>
      <c r="DDK239" s="537"/>
      <c r="DDL239" s="537"/>
      <c r="DDM239" s="537"/>
      <c r="DDN239" s="537"/>
      <c r="DDO239" s="537"/>
      <c r="DDP239" s="537"/>
      <c r="DDQ239" s="537"/>
      <c r="DDR239" s="537"/>
      <c r="DDS239" s="537"/>
      <c r="DDT239" s="537"/>
      <c r="DDU239" s="537"/>
      <c r="DDV239" s="537"/>
      <c r="DDW239" s="537"/>
      <c r="DDX239" s="537"/>
      <c r="DDY239" s="537"/>
      <c r="DDZ239" s="537"/>
      <c r="DEA239" s="537"/>
      <c r="DEB239" s="537"/>
      <c r="DEC239" s="537"/>
      <c r="DED239" s="537"/>
      <c r="DEE239" s="537"/>
      <c r="DEF239" s="537"/>
      <c r="DEG239" s="537"/>
      <c r="DEH239" s="537"/>
      <c r="DEI239" s="537"/>
      <c r="DEJ239" s="537"/>
      <c r="DEK239" s="537"/>
      <c r="DEL239" s="537"/>
      <c r="DEM239" s="537"/>
      <c r="DEN239" s="537"/>
      <c r="DEO239" s="537"/>
      <c r="DEP239" s="537"/>
      <c r="DEQ239" s="537"/>
      <c r="DER239" s="537"/>
      <c r="DES239" s="537"/>
      <c r="DET239" s="537"/>
      <c r="DEU239" s="537"/>
      <c r="DEV239" s="537"/>
      <c r="DEW239" s="537"/>
      <c r="DEX239" s="537"/>
      <c r="DEY239" s="537"/>
      <c r="DEZ239" s="537"/>
      <c r="DFA239" s="537"/>
      <c r="DFB239" s="537"/>
      <c r="DFC239" s="537"/>
      <c r="DFD239" s="537"/>
      <c r="DFE239" s="537"/>
      <c r="DFF239" s="537"/>
      <c r="DFG239" s="537"/>
      <c r="DFH239" s="537"/>
      <c r="DFI239" s="537"/>
      <c r="DFJ239" s="537"/>
      <c r="DFK239" s="537"/>
      <c r="DFL239" s="537"/>
      <c r="DFM239" s="537"/>
      <c r="DFN239" s="537"/>
      <c r="DFO239" s="537"/>
      <c r="DFP239" s="537"/>
      <c r="DFQ239" s="537"/>
      <c r="DFR239" s="537"/>
      <c r="DFS239" s="537"/>
      <c r="DFT239" s="537"/>
      <c r="DFU239" s="537"/>
      <c r="DFV239" s="537"/>
      <c r="DFW239" s="537"/>
      <c r="DFX239" s="537"/>
      <c r="DFY239" s="537"/>
      <c r="DFZ239" s="537"/>
      <c r="DGA239" s="537"/>
      <c r="DGB239" s="537"/>
      <c r="DGC239" s="537"/>
      <c r="DGD239" s="537"/>
      <c r="DGE239" s="537"/>
      <c r="DGF239" s="537"/>
      <c r="DGG239" s="537"/>
      <c r="DGH239" s="537"/>
      <c r="DGI239" s="537"/>
      <c r="DGJ239" s="537"/>
      <c r="DGK239" s="537"/>
      <c r="DGL239" s="537"/>
      <c r="DGM239" s="537"/>
      <c r="DGN239" s="537"/>
      <c r="DGO239" s="537"/>
      <c r="DGP239" s="537"/>
      <c r="DGQ239" s="537"/>
      <c r="DGR239" s="537"/>
      <c r="DGS239" s="537"/>
      <c r="DGT239" s="537"/>
      <c r="DGU239" s="537"/>
      <c r="DGV239" s="537"/>
      <c r="DGW239" s="537"/>
      <c r="DGX239" s="537"/>
      <c r="DGY239" s="537"/>
      <c r="DGZ239" s="537"/>
      <c r="DHA239" s="537"/>
      <c r="DHB239" s="537"/>
      <c r="DHC239" s="537"/>
      <c r="DHD239" s="537"/>
      <c r="DHE239" s="537"/>
      <c r="DHF239" s="537"/>
      <c r="DHG239" s="537"/>
      <c r="DHH239" s="537"/>
      <c r="DHI239" s="537"/>
      <c r="DHJ239" s="537"/>
      <c r="DHK239" s="537"/>
      <c r="DHL239" s="537"/>
      <c r="DHM239" s="537"/>
      <c r="DHN239" s="537"/>
      <c r="DHO239" s="537"/>
      <c r="DHP239" s="537"/>
      <c r="DHQ239" s="537"/>
      <c r="DHR239" s="537"/>
      <c r="DHS239" s="537"/>
      <c r="DHT239" s="537"/>
      <c r="DHU239" s="537"/>
      <c r="DHV239" s="537"/>
      <c r="DHW239" s="537"/>
      <c r="DHX239" s="537"/>
      <c r="DHY239" s="537"/>
      <c r="DHZ239" s="537"/>
      <c r="DIA239" s="537"/>
      <c r="DIB239" s="537"/>
      <c r="DIC239" s="537"/>
      <c r="DID239" s="537"/>
      <c r="DIE239" s="537"/>
      <c r="DIF239" s="537"/>
      <c r="DIG239" s="537"/>
      <c r="DIH239" s="537"/>
      <c r="DII239" s="537"/>
      <c r="DIJ239" s="537"/>
      <c r="DIK239" s="537"/>
      <c r="DIL239" s="537"/>
      <c r="DIM239" s="537"/>
      <c r="DIN239" s="537"/>
      <c r="DIO239" s="537"/>
      <c r="DIP239" s="537"/>
      <c r="DIQ239" s="537"/>
      <c r="DIR239" s="537"/>
      <c r="DIS239" s="537"/>
      <c r="DIT239" s="537"/>
      <c r="DIU239" s="537"/>
      <c r="DIV239" s="537"/>
      <c r="DIW239" s="537"/>
      <c r="DIX239" s="537"/>
      <c r="DIY239" s="537"/>
      <c r="DIZ239" s="537"/>
      <c r="DJA239" s="537"/>
      <c r="DJB239" s="537"/>
      <c r="DJC239" s="537"/>
      <c r="DJD239" s="537"/>
      <c r="DJE239" s="537"/>
      <c r="DJF239" s="537"/>
      <c r="DJG239" s="537"/>
      <c r="DJH239" s="537"/>
      <c r="DJI239" s="537"/>
      <c r="DJJ239" s="537"/>
      <c r="DJK239" s="537"/>
      <c r="DJL239" s="537"/>
      <c r="DJM239" s="537"/>
      <c r="DJN239" s="537"/>
      <c r="DJO239" s="537"/>
      <c r="DJP239" s="537"/>
      <c r="DJQ239" s="537"/>
      <c r="DJR239" s="537"/>
      <c r="DJS239" s="537"/>
      <c r="DJT239" s="537"/>
      <c r="DJU239" s="537"/>
      <c r="DJV239" s="537"/>
      <c r="DJW239" s="537"/>
      <c r="DJX239" s="537"/>
      <c r="DJY239" s="537"/>
      <c r="DJZ239" s="537"/>
      <c r="DKA239" s="537"/>
      <c r="DKB239" s="537"/>
      <c r="DKC239" s="537"/>
      <c r="DKD239" s="537"/>
      <c r="DKE239" s="537"/>
      <c r="DKF239" s="537"/>
      <c r="DKG239" s="537"/>
      <c r="DKH239" s="537"/>
      <c r="DKI239" s="537"/>
      <c r="DKJ239" s="537"/>
      <c r="DKK239" s="537"/>
      <c r="DKL239" s="537"/>
      <c r="DKM239" s="537"/>
      <c r="DKN239" s="537"/>
      <c r="DKO239" s="537"/>
      <c r="DKP239" s="537"/>
      <c r="DKQ239" s="537"/>
      <c r="DKR239" s="537"/>
      <c r="DKS239" s="537"/>
      <c r="DKT239" s="537"/>
      <c r="DKU239" s="537"/>
      <c r="DKV239" s="537"/>
      <c r="DKW239" s="537"/>
      <c r="DKX239" s="537"/>
      <c r="DKY239" s="537"/>
      <c r="DKZ239" s="537"/>
      <c r="DLA239" s="537"/>
      <c r="DLB239" s="537"/>
      <c r="DLC239" s="537"/>
      <c r="DLD239" s="537"/>
      <c r="DLE239" s="537"/>
      <c r="DLF239" s="537"/>
      <c r="DLG239" s="537"/>
      <c r="DLH239" s="537"/>
      <c r="DLI239" s="537"/>
      <c r="DLJ239" s="537"/>
      <c r="DLK239" s="537"/>
      <c r="DLL239" s="537"/>
      <c r="DLM239" s="537"/>
      <c r="DLN239" s="537"/>
      <c r="DLO239" s="537"/>
      <c r="DLP239" s="537"/>
      <c r="DLQ239" s="537"/>
      <c r="DLR239" s="537"/>
      <c r="DLS239" s="537"/>
      <c r="DLT239" s="537"/>
      <c r="DLU239" s="537"/>
      <c r="DLV239" s="537"/>
      <c r="DLW239" s="537"/>
      <c r="DLX239" s="537"/>
      <c r="DLY239" s="537"/>
      <c r="DLZ239" s="537"/>
      <c r="DMA239" s="537"/>
      <c r="DMB239" s="537"/>
      <c r="DMC239" s="537"/>
      <c r="DMD239" s="537"/>
      <c r="DME239" s="537"/>
      <c r="DMF239" s="537"/>
      <c r="DMG239" s="537"/>
      <c r="DMH239" s="537"/>
      <c r="DMI239" s="537"/>
      <c r="DMJ239" s="537"/>
      <c r="DMK239" s="537"/>
      <c r="DML239" s="537"/>
      <c r="DMM239" s="537"/>
      <c r="DMN239" s="537"/>
      <c r="DMO239" s="537"/>
      <c r="DMP239" s="537"/>
      <c r="DMQ239" s="537"/>
      <c r="DMR239" s="537"/>
      <c r="DMS239" s="537"/>
      <c r="DMT239" s="537"/>
      <c r="DMU239" s="537"/>
      <c r="DMV239" s="537"/>
      <c r="DMW239" s="537"/>
      <c r="DMX239" s="537"/>
      <c r="DMY239" s="537"/>
      <c r="DMZ239" s="537"/>
      <c r="DNA239" s="537"/>
      <c r="DNB239" s="537"/>
      <c r="DNC239" s="537"/>
      <c r="DND239" s="537"/>
      <c r="DNE239" s="537"/>
      <c r="DNF239" s="537"/>
      <c r="DNG239" s="537"/>
      <c r="DNH239" s="537"/>
      <c r="DNI239" s="537"/>
      <c r="DNJ239" s="537"/>
      <c r="DNK239" s="537"/>
      <c r="DNL239" s="537"/>
      <c r="DNM239" s="537"/>
      <c r="DNN239" s="537"/>
      <c r="DNO239" s="537"/>
      <c r="DNP239" s="537"/>
      <c r="DNQ239" s="537"/>
      <c r="DNR239" s="537"/>
      <c r="DNS239" s="537"/>
      <c r="DNT239" s="537"/>
      <c r="DNU239" s="537"/>
      <c r="DNV239" s="537"/>
      <c r="DNW239" s="537"/>
      <c r="DNX239" s="537"/>
      <c r="DNY239" s="537"/>
      <c r="DNZ239" s="537"/>
      <c r="DOA239" s="537"/>
      <c r="DOB239" s="537"/>
      <c r="DOC239" s="537"/>
      <c r="DOD239" s="537"/>
      <c r="DOE239" s="537"/>
      <c r="DOF239" s="537"/>
      <c r="DOG239" s="537"/>
      <c r="DOH239" s="537"/>
      <c r="DOI239" s="537"/>
      <c r="DOJ239" s="537"/>
      <c r="DOK239" s="537"/>
      <c r="DOL239" s="537"/>
      <c r="DOM239" s="537"/>
      <c r="DON239" s="537"/>
      <c r="DOO239" s="537"/>
      <c r="DOP239" s="537"/>
      <c r="DOQ239" s="537"/>
      <c r="DOR239" s="537"/>
      <c r="DOS239" s="537"/>
      <c r="DOT239" s="537"/>
      <c r="DOU239" s="537"/>
      <c r="DOV239" s="537"/>
      <c r="DOW239" s="537"/>
      <c r="DOX239" s="537"/>
      <c r="DOY239" s="537"/>
      <c r="DOZ239" s="537"/>
      <c r="DPA239" s="537"/>
      <c r="DPB239" s="537"/>
      <c r="DPC239" s="537"/>
      <c r="DPD239" s="537"/>
      <c r="DPE239" s="537"/>
      <c r="DPF239" s="537"/>
      <c r="DPG239" s="537"/>
      <c r="DPH239" s="537"/>
      <c r="DPI239" s="537"/>
      <c r="DPJ239" s="537"/>
      <c r="DPK239" s="537"/>
      <c r="DPL239" s="537"/>
      <c r="DPM239" s="537"/>
      <c r="DPN239" s="537"/>
      <c r="DPO239" s="537"/>
      <c r="DPP239" s="537"/>
      <c r="DPQ239" s="537"/>
      <c r="DPR239" s="537"/>
      <c r="DPS239" s="537"/>
      <c r="DPT239" s="537"/>
      <c r="DPU239" s="537"/>
      <c r="DPV239" s="537"/>
      <c r="DPW239" s="537"/>
      <c r="DPX239" s="537"/>
      <c r="DPY239" s="537"/>
      <c r="DPZ239" s="537"/>
      <c r="DQA239" s="537"/>
      <c r="DQB239" s="537"/>
      <c r="DQC239" s="537"/>
      <c r="DQD239" s="537"/>
      <c r="DQE239" s="537"/>
      <c r="DQF239" s="537"/>
      <c r="DQG239" s="537"/>
      <c r="DQH239" s="537"/>
      <c r="DQI239" s="537"/>
      <c r="DQJ239" s="537"/>
      <c r="DQK239" s="537"/>
      <c r="DQL239" s="537"/>
      <c r="DQM239" s="537"/>
      <c r="DQN239" s="537"/>
      <c r="DQO239" s="537"/>
      <c r="DQP239" s="537"/>
      <c r="DQQ239" s="537"/>
      <c r="DQR239" s="537"/>
      <c r="DQS239" s="537"/>
      <c r="DQT239" s="537"/>
      <c r="DQU239" s="537"/>
      <c r="DQV239" s="537"/>
      <c r="DQW239" s="537"/>
      <c r="DQX239" s="537"/>
      <c r="DQY239" s="537"/>
      <c r="DQZ239" s="537"/>
      <c r="DRA239" s="537"/>
      <c r="DRB239" s="537"/>
      <c r="DRC239" s="537"/>
      <c r="DRD239" s="537"/>
      <c r="DRE239" s="537"/>
      <c r="DRF239" s="537"/>
      <c r="DRG239" s="537"/>
      <c r="DRH239" s="537"/>
      <c r="DRI239" s="537"/>
      <c r="DRJ239" s="537"/>
      <c r="DRK239" s="537"/>
      <c r="DRL239" s="537"/>
      <c r="DRM239" s="537"/>
      <c r="DRN239" s="537"/>
      <c r="DRO239" s="537"/>
      <c r="DRP239" s="537"/>
      <c r="DRQ239" s="537"/>
      <c r="DRR239" s="537"/>
      <c r="DRS239" s="537"/>
      <c r="DRT239" s="537"/>
      <c r="DRU239" s="537"/>
      <c r="DRV239" s="537"/>
      <c r="DRW239" s="537"/>
      <c r="DRX239" s="537"/>
      <c r="DRY239" s="537"/>
      <c r="DRZ239" s="537"/>
      <c r="DSA239" s="537"/>
      <c r="DSB239" s="537"/>
      <c r="DSC239" s="537"/>
      <c r="DSD239" s="537"/>
      <c r="DSE239" s="537"/>
      <c r="DSF239" s="537"/>
      <c r="DSG239" s="537"/>
      <c r="DSH239" s="537"/>
      <c r="DSI239" s="537"/>
      <c r="DSJ239" s="537"/>
      <c r="DSK239" s="537"/>
      <c r="DSL239" s="537"/>
      <c r="DSM239" s="537"/>
      <c r="DSN239" s="537"/>
      <c r="DSO239" s="537"/>
      <c r="DSP239" s="537"/>
      <c r="DSQ239" s="537"/>
      <c r="DSR239" s="537"/>
      <c r="DSS239" s="537"/>
      <c r="DST239" s="537"/>
      <c r="DSU239" s="537"/>
      <c r="DSV239" s="537"/>
      <c r="DSW239" s="537"/>
      <c r="DSX239" s="537"/>
      <c r="DSY239" s="537"/>
      <c r="DSZ239" s="537"/>
      <c r="DTA239" s="537"/>
      <c r="DTB239" s="537"/>
      <c r="DTC239" s="537"/>
      <c r="DTD239" s="537"/>
      <c r="DTE239" s="537"/>
      <c r="DTF239" s="537"/>
      <c r="DTG239" s="537"/>
      <c r="DTH239" s="537"/>
      <c r="DTI239" s="537"/>
      <c r="DTJ239" s="537"/>
      <c r="DTK239" s="537"/>
      <c r="DTL239" s="537"/>
      <c r="DTM239" s="537"/>
      <c r="DTN239" s="537"/>
      <c r="DTO239" s="537"/>
      <c r="DTP239" s="537"/>
      <c r="DTQ239" s="537"/>
      <c r="DTR239" s="537"/>
      <c r="DTS239" s="537"/>
      <c r="DTT239" s="537"/>
      <c r="DTU239" s="537"/>
      <c r="DTV239" s="537"/>
      <c r="DTW239" s="537"/>
      <c r="DTX239" s="537"/>
      <c r="DTY239" s="537"/>
      <c r="DTZ239" s="537"/>
      <c r="DUA239" s="537"/>
      <c r="DUB239" s="537"/>
      <c r="DUC239" s="537"/>
      <c r="DUD239" s="537"/>
      <c r="DUE239" s="537"/>
      <c r="DUF239" s="537"/>
      <c r="DUG239" s="537"/>
      <c r="DUH239" s="537"/>
      <c r="DUI239" s="537"/>
      <c r="DUJ239" s="537"/>
      <c r="DUK239" s="537"/>
      <c r="DUL239" s="537"/>
      <c r="DUM239" s="537"/>
      <c r="DUN239" s="537"/>
      <c r="DUO239" s="537"/>
      <c r="DUP239" s="537"/>
      <c r="DUQ239" s="537"/>
      <c r="DUR239" s="537"/>
      <c r="DUS239" s="537"/>
      <c r="DUT239" s="537"/>
      <c r="DUU239" s="537"/>
      <c r="DUV239" s="537"/>
      <c r="DUW239" s="537"/>
      <c r="DUX239" s="537"/>
      <c r="DUY239" s="537"/>
      <c r="DUZ239" s="537"/>
      <c r="DVA239" s="537"/>
      <c r="DVB239" s="537"/>
      <c r="DVC239" s="537"/>
      <c r="DVD239" s="537"/>
      <c r="DVE239" s="537"/>
      <c r="DVF239" s="537"/>
      <c r="DVG239" s="537"/>
      <c r="DVH239" s="537"/>
      <c r="DVI239" s="537"/>
      <c r="DVJ239" s="537"/>
      <c r="DVK239" s="537"/>
      <c r="DVL239" s="537"/>
      <c r="DVM239" s="537"/>
      <c r="DVN239" s="537"/>
      <c r="DVO239" s="537"/>
      <c r="DVP239" s="537"/>
      <c r="DVQ239" s="537"/>
      <c r="DVR239" s="537"/>
      <c r="DVS239" s="537"/>
      <c r="DVT239" s="537"/>
      <c r="DVU239" s="537"/>
      <c r="DVV239" s="537"/>
      <c r="DVW239" s="537"/>
      <c r="DVX239" s="537"/>
      <c r="DVY239" s="537"/>
      <c r="DVZ239" s="537"/>
      <c r="DWA239" s="537"/>
      <c r="DWB239" s="537"/>
      <c r="DWC239" s="537"/>
      <c r="DWD239" s="537"/>
      <c r="DWE239" s="537"/>
      <c r="DWF239" s="537"/>
      <c r="DWG239" s="537"/>
      <c r="DWH239" s="537"/>
      <c r="DWI239" s="537"/>
      <c r="DWJ239" s="537"/>
      <c r="DWK239" s="537"/>
      <c r="DWL239" s="537"/>
      <c r="DWM239" s="537"/>
      <c r="DWN239" s="537"/>
      <c r="DWO239" s="537"/>
      <c r="DWP239" s="537"/>
      <c r="DWQ239" s="537"/>
      <c r="DWR239" s="537"/>
      <c r="DWS239" s="537"/>
      <c r="DWT239" s="537"/>
      <c r="DWU239" s="537"/>
      <c r="DWV239" s="537"/>
      <c r="DWW239" s="537"/>
      <c r="DWX239" s="537"/>
      <c r="DWY239" s="537"/>
      <c r="DWZ239" s="537"/>
      <c r="DXA239" s="537"/>
      <c r="DXB239" s="537"/>
      <c r="DXC239" s="537"/>
      <c r="DXD239" s="537"/>
      <c r="DXE239" s="537"/>
      <c r="DXF239" s="537"/>
      <c r="DXG239" s="537"/>
      <c r="DXH239" s="537"/>
      <c r="DXI239" s="537"/>
      <c r="DXJ239" s="537"/>
      <c r="DXK239" s="537"/>
      <c r="DXL239" s="537"/>
      <c r="DXM239" s="537"/>
      <c r="DXN239" s="537"/>
      <c r="DXO239" s="537"/>
      <c r="DXP239" s="537"/>
      <c r="DXQ239" s="537"/>
      <c r="DXR239" s="537"/>
      <c r="DXS239" s="537"/>
      <c r="DXT239" s="537"/>
      <c r="DXU239" s="537"/>
      <c r="DXV239" s="537"/>
      <c r="DXW239" s="537"/>
      <c r="DXX239" s="537"/>
      <c r="DXY239" s="537"/>
      <c r="DXZ239" s="537"/>
      <c r="DYA239" s="537"/>
      <c r="DYB239" s="537"/>
      <c r="DYC239" s="537"/>
      <c r="DYD239" s="537"/>
      <c r="DYE239" s="537"/>
      <c r="DYF239" s="537"/>
      <c r="DYG239" s="537"/>
      <c r="DYH239" s="537"/>
      <c r="DYI239" s="537"/>
      <c r="DYJ239" s="537"/>
      <c r="DYK239" s="537"/>
      <c r="DYL239" s="537"/>
      <c r="DYM239" s="537"/>
      <c r="DYN239" s="537"/>
      <c r="DYO239" s="537"/>
      <c r="DYP239" s="537"/>
      <c r="DYQ239" s="537"/>
      <c r="DYR239" s="537"/>
      <c r="DYS239" s="537"/>
      <c r="DYT239" s="537"/>
      <c r="DYU239" s="537"/>
      <c r="DYV239" s="537"/>
      <c r="DYW239" s="537"/>
      <c r="DYX239" s="537"/>
      <c r="DYY239" s="537"/>
      <c r="DYZ239" s="537"/>
      <c r="DZA239" s="537"/>
      <c r="DZB239" s="537"/>
      <c r="DZC239" s="537"/>
      <c r="DZD239" s="537"/>
      <c r="DZE239" s="537"/>
      <c r="DZF239" s="537"/>
      <c r="DZG239" s="537"/>
      <c r="DZH239" s="537"/>
      <c r="DZI239" s="537"/>
      <c r="DZJ239" s="537"/>
      <c r="DZK239" s="537"/>
      <c r="DZL239" s="537"/>
      <c r="DZM239" s="537"/>
      <c r="DZN239" s="537"/>
      <c r="DZO239" s="537"/>
      <c r="DZP239" s="537"/>
      <c r="DZQ239" s="537"/>
      <c r="DZR239" s="537"/>
      <c r="DZS239" s="537"/>
      <c r="DZT239" s="537"/>
      <c r="DZU239" s="537"/>
      <c r="DZV239" s="537"/>
      <c r="DZW239" s="537"/>
      <c r="DZX239" s="537"/>
      <c r="DZY239" s="537"/>
      <c r="DZZ239" s="537"/>
      <c r="EAA239" s="537"/>
      <c r="EAB239" s="537"/>
      <c r="EAC239" s="537"/>
      <c r="EAD239" s="537"/>
      <c r="EAE239" s="537"/>
      <c r="EAF239" s="537"/>
      <c r="EAG239" s="537"/>
      <c r="EAH239" s="537"/>
      <c r="EAI239" s="537"/>
      <c r="EAJ239" s="537"/>
      <c r="EAK239" s="537"/>
      <c r="EAL239" s="537"/>
      <c r="EAM239" s="537"/>
      <c r="EAN239" s="537"/>
      <c r="EAO239" s="537"/>
      <c r="EAP239" s="537"/>
      <c r="EAQ239" s="537"/>
      <c r="EAR239" s="537"/>
      <c r="EAS239" s="537"/>
      <c r="EAT239" s="537"/>
      <c r="EAU239" s="537"/>
      <c r="EAV239" s="537"/>
      <c r="EAW239" s="537"/>
      <c r="EAX239" s="537"/>
      <c r="EAY239" s="537"/>
      <c r="EAZ239" s="537"/>
      <c r="EBA239" s="537"/>
      <c r="EBB239" s="537"/>
      <c r="EBC239" s="537"/>
      <c r="EBD239" s="537"/>
      <c r="EBE239" s="537"/>
      <c r="EBF239" s="537"/>
      <c r="EBG239" s="537"/>
      <c r="EBH239" s="537"/>
      <c r="EBI239" s="537"/>
      <c r="EBJ239" s="537"/>
      <c r="EBK239" s="537"/>
      <c r="EBL239" s="537"/>
      <c r="EBM239" s="537"/>
      <c r="EBN239" s="537"/>
      <c r="EBO239" s="537"/>
      <c r="EBP239" s="537"/>
      <c r="EBQ239" s="537"/>
      <c r="EBR239" s="537"/>
      <c r="EBS239" s="537"/>
      <c r="EBT239" s="537"/>
      <c r="EBU239" s="537"/>
      <c r="EBV239" s="537"/>
      <c r="EBW239" s="537"/>
      <c r="EBX239" s="537"/>
      <c r="EBY239" s="537"/>
      <c r="EBZ239" s="537"/>
      <c r="ECA239" s="537"/>
      <c r="ECB239" s="537"/>
      <c r="ECC239" s="537"/>
      <c r="ECD239" s="537"/>
      <c r="ECE239" s="537"/>
      <c r="ECF239" s="537"/>
      <c r="ECG239" s="537"/>
      <c r="ECH239" s="537"/>
      <c r="ECI239" s="537"/>
      <c r="ECJ239" s="537"/>
      <c r="ECK239" s="537"/>
      <c r="ECL239" s="537"/>
      <c r="ECM239" s="537"/>
      <c r="ECN239" s="537"/>
      <c r="ECO239" s="537"/>
      <c r="ECP239" s="537"/>
      <c r="ECQ239" s="537"/>
      <c r="ECR239" s="537"/>
      <c r="ECS239" s="537"/>
      <c r="ECT239" s="537"/>
      <c r="ECU239" s="537"/>
      <c r="ECV239" s="537"/>
      <c r="ECW239" s="537"/>
      <c r="ECX239" s="537"/>
      <c r="ECY239" s="537"/>
      <c r="ECZ239" s="537"/>
      <c r="EDA239" s="537"/>
      <c r="EDB239" s="537"/>
      <c r="EDC239" s="537"/>
      <c r="EDD239" s="537"/>
      <c r="EDE239" s="537"/>
      <c r="EDF239" s="537"/>
      <c r="EDG239" s="537"/>
      <c r="EDH239" s="537"/>
      <c r="EDI239" s="537"/>
      <c r="EDJ239" s="537"/>
      <c r="EDK239" s="537"/>
      <c r="EDL239" s="537"/>
      <c r="EDM239" s="537"/>
      <c r="EDN239" s="537"/>
      <c r="EDO239" s="537"/>
      <c r="EDP239" s="537"/>
      <c r="EDQ239" s="537"/>
      <c r="EDR239" s="537"/>
      <c r="EDS239" s="537"/>
      <c r="EDT239" s="537"/>
      <c r="EDU239" s="537"/>
      <c r="EDV239" s="537"/>
      <c r="EDW239" s="537"/>
      <c r="EDX239" s="537"/>
      <c r="EDY239" s="537"/>
      <c r="EDZ239" s="537"/>
      <c r="EEA239" s="537"/>
      <c r="EEB239" s="537"/>
      <c r="EEC239" s="537"/>
      <c r="EED239" s="537"/>
      <c r="EEE239" s="537"/>
      <c r="EEF239" s="537"/>
      <c r="EEG239" s="537"/>
      <c r="EEH239" s="537"/>
      <c r="EEI239" s="537"/>
      <c r="EEJ239" s="537"/>
      <c r="EEK239" s="537"/>
      <c r="EEL239" s="537"/>
      <c r="EEM239" s="537"/>
      <c r="EEN239" s="537"/>
      <c r="EEO239" s="537"/>
      <c r="EEP239" s="537"/>
      <c r="EEQ239" s="537"/>
      <c r="EER239" s="537"/>
      <c r="EES239" s="537"/>
      <c r="EET239" s="537"/>
      <c r="EEU239" s="537"/>
      <c r="EEV239" s="537"/>
      <c r="EEW239" s="537"/>
      <c r="EEX239" s="537"/>
      <c r="EEY239" s="537"/>
      <c r="EEZ239" s="537"/>
      <c r="EFA239" s="537"/>
      <c r="EFB239" s="537"/>
      <c r="EFC239" s="537"/>
      <c r="EFD239" s="537"/>
      <c r="EFE239" s="537"/>
      <c r="EFF239" s="537"/>
      <c r="EFG239" s="537"/>
      <c r="EFH239" s="537"/>
      <c r="EFI239" s="537"/>
      <c r="EFJ239" s="537"/>
      <c r="EFK239" s="537"/>
      <c r="EFL239" s="537"/>
      <c r="EFM239" s="537"/>
      <c r="EFN239" s="537"/>
      <c r="EFO239" s="537"/>
      <c r="EFP239" s="537"/>
      <c r="EFQ239" s="537"/>
      <c r="EFR239" s="537"/>
      <c r="EFS239" s="537"/>
      <c r="EFT239" s="537"/>
      <c r="EFU239" s="537"/>
      <c r="EFV239" s="537"/>
      <c r="EFW239" s="537"/>
      <c r="EFX239" s="537"/>
      <c r="EFY239" s="537"/>
      <c r="EFZ239" s="537"/>
      <c r="EGA239" s="537"/>
      <c r="EGB239" s="537"/>
      <c r="EGC239" s="537"/>
      <c r="EGD239" s="537"/>
      <c r="EGE239" s="537"/>
      <c r="EGF239" s="537"/>
      <c r="EGG239" s="537"/>
      <c r="EGH239" s="537"/>
      <c r="EGI239" s="537"/>
      <c r="EGJ239" s="537"/>
      <c r="EGK239" s="537"/>
      <c r="EGL239" s="537"/>
      <c r="EGM239" s="537"/>
      <c r="EGN239" s="537"/>
      <c r="EGO239" s="537"/>
      <c r="EGP239" s="537"/>
      <c r="EGQ239" s="537"/>
      <c r="EGR239" s="537"/>
      <c r="EGS239" s="537"/>
      <c r="EGT239" s="537"/>
      <c r="EGU239" s="537"/>
      <c r="EGV239" s="537"/>
      <c r="EGW239" s="537"/>
      <c r="EGX239" s="537"/>
      <c r="EGY239" s="537"/>
      <c r="EGZ239" s="537"/>
      <c r="EHA239" s="537"/>
      <c r="EHB239" s="537"/>
      <c r="EHC239" s="537"/>
      <c r="EHD239" s="537"/>
      <c r="EHE239" s="537"/>
      <c r="EHF239" s="537"/>
      <c r="EHG239" s="537"/>
      <c r="EHH239" s="537"/>
      <c r="EHI239" s="537"/>
      <c r="EHJ239" s="537"/>
      <c r="EHK239" s="537"/>
      <c r="EHL239" s="537"/>
      <c r="EHM239" s="537"/>
      <c r="EHN239" s="537"/>
      <c r="EHO239" s="537"/>
      <c r="EHP239" s="537"/>
      <c r="EHQ239" s="537"/>
      <c r="EHR239" s="537"/>
      <c r="EHS239" s="537"/>
      <c r="EHT239" s="537"/>
      <c r="EHU239" s="537"/>
      <c r="EHV239" s="537"/>
      <c r="EHW239" s="537"/>
      <c r="EHX239" s="537"/>
      <c r="EHY239" s="537"/>
      <c r="EHZ239" s="537"/>
      <c r="EIA239" s="537"/>
      <c r="EIB239" s="537"/>
      <c r="EIC239" s="537"/>
      <c r="EID239" s="537"/>
      <c r="EIE239" s="537"/>
      <c r="EIF239" s="537"/>
      <c r="EIG239" s="537"/>
      <c r="EIH239" s="537"/>
      <c r="EII239" s="537"/>
      <c r="EIJ239" s="537"/>
      <c r="EIK239" s="537"/>
      <c r="EIL239" s="537"/>
      <c r="EIM239" s="537"/>
      <c r="EIN239" s="537"/>
      <c r="EIO239" s="537"/>
      <c r="EIP239" s="537"/>
      <c r="EIQ239" s="537"/>
      <c r="EIR239" s="537"/>
      <c r="EIS239" s="537"/>
      <c r="EIT239" s="537"/>
      <c r="EIU239" s="537"/>
      <c r="EIV239" s="537"/>
      <c r="EIW239" s="537"/>
      <c r="EIX239" s="537"/>
      <c r="EIY239" s="537"/>
      <c r="EIZ239" s="537"/>
      <c r="EJA239" s="537"/>
      <c r="EJB239" s="537"/>
      <c r="EJC239" s="537"/>
      <c r="EJD239" s="537"/>
      <c r="EJE239" s="537"/>
      <c r="EJF239" s="537"/>
      <c r="EJG239" s="537"/>
      <c r="EJH239" s="537"/>
      <c r="EJI239" s="537"/>
      <c r="EJJ239" s="537"/>
      <c r="EJK239" s="537"/>
      <c r="EJL239" s="537"/>
      <c r="EJM239" s="537"/>
      <c r="EJN239" s="537"/>
      <c r="EJO239" s="537"/>
      <c r="EJP239" s="537"/>
      <c r="EJQ239" s="537"/>
      <c r="EJR239" s="537"/>
      <c r="EJS239" s="537"/>
      <c r="EJT239" s="537"/>
      <c r="EJU239" s="537"/>
      <c r="EJV239" s="537"/>
      <c r="EJW239" s="537"/>
      <c r="EJX239" s="537"/>
      <c r="EJY239" s="537"/>
      <c r="EJZ239" s="537"/>
      <c r="EKA239" s="537"/>
      <c r="EKB239" s="537"/>
      <c r="EKC239" s="537"/>
      <c r="EKD239" s="537"/>
      <c r="EKE239" s="537"/>
      <c r="EKF239" s="537"/>
      <c r="EKG239" s="537"/>
      <c r="EKH239" s="537"/>
      <c r="EKI239" s="537"/>
      <c r="EKJ239" s="537"/>
      <c r="EKK239" s="537"/>
      <c r="EKL239" s="537"/>
      <c r="EKM239" s="537"/>
      <c r="EKN239" s="537"/>
      <c r="EKO239" s="537"/>
      <c r="EKP239" s="537"/>
      <c r="EKQ239" s="537"/>
      <c r="EKR239" s="537"/>
      <c r="EKS239" s="537"/>
      <c r="EKT239" s="537"/>
      <c r="EKU239" s="537"/>
      <c r="EKV239" s="537"/>
      <c r="EKW239" s="537"/>
      <c r="EKX239" s="537"/>
      <c r="EKY239" s="537"/>
      <c r="EKZ239" s="537"/>
      <c r="ELA239" s="537"/>
      <c r="ELB239" s="537"/>
      <c r="ELC239" s="537"/>
      <c r="ELD239" s="537"/>
      <c r="ELE239" s="537"/>
      <c r="ELF239" s="537"/>
      <c r="ELG239" s="537"/>
      <c r="ELH239" s="537"/>
      <c r="ELI239" s="537"/>
      <c r="ELJ239" s="537"/>
      <c r="ELK239" s="537"/>
      <c r="ELL239" s="537"/>
      <c r="ELM239" s="537"/>
      <c r="ELN239" s="537"/>
      <c r="ELO239" s="537"/>
      <c r="ELP239" s="537"/>
      <c r="ELQ239" s="537"/>
      <c r="ELR239" s="537"/>
      <c r="ELS239" s="537"/>
      <c r="ELT239" s="537"/>
      <c r="ELU239" s="537"/>
      <c r="ELV239" s="537"/>
      <c r="ELW239" s="537"/>
      <c r="ELX239" s="537"/>
      <c r="ELY239" s="537"/>
      <c r="ELZ239" s="537"/>
      <c r="EMA239" s="537"/>
      <c r="EMB239" s="537"/>
      <c r="EMC239" s="537"/>
      <c r="EMD239" s="537"/>
      <c r="EME239" s="537"/>
      <c r="EMF239" s="537"/>
      <c r="EMG239" s="537"/>
      <c r="EMH239" s="537"/>
      <c r="EMI239" s="537"/>
      <c r="EMJ239" s="537"/>
      <c r="EMK239" s="537"/>
      <c r="EML239" s="537"/>
      <c r="EMM239" s="537"/>
      <c r="EMN239" s="537"/>
      <c r="EMO239" s="537"/>
      <c r="EMP239" s="537"/>
      <c r="EMQ239" s="537"/>
      <c r="EMR239" s="537"/>
      <c r="EMS239" s="537"/>
      <c r="EMT239" s="537"/>
      <c r="EMU239" s="537"/>
      <c r="EMV239" s="537"/>
      <c r="EMW239" s="537"/>
      <c r="EMX239" s="537"/>
      <c r="EMY239" s="537"/>
      <c r="EMZ239" s="537"/>
      <c r="ENA239" s="537"/>
      <c r="ENB239" s="537"/>
      <c r="ENC239" s="537"/>
      <c r="END239" s="537"/>
      <c r="ENE239" s="537"/>
      <c r="ENF239" s="537"/>
      <c r="ENG239" s="537"/>
      <c r="ENH239" s="537"/>
      <c r="ENI239" s="537"/>
      <c r="ENJ239" s="537"/>
      <c r="ENK239" s="537"/>
      <c r="ENL239" s="537"/>
      <c r="ENM239" s="537"/>
      <c r="ENN239" s="537"/>
      <c r="ENO239" s="537"/>
      <c r="ENP239" s="537"/>
      <c r="ENQ239" s="537"/>
      <c r="ENR239" s="537"/>
      <c r="ENS239" s="537"/>
      <c r="ENT239" s="537"/>
      <c r="ENU239" s="537"/>
      <c r="ENV239" s="537"/>
      <c r="ENW239" s="537"/>
      <c r="ENX239" s="537"/>
      <c r="ENY239" s="537"/>
      <c r="ENZ239" s="537"/>
      <c r="EOA239" s="537"/>
      <c r="EOB239" s="537"/>
      <c r="EOC239" s="537"/>
      <c r="EOD239" s="537"/>
      <c r="EOE239" s="537"/>
      <c r="EOF239" s="537"/>
      <c r="EOG239" s="537"/>
      <c r="EOH239" s="537"/>
      <c r="EOI239" s="537"/>
      <c r="EOJ239" s="537"/>
      <c r="EOK239" s="537"/>
      <c r="EOL239" s="537"/>
      <c r="EOM239" s="537"/>
      <c r="EON239" s="537"/>
      <c r="EOO239" s="537"/>
      <c r="EOP239" s="537"/>
      <c r="EOQ239" s="537"/>
      <c r="EOR239" s="537"/>
      <c r="EOS239" s="537"/>
      <c r="EOT239" s="537"/>
      <c r="EOU239" s="537"/>
      <c r="EOV239" s="537"/>
      <c r="EOW239" s="537"/>
      <c r="EOX239" s="537"/>
      <c r="EOY239" s="537"/>
      <c r="EOZ239" s="537"/>
      <c r="EPA239" s="537"/>
      <c r="EPB239" s="537"/>
      <c r="EPC239" s="537"/>
      <c r="EPD239" s="537"/>
      <c r="EPE239" s="537"/>
      <c r="EPF239" s="537"/>
      <c r="EPG239" s="537"/>
      <c r="EPH239" s="537"/>
      <c r="EPI239" s="537"/>
      <c r="EPJ239" s="537"/>
      <c r="EPK239" s="537"/>
      <c r="EPL239" s="537"/>
      <c r="EPM239" s="537"/>
      <c r="EPN239" s="537"/>
      <c r="EPO239" s="537"/>
      <c r="EPP239" s="537"/>
      <c r="EPQ239" s="537"/>
      <c r="EPR239" s="537"/>
      <c r="EPS239" s="537"/>
      <c r="EPT239" s="537"/>
      <c r="EPU239" s="537"/>
      <c r="EPV239" s="537"/>
      <c r="EPW239" s="537"/>
      <c r="EPX239" s="537"/>
      <c r="EPY239" s="537"/>
      <c r="EPZ239" s="537"/>
      <c r="EQA239" s="537"/>
      <c r="EQB239" s="537"/>
      <c r="EQC239" s="537"/>
      <c r="EQD239" s="537"/>
      <c r="EQE239" s="537"/>
      <c r="EQF239" s="537"/>
      <c r="EQG239" s="537"/>
      <c r="EQH239" s="537"/>
      <c r="EQI239" s="537"/>
      <c r="EQJ239" s="537"/>
      <c r="EQK239" s="537"/>
      <c r="EQL239" s="537"/>
      <c r="EQM239" s="537"/>
      <c r="EQN239" s="537"/>
      <c r="EQO239" s="537"/>
      <c r="EQP239" s="537"/>
      <c r="EQQ239" s="537"/>
      <c r="EQR239" s="537"/>
      <c r="EQS239" s="537"/>
      <c r="EQT239" s="537"/>
      <c r="EQU239" s="537"/>
      <c r="EQV239" s="537"/>
      <c r="EQW239" s="537"/>
      <c r="EQX239" s="537"/>
      <c r="EQY239" s="537"/>
      <c r="EQZ239" s="537"/>
      <c r="ERA239" s="537"/>
      <c r="ERB239" s="537"/>
      <c r="ERC239" s="537"/>
      <c r="ERD239" s="537"/>
      <c r="ERE239" s="537"/>
      <c r="ERF239" s="537"/>
      <c r="ERG239" s="537"/>
      <c r="ERH239" s="537"/>
      <c r="ERI239" s="537"/>
      <c r="ERJ239" s="537"/>
      <c r="ERK239" s="537"/>
      <c r="ERL239" s="537"/>
      <c r="ERM239" s="537"/>
      <c r="ERN239" s="537"/>
      <c r="ERO239" s="537"/>
      <c r="ERP239" s="537"/>
      <c r="ERQ239" s="537"/>
      <c r="ERR239" s="537"/>
      <c r="ERS239" s="537"/>
      <c r="ERT239" s="537"/>
      <c r="ERU239" s="537"/>
      <c r="ERV239" s="537"/>
      <c r="ERW239" s="537"/>
      <c r="ERX239" s="537"/>
      <c r="ERY239" s="537"/>
      <c r="ERZ239" s="537"/>
      <c r="ESA239" s="537"/>
      <c r="ESB239" s="537"/>
      <c r="ESC239" s="537"/>
      <c r="ESD239" s="537"/>
      <c r="ESE239" s="537"/>
      <c r="ESF239" s="537"/>
      <c r="ESG239" s="537"/>
      <c r="ESH239" s="537"/>
      <c r="ESI239" s="537"/>
      <c r="ESJ239" s="537"/>
      <c r="ESK239" s="537"/>
      <c r="ESL239" s="537"/>
      <c r="ESM239" s="537"/>
      <c r="ESN239" s="537"/>
      <c r="ESO239" s="537"/>
      <c r="ESP239" s="537"/>
      <c r="ESQ239" s="537"/>
      <c r="ESR239" s="537"/>
      <c r="ESS239" s="537"/>
      <c r="EST239" s="537"/>
      <c r="ESU239" s="537"/>
      <c r="ESV239" s="537"/>
      <c r="ESW239" s="537"/>
      <c r="ESX239" s="537"/>
      <c r="ESY239" s="537"/>
      <c r="ESZ239" s="537"/>
      <c r="ETA239" s="537"/>
      <c r="ETB239" s="537"/>
      <c r="ETC239" s="537"/>
      <c r="ETD239" s="537"/>
      <c r="ETE239" s="537"/>
      <c r="ETF239" s="537"/>
      <c r="ETG239" s="537"/>
      <c r="ETH239" s="537"/>
      <c r="ETI239" s="537"/>
      <c r="ETJ239" s="537"/>
      <c r="ETK239" s="537"/>
      <c r="ETL239" s="537"/>
      <c r="ETM239" s="537"/>
      <c r="ETN239" s="537"/>
      <c r="ETO239" s="537"/>
      <c r="ETP239" s="537"/>
      <c r="ETQ239" s="537"/>
      <c r="ETR239" s="537"/>
      <c r="ETS239" s="537"/>
      <c r="ETT239" s="537"/>
      <c r="ETU239" s="537"/>
      <c r="ETV239" s="537"/>
      <c r="ETW239" s="537"/>
      <c r="ETX239" s="537"/>
      <c r="ETY239" s="537"/>
      <c r="ETZ239" s="537"/>
      <c r="EUA239" s="537"/>
      <c r="EUB239" s="537"/>
      <c r="EUC239" s="537"/>
      <c r="EUD239" s="537"/>
      <c r="EUE239" s="537"/>
      <c r="EUF239" s="537"/>
      <c r="EUG239" s="537"/>
      <c r="EUH239" s="537"/>
      <c r="EUI239" s="537"/>
      <c r="EUJ239" s="537"/>
      <c r="EUK239" s="537"/>
      <c r="EUL239" s="537"/>
      <c r="EUM239" s="537"/>
      <c r="EUN239" s="537"/>
      <c r="EUO239" s="537"/>
      <c r="EUP239" s="537"/>
      <c r="EUQ239" s="537"/>
      <c r="EUR239" s="537"/>
      <c r="EUS239" s="537"/>
      <c r="EUT239" s="537"/>
      <c r="EUU239" s="537"/>
      <c r="EUV239" s="537"/>
      <c r="EUW239" s="537"/>
      <c r="EUX239" s="537"/>
      <c r="EUY239" s="537"/>
      <c r="EUZ239" s="537"/>
      <c r="EVA239" s="537"/>
      <c r="EVB239" s="537"/>
      <c r="EVC239" s="537"/>
      <c r="EVD239" s="537"/>
      <c r="EVE239" s="537"/>
      <c r="EVF239" s="537"/>
      <c r="EVG239" s="537"/>
      <c r="EVH239" s="537"/>
      <c r="EVI239" s="537"/>
      <c r="EVJ239" s="537"/>
      <c r="EVK239" s="537"/>
      <c r="EVL239" s="537"/>
      <c r="EVM239" s="537"/>
      <c r="EVN239" s="537"/>
      <c r="EVO239" s="537"/>
      <c r="EVP239" s="537"/>
      <c r="EVQ239" s="537"/>
      <c r="EVR239" s="537"/>
      <c r="EVS239" s="537"/>
      <c r="EVT239" s="537"/>
      <c r="EVU239" s="537"/>
      <c r="EVV239" s="537"/>
      <c r="EVW239" s="537"/>
      <c r="EVX239" s="537"/>
      <c r="EVY239" s="537"/>
      <c r="EVZ239" s="537"/>
      <c r="EWA239" s="537"/>
      <c r="EWB239" s="537"/>
      <c r="EWC239" s="537"/>
      <c r="EWD239" s="537"/>
      <c r="EWE239" s="537"/>
      <c r="EWF239" s="537"/>
      <c r="EWG239" s="537"/>
      <c r="EWH239" s="537"/>
      <c r="EWI239" s="537"/>
      <c r="EWJ239" s="537"/>
      <c r="EWK239" s="537"/>
      <c r="EWL239" s="537"/>
      <c r="EWM239" s="537"/>
      <c r="EWN239" s="537"/>
      <c r="EWO239" s="537"/>
      <c r="EWP239" s="537"/>
      <c r="EWQ239" s="537"/>
      <c r="EWR239" s="537"/>
      <c r="EWS239" s="537"/>
      <c r="EWT239" s="537"/>
      <c r="EWU239" s="537"/>
      <c r="EWV239" s="537"/>
      <c r="EWW239" s="537"/>
      <c r="EWX239" s="537"/>
      <c r="EWY239" s="537"/>
      <c r="EWZ239" s="537"/>
      <c r="EXA239" s="537"/>
      <c r="EXB239" s="537"/>
      <c r="EXC239" s="537"/>
      <c r="EXD239" s="537"/>
      <c r="EXE239" s="537"/>
      <c r="EXF239" s="537"/>
      <c r="EXG239" s="537"/>
      <c r="EXH239" s="537"/>
      <c r="EXI239" s="537"/>
      <c r="EXJ239" s="537"/>
      <c r="EXK239" s="537"/>
      <c r="EXL239" s="537"/>
      <c r="EXM239" s="537"/>
      <c r="EXN239" s="537"/>
      <c r="EXO239" s="537"/>
      <c r="EXP239" s="537"/>
      <c r="EXQ239" s="537"/>
      <c r="EXR239" s="537"/>
      <c r="EXS239" s="537"/>
      <c r="EXT239" s="537"/>
      <c r="EXU239" s="537"/>
      <c r="EXV239" s="537"/>
      <c r="EXW239" s="537"/>
      <c r="EXX239" s="537"/>
      <c r="EXY239" s="537"/>
      <c r="EXZ239" s="537"/>
      <c r="EYA239" s="537"/>
      <c r="EYB239" s="537"/>
      <c r="EYC239" s="537"/>
      <c r="EYD239" s="537"/>
      <c r="EYE239" s="537"/>
      <c r="EYF239" s="537"/>
      <c r="EYG239" s="537"/>
      <c r="EYH239" s="537"/>
      <c r="EYI239" s="537"/>
      <c r="EYJ239" s="537"/>
      <c r="EYK239" s="537"/>
      <c r="EYL239" s="537"/>
      <c r="EYM239" s="537"/>
      <c r="EYN239" s="537"/>
      <c r="EYO239" s="537"/>
      <c r="EYP239" s="537"/>
      <c r="EYQ239" s="537"/>
      <c r="EYR239" s="537"/>
      <c r="EYS239" s="537"/>
      <c r="EYT239" s="537"/>
      <c r="EYU239" s="537"/>
      <c r="EYV239" s="537"/>
      <c r="EYW239" s="537"/>
      <c r="EYX239" s="537"/>
      <c r="EYY239" s="537"/>
      <c r="EYZ239" s="537"/>
      <c r="EZA239" s="537"/>
      <c r="EZB239" s="537"/>
      <c r="EZC239" s="537"/>
      <c r="EZD239" s="537"/>
      <c r="EZE239" s="537"/>
      <c r="EZF239" s="537"/>
      <c r="EZG239" s="537"/>
      <c r="EZH239" s="537"/>
      <c r="EZI239" s="537"/>
      <c r="EZJ239" s="537"/>
      <c r="EZK239" s="537"/>
      <c r="EZL239" s="537"/>
      <c r="EZM239" s="537"/>
      <c r="EZN239" s="537"/>
      <c r="EZO239" s="537"/>
      <c r="EZP239" s="537"/>
      <c r="EZQ239" s="537"/>
      <c r="EZR239" s="537"/>
      <c r="EZS239" s="537"/>
      <c r="EZT239" s="537"/>
      <c r="EZU239" s="537"/>
      <c r="EZV239" s="537"/>
      <c r="EZW239" s="537"/>
      <c r="EZX239" s="537"/>
      <c r="EZY239" s="537"/>
      <c r="EZZ239" s="537"/>
      <c r="FAA239" s="537"/>
      <c r="FAB239" s="537"/>
      <c r="FAC239" s="537"/>
      <c r="FAD239" s="537"/>
      <c r="FAE239" s="537"/>
      <c r="FAF239" s="537"/>
      <c r="FAG239" s="537"/>
      <c r="FAH239" s="537"/>
      <c r="FAI239" s="537"/>
      <c r="FAJ239" s="537"/>
      <c r="FAK239" s="537"/>
      <c r="FAL239" s="537"/>
      <c r="FAM239" s="537"/>
      <c r="FAN239" s="537"/>
      <c r="FAO239" s="537"/>
      <c r="FAP239" s="537"/>
      <c r="FAQ239" s="537"/>
      <c r="FAR239" s="537"/>
      <c r="FAS239" s="537"/>
      <c r="FAT239" s="537"/>
      <c r="FAU239" s="537"/>
      <c r="FAV239" s="537"/>
      <c r="FAW239" s="537"/>
      <c r="FAX239" s="537"/>
      <c r="FAY239" s="537"/>
      <c r="FAZ239" s="537"/>
      <c r="FBA239" s="537"/>
      <c r="FBB239" s="537"/>
      <c r="FBC239" s="537"/>
      <c r="FBD239" s="537"/>
      <c r="FBE239" s="537"/>
      <c r="FBF239" s="537"/>
      <c r="FBG239" s="537"/>
      <c r="FBH239" s="537"/>
      <c r="FBI239" s="537"/>
      <c r="FBJ239" s="537"/>
      <c r="FBK239" s="537"/>
      <c r="FBL239" s="537"/>
      <c r="FBM239" s="537"/>
      <c r="FBN239" s="537"/>
      <c r="FBO239" s="537"/>
      <c r="FBP239" s="537"/>
      <c r="FBQ239" s="537"/>
      <c r="FBR239" s="537"/>
      <c r="FBS239" s="537"/>
      <c r="FBT239" s="537"/>
      <c r="FBU239" s="537"/>
      <c r="FBV239" s="537"/>
      <c r="FBW239" s="537"/>
      <c r="FBX239" s="537"/>
      <c r="FBY239" s="537"/>
      <c r="FBZ239" s="537"/>
      <c r="FCA239" s="537"/>
      <c r="FCB239" s="537"/>
      <c r="FCC239" s="537"/>
      <c r="FCD239" s="537"/>
      <c r="FCE239" s="537"/>
      <c r="FCF239" s="537"/>
      <c r="FCG239" s="537"/>
      <c r="FCH239" s="537"/>
      <c r="FCI239" s="537"/>
      <c r="FCJ239" s="537"/>
      <c r="FCK239" s="537"/>
      <c r="FCL239" s="537"/>
      <c r="FCM239" s="537"/>
      <c r="FCN239" s="537"/>
      <c r="FCO239" s="537"/>
      <c r="FCP239" s="537"/>
      <c r="FCQ239" s="537"/>
      <c r="FCR239" s="537"/>
      <c r="FCS239" s="537"/>
      <c r="FCT239" s="537"/>
      <c r="FCU239" s="537"/>
      <c r="FCV239" s="537"/>
      <c r="FCW239" s="537"/>
      <c r="FCX239" s="537"/>
      <c r="FCY239" s="537"/>
      <c r="FCZ239" s="537"/>
      <c r="FDA239" s="537"/>
      <c r="FDB239" s="537"/>
      <c r="FDC239" s="537"/>
      <c r="FDD239" s="537"/>
      <c r="FDE239" s="537"/>
      <c r="FDF239" s="537"/>
      <c r="FDG239" s="537"/>
      <c r="FDH239" s="537"/>
      <c r="FDI239" s="537"/>
      <c r="FDJ239" s="537"/>
      <c r="FDK239" s="537"/>
      <c r="FDL239" s="537"/>
      <c r="FDM239" s="537"/>
      <c r="FDN239" s="537"/>
      <c r="FDO239" s="537"/>
      <c r="FDP239" s="537"/>
      <c r="FDQ239" s="537"/>
      <c r="FDR239" s="537"/>
      <c r="FDS239" s="537"/>
      <c r="FDT239" s="537"/>
      <c r="FDU239" s="537"/>
      <c r="FDV239" s="537"/>
      <c r="FDW239" s="537"/>
      <c r="FDX239" s="537"/>
      <c r="FDY239" s="537"/>
      <c r="FDZ239" s="537"/>
      <c r="FEA239" s="537"/>
      <c r="FEB239" s="537"/>
      <c r="FEC239" s="537"/>
      <c r="FED239" s="537"/>
      <c r="FEE239" s="537"/>
      <c r="FEF239" s="537"/>
      <c r="FEG239" s="537"/>
      <c r="FEH239" s="537"/>
      <c r="FEI239" s="537"/>
      <c r="FEJ239" s="537"/>
      <c r="FEK239" s="537"/>
      <c r="FEL239" s="537"/>
      <c r="FEM239" s="537"/>
      <c r="FEN239" s="537"/>
      <c r="FEO239" s="537"/>
      <c r="FEP239" s="537"/>
      <c r="FEQ239" s="537"/>
      <c r="FER239" s="537"/>
      <c r="FES239" s="537"/>
      <c r="FET239" s="537"/>
      <c r="FEU239" s="537"/>
      <c r="FEV239" s="537"/>
      <c r="FEW239" s="537"/>
      <c r="FEX239" s="537"/>
      <c r="FEY239" s="537"/>
      <c r="FEZ239" s="537"/>
      <c r="FFA239" s="537"/>
      <c r="FFB239" s="537"/>
      <c r="FFC239" s="537"/>
      <c r="FFD239" s="537"/>
      <c r="FFE239" s="537"/>
      <c r="FFF239" s="537"/>
      <c r="FFG239" s="537"/>
      <c r="FFH239" s="537"/>
      <c r="FFI239" s="537"/>
      <c r="FFJ239" s="537"/>
      <c r="FFK239" s="537"/>
      <c r="FFL239" s="537"/>
      <c r="FFM239" s="537"/>
      <c r="FFN239" s="537"/>
      <c r="FFO239" s="537"/>
      <c r="FFP239" s="537"/>
      <c r="FFQ239" s="537"/>
      <c r="FFR239" s="537"/>
      <c r="FFS239" s="537"/>
      <c r="FFT239" s="537"/>
      <c r="FFU239" s="537"/>
      <c r="FFV239" s="537"/>
      <c r="FFW239" s="537"/>
      <c r="FFX239" s="537"/>
      <c r="FFY239" s="537"/>
      <c r="FFZ239" s="537"/>
      <c r="FGA239" s="537"/>
      <c r="FGB239" s="537"/>
      <c r="FGC239" s="537"/>
      <c r="FGD239" s="537"/>
      <c r="FGE239" s="537"/>
      <c r="FGF239" s="537"/>
      <c r="FGG239" s="537"/>
      <c r="FGH239" s="537"/>
      <c r="FGI239" s="537"/>
      <c r="FGJ239" s="537"/>
      <c r="FGK239" s="537"/>
      <c r="FGL239" s="537"/>
      <c r="FGM239" s="537"/>
      <c r="FGN239" s="537"/>
      <c r="FGO239" s="537"/>
      <c r="FGP239" s="537"/>
      <c r="FGQ239" s="537"/>
      <c r="FGR239" s="537"/>
      <c r="FGS239" s="537"/>
      <c r="FGT239" s="537"/>
      <c r="FGU239" s="537"/>
      <c r="FGV239" s="537"/>
      <c r="FGW239" s="537"/>
      <c r="FGX239" s="537"/>
      <c r="FGY239" s="537"/>
      <c r="FGZ239" s="537"/>
      <c r="FHA239" s="537"/>
      <c r="FHB239" s="537"/>
      <c r="FHC239" s="537"/>
      <c r="FHD239" s="537"/>
      <c r="FHE239" s="537"/>
      <c r="FHF239" s="537"/>
      <c r="FHG239" s="537"/>
      <c r="FHH239" s="537"/>
      <c r="FHI239" s="537"/>
      <c r="FHJ239" s="537"/>
      <c r="FHK239" s="537"/>
      <c r="FHL239" s="537"/>
      <c r="FHM239" s="537"/>
      <c r="FHN239" s="537"/>
      <c r="FHO239" s="537"/>
      <c r="FHP239" s="537"/>
      <c r="FHQ239" s="537"/>
      <c r="FHR239" s="537"/>
      <c r="FHS239" s="537"/>
      <c r="FHT239" s="537"/>
      <c r="FHU239" s="537"/>
      <c r="FHV239" s="537"/>
      <c r="FHW239" s="537"/>
      <c r="FHX239" s="537"/>
      <c r="FHY239" s="537"/>
      <c r="FHZ239" s="537"/>
      <c r="FIA239" s="537"/>
      <c r="FIB239" s="537"/>
      <c r="FIC239" s="537"/>
      <c r="FID239" s="537"/>
      <c r="FIE239" s="537"/>
      <c r="FIF239" s="537"/>
      <c r="FIG239" s="537"/>
      <c r="FIH239" s="537"/>
      <c r="FII239" s="537"/>
      <c r="FIJ239" s="537"/>
      <c r="FIK239" s="537"/>
      <c r="FIL239" s="537"/>
      <c r="FIM239" s="537"/>
      <c r="FIN239" s="537"/>
      <c r="FIO239" s="537"/>
      <c r="FIP239" s="537"/>
      <c r="FIQ239" s="537"/>
      <c r="FIR239" s="537"/>
      <c r="FIS239" s="537"/>
      <c r="FIT239" s="537"/>
      <c r="FIU239" s="537"/>
      <c r="FIV239" s="537"/>
      <c r="FIW239" s="537"/>
      <c r="FIX239" s="537"/>
      <c r="FIY239" s="537"/>
      <c r="FIZ239" s="537"/>
      <c r="FJA239" s="537"/>
      <c r="FJB239" s="537"/>
      <c r="FJC239" s="537"/>
      <c r="FJD239" s="537"/>
      <c r="FJE239" s="537"/>
      <c r="FJF239" s="537"/>
      <c r="FJG239" s="537"/>
      <c r="FJH239" s="537"/>
      <c r="FJI239" s="537"/>
      <c r="FJJ239" s="537"/>
      <c r="FJK239" s="537"/>
      <c r="FJL239" s="537"/>
      <c r="FJM239" s="537"/>
      <c r="FJN239" s="537"/>
      <c r="FJO239" s="537"/>
      <c r="FJP239" s="537"/>
      <c r="FJQ239" s="537"/>
      <c r="FJR239" s="537"/>
      <c r="FJS239" s="537"/>
      <c r="FJT239" s="537"/>
      <c r="FJU239" s="537"/>
      <c r="FJV239" s="537"/>
      <c r="FJW239" s="537"/>
      <c r="FJX239" s="537"/>
      <c r="FJY239" s="537"/>
      <c r="FJZ239" s="537"/>
      <c r="FKA239" s="537"/>
      <c r="FKB239" s="537"/>
      <c r="FKC239" s="537"/>
      <c r="FKD239" s="537"/>
      <c r="FKE239" s="537"/>
      <c r="FKF239" s="537"/>
      <c r="FKG239" s="537"/>
      <c r="FKH239" s="537"/>
      <c r="FKI239" s="537"/>
      <c r="FKJ239" s="537"/>
      <c r="FKK239" s="537"/>
      <c r="FKL239" s="537"/>
      <c r="FKM239" s="537"/>
      <c r="FKN239" s="537"/>
      <c r="FKO239" s="537"/>
      <c r="FKP239" s="537"/>
      <c r="FKQ239" s="537"/>
      <c r="FKR239" s="537"/>
      <c r="FKS239" s="537"/>
      <c r="FKT239" s="537"/>
      <c r="FKU239" s="537"/>
      <c r="FKV239" s="537"/>
      <c r="FKW239" s="537"/>
      <c r="FKX239" s="537"/>
      <c r="FKY239" s="537"/>
      <c r="FKZ239" s="537"/>
      <c r="FLA239" s="537"/>
      <c r="FLB239" s="537"/>
      <c r="FLC239" s="537"/>
      <c r="FLD239" s="537"/>
      <c r="FLE239" s="537"/>
      <c r="FLF239" s="537"/>
      <c r="FLG239" s="537"/>
      <c r="FLH239" s="537"/>
      <c r="FLI239" s="537"/>
      <c r="FLJ239" s="537"/>
      <c r="FLK239" s="537"/>
      <c r="FLL239" s="537"/>
      <c r="FLM239" s="537"/>
      <c r="FLN239" s="537"/>
      <c r="FLO239" s="537"/>
      <c r="FLP239" s="537"/>
      <c r="FLQ239" s="537"/>
      <c r="FLR239" s="537"/>
      <c r="FLS239" s="537"/>
      <c r="FLT239" s="537"/>
      <c r="FLU239" s="537"/>
      <c r="FLV239" s="537"/>
      <c r="FLW239" s="537"/>
      <c r="FLX239" s="537"/>
      <c r="FLY239" s="537"/>
      <c r="FLZ239" s="537"/>
      <c r="FMA239" s="537"/>
      <c r="FMB239" s="537"/>
      <c r="FMC239" s="537"/>
      <c r="FMD239" s="537"/>
      <c r="FME239" s="537"/>
      <c r="FMF239" s="537"/>
      <c r="FMG239" s="537"/>
      <c r="FMH239" s="537"/>
      <c r="FMI239" s="537"/>
      <c r="FMJ239" s="537"/>
      <c r="FMK239" s="537"/>
      <c r="FML239" s="537"/>
      <c r="FMM239" s="537"/>
      <c r="FMN239" s="537"/>
      <c r="FMO239" s="537"/>
      <c r="FMP239" s="537"/>
      <c r="FMQ239" s="537"/>
      <c r="FMR239" s="537"/>
      <c r="FMS239" s="537"/>
      <c r="FMT239" s="537"/>
      <c r="FMU239" s="537"/>
      <c r="FMV239" s="537"/>
      <c r="FMW239" s="537"/>
      <c r="FMX239" s="537"/>
      <c r="FMY239" s="537"/>
      <c r="FMZ239" s="537"/>
      <c r="FNA239" s="537"/>
      <c r="FNB239" s="537"/>
      <c r="FNC239" s="537"/>
      <c r="FND239" s="537"/>
      <c r="FNE239" s="537"/>
      <c r="FNF239" s="537"/>
      <c r="FNG239" s="537"/>
      <c r="FNH239" s="537"/>
      <c r="FNI239" s="537"/>
      <c r="FNJ239" s="537"/>
      <c r="FNK239" s="537"/>
      <c r="FNL239" s="537"/>
      <c r="FNM239" s="537"/>
      <c r="FNN239" s="537"/>
      <c r="FNO239" s="537"/>
      <c r="FNP239" s="537"/>
      <c r="FNQ239" s="537"/>
      <c r="FNR239" s="537"/>
      <c r="FNS239" s="537"/>
      <c r="FNT239" s="537"/>
      <c r="FNU239" s="537"/>
      <c r="FNV239" s="537"/>
      <c r="FNW239" s="537"/>
      <c r="FNX239" s="537"/>
      <c r="FNY239" s="537"/>
      <c r="FNZ239" s="537"/>
      <c r="FOA239" s="537"/>
      <c r="FOB239" s="537"/>
      <c r="FOC239" s="537"/>
      <c r="FOD239" s="537"/>
      <c r="FOE239" s="537"/>
      <c r="FOF239" s="537"/>
      <c r="FOG239" s="537"/>
      <c r="FOH239" s="537"/>
      <c r="FOI239" s="537"/>
      <c r="FOJ239" s="537"/>
      <c r="FOK239" s="537"/>
      <c r="FOL239" s="537"/>
      <c r="FOM239" s="537"/>
      <c r="FON239" s="537"/>
      <c r="FOO239" s="537"/>
      <c r="FOP239" s="537"/>
      <c r="FOQ239" s="537"/>
      <c r="FOR239" s="537"/>
      <c r="FOS239" s="537"/>
      <c r="FOT239" s="537"/>
      <c r="FOU239" s="537"/>
      <c r="FOV239" s="537"/>
      <c r="FOW239" s="537"/>
      <c r="FOX239" s="537"/>
      <c r="FOY239" s="537"/>
      <c r="FOZ239" s="537"/>
      <c r="FPA239" s="537"/>
      <c r="FPB239" s="537"/>
      <c r="FPC239" s="537"/>
      <c r="FPD239" s="537"/>
      <c r="FPE239" s="537"/>
      <c r="FPF239" s="537"/>
      <c r="FPG239" s="537"/>
      <c r="FPH239" s="537"/>
      <c r="FPI239" s="537"/>
      <c r="FPJ239" s="537"/>
      <c r="FPK239" s="537"/>
      <c r="FPL239" s="537"/>
      <c r="FPM239" s="537"/>
      <c r="FPN239" s="537"/>
      <c r="FPO239" s="537"/>
      <c r="FPP239" s="537"/>
      <c r="FPQ239" s="537"/>
      <c r="FPR239" s="537"/>
      <c r="FPS239" s="537"/>
      <c r="FPT239" s="537"/>
      <c r="FPU239" s="537"/>
      <c r="FPV239" s="537"/>
      <c r="FPW239" s="537"/>
      <c r="FPX239" s="537"/>
      <c r="FPY239" s="537"/>
      <c r="FPZ239" s="537"/>
      <c r="FQA239" s="537"/>
      <c r="FQB239" s="537"/>
      <c r="FQC239" s="537"/>
      <c r="FQD239" s="537"/>
      <c r="FQE239" s="537"/>
      <c r="FQF239" s="537"/>
      <c r="FQG239" s="537"/>
      <c r="FQH239" s="537"/>
      <c r="FQI239" s="537"/>
      <c r="FQJ239" s="537"/>
      <c r="FQK239" s="537"/>
      <c r="FQL239" s="537"/>
      <c r="FQM239" s="537"/>
      <c r="FQN239" s="537"/>
      <c r="FQO239" s="537"/>
      <c r="FQP239" s="537"/>
      <c r="FQQ239" s="537"/>
      <c r="FQR239" s="537"/>
      <c r="FQS239" s="537"/>
      <c r="FQT239" s="537"/>
      <c r="FQU239" s="537"/>
      <c r="FQV239" s="537"/>
      <c r="FQW239" s="537"/>
      <c r="FQX239" s="537"/>
      <c r="FQY239" s="537"/>
      <c r="FQZ239" s="537"/>
      <c r="FRA239" s="537"/>
      <c r="FRB239" s="537"/>
      <c r="FRC239" s="537"/>
      <c r="FRD239" s="537"/>
      <c r="FRE239" s="537"/>
      <c r="FRF239" s="537"/>
      <c r="FRG239" s="537"/>
      <c r="FRH239" s="537"/>
      <c r="FRI239" s="537"/>
      <c r="FRJ239" s="537"/>
      <c r="FRK239" s="537"/>
      <c r="FRL239" s="537"/>
      <c r="FRM239" s="537"/>
      <c r="FRN239" s="537"/>
      <c r="FRO239" s="537"/>
      <c r="FRP239" s="537"/>
      <c r="FRQ239" s="537"/>
      <c r="FRR239" s="537"/>
      <c r="FRS239" s="537"/>
      <c r="FRT239" s="537"/>
      <c r="FRU239" s="537"/>
      <c r="FRV239" s="537"/>
      <c r="FRW239" s="537"/>
      <c r="FRX239" s="537"/>
      <c r="FRY239" s="537"/>
      <c r="FRZ239" s="537"/>
      <c r="FSA239" s="537"/>
      <c r="FSB239" s="537"/>
      <c r="FSC239" s="537"/>
      <c r="FSD239" s="537"/>
      <c r="FSE239" s="537"/>
      <c r="FSF239" s="537"/>
      <c r="FSG239" s="537"/>
      <c r="FSH239" s="537"/>
      <c r="FSI239" s="537"/>
      <c r="FSJ239" s="537"/>
      <c r="FSK239" s="537"/>
      <c r="FSL239" s="537"/>
      <c r="FSM239" s="537"/>
      <c r="FSN239" s="537"/>
      <c r="FSO239" s="537"/>
      <c r="FSP239" s="537"/>
      <c r="FSQ239" s="537"/>
      <c r="FSR239" s="537"/>
      <c r="FSS239" s="537"/>
      <c r="FST239" s="537"/>
      <c r="FSU239" s="537"/>
      <c r="FSV239" s="537"/>
      <c r="FSW239" s="537"/>
      <c r="FSX239" s="537"/>
      <c r="FSY239" s="537"/>
      <c r="FSZ239" s="537"/>
      <c r="FTA239" s="537"/>
      <c r="FTB239" s="537"/>
      <c r="FTC239" s="537"/>
      <c r="FTD239" s="537"/>
      <c r="FTE239" s="537"/>
      <c r="FTF239" s="537"/>
      <c r="FTG239" s="537"/>
      <c r="FTH239" s="537"/>
      <c r="FTI239" s="537"/>
      <c r="FTJ239" s="537"/>
      <c r="FTK239" s="537"/>
      <c r="FTL239" s="537"/>
      <c r="FTM239" s="537"/>
      <c r="FTN239" s="537"/>
      <c r="FTO239" s="537"/>
      <c r="FTP239" s="537"/>
      <c r="FTQ239" s="537"/>
      <c r="FTR239" s="537"/>
      <c r="FTS239" s="537"/>
      <c r="FTT239" s="537"/>
      <c r="FTU239" s="537"/>
      <c r="FTV239" s="537"/>
      <c r="FTW239" s="537"/>
      <c r="FTX239" s="537"/>
      <c r="FTY239" s="537"/>
      <c r="FTZ239" s="537"/>
      <c r="FUA239" s="537"/>
      <c r="FUB239" s="537"/>
      <c r="FUC239" s="537"/>
      <c r="FUD239" s="537"/>
      <c r="FUE239" s="537"/>
      <c r="FUF239" s="537"/>
      <c r="FUG239" s="537"/>
      <c r="FUH239" s="537"/>
      <c r="FUI239" s="537"/>
      <c r="FUJ239" s="537"/>
      <c r="FUK239" s="537"/>
      <c r="FUL239" s="537"/>
      <c r="FUM239" s="537"/>
      <c r="FUN239" s="537"/>
      <c r="FUO239" s="537"/>
      <c r="FUP239" s="537"/>
      <c r="FUQ239" s="537"/>
      <c r="FUR239" s="537"/>
      <c r="FUS239" s="537"/>
      <c r="FUT239" s="537"/>
      <c r="FUU239" s="537"/>
      <c r="FUV239" s="537"/>
      <c r="FUW239" s="537"/>
      <c r="FUX239" s="537"/>
      <c r="FUY239" s="537"/>
      <c r="FUZ239" s="537"/>
      <c r="FVA239" s="537"/>
      <c r="FVB239" s="537"/>
      <c r="FVC239" s="537"/>
      <c r="FVD239" s="537"/>
      <c r="FVE239" s="537"/>
      <c r="FVF239" s="537"/>
      <c r="FVG239" s="537"/>
      <c r="FVH239" s="537"/>
      <c r="FVI239" s="537"/>
      <c r="FVJ239" s="537"/>
      <c r="FVK239" s="537"/>
      <c r="FVL239" s="537"/>
      <c r="FVM239" s="537"/>
      <c r="FVN239" s="537"/>
      <c r="FVO239" s="537"/>
      <c r="FVP239" s="537"/>
      <c r="FVQ239" s="537"/>
      <c r="FVR239" s="537"/>
      <c r="FVS239" s="537"/>
      <c r="FVT239" s="537"/>
      <c r="FVU239" s="537"/>
      <c r="FVV239" s="537"/>
      <c r="FVW239" s="537"/>
      <c r="FVX239" s="537"/>
      <c r="FVY239" s="537"/>
      <c r="FVZ239" s="537"/>
      <c r="FWA239" s="537"/>
      <c r="FWB239" s="537"/>
      <c r="FWC239" s="537"/>
      <c r="FWD239" s="537"/>
      <c r="FWE239" s="537"/>
      <c r="FWF239" s="537"/>
      <c r="FWG239" s="537"/>
      <c r="FWH239" s="537"/>
      <c r="FWI239" s="537"/>
      <c r="FWJ239" s="537"/>
      <c r="FWK239" s="537"/>
      <c r="FWL239" s="537"/>
      <c r="FWM239" s="537"/>
      <c r="FWN239" s="537"/>
      <c r="FWO239" s="537"/>
      <c r="FWP239" s="537"/>
      <c r="FWQ239" s="537"/>
      <c r="FWR239" s="537"/>
      <c r="FWS239" s="537"/>
      <c r="FWT239" s="537"/>
      <c r="FWU239" s="537"/>
      <c r="FWV239" s="537"/>
      <c r="FWW239" s="537"/>
      <c r="FWX239" s="537"/>
      <c r="FWY239" s="537"/>
      <c r="FWZ239" s="537"/>
      <c r="FXA239" s="537"/>
      <c r="FXB239" s="537"/>
      <c r="FXC239" s="537"/>
      <c r="FXD239" s="537"/>
      <c r="FXE239" s="537"/>
      <c r="FXF239" s="537"/>
      <c r="FXG239" s="537"/>
      <c r="FXH239" s="537"/>
      <c r="FXI239" s="537"/>
      <c r="FXJ239" s="537"/>
      <c r="FXK239" s="537"/>
      <c r="FXL239" s="537"/>
      <c r="FXM239" s="537"/>
      <c r="FXN239" s="537"/>
      <c r="FXO239" s="537"/>
      <c r="FXP239" s="537"/>
      <c r="FXQ239" s="537"/>
      <c r="FXR239" s="537"/>
      <c r="FXS239" s="537"/>
      <c r="FXT239" s="537"/>
      <c r="FXU239" s="537"/>
      <c r="FXV239" s="537"/>
      <c r="FXW239" s="537"/>
      <c r="FXX239" s="537"/>
      <c r="FXY239" s="537"/>
      <c r="FXZ239" s="537"/>
      <c r="FYA239" s="537"/>
      <c r="FYB239" s="537"/>
      <c r="FYC239" s="537"/>
      <c r="FYD239" s="537"/>
      <c r="FYE239" s="537"/>
      <c r="FYF239" s="537"/>
      <c r="FYG239" s="537"/>
      <c r="FYH239" s="537"/>
      <c r="FYI239" s="537"/>
      <c r="FYJ239" s="537"/>
      <c r="FYK239" s="537"/>
      <c r="FYL239" s="537"/>
      <c r="FYM239" s="537"/>
      <c r="FYN239" s="537"/>
      <c r="FYO239" s="537"/>
      <c r="FYP239" s="537"/>
      <c r="FYQ239" s="537"/>
      <c r="FYR239" s="537"/>
      <c r="FYS239" s="537"/>
      <c r="FYT239" s="537"/>
      <c r="FYU239" s="537"/>
      <c r="FYV239" s="537"/>
      <c r="FYW239" s="537"/>
      <c r="FYX239" s="537"/>
      <c r="FYY239" s="537"/>
      <c r="FYZ239" s="537"/>
      <c r="FZA239" s="537"/>
      <c r="FZB239" s="537"/>
      <c r="FZC239" s="537"/>
      <c r="FZD239" s="537"/>
      <c r="FZE239" s="537"/>
      <c r="FZF239" s="537"/>
      <c r="FZG239" s="537"/>
      <c r="FZH239" s="537"/>
      <c r="FZI239" s="537"/>
      <c r="FZJ239" s="537"/>
      <c r="FZK239" s="537"/>
      <c r="FZL239" s="537"/>
      <c r="FZM239" s="537"/>
      <c r="FZN239" s="537"/>
      <c r="FZO239" s="537"/>
      <c r="FZP239" s="537"/>
      <c r="FZQ239" s="537"/>
      <c r="FZR239" s="537"/>
      <c r="FZS239" s="537"/>
      <c r="FZT239" s="537"/>
      <c r="FZU239" s="537"/>
      <c r="FZV239" s="537"/>
      <c r="FZW239" s="537"/>
      <c r="FZX239" s="537"/>
      <c r="FZY239" s="537"/>
      <c r="FZZ239" s="537"/>
      <c r="GAA239" s="537"/>
      <c r="GAB239" s="537"/>
      <c r="GAC239" s="537"/>
      <c r="GAD239" s="537"/>
      <c r="GAE239" s="537"/>
      <c r="GAF239" s="537"/>
      <c r="GAG239" s="537"/>
      <c r="GAH239" s="537"/>
      <c r="GAI239" s="537"/>
      <c r="GAJ239" s="537"/>
      <c r="GAK239" s="537"/>
      <c r="GAL239" s="537"/>
      <c r="GAM239" s="537"/>
      <c r="GAN239" s="537"/>
      <c r="GAO239" s="537"/>
      <c r="GAP239" s="537"/>
      <c r="GAQ239" s="537"/>
      <c r="GAR239" s="537"/>
      <c r="GAS239" s="537"/>
      <c r="GAT239" s="537"/>
      <c r="GAU239" s="537"/>
      <c r="GAV239" s="537"/>
      <c r="GAW239" s="537"/>
      <c r="GAX239" s="537"/>
      <c r="GAY239" s="537"/>
      <c r="GAZ239" s="537"/>
      <c r="GBA239" s="537"/>
      <c r="GBB239" s="537"/>
      <c r="GBC239" s="537"/>
      <c r="GBD239" s="537"/>
      <c r="GBE239" s="537"/>
      <c r="GBF239" s="537"/>
      <c r="GBG239" s="537"/>
      <c r="GBH239" s="537"/>
      <c r="GBI239" s="537"/>
      <c r="GBJ239" s="537"/>
      <c r="GBK239" s="537"/>
      <c r="GBL239" s="537"/>
      <c r="GBM239" s="537"/>
      <c r="GBN239" s="537"/>
      <c r="GBO239" s="537"/>
      <c r="GBP239" s="537"/>
      <c r="GBQ239" s="537"/>
      <c r="GBR239" s="537"/>
      <c r="GBS239" s="537"/>
      <c r="GBT239" s="537"/>
      <c r="GBU239" s="537"/>
      <c r="GBV239" s="537"/>
      <c r="GBW239" s="537"/>
      <c r="GBX239" s="537"/>
      <c r="GBY239" s="537"/>
      <c r="GBZ239" s="537"/>
      <c r="GCA239" s="537"/>
      <c r="GCB239" s="537"/>
      <c r="GCC239" s="537"/>
      <c r="GCD239" s="537"/>
      <c r="GCE239" s="537"/>
      <c r="GCF239" s="537"/>
      <c r="GCG239" s="537"/>
      <c r="GCH239" s="537"/>
      <c r="GCI239" s="537"/>
      <c r="GCJ239" s="537"/>
      <c r="GCK239" s="537"/>
      <c r="GCL239" s="537"/>
      <c r="GCM239" s="537"/>
      <c r="GCN239" s="537"/>
      <c r="GCO239" s="537"/>
      <c r="GCP239" s="537"/>
      <c r="GCQ239" s="537"/>
      <c r="GCR239" s="537"/>
      <c r="GCS239" s="537"/>
      <c r="GCT239" s="537"/>
      <c r="GCU239" s="537"/>
      <c r="GCV239" s="537"/>
      <c r="GCW239" s="537"/>
      <c r="GCX239" s="537"/>
      <c r="GCY239" s="537"/>
      <c r="GCZ239" s="537"/>
      <c r="GDA239" s="537"/>
      <c r="GDB239" s="537"/>
      <c r="GDC239" s="537"/>
      <c r="GDD239" s="537"/>
      <c r="GDE239" s="537"/>
      <c r="GDF239" s="537"/>
      <c r="GDG239" s="537"/>
      <c r="GDH239" s="537"/>
      <c r="GDI239" s="537"/>
      <c r="GDJ239" s="537"/>
      <c r="GDK239" s="537"/>
      <c r="GDL239" s="537"/>
      <c r="GDM239" s="537"/>
      <c r="GDN239" s="537"/>
      <c r="GDO239" s="537"/>
      <c r="GDP239" s="537"/>
      <c r="GDQ239" s="537"/>
      <c r="GDR239" s="537"/>
      <c r="GDS239" s="537"/>
      <c r="GDT239" s="537"/>
      <c r="GDU239" s="537"/>
      <c r="GDV239" s="537"/>
      <c r="GDW239" s="537"/>
      <c r="GDX239" s="537"/>
      <c r="GDY239" s="537"/>
      <c r="GDZ239" s="537"/>
      <c r="GEA239" s="537"/>
      <c r="GEB239" s="537"/>
      <c r="GEC239" s="537"/>
      <c r="GED239" s="537"/>
      <c r="GEE239" s="537"/>
      <c r="GEF239" s="537"/>
      <c r="GEG239" s="537"/>
      <c r="GEH239" s="537"/>
      <c r="GEI239" s="537"/>
      <c r="GEJ239" s="537"/>
      <c r="GEK239" s="537"/>
      <c r="GEL239" s="537"/>
      <c r="GEM239" s="537"/>
      <c r="GEN239" s="537"/>
      <c r="GEO239" s="537"/>
      <c r="GEP239" s="537"/>
      <c r="GEQ239" s="537"/>
      <c r="GER239" s="537"/>
      <c r="GES239" s="537"/>
      <c r="GET239" s="537"/>
      <c r="GEU239" s="537"/>
      <c r="GEV239" s="537"/>
      <c r="GEW239" s="537"/>
      <c r="GEX239" s="537"/>
      <c r="GEY239" s="537"/>
      <c r="GEZ239" s="537"/>
      <c r="GFA239" s="537"/>
      <c r="GFB239" s="537"/>
      <c r="GFC239" s="537"/>
      <c r="GFD239" s="537"/>
      <c r="GFE239" s="537"/>
      <c r="GFF239" s="537"/>
      <c r="GFG239" s="537"/>
      <c r="GFH239" s="537"/>
      <c r="GFI239" s="537"/>
      <c r="GFJ239" s="537"/>
      <c r="GFK239" s="537"/>
      <c r="GFL239" s="537"/>
      <c r="GFM239" s="537"/>
      <c r="GFN239" s="537"/>
      <c r="GFO239" s="537"/>
      <c r="GFP239" s="537"/>
      <c r="GFQ239" s="537"/>
      <c r="GFR239" s="537"/>
      <c r="GFS239" s="537"/>
      <c r="GFT239" s="537"/>
      <c r="GFU239" s="537"/>
      <c r="GFV239" s="537"/>
      <c r="GFW239" s="537"/>
      <c r="GFX239" s="537"/>
      <c r="GFY239" s="537"/>
      <c r="GFZ239" s="537"/>
      <c r="GGA239" s="537"/>
      <c r="GGB239" s="537"/>
      <c r="GGC239" s="537"/>
      <c r="GGD239" s="537"/>
      <c r="GGE239" s="537"/>
      <c r="GGF239" s="537"/>
      <c r="GGG239" s="537"/>
      <c r="GGH239" s="537"/>
      <c r="GGI239" s="537"/>
      <c r="GGJ239" s="537"/>
      <c r="GGK239" s="537"/>
      <c r="GGL239" s="537"/>
      <c r="GGM239" s="537"/>
      <c r="GGN239" s="537"/>
      <c r="GGO239" s="537"/>
      <c r="GGP239" s="537"/>
      <c r="GGQ239" s="537"/>
      <c r="GGR239" s="537"/>
      <c r="GGS239" s="537"/>
      <c r="GGT239" s="537"/>
      <c r="GGU239" s="537"/>
      <c r="GGV239" s="537"/>
      <c r="GGW239" s="537"/>
      <c r="GGX239" s="537"/>
      <c r="GGY239" s="537"/>
      <c r="GGZ239" s="537"/>
      <c r="GHA239" s="537"/>
      <c r="GHB239" s="537"/>
      <c r="GHC239" s="537"/>
      <c r="GHD239" s="537"/>
      <c r="GHE239" s="537"/>
      <c r="GHF239" s="537"/>
      <c r="GHG239" s="537"/>
      <c r="GHH239" s="537"/>
      <c r="GHI239" s="537"/>
      <c r="GHJ239" s="537"/>
      <c r="GHK239" s="537"/>
      <c r="GHL239" s="537"/>
      <c r="GHM239" s="537"/>
      <c r="GHN239" s="537"/>
      <c r="GHO239" s="537"/>
      <c r="GHP239" s="537"/>
      <c r="GHQ239" s="537"/>
      <c r="GHR239" s="537"/>
      <c r="GHS239" s="537"/>
      <c r="GHT239" s="537"/>
      <c r="GHU239" s="537"/>
      <c r="GHV239" s="537"/>
      <c r="GHW239" s="537"/>
      <c r="GHX239" s="537"/>
      <c r="GHY239" s="537"/>
      <c r="GHZ239" s="537"/>
      <c r="GIA239" s="537"/>
      <c r="GIB239" s="537"/>
      <c r="GIC239" s="537"/>
      <c r="GID239" s="537"/>
      <c r="GIE239" s="537"/>
      <c r="GIF239" s="537"/>
      <c r="GIG239" s="537"/>
      <c r="GIH239" s="537"/>
      <c r="GII239" s="537"/>
      <c r="GIJ239" s="537"/>
      <c r="GIK239" s="537"/>
      <c r="GIL239" s="537"/>
      <c r="GIM239" s="537"/>
      <c r="GIN239" s="537"/>
      <c r="GIO239" s="537"/>
      <c r="GIP239" s="537"/>
      <c r="GIQ239" s="537"/>
      <c r="GIR239" s="537"/>
      <c r="GIS239" s="537"/>
      <c r="GIT239" s="537"/>
      <c r="GIU239" s="537"/>
      <c r="GIV239" s="537"/>
      <c r="GIW239" s="537"/>
      <c r="GIX239" s="537"/>
      <c r="GIY239" s="537"/>
      <c r="GIZ239" s="537"/>
      <c r="GJA239" s="537"/>
      <c r="GJB239" s="537"/>
      <c r="GJC239" s="537"/>
      <c r="GJD239" s="537"/>
      <c r="GJE239" s="537"/>
      <c r="GJF239" s="537"/>
      <c r="GJG239" s="537"/>
      <c r="GJH239" s="537"/>
      <c r="GJI239" s="537"/>
      <c r="GJJ239" s="537"/>
      <c r="GJK239" s="537"/>
      <c r="GJL239" s="537"/>
      <c r="GJM239" s="537"/>
      <c r="GJN239" s="537"/>
      <c r="GJO239" s="537"/>
      <c r="GJP239" s="537"/>
      <c r="GJQ239" s="537"/>
      <c r="GJR239" s="537"/>
      <c r="GJS239" s="537"/>
      <c r="GJT239" s="537"/>
      <c r="GJU239" s="537"/>
      <c r="GJV239" s="537"/>
      <c r="GJW239" s="537"/>
      <c r="GJX239" s="537"/>
      <c r="GJY239" s="537"/>
      <c r="GJZ239" s="537"/>
      <c r="GKA239" s="537"/>
      <c r="GKB239" s="537"/>
      <c r="GKC239" s="537"/>
      <c r="GKD239" s="537"/>
      <c r="GKE239" s="537"/>
      <c r="GKF239" s="537"/>
      <c r="GKG239" s="537"/>
      <c r="GKH239" s="537"/>
      <c r="GKI239" s="537"/>
      <c r="GKJ239" s="537"/>
      <c r="GKK239" s="537"/>
      <c r="GKL239" s="537"/>
      <c r="GKM239" s="537"/>
      <c r="GKN239" s="537"/>
      <c r="GKO239" s="537"/>
      <c r="GKP239" s="537"/>
      <c r="GKQ239" s="537"/>
      <c r="GKR239" s="537"/>
      <c r="GKS239" s="537"/>
      <c r="GKT239" s="537"/>
      <c r="GKU239" s="537"/>
      <c r="GKV239" s="537"/>
      <c r="GKW239" s="537"/>
      <c r="GKX239" s="537"/>
      <c r="GKY239" s="537"/>
      <c r="GKZ239" s="537"/>
      <c r="GLA239" s="537"/>
      <c r="GLB239" s="537"/>
      <c r="GLC239" s="537"/>
      <c r="GLD239" s="537"/>
      <c r="GLE239" s="537"/>
      <c r="GLF239" s="537"/>
      <c r="GLG239" s="537"/>
      <c r="GLH239" s="537"/>
      <c r="GLI239" s="537"/>
      <c r="GLJ239" s="537"/>
      <c r="GLK239" s="537"/>
      <c r="GLL239" s="537"/>
      <c r="GLM239" s="537"/>
      <c r="GLN239" s="537"/>
      <c r="GLO239" s="537"/>
      <c r="GLP239" s="537"/>
      <c r="GLQ239" s="537"/>
      <c r="GLR239" s="537"/>
      <c r="GLS239" s="537"/>
      <c r="GLT239" s="537"/>
      <c r="GLU239" s="537"/>
      <c r="GLV239" s="537"/>
      <c r="GLW239" s="537"/>
      <c r="GLX239" s="537"/>
      <c r="GLY239" s="537"/>
      <c r="GLZ239" s="537"/>
      <c r="GMA239" s="537"/>
      <c r="GMB239" s="537"/>
      <c r="GMC239" s="537"/>
      <c r="GMD239" s="537"/>
      <c r="GME239" s="537"/>
      <c r="GMF239" s="537"/>
      <c r="GMG239" s="537"/>
      <c r="GMH239" s="537"/>
      <c r="GMI239" s="537"/>
      <c r="GMJ239" s="537"/>
      <c r="GMK239" s="537"/>
      <c r="GML239" s="537"/>
      <c r="GMM239" s="537"/>
      <c r="GMN239" s="537"/>
      <c r="GMO239" s="537"/>
      <c r="GMP239" s="537"/>
      <c r="GMQ239" s="537"/>
      <c r="GMR239" s="537"/>
      <c r="GMS239" s="537"/>
      <c r="GMT239" s="537"/>
      <c r="GMU239" s="537"/>
      <c r="GMV239" s="537"/>
      <c r="GMW239" s="537"/>
      <c r="GMX239" s="537"/>
      <c r="GMY239" s="537"/>
      <c r="GMZ239" s="537"/>
      <c r="GNA239" s="537"/>
      <c r="GNB239" s="537"/>
      <c r="GNC239" s="537"/>
      <c r="GND239" s="537"/>
      <c r="GNE239" s="537"/>
      <c r="GNF239" s="537"/>
      <c r="GNG239" s="537"/>
      <c r="GNH239" s="537"/>
      <c r="GNI239" s="537"/>
      <c r="GNJ239" s="537"/>
      <c r="GNK239" s="537"/>
      <c r="GNL239" s="537"/>
      <c r="GNM239" s="537"/>
      <c r="GNN239" s="537"/>
      <c r="GNO239" s="537"/>
      <c r="GNP239" s="537"/>
      <c r="GNQ239" s="537"/>
      <c r="GNR239" s="537"/>
      <c r="GNS239" s="537"/>
      <c r="GNT239" s="537"/>
      <c r="GNU239" s="537"/>
      <c r="GNV239" s="537"/>
      <c r="GNW239" s="537"/>
      <c r="GNX239" s="537"/>
      <c r="GNY239" s="537"/>
      <c r="GNZ239" s="537"/>
      <c r="GOA239" s="537"/>
      <c r="GOB239" s="537"/>
      <c r="GOC239" s="537"/>
      <c r="GOD239" s="537"/>
      <c r="GOE239" s="537"/>
      <c r="GOF239" s="537"/>
      <c r="GOG239" s="537"/>
      <c r="GOH239" s="537"/>
      <c r="GOI239" s="537"/>
      <c r="GOJ239" s="537"/>
      <c r="GOK239" s="537"/>
      <c r="GOL239" s="537"/>
      <c r="GOM239" s="537"/>
      <c r="GON239" s="537"/>
      <c r="GOO239" s="537"/>
      <c r="GOP239" s="537"/>
      <c r="GOQ239" s="537"/>
      <c r="GOR239" s="537"/>
      <c r="GOS239" s="537"/>
      <c r="GOT239" s="537"/>
      <c r="GOU239" s="537"/>
      <c r="GOV239" s="537"/>
      <c r="GOW239" s="537"/>
      <c r="GOX239" s="537"/>
      <c r="GOY239" s="537"/>
      <c r="GOZ239" s="537"/>
      <c r="GPA239" s="537"/>
      <c r="GPB239" s="537"/>
      <c r="GPC239" s="537"/>
      <c r="GPD239" s="537"/>
      <c r="GPE239" s="537"/>
      <c r="GPF239" s="537"/>
      <c r="GPG239" s="537"/>
      <c r="GPH239" s="537"/>
      <c r="GPI239" s="537"/>
      <c r="GPJ239" s="537"/>
      <c r="GPK239" s="537"/>
      <c r="GPL239" s="537"/>
      <c r="GPM239" s="537"/>
      <c r="GPN239" s="537"/>
      <c r="GPO239" s="537"/>
      <c r="GPP239" s="537"/>
      <c r="GPQ239" s="537"/>
      <c r="GPR239" s="537"/>
      <c r="GPS239" s="537"/>
      <c r="GPT239" s="537"/>
      <c r="GPU239" s="537"/>
      <c r="GPV239" s="537"/>
      <c r="GPW239" s="537"/>
      <c r="GPX239" s="537"/>
      <c r="GPY239" s="537"/>
      <c r="GPZ239" s="537"/>
      <c r="GQA239" s="537"/>
      <c r="GQB239" s="537"/>
      <c r="GQC239" s="537"/>
      <c r="GQD239" s="537"/>
      <c r="GQE239" s="537"/>
      <c r="GQF239" s="537"/>
      <c r="GQG239" s="537"/>
      <c r="GQH239" s="537"/>
      <c r="GQI239" s="537"/>
      <c r="GQJ239" s="537"/>
      <c r="GQK239" s="537"/>
      <c r="GQL239" s="537"/>
      <c r="GQM239" s="537"/>
      <c r="GQN239" s="537"/>
      <c r="GQO239" s="537"/>
      <c r="GQP239" s="537"/>
      <c r="GQQ239" s="537"/>
      <c r="GQR239" s="537"/>
      <c r="GQS239" s="537"/>
      <c r="GQT239" s="537"/>
      <c r="GQU239" s="537"/>
      <c r="GQV239" s="537"/>
      <c r="GQW239" s="537"/>
      <c r="GQX239" s="537"/>
      <c r="GQY239" s="537"/>
      <c r="GQZ239" s="537"/>
      <c r="GRA239" s="537"/>
      <c r="GRB239" s="537"/>
      <c r="GRC239" s="537"/>
      <c r="GRD239" s="537"/>
      <c r="GRE239" s="537"/>
      <c r="GRF239" s="537"/>
      <c r="GRG239" s="537"/>
      <c r="GRH239" s="537"/>
      <c r="GRI239" s="537"/>
      <c r="GRJ239" s="537"/>
      <c r="GRK239" s="537"/>
      <c r="GRL239" s="537"/>
      <c r="GRM239" s="537"/>
      <c r="GRN239" s="537"/>
      <c r="GRO239" s="537"/>
      <c r="GRP239" s="537"/>
      <c r="GRQ239" s="537"/>
      <c r="GRR239" s="537"/>
      <c r="GRS239" s="537"/>
      <c r="GRT239" s="537"/>
      <c r="GRU239" s="537"/>
      <c r="GRV239" s="537"/>
      <c r="GRW239" s="537"/>
      <c r="GRX239" s="537"/>
      <c r="GRY239" s="537"/>
      <c r="GRZ239" s="537"/>
      <c r="GSA239" s="537"/>
      <c r="GSB239" s="537"/>
      <c r="GSC239" s="537"/>
      <c r="GSD239" s="537"/>
      <c r="GSE239" s="537"/>
      <c r="GSF239" s="537"/>
      <c r="GSG239" s="537"/>
      <c r="GSH239" s="537"/>
      <c r="GSI239" s="537"/>
      <c r="GSJ239" s="537"/>
      <c r="GSK239" s="537"/>
      <c r="GSL239" s="537"/>
      <c r="GSM239" s="537"/>
      <c r="GSN239" s="537"/>
      <c r="GSO239" s="537"/>
      <c r="GSP239" s="537"/>
      <c r="GSQ239" s="537"/>
      <c r="GSR239" s="537"/>
      <c r="GSS239" s="537"/>
      <c r="GST239" s="537"/>
      <c r="GSU239" s="537"/>
      <c r="GSV239" s="537"/>
      <c r="GSW239" s="537"/>
      <c r="GSX239" s="537"/>
      <c r="GSY239" s="537"/>
      <c r="GSZ239" s="537"/>
      <c r="GTA239" s="537"/>
      <c r="GTB239" s="537"/>
      <c r="GTC239" s="537"/>
      <c r="GTD239" s="537"/>
      <c r="GTE239" s="537"/>
      <c r="GTF239" s="537"/>
      <c r="GTG239" s="537"/>
      <c r="GTH239" s="537"/>
      <c r="GTI239" s="537"/>
      <c r="GTJ239" s="537"/>
      <c r="GTK239" s="537"/>
      <c r="GTL239" s="537"/>
      <c r="GTM239" s="537"/>
      <c r="GTN239" s="537"/>
      <c r="GTO239" s="537"/>
      <c r="GTP239" s="537"/>
      <c r="GTQ239" s="537"/>
      <c r="GTR239" s="537"/>
      <c r="GTS239" s="537"/>
      <c r="GTT239" s="537"/>
      <c r="GTU239" s="537"/>
      <c r="GTV239" s="537"/>
      <c r="GTW239" s="537"/>
      <c r="GTX239" s="537"/>
      <c r="GTY239" s="537"/>
      <c r="GTZ239" s="537"/>
      <c r="GUA239" s="537"/>
      <c r="GUB239" s="537"/>
      <c r="GUC239" s="537"/>
      <c r="GUD239" s="537"/>
      <c r="GUE239" s="537"/>
      <c r="GUF239" s="537"/>
      <c r="GUG239" s="537"/>
      <c r="GUH239" s="537"/>
      <c r="GUI239" s="537"/>
      <c r="GUJ239" s="537"/>
      <c r="GUK239" s="537"/>
      <c r="GUL239" s="537"/>
      <c r="GUM239" s="537"/>
      <c r="GUN239" s="537"/>
      <c r="GUO239" s="537"/>
      <c r="GUP239" s="537"/>
      <c r="GUQ239" s="537"/>
      <c r="GUR239" s="537"/>
      <c r="GUS239" s="537"/>
      <c r="GUT239" s="537"/>
      <c r="GUU239" s="537"/>
      <c r="GUV239" s="537"/>
      <c r="GUW239" s="537"/>
      <c r="GUX239" s="537"/>
      <c r="GUY239" s="537"/>
      <c r="GUZ239" s="537"/>
      <c r="GVA239" s="537"/>
      <c r="GVB239" s="537"/>
      <c r="GVC239" s="537"/>
      <c r="GVD239" s="537"/>
      <c r="GVE239" s="537"/>
      <c r="GVF239" s="537"/>
      <c r="GVG239" s="537"/>
      <c r="GVH239" s="537"/>
      <c r="GVI239" s="537"/>
      <c r="GVJ239" s="537"/>
      <c r="GVK239" s="537"/>
      <c r="GVL239" s="537"/>
      <c r="GVM239" s="537"/>
      <c r="GVN239" s="537"/>
      <c r="GVO239" s="537"/>
      <c r="GVP239" s="537"/>
      <c r="GVQ239" s="537"/>
      <c r="GVR239" s="537"/>
      <c r="GVS239" s="537"/>
      <c r="GVT239" s="537"/>
      <c r="GVU239" s="537"/>
      <c r="GVV239" s="537"/>
      <c r="GVW239" s="537"/>
      <c r="GVX239" s="537"/>
      <c r="GVY239" s="537"/>
      <c r="GVZ239" s="537"/>
      <c r="GWA239" s="537"/>
      <c r="GWB239" s="537"/>
      <c r="GWC239" s="537"/>
      <c r="GWD239" s="537"/>
      <c r="GWE239" s="537"/>
      <c r="GWF239" s="537"/>
      <c r="GWG239" s="537"/>
      <c r="GWH239" s="537"/>
      <c r="GWI239" s="537"/>
      <c r="GWJ239" s="537"/>
      <c r="GWK239" s="537"/>
      <c r="GWL239" s="537"/>
      <c r="GWM239" s="537"/>
      <c r="GWN239" s="537"/>
      <c r="GWO239" s="537"/>
      <c r="GWP239" s="537"/>
      <c r="GWQ239" s="537"/>
      <c r="GWR239" s="537"/>
      <c r="GWS239" s="537"/>
      <c r="GWT239" s="537"/>
      <c r="GWU239" s="537"/>
      <c r="GWV239" s="537"/>
      <c r="GWW239" s="537"/>
      <c r="GWX239" s="537"/>
      <c r="GWY239" s="537"/>
      <c r="GWZ239" s="537"/>
      <c r="GXA239" s="537"/>
      <c r="GXB239" s="537"/>
      <c r="GXC239" s="537"/>
      <c r="GXD239" s="537"/>
      <c r="GXE239" s="537"/>
      <c r="GXF239" s="537"/>
      <c r="GXG239" s="537"/>
      <c r="GXH239" s="537"/>
      <c r="GXI239" s="537"/>
      <c r="GXJ239" s="537"/>
      <c r="GXK239" s="537"/>
      <c r="GXL239" s="537"/>
      <c r="GXM239" s="537"/>
      <c r="GXN239" s="537"/>
      <c r="GXO239" s="537"/>
      <c r="GXP239" s="537"/>
      <c r="GXQ239" s="537"/>
      <c r="GXR239" s="537"/>
      <c r="GXS239" s="537"/>
      <c r="GXT239" s="537"/>
      <c r="GXU239" s="537"/>
      <c r="GXV239" s="537"/>
      <c r="GXW239" s="537"/>
      <c r="GXX239" s="537"/>
      <c r="GXY239" s="537"/>
      <c r="GXZ239" s="537"/>
      <c r="GYA239" s="537"/>
      <c r="GYB239" s="537"/>
      <c r="GYC239" s="537"/>
      <c r="GYD239" s="537"/>
      <c r="GYE239" s="537"/>
      <c r="GYF239" s="537"/>
      <c r="GYG239" s="537"/>
      <c r="GYH239" s="537"/>
      <c r="GYI239" s="537"/>
      <c r="GYJ239" s="537"/>
      <c r="GYK239" s="537"/>
      <c r="GYL239" s="537"/>
      <c r="GYM239" s="537"/>
      <c r="GYN239" s="537"/>
      <c r="GYO239" s="537"/>
      <c r="GYP239" s="537"/>
      <c r="GYQ239" s="537"/>
      <c r="GYR239" s="537"/>
      <c r="GYS239" s="537"/>
      <c r="GYT239" s="537"/>
      <c r="GYU239" s="537"/>
      <c r="GYV239" s="537"/>
      <c r="GYW239" s="537"/>
      <c r="GYX239" s="537"/>
      <c r="GYY239" s="537"/>
      <c r="GYZ239" s="537"/>
      <c r="GZA239" s="537"/>
      <c r="GZB239" s="537"/>
      <c r="GZC239" s="537"/>
      <c r="GZD239" s="537"/>
      <c r="GZE239" s="537"/>
      <c r="GZF239" s="537"/>
      <c r="GZG239" s="537"/>
      <c r="GZH239" s="537"/>
      <c r="GZI239" s="537"/>
      <c r="GZJ239" s="537"/>
      <c r="GZK239" s="537"/>
      <c r="GZL239" s="537"/>
      <c r="GZM239" s="537"/>
      <c r="GZN239" s="537"/>
      <c r="GZO239" s="537"/>
      <c r="GZP239" s="537"/>
      <c r="GZQ239" s="537"/>
      <c r="GZR239" s="537"/>
      <c r="GZS239" s="537"/>
      <c r="GZT239" s="537"/>
      <c r="GZU239" s="537"/>
      <c r="GZV239" s="537"/>
      <c r="GZW239" s="537"/>
      <c r="GZX239" s="537"/>
      <c r="GZY239" s="537"/>
      <c r="GZZ239" s="537"/>
      <c r="HAA239" s="537"/>
      <c r="HAB239" s="537"/>
      <c r="HAC239" s="537"/>
      <c r="HAD239" s="537"/>
      <c r="HAE239" s="537"/>
      <c r="HAF239" s="537"/>
      <c r="HAG239" s="537"/>
      <c r="HAH239" s="537"/>
      <c r="HAI239" s="537"/>
      <c r="HAJ239" s="537"/>
      <c r="HAK239" s="537"/>
      <c r="HAL239" s="537"/>
      <c r="HAM239" s="537"/>
      <c r="HAN239" s="537"/>
      <c r="HAO239" s="537"/>
      <c r="HAP239" s="537"/>
      <c r="HAQ239" s="537"/>
      <c r="HAR239" s="537"/>
      <c r="HAS239" s="537"/>
      <c r="HAT239" s="537"/>
      <c r="HAU239" s="537"/>
      <c r="HAV239" s="537"/>
      <c r="HAW239" s="537"/>
      <c r="HAX239" s="537"/>
      <c r="HAY239" s="537"/>
      <c r="HAZ239" s="537"/>
      <c r="HBA239" s="537"/>
      <c r="HBB239" s="537"/>
      <c r="HBC239" s="537"/>
      <c r="HBD239" s="537"/>
      <c r="HBE239" s="537"/>
      <c r="HBF239" s="537"/>
      <c r="HBG239" s="537"/>
      <c r="HBH239" s="537"/>
      <c r="HBI239" s="537"/>
      <c r="HBJ239" s="537"/>
      <c r="HBK239" s="537"/>
      <c r="HBL239" s="537"/>
      <c r="HBM239" s="537"/>
      <c r="HBN239" s="537"/>
      <c r="HBO239" s="537"/>
      <c r="HBP239" s="537"/>
      <c r="HBQ239" s="537"/>
      <c r="HBR239" s="537"/>
      <c r="HBS239" s="537"/>
      <c r="HBT239" s="537"/>
      <c r="HBU239" s="537"/>
      <c r="HBV239" s="537"/>
      <c r="HBW239" s="537"/>
      <c r="HBX239" s="537"/>
      <c r="HBY239" s="537"/>
      <c r="HBZ239" s="537"/>
      <c r="HCA239" s="537"/>
      <c r="HCB239" s="537"/>
      <c r="HCC239" s="537"/>
      <c r="HCD239" s="537"/>
      <c r="HCE239" s="537"/>
      <c r="HCF239" s="537"/>
      <c r="HCG239" s="537"/>
      <c r="HCH239" s="537"/>
      <c r="HCI239" s="537"/>
      <c r="HCJ239" s="537"/>
      <c r="HCK239" s="537"/>
      <c r="HCL239" s="537"/>
      <c r="HCM239" s="537"/>
      <c r="HCN239" s="537"/>
      <c r="HCO239" s="537"/>
      <c r="HCP239" s="537"/>
      <c r="HCQ239" s="537"/>
      <c r="HCR239" s="537"/>
      <c r="HCS239" s="537"/>
      <c r="HCT239" s="537"/>
      <c r="HCU239" s="537"/>
      <c r="HCV239" s="537"/>
      <c r="HCW239" s="537"/>
      <c r="HCX239" s="537"/>
      <c r="HCY239" s="537"/>
      <c r="HCZ239" s="537"/>
      <c r="HDA239" s="537"/>
      <c r="HDB239" s="537"/>
      <c r="HDC239" s="537"/>
      <c r="HDD239" s="537"/>
      <c r="HDE239" s="537"/>
      <c r="HDF239" s="537"/>
      <c r="HDG239" s="537"/>
      <c r="HDH239" s="537"/>
      <c r="HDI239" s="537"/>
      <c r="HDJ239" s="537"/>
      <c r="HDK239" s="537"/>
      <c r="HDL239" s="537"/>
      <c r="HDM239" s="537"/>
      <c r="HDN239" s="537"/>
      <c r="HDO239" s="537"/>
      <c r="HDP239" s="537"/>
      <c r="HDQ239" s="537"/>
      <c r="HDR239" s="537"/>
      <c r="HDS239" s="537"/>
      <c r="HDT239" s="537"/>
      <c r="HDU239" s="537"/>
      <c r="HDV239" s="537"/>
      <c r="HDW239" s="537"/>
      <c r="HDX239" s="537"/>
      <c r="HDY239" s="537"/>
      <c r="HDZ239" s="537"/>
      <c r="HEA239" s="537"/>
      <c r="HEB239" s="537"/>
      <c r="HEC239" s="537"/>
      <c r="HED239" s="537"/>
      <c r="HEE239" s="537"/>
      <c r="HEF239" s="537"/>
      <c r="HEG239" s="537"/>
      <c r="HEH239" s="537"/>
      <c r="HEI239" s="537"/>
      <c r="HEJ239" s="537"/>
      <c r="HEK239" s="537"/>
      <c r="HEL239" s="537"/>
      <c r="HEM239" s="537"/>
      <c r="HEN239" s="537"/>
      <c r="HEO239" s="537"/>
      <c r="HEP239" s="537"/>
      <c r="HEQ239" s="537"/>
      <c r="HER239" s="537"/>
      <c r="HES239" s="537"/>
      <c r="HET239" s="537"/>
      <c r="HEU239" s="537"/>
      <c r="HEV239" s="537"/>
      <c r="HEW239" s="537"/>
      <c r="HEX239" s="537"/>
      <c r="HEY239" s="537"/>
      <c r="HEZ239" s="537"/>
      <c r="HFA239" s="537"/>
      <c r="HFB239" s="537"/>
      <c r="HFC239" s="537"/>
      <c r="HFD239" s="537"/>
      <c r="HFE239" s="537"/>
      <c r="HFF239" s="537"/>
      <c r="HFG239" s="537"/>
      <c r="HFH239" s="537"/>
      <c r="HFI239" s="537"/>
      <c r="HFJ239" s="537"/>
      <c r="HFK239" s="537"/>
      <c r="HFL239" s="537"/>
      <c r="HFM239" s="537"/>
      <c r="HFN239" s="537"/>
      <c r="HFO239" s="537"/>
      <c r="HFP239" s="537"/>
      <c r="HFQ239" s="537"/>
      <c r="HFR239" s="537"/>
      <c r="HFS239" s="537"/>
      <c r="HFT239" s="537"/>
      <c r="HFU239" s="537"/>
      <c r="HFV239" s="537"/>
      <c r="HFW239" s="537"/>
      <c r="HFX239" s="537"/>
      <c r="HFY239" s="537"/>
      <c r="HFZ239" s="537"/>
      <c r="HGA239" s="537"/>
      <c r="HGB239" s="537"/>
      <c r="HGC239" s="537"/>
      <c r="HGD239" s="537"/>
      <c r="HGE239" s="537"/>
      <c r="HGF239" s="537"/>
      <c r="HGG239" s="537"/>
      <c r="HGH239" s="537"/>
      <c r="HGI239" s="537"/>
      <c r="HGJ239" s="537"/>
      <c r="HGK239" s="537"/>
      <c r="HGL239" s="537"/>
      <c r="HGM239" s="537"/>
      <c r="HGN239" s="537"/>
      <c r="HGO239" s="537"/>
      <c r="HGP239" s="537"/>
      <c r="HGQ239" s="537"/>
      <c r="HGR239" s="537"/>
      <c r="HGS239" s="537"/>
      <c r="HGT239" s="537"/>
      <c r="HGU239" s="537"/>
      <c r="HGV239" s="537"/>
      <c r="HGW239" s="537"/>
      <c r="HGX239" s="537"/>
      <c r="HGY239" s="537"/>
      <c r="HGZ239" s="537"/>
      <c r="HHA239" s="537"/>
      <c r="HHB239" s="537"/>
      <c r="HHC239" s="537"/>
      <c r="HHD239" s="537"/>
      <c r="HHE239" s="537"/>
      <c r="HHF239" s="537"/>
      <c r="HHG239" s="537"/>
      <c r="HHH239" s="537"/>
      <c r="HHI239" s="537"/>
      <c r="HHJ239" s="537"/>
      <c r="HHK239" s="537"/>
      <c r="HHL239" s="537"/>
      <c r="HHM239" s="537"/>
      <c r="HHN239" s="537"/>
      <c r="HHO239" s="537"/>
      <c r="HHP239" s="537"/>
      <c r="HHQ239" s="537"/>
      <c r="HHR239" s="537"/>
      <c r="HHS239" s="537"/>
      <c r="HHT239" s="537"/>
      <c r="HHU239" s="537"/>
      <c r="HHV239" s="537"/>
      <c r="HHW239" s="537"/>
      <c r="HHX239" s="537"/>
      <c r="HHY239" s="537"/>
      <c r="HHZ239" s="537"/>
      <c r="HIA239" s="537"/>
      <c r="HIB239" s="537"/>
      <c r="HIC239" s="537"/>
      <c r="HID239" s="537"/>
      <c r="HIE239" s="537"/>
      <c r="HIF239" s="537"/>
      <c r="HIG239" s="537"/>
      <c r="HIH239" s="537"/>
      <c r="HII239" s="537"/>
      <c r="HIJ239" s="537"/>
      <c r="HIK239" s="537"/>
      <c r="HIL239" s="537"/>
      <c r="HIM239" s="537"/>
      <c r="HIN239" s="537"/>
      <c r="HIO239" s="537"/>
      <c r="HIP239" s="537"/>
      <c r="HIQ239" s="537"/>
      <c r="HIR239" s="537"/>
      <c r="HIS239" s="537"/>
      <c r="HIT239" s="537"/>
      <c r="HIU239" s="537"/>
      <c r="HIV239" s="537"/>
      <c r="HIW239" s="537"/>
      <c r="HIX239" s="537"/>
      <c r="HIY239" s="537"/>
      <c r="HIZ239" s="537"/>
      <c r="HJA239" s="537"/>
      <c r="HJB239" s="537"/>
      <c r="HJC239" s="537"/>
      <c r="HJD239" s="537"/>
      <c r="HJE239" s="537"/>
      <c r="HJF239" s="537"/>
      <c r="HJG239" s="537"/>
      <c r="HJH239" s="537"/>
      <c r="HJI239" s="537"/>
      <c r="HJJ239" s="537"/>
      <c r="HJK239" s="537"/>
      <c r="HJL239" s="537"/>
      <c r="HJM239" s="537"/>
      <c r="HJN239" s="537"/>
      <c r="HJO239" s="537"/>
      <c r="HJP239" s="537"/>
      <c r="HJQ239" s="537"/>
      <c r="HJR239" s="537"/>
      <c r="HJS239" s="537"/>
      <c r="HJT239" s="537"/>
      <c r="HJU239" s="537"/>
      <c r="HJV239" s="537"/>
      <c r="HJW239" s="537"/>
      <c r="HJX239" s="537"/>
      <c r="HJY239" s="537"/>
      <c r="HJZ239" s="537"/>
      <c r="HKA239" s="537"/>
      <c r="HKB239" s="537"/>
      <c r="HKC239" s="537"/>
      <c r="HKD239" s="537"/>
      <c r="HKE239" s="537"/>
      <c r="HKF239" s="537"/>
      <c r="HKG239" s="537"/>
      <c r="HKH239" s="537"/>
      <c r="HKI239" s="537"/>
      <c r="HKJ239" s="537"/>
      <c r="HKK239" s="537"/>
      <c r="HKL239" s="537"/>
      <c r="HKM239" s="537"/>
      <c r="HKN239" s="537"/>
      <c r="HKO239" s="537"/>
      <c r="HKP239" s="537"/>
      <c r="HKQ239" s="537"/>
      <c r="HKR239" s="537"/>
      <c r="HKS239" s="537"/>
      <c r="HKT239" s="537"/>
      <c r="HKU239" s="537"/>
      <c r="HKV239" s="537"/>
      <c r="HKW239" s="537"/>
      <c r="HKX239" s="537"/>
      <c r="HKY239" s="537"/>
      <c r="HKZ239" s="537"/>
      <c r="HLA239" s="537"/>
      <c r="HLB239" s="537"/>
      <c r="HLC239" s="537"/>
      <c r="HLD239" s="537"/>
      <c r="HLE239" s="537"/>
      <c r="HLF239" s="537"/>
      <c r="HLG239" s="537"/>
      <c r="HLH239" s="537"/>
      <c r="HLI239" s="537"/>
      <c r="HLJ239" s="537"/>
      <c r="HLK239" s="537"/>
      <c r="HLL239" s="537"/>
      <c r="HLM239" s="537"/>
      <c r="HLN239" s="537"/>
      <c r="HLO239" s="537"/>
      <c r="HLP239" s="537"/>
      <c r="HLQ239" s="537"/>
      <c r="HLR239" s="537"/>
      <c r="HLS239" s="537"/>
      <c r="HLT239" s="537"/>
      <c r="HLU239" s="537"/>
      <c r="HLV239" s="537"/>
      <c r="HLW239" s="537"/>
      <c r="HLX239" s="537"/>
      <c r="HLY239" s="537"/>
      <c r="HLZ239" s="537"/>
      <c r="HMA239" s="537"/>
      <c r="HMB239" s="537"/>
      <c r="HMC239" s="537"/>
      <c r="HMD239" s="537"/>
      <c r="HME239" s="537"/>
      <c r="HMF239" s="537"/>
      <c r="HMG239" s="537"/>
      <c r="HMH239" s="537"/>
      <c r="HMI239" s="537"/>
      <c r="HMJ239" s="537"/>
      <c r="HMK239" s="537"/>
      <c r="HML239" s="537"/>
      <c r="HMM239" s="537"/>
      <c r="HMN239" s="537"/>
      <c r="HMO239" s="537"/>
      <c r="HMP239" s="537"/>
      <c r="HMQ239" s="537"/>
      <c r="HMR239" s="537"/>
      <c r="HMS239" s="537"/>
      <c r="HMT239" s="537"/>
      <c r="HMU239" s="537"/>
      <c r="HMV239" s="537"/>
      <c r="HMW239" s="537"/>
      <c r="HMX239" s="537"/>
      <c r="HMY239" s="537"/>
      <c r="HMZ239" s="537"/>
      <c r="HNA239" s="537"/>
      <c r="HNB239" s="537"/>
      <c r="HNC239" s="537"/>
      <c r="HND239" s="537"/>
      <c r="HNE239" s="537"/>
      <c r="HNF239" s="537"/>
      <c r="HNG239" s="537"/>
      <c r="HNH239" s="537"/>
      <c r="HNI239" s="537"/>
      <c r="HNJ239" s="537"/>
      <c r="HNK239" s="537"/>
      <c r="HNL239" s="537"/>
      <c r="HNM239" s="537"/>
      <c r="HNN239" s="537"/>
      <c r="HNO239" s="537"/>
      <c r="HNP239" s="537"/>
      <c r="HNQ239" s="537"/>
      <c r="HNR239" s="537"/>
      <c r="HNS239" s="537"/>
      <c r="HNT239" s="537"/>
      <c r="HNU239" s="537"/>
      <c r="HNV239" s="537"/>
      <c r="HNW239" s="537"/>
      <c r="HNX239" s="537"/>
      <c r="HNY239" s="537"/>
      <c r="HNZ239" s="537"/>
      <c r="HOA239" s="537"/>
      <c r="HOB239" s="537"/>
      <c r="HOC239" s="537"/>
      <c r="HOD239" s="537"/>
      <c r="HOE239" s="537"/>
      <c r="HOF239" s="537"/>
      <c r="HOG239" s="537"/>
      <c r="HOH239" s="537"/>
      <c r="HOI239" s="537"/>
      <c r="HOJ239" s="537"/>
      <c r="HOK239" s="537"/>
      <c r="HOL239" s="537"/>
      <c r="HOM239" s="537"/>
      <c r="HON239" s="537"/>
      <c r="HOO239" s="537"/>
      <c r="HOP239" s="537"/>
      <c r="HOQ239" s="537"/>
      <c r="HOR239" s="537"/>
      <c r="HOS239" s="537"/>
      <c r="HOT239" s="537"/>
      <c r="HOU239" s="537"/>
      <c r="HOV239" s="537"/>
      <c r="HOW239" s="537"/>
      <c r="HOX239" s="537"/>
      <c r="HOY239" s="537"/>
      <c r="HOZ239" s="537"/>
      <c r="HPA239" s="537"/>
      <c r="HPB239" s="537"/>
      <c r="HPC239" s="537"/>
      <c r="HPD239" s="537"/>
      <c r="HPE239" s="537"/>
      <c r="HPF239" s="537"/>
      <c r="HPG239" s="537"/>
      <c r="HPH239" s="537"/>
      <c r="HPI239" s="537"/>
      <c r="HPJ239" s="537"/>
      <c r="HPK239" s="537"/>
      <c r="HPL239" s="537"/>
      <c r="HPM239" s="537"/>
      <c r="HPN239" s="537"/>
      <c r="HPO239" s="537"/>
      <c r="HPP239" s="537"/>
      <c r="HPQ239" s="537"/>
      <c r="HPR239" s="537"/>
      <c r="HPS239" s="537"/>
      <c r="HPT239" s="537"/>
      <c r="HPU239" s="537"/>
      <c r="HPV239" s="537"/>
      <c r="HPW239" s="537"/>
      <c r="HPX239" s="537"/>
      <c r="HPY239" s="537"/>
      <c r="HPZ239" s="537"/>
      <c r="HQA239" s="537"/>
      <c r="HQB239" s="537"/>
      <c r="HQC239" s="537"/>
      <c r="HQD239" s="537"/>
      <c r="HQE239" s="537"/>
      <c r="HQF239" s="537"/>
      <c r="HQG239" s="537"/>
      <c r="HQH239" s="537"/>
      <c r="HQI239" s="537"/>
      <c r="HQJ239" s="537"/>
      <c r="HQK239" s="537"/>
      <c r="HQL239" s="537"/>
      <c r="HQM239" s="537"/>
      <c r="HQN239" s="537"/>
      <c r="HQO239" s="537"/>
      <c r="HQP239" s="537"/>
      <c r="HQQ239" s="537"/>
      <c r="HQR239" s="537"/>
      <c r="HQS239" s="537"/>
      <c r="HQT239" s="537"/>
      <c r="HQU239" s="537"/>
      <c r="HQV239" s="537"/>
      <c r="HQW239" s="537"/>
      <c r="HQX239" s="537"/>
      <c r="HQY239" s="537"/>
      <c r="HQZ239" s="537"/>
      <c r="HRA239" s="537"/>
      <c r="HRB239" s="537"/>
      <c r="HRC239" s="537"/>
      <c r="HRD239" s="537"/>
      <c r="HRE239" s="537"/>
      <c r="HRF239" s="537"/>
      <c r="HRG239" s="537"/>
      <c r="HRH239" s="537"/>
      <c r="HRI239" s="537"/>
      <c r="HRJ239" s="537"/>
      <c r="HRK239" s="537"/>
      <c r="HRL239" s="537"/>
      <c r="HRM239" s="537"/>
      <c r="HRN239" s="537"/>
      <c r="HRO239" s="537"/>
      <c r="HRP239" s="537"/>
      <c r="HRQ239" s="537"/>
      <c r="HRR239" s="537"/>
      <c r="HRS239" s="537"/>
      <c r="HRT239" s="537"/>
      <c r="HRU239" s="537"/>
      <c r="HRV239" s="537"/>
      <c r="HRW239" s="537"/>
      <c r="HRX239" s="537"/>
      <c r="HRY239" s="537"/>
      <c r="HRZ239" s="537"/>
      <c r="HSA239" s="537"/>
      <c r="HSB239" s="537"/>
      <c r="HSC239" s="537"/>
      <c r="HSD239" s="537"/>
      <c r="HSE239" s="537"/>
      <c r="HSF239" s="537"/>
      <c r="HSG239" s="537"/>
      <c r="HSH239" s="537"/>
      <c r="HSI239" s="537"/>
      <c r="HSJ239" s="537"/>
      <c r="HSK239" s="537"/>
      <c r="HSL239" s="537"/>
      <c r="HSM239" s="537"/>
      <c r="HSN239" s="537"/>
      <c r="HSO239" s="537"/>
      <c r="HSP239" s="537"/>
      <c r="HSQ239" s="537"/>
      <c r="HSR239" s="537"/>
      <c r="HSS239" s="537"/>
      <c r="HST239" s="537"/>
      <c r="HSU239" s="537"/>
      <c r="HSV239" s="537"/>
      <c r="HSW239" s="537"/>
      <c r="HSX239" s="537"/>
      <c r="HSY239" s="537"/>
      <c r="HSZ239" s="537"/>
      <c r="HTA239" s="537"/>
      <c r="HTB239" s="537"/>
      <c r="HTC239" s="537"/>
      <c r="HTD239" s="537"/>
      <c r="HTE239" s="537"/>
      <c r="HTF239" s="537"/>
      <c r="HTG239" s="537"/>
      <c r="HTH239" s="537"/>
      <c r="HTI239" s="537"/>
      <c r="HTJ239" s="537"/>
      <c r="HTK239" s="537"/>
      <c r="HTL239" s="537"/>
      <c r="HTM239" s="537"/>
      <c r="HTN239" s="537"/>
      <c r="HTO239" s="537"/>
      <c r="HTP239" s="537"/>
      <c r="HTQ239" s="537"/>
      <c r="HTR239" s="537"/>
      <c r="HTS239" s="537"/>
      <c r="HTT239" s="537"/>
      <c r="HTU239" s="537"/>
      <c r="HTV239" s="537"/>
      <c r="HTW239" s="537"/>
      <c r="HTX239" s="537"/>
      <c r="HTY239" s="537"/>
      <c r="HTZ239" s="537"/>
      <c r="HUA239" s="537"/>
      <c r="HUB239" s="537"/>
      <c r="HUC239" s="537"/>
      <c r="HUD239" s="537"/>
      <c r="HUE239" s="537"/>
      <c r="HUF239" s="537"/>
      <c r="HUG239" s="537"/>
      <c r="HUH239" s="537"/>
      <c r="HUI239" s="537"/>
      <c r="HUJ239" s="537"/>
      <c r="HUK239" s="537"/>
      <c r="HUL239" s="537"/>
      <c r="HUM239" s="537"/>
      <c r="HUN239" s="537"/>
      <c r="HUO239" s="537"/>
      <c r="HUP239" s="537"/>
      <c r="HUQ239" s="537"/>
      <c r="HUR239" s="537"/>
      <c r="HUS239" s="537"/>
      <c r="HUT239" s="537"/>
      <c r="HUU239" s="537"/>
      <c r="HUV239" s="537"/>
      <c r="HUW239" s="537"/>
      <c r="HUX239" s="537"/>
      <c r="HUY239" s="537"/>
      <c r="HUZ239" s="537"/>
      <c r="HVA239" s="537"/>
      <c r="HVB239" s="537"/>
      <c r="HVC239" s="537"/>
      <c r="HVD239" s="537"/>
      <c r="HVE239" s="537"/>
      <c r="HVF239" s="537"/>
      <c r="HVG239" s="537"/>
      <c r="HVH239" s="537"/>
      <c r="HVI239" s="537"/>
      <c r="HVJ239" s="537"/>
      <c r="HVK239" s="537"/>
      <c r="HVL239" s="537"/>
      <c r="HVM239" s="537"/>
      <c r="HVN239" s="537"/>
      <c r="HVO239" s="537"/>
      <c r="HVP239" s="537"/>
      <c r="HVQ239" s="537"/>
      <c r="HVR239" s="537"/>
      <c r="HVS239" s="537"/>
      <c r="HVT239" s="537"/>
      <c r="HVU239" s="537"/>
      <c r="HVV239" s="537"/>
      <c r="HVW239" s="537"/>
      <c r="HVX239" s="537"/>
      <c r="HVY239" s="537"/>
      <c r="HVZ239" s="537"/>
      <c r="HWA239" s="537"/>
      <c r="HWB239" s="537"/>
      <c r="HWC239" s="537"/>
      <c r="HWD239" s="537"/>
      <c r="HWE239" s="537"/>
      <c r="HWF239" s="537"/>
      <c r="HWG239" s="537"/>
      <c r="HWH239" s="537"/>
      <c r="HWI239" s="537"/>
      <c r="HWJ239" s="537"/>
      <c r="HWK239" s="537"/>
      <c r="HWL239" s="537"/>
      <c r="HWM239" s="537"/>
      <c r="HWN239" s="537"/>
      <c r="HWO239" s="537"/>
      <c r="HWP239" s="537"/>
      <c r="HWQ239" s="537"/>
      <c r="HWR239" s="537"/>
      <c r="HWS239" s="537"/>
      <c r="HWT239" s="537"/>
      <c r="HWU239" s="537"/>
      <c r="HWV239" s="537"/>
      <c r="HWW239" s="537"/>
      <c r="HWX239" s="537"/>
      <c r="HWY239" s="537"/>
      <c r="HWZ239" s="537"/>
      <c r="HXA239" s="537"/>
      <c r="HXB239" s="537"/>
      <c r="HXC239" s="537"/>
      <c r="HXD239" s="537"/>
      <c r="HXE239" s="537"/>
      <c r="HXF239" s="537"/>
      <c r="HXG239" s="537"/>
      <c r="HXH239" s="537"/>
      <c r="HXI239" s="537"/>
      <c r="HXJ239" s="537"/>
      <c r="HXK239" s="537"/>
      <c r="HXL239" s="537"/>
      <c r="HXM239" s="537"/>
      <c r="HXN239" s="537"/>
      <c r="HXO239" s="537"/>
      <c r="HXP239" s="537"/>
      <c r="HXQ239" s="537"/>
      <c r="HXR239" s="537"/>
      <c r="HXS239" s="537"/>
      <c r="HXT239" s="537"/>
      <c r="HXU239" s="537"/>
      <c r="HXV239" s="537"/>
      <c r="HXW239" s="537"/>
      <c r="HXX239" s="537"/>
      <c r="HXY239" s="537"/>
      <c r="HXZ239" s="537"/>
      <c r="HYA239" s="537"/>
      <c r="HYB239" s="537"/>
      <c r="HYC239" s="537"/>
      <c r="HYD239" s="537"/>
      <c r="HYE239" s="537"/>
      <c r="HYF239" s="537"/>
      <c r="HYG239" s="537"/>
      <c r="HYH239" s="537"/>
      <c r="HYI239" s="537"/>
      <c r="HYJ239" s="537"/>
      <c r="HYK239" s="537"/>
      <c r="HYL239" s="537"/>
      <c r="HYM239" s="537"/>
      <c r="HYN239" s="537"/>
      <c r="HYO239" s="537"/>
      <c r="HYP239" s="537"/>
      <c r="HYQ239" s="537"/>
      <c r="HYR239" s="537"/>
      <c r="HYS239" s="537"/>
      <c r="HYT239" s="537"/>
      <c r="HYU239" s="537"/>
      <c r="HYV239" s="537"/>
      <c r="HYW239" s="537"/>
      <c r="HYX239" s="537"/>
      <c r="HYY239" s="537"/>
      <c r="HYZ239" s="537"/>
      <c r="HZA239" s="537"/>
      <c r="HZB239" s="537"/>
      <c r="HZC239" s="537"/>
      <c r="HZD239" s="537"/>
      <c r="HZE239" s="537"/>
      <c r="HZF239" s="537"/>
      <c r="HZG239" s="537"/>
      <c r="HZH239" s="537"/>
      <c r="HZI239" s="537"/>
      <c r="HZJ239" s="537"/>
      <c r="HZK239" s="537"/>
      <c r="HZL239" s="537"/>
      <c r="HZM239" s="537"/>
      <c r="HZN239" s="537"/>
      <c r="HZO239" s="537"/>
      <c r="HZP239" s="537"/>
      <c r="HZQ239" s="537"/>
      <c r="HZR239" s="537"/>
      <c r="HZS239" s="537"/>
      <c r="HZT239" s="537"/>
      <c r="HZU239" s="537"/>
      <c r="HZV239" s="537"/>
      <c r="HZW239" s="537"/>
      <c r="HZX239" s="537"/>
      <c r="HZY239" s="537"/>
      <c r="HZZ239" s="537"/>
      <c r="IAA239" s="537"/>
      <c r="IAB239" s="537"/>
      <c r="IAC239" s="537"/>
      <c r="IAD239" s="537"/>
      <c r="IAE239" s="537"/>
      <c r="IAF239" s="537"/>
      <c r="IAG239" s="537"/>
      <c r="IAH239" s="537"/>
      <c r="IAI239" s="537"/>
      <c r="IAJ239" s="537"/>
      <c r="IAK239" s="537"/>
      <c r="IAL239" s="537"/>
      <c r="IAM239" s="537"/>
      <c r="IAN239" s="537"/>
      <c r="IAO239" s="537"/>
      <c r="IAP239" s="537"/>
      <c r="IAQ239" s="537"/>
      <c r="IAR239" s="537"/>
      <c r="IAS239" s="537"/>
      <c r="IAT239" s="537"/>
      <c r="IAU239" s="537"/>
      <c r="IAV239" s="537"/>
      <c r="IAW239" s="537"/>
      <c r="IAX239" s="537"/>
      <c r="IAY239" s="537"/>
      <c r="IAZ239" s="537"/>
      <c r="IBA239" s="537"/>
      <c r="IBB239" s="537"/>
      <c r="IBC239" s="537"/>
      <c r="IBD239" s="537"/>
      <c r="IBE239" s="537"/>
      <c r="IBF239" s="537"/>
      <c r="IBG239" s="537"/>
      <c r="IBH239" s="537"/>
      <c r="IBI239" s="537"/>
      <c r="IBJ239" s="537"/>
      <c r="IBK239" s="537"/>
      <c r="IBL239" s="537"/>
      <c r="IBM239" s="537"/>
      <c r="IBN239" s="537"/>
      <c r="IBO239" s="537"/>
      <c r="IBP239" s="537"/>
      <c r="IBQ239" s="537"/>
      <c r="IBR239" s="537"/>
      <c r="IBS239" s="537"/>
      <c r="IBT239" s="537"/>
      <c r="IBU239" s="537"/>
      <c r="IBV239" s="537"/>
      <c r="IBW239" s="537"/>
      <c r="IBX239" s="537"/>
      <c r="IBY239" s="537"/>
      <c r="IBZ239" s="537"/>
      <c r="ICA239" s="537"/>
      <c r="ICB239" s="537"/>
      <c r="ICC239" s="537"/>
      <c r="ICD239" s="537"/>
      <c r="ICE239" s="537"/>
      <c r="ICF239" s="537"/>
      <c r="ICG239" s="537"/>
      <c r="ICH239" s="537"/>
      <c r="ICI239" s="537"/>
      <c r="ICJ239" s="537"/>
      <c r="ICK239" s="537"/>
      <c r="ICL239" s="537"/>
      <c r="ICM239" s="537"/>
      <c r="ICN239" s="537"/>
      <c r="ICO239" s="537"/>
      <c r="ICP239" s="537"/>
      <c r="ICQ239" s="537"/>
      <c r="ICR239" s="537"/>
      <c r="ICS239" s="537"/>
      <c r="ICT239" s="537"/>
      <c r="ICU239" s="537"/>
      <c r="ICV239" s="537"/>
      <c r="ICW239" s="537"/>
      <c r="ICX239" s="537"/>
      <c r="ICY239" s="537"/>
      <c r="ICZ239" s="537"/>
      <c r="IDA239" s="537"/>
      <c r="IDB239" s="537"/>
      <c r="IDC239" s="537"/>
      <c r="IDD239" s="537"/>
      <c r="IDE239" s="537"/>
      <c r="IDF239" s="537"/>
      <c r="IDG239" s="537"/>
      <c r="IDH239" s="537"/>
      <c r="IDI239" s="537"/>
      <c r="IDJ239" s="537"/>
      <c r="IDK239" s="537"/>
      <c r="IDL239" s="537"/>
      <c r="IDM239" s="537"/>
      <c r="IDN239" s="537"/>
      <c r="IDO239" s="537"/>
      <c r="IDP239" s="537"/>
      <c r="IDQ239" s="537"/>
      <c r="IDR239" s="537"/>
      <c r="IDS239" s="537"/>
      <c r="IDT239" s="537"/>
      <c r="IDU239" s="537"/>
      <c r="IDV239" s="537"/>
      <c r="IDW239" s="537"/>
      <c r="IDX239" s="537"/>
      <c r="IDY239" s="537"/>
      <c r="IDZ239" s="537"/>
      <c r="IEA239" s="537"/>
      <c r="IEB239" s="537"/>
      <c r="IEC239" s="537"/>
      <c r="IED239" s="537"/>
      <c r="IEE239" s="537"/>
      <c r="IEF239" s="537"/>
      <c r="IEG239" s="537"/>
      <c r="IEH239" s="537"/>
      <c r="IEI239" s="537"/>
      <c r="IEJ239" s="537"/>
      <c r="IEK239" s="537"/>
      <c r="IEL239" s="537"/>
      <c r="IEM239" s="537"/>
      <c r="IEN239" s="537"/>
      <c r="IEO239" s="537"/>
      <c r="IEP239" s="537"/>
      <c r="IEQ239" s="537"/>
      <c r="IER239" s="537"/>
      <c r="IES239" s="537"/>
      <c r="IET239" s="537"/>
      <c r="IEU239" s="537"/>
      <c r="IEV239" s="537"/>
      <c r="IEW239" s="537"/>
      <c r="IEX239" s="537"/>
      <c r="IEY239" s="537"/>
      <c r="IEZ239" s="537"/>
      <c r="IFA239" s="537"/>
      <c r="IFB239" s="537"/>
      <c r="IFC239" s="537"/>
      <c r="IFD239" s="537"/>
      <c r="IFE239" s="537"/>
      <c r="IFF239" s="537"/>
      <c r="IFG239" s="537"/>
      <c r="IFH239" s="537"/>
      <c r="IFI239" s="537"/>
      <c r="IFJ239" s="537"/>
      <c r="IFK239" s="537"/>
      <c r="IFL239" s="537"/>
      <c r="IFM239" s="537"/>
      <c r="IFN239" s="537"/>
      <c r="IFO239" s="537"/>
      <c r="IFP239" s="537"/>
      <c r="IFQ239" s="537"/>
      <c r="IFR239" s="537"/>
      <c r="IFS239" s="537"/>
      <c r="IFT239" s="537"/>
      <c r="IFU239" s="537"/>
      <c r="IFV239" s="537"/>
      <c r="IFW239" s="537"/>
      <c r="IFX239" s="537"/>
      <c r="IFY239" s="537"/>
      <c r="IFZ239" s="537"/>
      <c r="IGA239" s="537"/>
      <c r="IGB239" s="537"/>
      <c r="IGC239" s="537"/>
      <c r="IGD239" s="537"/>
      <c r="IGE239" s="537"/>
      <c r="IGF239" s="537"/>
      <c r="IGG239" s="537"/>
      <c r="IGH239" s="537"/>
      <c r="IGI239" s="537"/>
      <c r="IGJ239" s="537"/>
      <c r="IGK239" s="537"/>
      <c r="IGL239" s="537"/>
      <c r="IGM239" s="537"/>
      <c r="IGN239" s="537"/>
      <c r="IGO239" s="537"/>
      <c r="IGP239" s="537"/>
      <c r="IGQ239" s="537"/>
      <c r="IGR239" s="537"/>
      <c r="IGS239" s="537"/>
      <c r="IGT239" s="537"/>
      <c r="IGU239" s="537"/>
      <c r="IGV239" s="537"/>
      <c r="IGW239" s="537"/>
      <c r="IGX239" s="537"/>
      <c r="IGY239" s="537"/>
      <c r="IGZ239" s="537"/>
      <c r="IHA239" s="537"/>
      <c r="IHB239" s="537"/>
      <c r="IHC239" s="537"/>
      <c r="IHD239" s="537"/>
      <c r="IHE239" s="537"/>
      <c r="IHF239" s="537"/>
      <c r="IHG239" s="537"/>
      <c r="IHH239" s="537"/>
      <c r="IHI239" s="537"/>
      <c r="IHJ239" s="537"/>
      <c r="IHK239" s="537"/>
      <c r="IHL239" s="537"/>
      <c r="IHM239" s="537"/>
      <c r="IHN239" s="537"/>
      <c r="IHO239" s="537"/>
      <c r="IHP239" s="537"/>
      <c r="IHQ239" s="537"/>
      <c r="IHR239" s="537"/>
      <c r="IHS239" s="537"/>
      <c r="IHT239" s="537"/>
      <c r="IHU239" s="537"/>
      <c r="IHV239" s="537"/>
      <c r="IHW239" s="537"/>
      <c r="IHX239" s="537"/>
      <c r="IHY239" s="537"/>
      <c r="IHZ239" s="537"/>
      <c r="IIA239" s="537"/>
      <c r="IIB239" s="537"/>
      <c r="IIC239" s="537"/>
      <c r="IID239" s="537"/>
      <c r="IIE239" s="537"/>
      <c r="IIF239" s="537"/>
      <c r="IIG239" s="537"/>
      <c r="IIH239" s="537"/>
      <c r="III239" s="537"/>
      <c r="IIJ239" s="537"/>
      <c r="IIK239" s="537"/>
      <c r="IIL239" s="537"/>
      <c r="IIM239" s="537"/>
      <c r="IIN239" s="537"/>
      <c r="IIO239" s="537"/>
      <c r="IIP239" s="537"/>
      <c r="IIQ239" s="537"/>
      <c r="IIR239" s="537"/>
      <c r="IIS239" s="537"/>
      <c r="IIT239" s="537"/>
      <c r="IIU239" s="537"/>
      <c r="IIV239" s="537"/>
      <c r="IIW239" s="537"/>
      <c r="IIX239" s="537"/>
      <c r="IIY239" s="537"/>
      <c r="IIZ239" s="537"/>
      <c r="IJA239" s="537"/>
      <c r="IJB239" s="537"/>
      <c r="IJC239" s="537"/>
      <c r="IJD239" s="537"/>
      <c r="IJE239" s="537"/>
      <c r="IJF239" s="537"/>
      <c r="IJG239" s="537"/>
      <c r="IJH239" s="537"/>
      <c r="IJI239" s="537"/>
      <c r="IJJ239" s="537"/>
      <c r="IJK239" s="537"/>
      <c r="IJL239" s="537"/>
      <c r="IJM239" s="537"/>
      <c r="IJN239" s="537"/>
      <c r="IJO239" s="537"/>
      <c r="IJP239" s="537"/>
      <c r="IJQ239" s="537"/>
      <c r="IJR239" s="537"/>
      <c r="IJS239" s="537"/>
      <c r="IJT239" s="537"/>
      <c r="IJU239" s="537"/>
      <c r="IJV239" s="537"/>
      <c r="IJW239" s="537"/>
      <c r="IJX239" s="537"/>
      <c r="IJY239" s="537"/>
      <c r="IJZ239" s="537"/>
      <c r="IKA239" s="537"/>
      <c r="IKB239" s="537"/>
      <c r="IKC239" s="537"/>
      <c r="IKD239" s="537"/>
      <c r="IKE239" s="537"/>
      <c r="IKF239" s="537"/>
      <c r="IKG239" s="537"/>
      <c r="IKH239" s="537"/>
      <c r="IKI239" s="537"/>
      <c r="IKJ239" s="537"/>
      <c r="IKK239" s="537"/>
      <c r="IKL239" s="537"/>
      <c r="IKM239" s="537"/>
      <c r="IKN239" s="537"/>
      <c r="IKO239" s="537"/>
      <c r="IKP239" s="537"/>
      <c r="IKQ239" s="537"/>
      <c r="IKR239" s="537"/>
      <c r="IKS239" s="537"/>
      <c r="IKT239" s="537"/>
      <c r="IKU239" s="537"/>
      <c r="IKV239" s="537"/>
      <c r="IKW239" s="537"/>
      <c r="IKX239" s="537"/>
      <c r="IKY239" s="537"/>
      <c r="IKZ239" s="537"/>
      <c r="ILA239" s="537"/>
      <c r="ILB239" s="537"/>
      <c r="ILC239" s="537"/>
      <c r="ILD239" s="537"/>
      <c r="ILE239" s="537"/>
      <c r="ILF239" s="537"/>
      <c r="ILG239" s="537"/>
      <c r="ILH239" s="537"/>
      <c r="ILI239" s="537"/>
      <c r="ILJ239" s="537"/>
      <c r="ILK239" s="537"/>
      <c r="ILL239" s="537"/>
      <c r="ILM239" s="537"/>
      <c r="ILN239" s="537"/>
      <c r="ILO239" s="537"/>
      <c r="ILP239" s="537"/>
      <c r="ILQ239" s="537"/>
      <c r="ILR239" s="537"/>
      <c r="ILS239" s="537"/>
      <c r="ILT239" s="537"/>
      <c r="ILU239" s="537"/>
      <c r="ILV239" s="537"/>
      <c r="ILW239" s="537"/>
      <c r="ILX239" s="537"/>
      <c r="ILY239" s="537"/>
      <c r="ILZ239" s="537"/>
      <c r="IMA239" s="537"/>
      <c r="IMB239" s="537"/>
      <c r="IMC239" s="537"/>
      <c r="IMD239" s="537"/>
      <c r="IME239" s="537"/>
      <c r="IMF239" s="537"/>
      <c r="IMG239" s="537"/>
      <c r="IMH239" s="537"/>
      <c r="IMI239" s="537"/>
      <c r="IMJ239" s="537"/>
      <c r="IMK239" s="537"/>
      <c r="IML239" s="537"/>
      <c r="IMM239" s="537"/>
      <c r="IMN239" s="537"/>
      <c r="IMO239" s="537"/>
      <c r="IMP239" s="537"/>
      <c r="IMQ239" s="537"/>
      <c r="IMR239" s="537"/>
      <c r="IMS239" s="537"/>
      <c r="IMT239" s="537"/>
      <c r="IMU239" s="537"/>
      <c r="IMV239" s="537"/>
      <c r="IMW239" s="537"/>
      <c r="IMX239" s="537"/>
      <c r="IMY239" s="537"/>
      <c r="IMZ239" s="537"/>
      <c r="INA239" s="537"/>
      <c r="INB239" s="537"/>
      <c r="INC239" s="537"/>
      <c r="IND239" s="537"/>
      <c r="INE239" s="537"/>
      <c r="INF239" s="537"/>
      <c r="ING239" s="537"/>
      <c r="INH239" s="537"/>
      <c r="INI239" s="537"/>
      <c r="INJ239" s="537"/>
      <c r="INK239" s="537"/>
      <c r="INL239" s="537"/>
      <c r="INM239" s="537"/>
      <c r="INN239" s="537"/>
      <c r="INO239" s="537"/>
      <c r="INP239" s="537"/>
      <c r="INQ239" s="537"/>
      <c r="INR239" s="537"/>
      <c r="INS239" s="537"/>
      <c r="INT239" s="537"/>
      <c r="INU239" s="537"/>
      <c r="INV239" s="537"/>
      <c r="INW239" s="537"/>
      <c r="INX239" s="537"/>
      <c r="INY239" s="537"/>
      <c r="INZ239" s="537"/>
      <c r="IOA239" s="537"/>
      <c r="IOB239" s="537"/>
      <c r="IOC239" s="537"/>
      <c r="IOD239" s="537"/>
      <c r="IOE239" s="537"/>
      <c r="IOF239" s="537"/>
      <c r="IOG239" s="537"/>
      <c r="IOH239" s="537"/>
      <c r="IOI239" s="537"/>
      <c r="IOJ239" s="537"/>
      <c r="IOK239" s="537"/>
      <c r="IOL239" s="537"/>
      <c r="IOM239" s="537"/>
      <c r="ION239" s="537"/>
      <c r="IOO239" s="537"/>
      <c r="IOP239" s="537"/>
      <c r="IOQ239" s="537"/>
      <c r="IOR239" s="537"/>
      <c r="IOS239" s="537"/>
      <c r="IOT239" s="537"/>
      <c r="IOU239" s="537"/>
      <c r="IOV239" s="537"/>
      <c r="IOW239" s="537"/>
      <c r="IOX239" s="537"/>
      <c r="IOY239" s="537"/>
      <c r="IOZ239" s="537"/>
      <c r="IPA239" s="537"/>
      <c r="IPB239" s="537"/>
      <c r="IPC239" s="537"/>
      <c r="IPD239" s="537"/>
      <c r="IPE239" s="537"/>
      <c r="IPF239" s="537"/>
      <c r="IPG239" s="537"/>
      <c r="IPH239" s="537"/>
      <c r="IPI239" s="537"/>
      <c r="IPJ239" s="537"/>
      <c r="IPK239" s="537"/>
      <c r="IPL239" s="537"/>
      <c r="IPM239" s="537"/>
      <c r="IPN239" s="537"/>
      <c r="IPO239" s="537"/>
      <c r="IPP239" s="537"/>
      <c r="IPQ239" s="537"/>
      <c r="IPR239" s="537"/>
      <c r="IPS239" s="537"/>
      <c r="IPT239" s="537"/>
      <c r="IPU239" s="537"/>
      <c r="IPV239" s="537"/>
      <c r="IPW239" s="537"/>
      <c r="IPX239" s="537"/>
      <c r="IPY239" s="537"/>
      <c r="IPZ239" s="537"/>
      <c r="IQA239" s="537"/>
      <c r="IQB239" s="537"/>
      <c r="IQC239" s="537"/>
      <c r="IQD239" s="537"/>
      <c r="IQE239" s="537"/>
      <c r="IQF239" s="537"/>
      <c r="IQG239" s="537"/>
      <c r="IQH239" s="537"/>
      <c r="IQI239" s="537"/>
      <c r="IQJ239" s="537"/>
      <c r="IQK239" s="537"/>
      <c r="IQL239" s="537"/>
      <c r="IQM239" s="537"/>
      <c r="IQN239" s="537"/>
      <c r="IQO239" s="537"/>
      <c r="IQP239" s="537"/>
      <c r="IQQ239" s="537"/>
      <c r="IQR239" s="537"/>
      <c r="IQS239" s="537"/>
      <c r="IQT239" s="537"/>
      <c r="IQU239" s="537"/>
      <c r="IQV239" s="537"/>
      <c r="IQW239" s="537"/>
      <c r="IQX239" s="537"/>
      <c r="IQY239" s="537"/>
      <c r="IQZ239" s="537"/>
      <c r="IRA239" s="537"/>
      <c r="IRB239" s="537"/>
      <c r="IRC239" s="537"/>
      <c r="IRD239" s="537"/>
      <c r="IRE239" s="537"/>
      <c r="IRF239" s="537"/>
      <c r="IRG239" s="537"/>
      <c r="IRH239" s="537"/>
      <c r="IRI239" s="537"/>
      <c r="IRJ239" s="537"/>
      <c r="IRK239" s="537"/>
      <c r="IRL239" s="537"/>
      <c r="IRM239" s="537"/>
      <c r="IRN239" s="537"/>
      <c r="IRO239" s="537"/>
      <c r="IRP239" s="537"/>
      <c r="IRQ239" s="537"/>
      <c r="IRR239" s="537"/>
      <c r="IRS239" s="537"/>
      <c r="IRT239" s="537"/>
      <c r="IRU239" s="537"/>
      <c r="IRV239" s="537"/>
      <c r="IRW239" s="537"/>
      <c r="IRX239" s="537"/>
      <c r="IRY239" s="537"/>
      <c r="IRZ239" s="537"/>
      <c r="ISA239" s="537"/>
      <c r="ISB239" s="537"/>
      <c r="ISC239" s="537"/>
      <c r="ISD239" s="537"/>
      <c r="ISE239" s="537"/>
      <c r="ISF239" s="537"/>
      <c r="ISG239" s="537"/>
      <c r="ISH239" s="537"/>
      <c r="ISI239" s="537"/>
      <c r="ISJ239" s="537"/>
      <c r="ISK239" s="537"/>
      <c r="ISL239" s="537"/>
      <c r="ISM239" s="537"/>
      <c r="ISN239" s="537"/>
      <c r="ISO239" s="537"/>
      <c r="ISP239" s="537"/>
      <c r="ISQ239" s="537"/>
      <c r="ISR239" s="537"/>
      <c r="ISS239" s="537"/>
      <c r="IST239" s="537"/>
      <c r="ISU239" s="537"/>
      <c r="ISV239" s="537"/>
      <c r="ISW239" s="537"/>
      <c r="ISX239" s="537"/>
      <c r="ISY239" s="537"/>
      <c r="ISZ239" s="537"/>
      <c r="ITA239" s="537"/>
      <c r="ITB239" s="537"/>
      <c r="ITC239" s="537"/>
      <c r="ITD239" s="537"/>
      <c r="ITE239" s="537"/>
      <c r="ITF239" s="537"/>
      <c r="ITG239" s="537"/>
      <c r="ITH239" s="537"/>
      <c r="ITI239" s="537"/>
      <c r="ITJ239" s="537"/>
      <c r="ITK239" s="537"/>
      <c r="ITL239" s="537"/>
      <c r="ITM239" s="537"/>
      <c r="ITN239" s="537"/>
      <c r="ITO239" s="537"/>
      <c r="ITP239" s="537"/>
      <c r="ITQ239" s="537"/>
      <c r="ITR239" s="537"/>
      <c r="ITS239" s="537"/>
      <c r="ITT239" s="537"/>
      <c r="ITU239" s="537"/>
      <c r="ITV239" s="537"/>
      <c r="ITW239" s="537"/>
      <c r="ITX239" s="537"/>
      <c r="ITY239" s="537"/>
      <c r="ITZ239" s="537"/>
      <c r="IUA239" s="537"/>
      <c r="IUB239" s="537"/>
      <c r="IUC239" s="537"/>
      <c r="IUD239" s="537"/>
      <c r="IUE239" s="537"/>
      <c r="IUF239" s="537"/>
      <c r="IUG239" s="537"/>
      <c r="IUH239" s="537"/>
      <c r="IUI239" s="537"/>
      <c r="IUJ239" s="537"/>
      <c r="IUK239" s="537"/>
      <c r="IUL239" s="537"/>
      <c r="IUM239" s="537"/>
      <c r="IUN239" s="537"/>
      <c r="IUO239" s="537"/>
      <c r="IUP239" s="537"/>
      <c r="IUQ239" s="537"/>
      <c r="IUR239" s="537"/>
      <c r="IUS239" s="537"/>
      <c r="IUT239" s="537"/>
      <c r="IUU239" s="537"/>
      <c r="IUV239" s="537"/>
      <c r="IUW239" s="537"/>
      <c r="IUX239" s="537"/>
      <c r="IUY239" s="537"/>
      <c r="IUZ239" s="537"/>
      <c r="IVA239" s="537"/>
      <c r="IVB239" s="537"/>
      <c r="IVC239" s="537"/>
      <c r="IVD239" s="537"/>
      <c r="IVE239" s="537"/>
      <c r="IVF239" s="537"/>
      <c r="IVG239" s="537"/>
      <c r="IVH239" s="537"/>
      <c r="IVI239" s="537"/>
      <c r="IVJ239" s="537"/>
      <c r="IVK239" s="537"/>
      <c r="IVL239" s="537"/>
      <c r="IVM239" s="537"/>
      <c r="IVN239" s="537"/>
      <c r="IVO239" s="537"/>
      <c r="IVP239" s="537"/>
      <c r="IVQ239" s="537"/>
      <c r="IVR239" s="537"/>
      <c r="IVS239" s="537"/>
      <c r="IVT239" s="537"/>
      <c r="IVU239" s="537"/>
      <c r="IVV239" s="537"/>
      <c r="IVW239" s="537"/>
      <c r="IVX239" s="537"/>
      <c r="IVY239" s="537"/>
      <c r="IVZ239" s="537"/>
      <c r="IWA239" s="537"/>
      <c r="IWB239" s="537"/>
      <c r="IWC239" s="537"/>
      <c r="IWD239" s="537"/>
      <c r="IWE239" s="537"/>
      <c r="IWF239" s="537"/>
      <c r="IWG239" s="537"/>
      <c r="IWH239" s="537"/>
      <c r="IWI239" s="537"/>
      <c r="IWJ239" s="537"/>
      <c r="IWK239" s="537"/>
      <c r="IWL239" s="537"/>
      <c r="IWM239" s="537"/>
      <c r="IWN239" s="537"/>
      <c r="IWO239" s="537"/>
      <c r="IWP239" s="537"/>
      <c r="IWQ239" s="537"/>
      <c r="IWR239" s="537"/>
      <c r="IWS239" s="537"/>
      <c r="IWT239" s="537"/>
      <c r="IWU239" s="537"/>
      <c r="IWV239" s="537"/>
      <c r="IWW239" s="537"/>
      <c r="IWX239" s="537"/>
      <c r="IWY239" s="537"/>
      <c r="IWZ239" s="537"/>
      <c r="IXA239" s="537"/>
      <c r="IXB239" s="537"/>
      <c r="IXC239" s="537"/>
      <c r="IXD239" s="537"/>
      <c r="IXE239" s="537"/>
      <c r="IXF239" s="537"/>
      <c r="IXG239" s="537"/>
      <c r="IXH239" s="537"/>
      <c r="IXI239" s="537"/>
      <c r="IXJ239" s="537"/>
      <c r="IXK239" s="537"/>
      <c r="IXL239" s="537"/>
      <c r="IXM239" s="537"/>
      <c r="IXN239" s="537"/>
      <c r="IXO239" s="537"/>
      <c r="IXP239" s="537"/>
      <c r="IXQ239" s="537"/>
      <c r="IXR239" s="537"/>
      <c r="IXS239" s="537"/>
      <c r="IXT239" s="537"/>
      <c r="IXU239" s="537"/>
      <c r="IXV239" s="537"/>
      <c r="IXW239" s="537"/>
      <c r="IXX239" s="537"/>
      <c r="IXY239" s="537"/>
      <c r="IXZ239" s="537"/>
      <c r="IYA239" s="537"/>
      <c r="IYB239" s="537"/>
      <c r="IYC239" s="537"/>
      <c r="IYD239" s="537"/>
      <c r="IYE239" s="537"/>
      <c r="IYF239" s="537"/>
      <c r="IYG239" s="537"/>
      <c r="IYH239" s="537"/>
      <c r="IYI239" s="537"/>
      <c r="IYJ239" s="537"/>
      <c r="IYK239" s="537"/>
      <c r="IYL239" s="537"/>
      <c r="IYM239" s="537"/>
      <c r="IYN239" s="537"/>
      <c r="IYO239" s="537"/>
      <c r="IYP239" s="537"/>
      <c r="IYQ239" s="537"/>
      <c r="IYR239" s="537"/>
      <c r="IYS239" s="537"/>
      <c r="IYT239" s="537"/>
      <c r="IYU239" s="537"/>
      <c r="IYV239" s="537"/>
      <c r="IYW239" s="537"/>
      <c r="IYX239" s="537"/>
      <c r="IYY239" s="537"/>
      <c r="IYZ239" s="537"/>
      <c r="IZA239" s="537"/>
      <c r="IZB239" s="537"/>
      <c r="IZC239" s="537"/>
      <c r="IZD239" s="537"/>
      <c r="IZE239" s="537"/>
      <c r="IZF239" s="537"/>
      <c r="IZG239" s="537"/>
      <c r="IZH239" s="537"/>
      <c r="IZI239" s="537"/>
      <c r="IZJ239" s="537"/>
      <c r="IZK239" s="537"/>
      <c r="IZL239" s="537"/>
      <c r="IZM239" s="537"/>
      <c r="IZN239" s="537"/>
      <c r="IZO239" s="537"/>
      <c r="IZP239" s="537"/>
      <c r="IZQ239" s="537"/>
      <c r="IZR239" s="537"/>
      <c r="IZS239" s="537"/>
      <c r="IZT239" s="537"/>
      <c r="IZU239" s="537"/>
      <c r="IZV239" s="537"/>
      <c r="IZW239" s="537"/>
      <c r="IZX239" s="537"/>
      <c r="IZY239" s="537"/>
      <c r="IZZ239" s="537"/>
      <c r="JAA239" s="537"/>
      <c r="JAB239" s="537"/>
      <c r="JAC239" s="537"/>
      <c r="JAD239" s="537"/>
      <c r="JAE239" s="537"/>
      <c r="JAF239" s="537"/>
      <c r="JAG239" s="537"/>
      <c r="JAH239" s="537"/>
      <c r="JAI239" s="537"/>
      <c r="JAJ239" s="537"/>
      <c r="JAK239" s="537"/>
      <c r="JAL239" s="537"/>
      <c r="JAM239" s="537"/>
      <c r="JAN239" s="537"/>
      <c r="JAO239" s="537"/>
      <c r="JAP239" s="537"/>
      <c r="JAQ239" s="537"/>
      <c r="JAR239" s="537"/>
      <c r="JAS239" s="537"/>
      <c r="JAT239" s="537"/>
      <c r="JAU239" s="537"/>
      <c r="JAV239" s="537"/>
      <c r="JAW239" s="537"/>
      <c r="JAX239" s="537"/>
      <c r="JAY239" s="537"/>
      <c r="JAZ239" s="537"/>
      <c r="JBA239" s="537"/>
      <c r="JBB239" s="537"/>
      <c r="JBC239" s="537"/>
      <c r="JBD239" s="537"/>
      <c r="JBE239" s="537"/>
      <c r="JBF239" s="537"/>
      <c r="JBG239" s="537"/>
      <c r="JBH239" s="537"/>
      <c r="JBI239" s="537"/>
      <c r="JBJ239" s="537"/>
      <c r="JBK239" s="537"/>
      <c r="JBL239" s="537"/>
      <c r="JBM239" s="537"/>
      <c r="JBN239" s="537"/>
      <c r="JBO239" s="537"/>
      <c r="JBP239" s="537"/>
      <c r="JBQ239" s="537"/>
      <c r="JBR239" s="537"/>
      <c r="JBS239" s="537"/>
      <c r="JBT239" s="537"/>
      <c r="JBU239" s="537"/>
      <c r="JBV239" s="537"/>
      <c r="JBW239" s="537"/>
      <c r="JBX239" s="537"/>
      <c r="JBY239" s="537"/>
      <c r="JBZ239" s="537"/>
      <c r="JCA239" s="537"/>
      <c r="JCB239" s="537"/>
      <c r="JCC239" s="537"/>
      <c r="JCD239" s="537"/>
      <c r="JCE239" s="537"/>
      <c r="JCF239" s="537"/>
      <c r="JCG239" s="537"/>
      <c r="JCH239" s="537"/>
      <c r="JCI239" s="537"/>
      <c r="JCJ239" s="537"/>
      <c r="JCK239" s="537"/>
      <c r="JCL239" s="537"/>
      <c r="JCM239" s="537"/>
      <c r="JCN239" s="537"/>
      <c r="JCO239" s="537"/>
      <c r="JCP239" s="537"/>
      <c r="JCQ239" s="537"/>
      <c r="JCR239" s="537"/>
      <c r="JCS239" s="537"/>
      <c r="JCT239" s="537"/>
      <c r="JCU239" s="537"/>
      <c r="JCV239" s="537"/>
      <c r="JCW239" s="537"/>
      <c r="JCX239" s="537"/>
      <c r="JCY239" s="537"/>
      <c r="JCZ239" s="537"/>
      <c r="JDA239" s="537"/>
      <c r="JDB239" s="537"/>
      <c r="JDC239" s="537"/>
      <c r="JDD239" s="537"/>
      <c r="JDE239" s="537"/>
      <c r="JDF239" s="537"/>
      <c r="JDG239" s="537"/>
      <c r="JDH239" s="537"/>
      <c r="JDI239" s="537"/>
      <c r="JDJ239" s="537"/>
      <c r="JDK239" s="537"/>
      <c r="JDL239" s="537"/>
      <c r="JDM239" s="537"/>
      <c r="JDN239" s="537"/>
      <c r="JDO239" s="537"/>
      <c r="JDP239" s="537"/>
      <c r="JDQ239" s="537"/>
      <c r="JDR239" s="537"/>
      <c r="JDS239" s="537"/>
      <c r="JDT239" s="537"/>
      <c r="JDU239" s="537"/>
      <c r="JDV239" s="537"/>
      <c r="JDW239" s="537"/>
      <c r="JDX239" s="537"/>
      <c r="JDY239" s="537"/>
      <c r="JDZ239" s="537"/>
      <c r="JEA239" s="537"/>
      <c r="JEB239" s="537"/>
      <c r="JEC239" s="537"/>
      <c r="JED239" s="537"/>
      <c r="JEE239" s="537"/>
      <c r="JEF239" s="537"/>
      <c r="JEG239" s="537"/>
      <c r="JEH239" s="537"/>
      <c r="JEI239" s="537"/>
      <c r="JEJ239" s="537"/>
      <c r="JEK239" s="537"/>
      <c r="JEL239" s="537"/>
      <c r="JEM239" s="537"/>
      <c r="JEN239" s="537"/>
      <c r="JEO239" s="537"/>
      <c r="JEP239" s="537"/>
      <c r="JEQ239" s="537"/>
      <c r="JER239" s="537"/>
      <c r="JES239" s="537"/>
      <c r="JET239" s="537"/>
      <c r="JEU239" s="537"/>
      <c r="JEV239" s="537"/>
      <c r="JEW239" s="537"/>
      <c r="JEX239" s="537"/>
      <c r="JEY239" s="537"/>
      <c r="JEZ239" s="537"/>
      <c r="JFA239" s="537"/>
      <c r="JFB239" s="537"/>
      <c r="JFC239" s="537"/>
      <c r="JFD239" s="537"/>
      <c r="JFE239" s="537"/>
      <c r="JFF239" s="537"/>
      <c r="JFG239" s="537"/>
      <c r="JFH239" s="537"/>
      <c r="JFI239" s="537"/>
      <c r="JFJ239" s="537"/>
      <c r="JFK239" s="537"/>
      <c r="JFL239" s="537"/>
      <c r="JFM239" s="537"/>
      <c r="JFN239" s="537"/>
      <c r="JFO239" s="537"/>
      <c r="JFP239" s="537"/>
      <c r="JFQ239" s="537"/>
      <c r="JFR239" s="537"/>
      <c r="JFS239" s="537"/>
      <c r="JFT239" s="537"/>
      <c r="JFU239" s="537"/>
      <c r="JFV239" s="537"/>
      <c r="JFW239" s="537"/>
      <c r="JFX239" s="537"/>
      <c r="JFY239" s="537"/>
      <c r="JFZ239" s="537"/>
      <c r="JGA239" s="537"/>
      <c r="JGB239" s="537"/>
      <c r="JGC239" s="537"/>
      <c r="JGD239" s="537"/>
      <c r="JGE239" s="537"/>
      <c r="JGF239" s="537"/>
      <c r="JGG239" s="537"/>
      <c r="JGH239" s="537"/>
      <c r="JGI239" s="537"/>
      <c r="JGJ239" s="537"/>
      <c r="JGK239" s="537"/>
      <c r="JGL239" s="537"/>
      <c r="JGM239" s="537"/>
      <c r="JGN239" s="537"/>
      <c r="JGO239" s="537"/>
      <c r="JGP239" s="537"/>
      <c r="JGQ239" s="537"/>
      <c r="JGR239" s="537"/>
      <c r="JGS239" s="537"/>
      <c r="JGT239" s="537"/>
      <c r="JGU239" s="537"/>
      <c r="JGV239" s="537"/>
      <c r="JGW239" s="537"/>
      <c r="JGX239" s="537"/>
      <c r="JGY239" s="537"/>
      <c r="JGZ239" s="537"/>
      <c r="JHA239" s="537"/>
      <c r="JHB239" s="537"/>
      <c r="JHC239" s="537"/>
      <c r="JHD239" s="537"/>
      <c r="JHE239" s="537"/>
      <c r="JHF239" s="537"/>
      <c r="JHG239" s="537"/>
      <c r="JHH239" s="537"/>
      <c r="JHI239" s="537"/>
      <c r="JHJ239" s="537"/>
      <c r="JHK239" s="537"/>
      <c r="JHL239" s="537"/>
      <c r="JHM239" s="537"/>
      <c r="JHN239" s="537"/>
      <c r="JHO239" s="537"/>
      <c r="JHP239" s="537"/>
      <c r="JHQ239" s="537"/>
      <c r="JHR239" s="537"/>
      <c r="JHS239" s="537"/>
      <c r="JHT239" s="537"/>
      <c r="JHU239" s="537"/>
      <c r="JHV239" s="537"/>
      <c r="JHW239" s="537"/>
      <c r="JHX239" s="537"/>
      <c r="JHY239" s="537"/>
      <c r="JHZ239" s="537"/>
      <c r="JIA239" s="537"/>
      <c r="JIB239" s="537"/>
      <c r="JIC239" s="537"/>
      <c r="JID239" s="537"/>
      <c r="JIE239" s="537"/>
      <c r="JIF239" s="537"/>
      <c r="JIG239" s="537"/>
      <c r="JIH239" s="537"/>
      <c r="JII239" s="537"/>
      <c r="JIJ239" s="537"/>
      <c r="JIK239" s="537"/>
      <c r="JIL239" s="537"/>
      <c r="JIM239" s="537"/>
      <c r="JIN239" s="537"/>
      <c r="JIO239" s="537"/>
      <c r="JIP239" s="537"/>
      <c r="JIQ239" s="537"/>
      <c r="JIR239" s="537"/>
      <c r="JIS239" s="537"/>
      <c r="JIT239" s="537"/>
      <c r="JIU239" s="537"/>
      <c r="JIV239" s="537"/>
      <c r="JIW239" s="537"/>
      <c r="JIX239" s="537"/>
      <c r="JIY239" s="537"/>
      <c r="JIZ239" s="537"/>
      <c r="JJA239" s="537"/>
      <c r="JJB239" s="537"/>
      <c r="JJC239" s="537"/>
      <c r="JJD239" s="537"/>
      <c r="JJE239" s="537"/>
      <c r="JJF239" s="537"/>
      <c r="JJG239" s="537"/>
      <c r="JJH239" s="537"/>
      <c r="JJI239" s="537"/>
      <c r="JJJ239" s="537"/>
      <c r="JJK239" s="537"/>
      <c r="JJL239" s="537"/>
      <c r="JJM239" s="537"/>
      <c r="JJN239" s="537"/>
      <c r="JJO239" s="537"/>
      <c r="JJP239" s="537"/>
      <c r="JJQ239" s="537"/>
      <c r="JJR239" s="537"/>
      <c r="JJS239" s="537"/>
      <c r="JJT239" s="537"/>
      <c r="JJU239" s="537"/>
      <c r="JJV239" s="537"/>
      <c r="JJW239" s="537"/>
      <c r="JJX239" s="537"/>
      <c r="JJY239" s="537"/>
      <c r="JJZ239" s="537"/>
      <c r="JKA239" s="537"/>
      <c r="JKB239" s="537"/>
      <c r="JKC239" s="537"/>
      <c r="JKD239" s="537"/>
      <c r="JKE239" s="537"/>
      <c r="JKF239" s="537"/>
      <c r="JKG239" s="537"/>
      <c r="JKH239" s="537"/>
      <c r="JKI239" s="537"/>
      <c r="JKJ239" s="537"/>
      <c r="JKK239" s="537"/>
      <c r="JKL239" s="537"/>
      <c r="JKM239" s="537"/>
      <c r="JKN239" s="537"/>
      <c r="JKO239" s="537"/>
      <c r="JKP239" s="537"/>
      <c r="JKQ239" s="537"/>
      <c r="JKR239" s="537"/>
      <c r="JKS239" s="537"/>
      <c r="JKT239" s="537"/>
      <c r="JKU239" s="537"/>
      <c r="JKV239" s="537"/>
      <c r="JKW239" s="537"/>
      <c r="JKX239" s="537"/>
      <c r="JKY239" s="537"/>
      <c r="JKZ239" s="537"/>
      <c r="JLA239" s="537"/>
      <c r="JLB239" s="537"/>
      <c r="JLC239" s="537"/>
      <c r="JLD239" s="537"/>
      <c r="JLE239" s="537"/>
      <c r="JLF239" s="537"/>
      <c r="JLG239" s="537"/>
      <c r="JLH239" s="537"/>
      <c r="JLI239" s="537"/>
      <c r="JLJ239" s="537"/>
      <c r="JLK239" s="537"/>
      <c r="JLL239" s="537"/>
      <c r="JLM239" s="537"/>
      <c r="JLN239" s="537"/>
      <c r="JLO239" s="537"/>
      <c r="JLP239" s="537"/>
      <c r="JLQ239" s="537"/>
      <c r="JLR239" s="537"/>
      <c r="JLS239" s="537"/>
      <c r="JLT239" s="537"/>
      <c r="JLU239" s="537"/>
      <c r="JLV239" s="537"/>
      <c r="JLW239" s="537"/>
      <c r="JLX239" s="537"/>
      <c r="JLY239" s="537"/>
      <c r="JLZ239" s="537"/>
      <c r="JMA239" s="537"/>
      <c r="JMB239" s="537"/>
      <c r="JMC239" s="537"/>
      <c r="JMD239" s="537"/>
      <c r="JME239" s="537"/>
      <c r="JMF239" s="537"/>
      <c r="JMG239" s="537"/>
      <c r="JMH239" s="537"/>
      <c r="JMI239" s="537"/>
      <c r="JMJ239" s="537"/>
      <c r="JMK239" s="537"/>
      <c r="JML239" s="537"/>
      <c r="JMM239" s="537"/>
      <c r="JMN239" s="537"/>
      <c r="JMO239" s="537"/>
      <c r="JMP239" s="537"/>
      <c r="JMQ239" s="537"/>
      <c r="JMR239" s="537"/>
      <c r="JMS239" s="537"/>
      <c r="JMT239" s="537"/>
      <c r="JMU239" s="537"/>
      <c r="JMV239" s="537"/>
      <c r="JMW239" s="537"/>
      <c r="JMX239" s="537"/>
      <c r="JMY239" s="537"/>
      <c r="JMZ239" s="537"/>
      <c r="JNA239" s="537"/>
      <c r="JNB239" s="537"/>
      <c r="JNC239" s="537"/>
      <c r="JND239" s="537"/>
      <c r="JNE239" s="537"/>
      <c r="JNF239" s="537"/>
      <c r="JNG239" s="537"/>
      <c r="JNH239" s="537"/>
      <c r="JNI239" s="537"/>
      <c r="JNJ239" s="537"/>
      <c r="JNK239" s="537"/>
      <c r="JNL239" s="537"/>
      <c r="JNM239" s="537"/>
      <c r="JNN239" s="537"/>
      <c r="JNO239" s="537"/>
      <c r="JNP239" s="537"/>
      <c r="JNQ239" s="537"/>
      <c r="JNR239" s="537"/>
      <c r="JNS239" s="537"/>
      <c r="JNT239" s="537"/>
      <c r="JNU239" s="537"/>
      <c r="JNV239" s="537"/>
      <c r="JNW239" s="537"/>
      <c r="JNX239" s="537"/>
      <c r="JNY239" s="537"/>
      <c r="JNZ239" s="537"/>
      <c r="JOA239" s="537"/>
      <c r="JOB239" s="537"/>
      <c r="JOC239" s="537"/>
      <c r="JOD239" s="537"/>
      <c r="JOE239" s="537"/>
      <c r="JOF239" s="537"/>
      <c r="JOG239" s="537"/>
      <c r="JOH239" s="537"/>
      <c r="JOI239" s="537"/>
      <c r="JOJ239" s="537"/>
      <c r="JOK239" s="537"/>
      <c r="JOL239" s="537"/>
      <c r="JOM239" s="537"/>
      <c r="JON239" s="537"/>
      <c r="JOO239" s="537"/>
      <c r="JOP239" s="537"/>
      <c r="JOQ239" s="537"/>
      <c r="JOR239" s="537"/>
      <c r="JOS239" s="537"/>
      <c r="JOT239" s="537"/>
      <c r="JOU239" s="537"/>
      <c r="JOV239" s="537"/>
      <c r="JOW239" s="537"/>
      <c r="JOX239" s="537"/>
      <c r="JOY239" s="537"/>
      <c r="JOZ239" s="537"/>
      <c r="JPA239" s="537"/>
      <c r="JPB239" s="537"/>
      <c r="JPC239" s="537"/>
      <c r="JPD239" s="537"/>
      <c r="JPE239" s="537"/>
      <c r="JPF239" s="537"/>
      <c r="JPG239" s="537"/>
      <c r="JPH239" s="537"/>
      <c r="JPI239" s="537"/>
      <c r="JPJ239" s="537"/>
      <c r="JPK239" s="537"/>
      <c r="JPL239" s="537"/>
      <c r="JPM239" s="537"/>
      <c r="JPN239" s="537"/>
      <c r="JPO239" s="537"/>
      <c r="JPP239" s="537"/>
      <c r="JPQ239" s="537"/>
      <c r="JPR239" s="537"/>
      <c r="JPS239" s="537"/>
      <c r="JPT239" s="537"/>
      <c r="JPU239" s="537"/>
      <c r="JPV239" s="537"/>
      <c r="JPW239" s="537"/>
      <c r="JPX239" s="537"/>
      <c r="JPY239" s="537"/>
      <c r="JPZ239" s="537"/>
      <c r="JQA239" s="537"/>
      <c r="JQB239" s="537"/>
      <c r="JQC239" s="537"/>
      <c r="JQD239" s="537"/>
      <c r="JQE239" s="537"/>
      <c r="JQF239" s="537"/>
      <c r="JQG239" s="537"/>
      <c r="JQH239" s="537"/>
      <c r="JQI239" s="537"/>
      <c r="JQJ239" s="537"/>
      <c r="JQK239" s="537"/>
      <c r="JQL239" s="537"/>
      <c r="JQM239" s="537"/>
      <c r="JQN239" s="537"/>
      <c r="JQO239" s="537"/>
      <c r="JQP239" s="537"/>
      <c r="JQQ239" s="537"/>
      <c r="JQR239" s="537"/>
      <c r="JQS239" s="537"/>
      <c r="JQT239" s="537"/>
      <c r="JQU239" s="537"/>
      <c r="JQV239" s="537"/>
      <c r="JQW239" s="537"/>
      <c r="JQX239" s="537"/>
      <c r="JQY239" s="537"/>
      <c r="JQZ239" s="537"/>
      <c r="JRA239" s="537"/>
      <c r="JRB239" s="537"/>
      <c r="JRC239" s="537"/>
      <c r="JRD239" s="537"/>
      <c r="JRE239" s="537"/>
      <c r="JRF239" s="537"/>
      <c r="JRG239" s="537"/>
      <c r="JRH239" s="537"/>
      <c r="JRI239" s="537"/>
      <c r="JRJ239" s="537"/>
      <c r="JRK239" s="537"/>
      <c r="JRL239" s="537"/>
      <c r="JRM239" s="537"/>
      <c r="JRN239" s="537"/>
      <c r="JRO239" s="537"/>
      <c r="JRP239" s="537"/>
      <c r="JRQ239" s="537"/>
      <c r="JRR239" s="537"/>
      <c r="JRS239" s="537"/>
      <c r="JRT239" s="537"/>
      <c r="JRU239" s="537"/>
      <c r="JRV239" s="537"/>
      <c r="JRW239" s="537"/>
      <c r="JRX239" s="537"/>
      <c r="JRY239" s="537"/>
      <c r="JRZ239" s="537"/>
      <c r="JSA239" s="537"/>
      <c r="JSB239" s="537"/>
      <c r="JSC239" s="537"/>
      <c r="JSD239" s="537"/>
      <c r="JSE239" s="537"/>
      <c r="JSF239" s="537"/>
      <c r="JSG239" s="537"/>
      <c r="JSH239" s="537"/>
      <c r="JSI239" s="537"/>
      <c r="JSJ239" s="537"/>
      <c r="JSK239" s="537"/>
      <c r="JSL239" s="537"/>
      <c r="JSM239" s="537"/>
      <c r="JSN239" s="537"/>
      <c r="JSO239" s="537"/>
      <c r="JSP239" s="537"/>
      <c r="JSQ239" s="537"/>
      <c r="JSR239" s="537"/>
      <c r="JSS239" s="537"/>
      <c r="JST239" s="537"/>
      <c r="JSU239" s="537"/>
      <c r="JSV239" s="537"/>
      <c r="JSW239" s="537"/>
      <c r="JSX239" s="537"/>
      <c r="JSY239" s="537"/>
      <c r="JSZ239" s="537"/>
      <c r="JTA239" s="537"/>
      <c r="JTB239" s="537"/>
      <c r="JTC239" s="537"/>
      <c r="JTD239" s="537"/>
      <c r="JTE239" s="537"/>
      <c r="JTF239" s="537"/>
      <c r="JTG239" s="537"/>
      <c r="JTH239" s="537"/>
      <c r="JTI239" s="537"/>
      <c r="JTJ239" s="537"/>
      <c r="JTK239" s="537"/>
      <c r="JTL239" s="537"/>
      <c r="JTM239" s="537"/>
      <c r="JTN239" s="537"/>
      <c r="JTO239" s="537"/>
      <c r="JTP239" s="537"/>
      <c r="JTQ239" s="537"/>
      <c r="JTR239" s="537"/>
      <c r="JTS239" s="537"/>
      <c r="JTT239" s="537"/>
      <c r="JTU239" s="537"/>
      <c r="JTV239" s="537"/>
      <c r="JTW239" s="537"/>
      <c r="JTX239" s="537"/>
      <c r="JTY239" s="537"/>
      <c r="JTZ239" s="537"/>
      <c r="JUA239" s="537"/>
      <c r="JUB239" s="537"/>
      <c r="JUC239" s="537"/>
      <c r="JUD239" s="537"/>
      <c r="JUE239" s="537"/>
      <c r="JUF239" s="537"/>
      <c r="JUG239" s="537"/>
      <c r="JUH239" s="537"/>
      <c r="JUI239" s="537"/>
      <c r="JUJ239" s="537"/>
      <c r="JUK239" s="537"/>
      <c r="JUL239" s="537"/>
      <c r="JUM239" s="537"/>
      <c r="JUN239" s="537"/>
      <c r="JUO239" s="537"/>
      <c r="JUP239" s="537"/>
      <c r="JUQ239" s="537"/>
      <c r="JUR239" s="537"/>
      <c r="JUS239" s="537"/>
      <c r="JUT239" s="537"/>
      <c r="JUU239" s="537"/>
      <c r="JUV239" s="537"/>
      <c r="JUW239" s="537"/>
      <c r="JUX239" s="537"/>
      <c r="JUY239" s="537"/>
      <c r="JUZ239" s="537"/>
      <c r="JVA239" s="537"/>
      <c r="JVB239" s="537"/>
      <c r="JVC239" s="537"/>
      <c r="JVD239" s="537"/>
      <c r="JVE239" s="537"/>
      <c r="JVF239" s="537"/>
      <c r="JVG239" s="537"/>
      <c r="JVH239" s="537"/>
      <c r="JVI239" s="537"/>
      <c r="JVJ239" s="537"/>
      <c r="JVK239" s="537"/>
      <c r="JVL239" s="537"/>
      <c r="JVM239" s="537"/>
      <c r="JVN239" s="537"/>
      <c r="JVO239" s="537"/>
      <c r="JVP239" s="537"/>
      <c r="JVQ239" s="537"/>
      <c r="JVR239" s="537"/>
      <c r="JVS239" s="537"/>
      <c r="JVT239" s="537"/>
      <c r="JVU239" s="537"/>
      <c r="JVV239" s="537"/>
      <c r="JVW239" s="537"/>
      <c r="JVX239" s="537"/>
      <c r="JVY239" s="537"/>
      <c r="JVZ239" s="537"/>
      <c r="JWA239" s="537"/>
      <c r="JWB239" s="537"/>
      <c r="JWC239" s="537"/>
      <c r="JWD239" s="537"/>
      <c r="JWE239" s="537"/>
      <c r="JWF239" s="537"/>
      <c r="JWG239" s="537"/>
      <c r="JWH239" s="537"/>
      <c r="JWI239" s="537"/>
      <c r="JWJ239" s="537"/>
      <c r="JWK239" s="537"/>
      <c r="JWL239" s="537"/>
      <c r="JWM239" s="537"/>
      <c r="JWN239" s="537"/>
      <c r="JWO239" s="537"/>
      <c r="JWP239" s="537"/>
      <c r="JWQ239" s="537"/>
      <c r="JWR239" s="537"/>
      <c r="JWS239" s="537"/>
      <c r="JWT239" s="537"/>
      <c r="JWU239" s="537"/>
      <c r="JWV239" s="537"/>
      <c r="JWW239" s="537"/>
      <c r="JWX239" s="537"/>
      <c r="JWY239" s="537"/>
      <c r="JWZ239" s="537"/>
      <c r="JXA239" s="537"/>
      <c r="JXB239" s="537"/>
      <c r="JXC239" s="537"/>
      <c r="JXD239" s="537"/>
      <c r="JXE239" s="537"/>
      <c r="JXF239" s="537"/>
      <c r="JXG239" s="537"/>
      <c r="JXH239" s="537"/>
      <c r="JXI239" s="537"/>
      <c r="JXJ239" s="537"/>
      <c r="JXK239" s="537"/>
      <c r="JXL239" s="537"/>
      <c r="JXM239" s="537"/>
      <c r="JXN239" s="537"/>
      <c r="JXO239" s="537"/>
      <c r="JXP239" s="537"/>
      <c r="JXQ239" s="537"/>
      <c r="JXR239" s="537"/>
      <c r="JXS239" s="537"/>
      <c r="JXT239" s="537"/>
      <c r="JXU239" s="537"/>
      <c r="JXV239" s="537"/>
      <c r="JXW239" s="537"/>
      <c r="JXX239" s="537"/>
      <c r="JXY239" s="537"/>
      <c r="JXZ239" s="537"/>
      <c r="JYA239" s="537"/>
      <c r="JYB239" s="537"/>
      <c r="JYC239" s="537"/>
      <c r="JYD239" s="537"/>
      <c r="JYE239" s="537"/>
      <c r="JYF239" s="537"/>
      <c r="JYG239" s="537"/>
      <c r="JYH239" s="537"/>
      <c r="JYI239" s="537"/>
      <c r="JYJ239" s="537"/>
      <c r="JYK239" s="537"/>
      <c r="JYL239" s="537"/>
      <c r="JYM239" s="537"/>
      <c r="JYN239" s="537"/>
      <c r="JYO239" s="537"/>
      <c r="JYP239" s="537"/>
      <c r="JYQ239" s="537"/>
      <c r="JYR239" s="537"/>
      <c r="JYS239" s="537"/>
      <c r="JYT239" s="537"/>
      <c r="JYU239" s="537"/>
      <c r="JYV239" s="537"/>
      <c r="JYW239" s="537"/>
      <c r="JYX239" s="537"/>
      <c r="JYY239" s="537"/>
      <c r="JYZ239" s="537"/>
      <c r="JZA239" s="537"/>
      <c r="JZB239" s="537"/>
      <c r="JZC239" s="537"/>
      <c r="JZD239" s="537"/>
      <c r="JZE239" s="537"/>
      <c r="JZF239" s="537"/>
      <c r="JZG239" s="537"/>
      <c r="JZH239" s="537"/>
      <c r="JZI239" s="537"/>
      <c r="JZJ239" s="537"/>
      <c r="JZK239" s="537"/>
      <c r="JZL239" s="537"/>
      <c r="JZM239" s="537"/>
      <c r="JZN239" s="537"/>
      <c r="JZO239" s="537"/>
      <c r="JZP239" s="537"/>
      <c r="JZQ239" s="537"/>
      <c r="JZR239" s="537"/>
      <c r="JZS239" s="537"/>
      <c r="JZT239" s="537"/>
      <c r="JZU239" s="537"/>
      <c r="JZV239" s="537"/>
      <c r="JZW239" s="537"/>
      <c r="JZX239" s="537"/>
      <c r="JZY239" s="537"/>
      <c r="JZZ239" s="537"/>
      <c r="KAA239" s="537"/>
      <c r="KAB239" s="537"/>
      <c r="KAC239" s="537"/>
      <c r="KAD239" s="537"/>
      <c r="KAE239" s="537"/>
      <c r="KAF239" s="537"/>
      <c r="KAG239" s="537"/>
      <c r="KAH239" s="537"/>
      <c r="KAI239" s="537"/>
      <c r="KAJ239" s="537"/>
      <c r="KAK239" s="537"/>
      <c r="KAL239" s="537"/>
      <c r="KAM239" s="537"/>
      <c r="KAN239" s="537"/>
      <c r="KAO239" s="537"/>
      <c r="KAP239" s="537"/>
      <c r="KAQ239" s="537"/>
      <c r="KAR239" s="537"/>
      <c r="KAS239" s="537"/>
      <c r="KAT239" s="537"/>
      <c r="KAU239" s="537"/>
      <c r="KAV239" s="537"/>
      <c r="KAW239" s="537"/>
      <c r="KAX239" s="537"/>
      <c r="KAY239" s="537"/>
      <c r="KAZ239" s="537"/>
      <c r="KBA239" s="537"/>
      <c r="KBB239" s="537"/>
      <c r="KBC239" s="537"/>
      <c r="KBD239" s="537"/>
      <c r="KBE239" s="537"/>
      <c r="KBF239" s="537"/>
      <c r="KBG239" s="537"/>
      <c r="KBH239" s="537"/>
      <c r="KBI239" s="537"/>
      <c r="KBJ239" s="537"/>
      <c r="KBK239" s="537"/>
      <c r="KBL239" s="537"/>
      <c r="KBM239" s="537"/>
      <c r="KBN239" s="537"/>
      <c r="KBO239" s="537"/>
      <c r="KBP239" s="537"/>
      <c r="KBQ239" s="537"/>
      <c r="KBR239" s="537"/>
      <c r="KBS239" s="537"/>
      <c r="KBT239" s="537"/>
      <c r="KBU239" s="537"/>
      <c r="KBV239" s="537"/>
      <c r="KBW239" s="537"/>
      <c r="KBX239" s="537"/>
      <c r="KBY239" s="537"/>
      <c r="KBZ239" s="537"/>
      <c r="KCA239" s="537"/>
      <c r="KCB239" s="537"/>
      <c r="KCC239" s="537"/>
      <c r="KCD239" s="537"/>
      <c r="KCE239" s="537"/>
      <c r="KCF239" s="537"/>
      <c r="KCG239" s="537"/>
      <c r="KCH239" s="537"/>
      <c r="KCI239" s="537"/>
      <c r="KCJ239" s="537"/>
      <c r="KCK239" s="537"/>
      <c r="KCL239" s="537"/>
      <c r="KCM239" s="537"/>
      <c r="KCN239" s="537"/>
      <c r="KCO239" s="537"/>
      <c r="KCP239" s="537"/>
      <c r="KCQ239" s="537"/>
      <c r="KCR239" s="537"/>
      <c r="KCS239" s="537"/>
      <c r="KCT239" s="537"/>
      <c r="KCU239" s="537"/>
      <c r="KCV239" s="537"/>
      <c r="KCW239" s="537"/>
      <c r="KCX239" s="537"/>
      <c r="KCY239" s="537"/>
      <c r="KCZ239" s="537"/>
      <c r="KDA239" s="537"/>
      <c r="KDB239" s="537"/>
      <c r="KDC239" s="537"/>
      <c r="KDD239" s="537"/>
      <c r="KDE239" s="537"/>
      <c r="KDF239" s="537"/>
      <c r="KDG239" s="537"/>
      <c r="KDH239" s="537"/>
      <c r="KDI239" s="537"/>
      <c r="KDJ239" s="537"/>
      <c r="KDK239" s="537"/>
      <c r="KDL239" s="537"/>
      <c r="KDM239" s="537"/>
      <c r="KDN239" s="537"/>
      <c r="KDO239" s="537"/>
      <c r="KDP239" s="537"/>
      <c r="KDQ239" s="537"/>
      <c r="KDR239" s="537"/>
      <c r="KDS239" s="537"/>
      <c r="KDT239" s="537"/>
      <c r="KDU239" s="537"/>
      <c r="KDV239" s="537"/>
      <c r="KDW239" s="537"/>
      <c r="KDX239" s="537"/>
      <c r="KDY239" s="537"/>
      <c r="KDZ239" s="537"/>
      <c r="KEA239" s="537"/>
      <c r="KEB239" s="537"/>
      <c r="KEC239" s="537"/>
      <c r="KED239" s="537"/>
      <c r="KEE239" s="537"/>
      <c r="KEF239" s="537"/>
      <c r="KEG239" s="537"/>
      <c r="KEH239" s="537"/>
      <c r="KEI239" s="537"/>
      <c r="KEJ239" s="537"/>
      <c r="KEK239" s="537"/>
      <c r="KEL239" s="537"/>
      <c r="KEM239" s="537"/>
      <c r="KEN239" s="537"/>
      <c r="KEO239" s="537"/>
      <c r="KEP239" s="537"/>
      <c r="KEQ239" s="537"/>
      <c r="KER239" s="537"/>
      <c r="KES239" s="537"/>
      <c r="KET239" s="537"/>
      <c r="KEU239" s="537"/>
      <c r="KEV239" s="537"/>
      <c r="KEW239" s="537"/>
      <c r="KEX239" s="537"/>
      <c r="KEY239" s="537"/>
      <c r="KEZ239" s="537"/>
      <c r="KFA239" s="537"/>
      <c r="KFB239" s="537"/>
      <c r="KFC239" s="537"/>
      <c r="KFD239" s="537"/>
      <c r="KFE239" s="537"/>
      <c r="KFF239" s="537"/>
      <c r="KFG239" s="537"/>
      <c r="KFH239" s="537"/>
      <c r="KFI239" s="537"/>
      <c r="KFJ239" s="537"/>
      <c r="KFK239" s="537"/>
      <c r="KFL239" s="537"/>
      <c r="KFM239" s="537"/>
      <c r="KFN239" s="537"/>
      <c r="KFO239" s="537"/>
      <c r="KFP239" s="537"/>
      <c r="KFQ239" s="537"/>
      <c r="KFR239" s="537"/>
      <c r="KFS239" s="537"/>
      <c r="KFT239" s="537"/>
      <c r="KFU239" s="537"/>
      <c r="KFV239" s="537"/>
      <c r="KFW239" s="537"/>
      <c r="KFX239" s="537"/>
      <c r="KFY239" s="537"/>
      <c r="KFZ239" s="537"/>
      <c r="KGA239" s="537"/>
      <c r="KGB239" s="537"/>
      <c r="KGC239" s="537"/>
      <c r="KGD239" s="537"/>
      <c r="KGE239" s="537"/>
      <c r="KGF239" s="537"/>
      <c r="KGG239" s="537"/>
      <c r="KGH239" s="537"/>
      <c r="KGI239" s="537"/>
      <c r="KGJ239" s="537"/>
      <c r="KGK239" s="537"/>
      <c r="KGL239" s="537"/>
      <c r="KGM239" s="537"/>
      <c r="KGN239" s="537"/>
      <c r="KGO239" s="537"/>
      <c r="KGP239" s="537"/>
      <c r="KGQ239" s="537"/>
      <c r="KGR239" s="537"/>
      <c r="KGS239" s="537"/>
      <c r="KGT239" s="537"/>
      <c r="KGU239" s="537"/>
      <c r="KGV239" s="537"/>
      <c r="KGW239" s="537"/>
      <c r="KGX239" s="537"/>
      <c r="KGY239" s="537"/>
      <c r="KGZ239" s="537"/>
      <c r="KHA239" s="537"/>
      <c r="KHB239" s="537"/>
      <c r="KHC239" s="537"/>
      <c r="KHD239" s="537"/>
      <c r="KHE239" s="537"/>
      <c r="KHF239" s="537"/>
      <c r="KHG239" s="537"/>
      <c r="KHH239" s="537"/>
      <c r="KHI239" s="537"/>
      <c r="KHJ239" s="537"/>
      <c r="KHK239" s="537"/>
      <c r="KHL239" s="537"/>
      <c r="KHM239" s="537"/>
      <c r="KHN239" s="537"/>
      <c r="KHO239" s="537"/>
      <c r="KHP239" s="537"/>
      <c r="KHQ239" s="537"/>
      <c r="KHR239" s="537"/>
      <c r="KHS239" s="537"/>
      <c r="KHT239" s="537"/>
      <c r="KHU239" s="537"/>
      <c r="KHV239" s="537"/>
      <c r="KHW239" s="537"/>
      <c r="KHX239" s="537"/>
      <c r="KHY239" s="537"/>
      <c r="KHZ239" s="537"/>
      <c r="KIA239" s="537"/>
      <c r="KIB239" s="537"/>
      <c r="KIC239" s="537"/>
      <c r="KID239" s="537"/>
      <c r="KIE239" s="537"/>
      <c r="KIF239" s="537"/>
      <c r="KIG239" s="537"/>
      <c r="KIH239" s="537"/>
      <c r="KII239" s="537"/>
      <c r="KIJ239" s="537"/>
      <c r="KIK239" s="537"/>
      <c r="KIL239" s="537"/>
      <c r="KIM239" s="537"/>
      <c r="KIN239" s="537"/>
      <c r="KIO239" s="537"/>
      <c r="KIP239" s="537"/>
      <c r="KIQ239" s="537"/>
      <c r="KIR239" s="537"/>
      <c r="KIS239" s="537"/>
      <c r="KIT239" s="537"/>
      <c r="KIU239" s="537"/>
      <c r="KIV239" s="537"/>
      <c r="KIW239" s="537"/>
      <c r="KIX239" s="537"/>
      <c r="KIY239" s="537"/>
      <c r="KIZ239" s="537"/>
      <c r="KJA239" s="537"/>
      <c r="KJB239" s="537"/>
      <c r="KJC239" s="537"/>
      <c r="KJD239" s="537"/>
      <c r="KJE239" s="537"/>
      <c r="KJF239" s="537"/>
      <c r="KJG239" s="537"/>
      <c r="KJH239" s="537"/>
      <c r="KJI239" s="537"/>
      <c r="KJJ239" s="537"/>
      <c r="KJK239" s="537"/>
      <c r="KJL239" s="537"/>
      <c r="KJM239" s="537"/>
      <c r="KJN239" s="537"/>
      <c r="KJO239" s="537"/>
      <c r="KJP239" s="537"/>
      <c r="KJQ239" s="537"/>
      <c r="KJR239" s="537"/>
      <c r="KJS239" s="537"/>
      <c r="KJT239" s="537"/>
      <c r="KJU239" s="537"/>
      <c r="KJV239" s="537"/>
      <c r="KJW239" s="537"/>
      <c r="KJX239" s="537"/>
      <c r="KJY239" s="537"/>
      <c r="KJZ239" s="537"/>
      <c r="KKA239" s="537"/>
      <c r="KKB239" s="537"/>
      <c r="KKC239" s="537"/>
      <c r="KKD239" s="537"/>
      <c r="KKE239" s="537"/>
      <c r="KKF239" s="537"/>
      <c r="KKG239" s="537"/>
      <c r="KKH239" s="537"/>
      <c r="KKI239" s="537"/>
      <c r="KKJ239" s="537"/>
      <c r="KKK239" s="537"/>
      <c r="KKL239" s="537"/>
      <c r="KKM239" s="537"/>
      <c r="KKN239" s="537"/>
      <c r="KKO239" s="537"/>
      <c r="KKP239" s="537"/>
      <c r="KKQ239" s="537"/>
      <c r="KKR239" s="537"/>
      <c r="KKS239" s="537"/>
      <c r="KKT239" s="537"/>
      <c r="KKU239" s="537"/>
      <c r="KKV239" s="537"/>
      <c r="KKW239" s="537"/>
      <c r="KKX239" s="537"/>
      <c r="KKY239" s="537"/>
      <c r="KKZ239" s="537"/>
      <c r="KLA239" s="537"/>
      <c r="KLB239" s="537"/>
      <c r="KLC239" s="537"/>
      <c r="KLD239" s="537"/>
      <c r="KLE239" s="537"/>
      <c r="KLF239" s="537"/>
      <c r="KLG239" s="537"/>
      <c r="KLH239" s="537"/>
      <c r="KLI239" s="537"/>
      <c r="KLJ239" s="537"/>
      <c r="KLK239" s="537"/>
      <c r="KLL239" s="537"/>
      <c r="KLM239" s="537"/>
      <c r="KLN239" s="537"/>
      <c r="KLO239" s="537"/>
      <c r="KLP239" s="537"/>
      <c r="KLQ239" s="537"/>
      <c r="KLR239" s="537"/>
      <c r="KLS239" s="537"/>
      <c r="KLT239" s="537"/>
      <c r="KLU239" s="537"/>
      <c r="KLV239" s="537"/>
      <c r="KLW239" s="537"/>
      <c r="KLX239" s="537"/>
      <c r="KLY239" s="537"/>
      <c r="KLZ239" s="537"/>
      <c r="KMA239" s="537"/>
      <c r="KMB239" s="537"/>
      <c r="KMC239" s="537"/>
      <c r="KMD239" s="537"/>
      <c r="KME239" s="537"/>
      <c r="KMF239" s="537"/>
      <c r="KMG239" s="537"/>
      <c r="KMH239" s="537"/>
      <c r="KMI239" s="537"/>
      <c r="KMJ239" s="537"/>
      <c r="KMK239" s="537"/>
      <c r="KML239" s="537"/>
      <c r="KMM239" s="537"/>
      <c r="KMN239" s="537"/>
      <c r="KMO239" s="537"/>
      <c r="KMP239" s="537"/>
      <c r="KMQ239" s="537"/>
      <c r="KMR239" s="537"/>
      <c r="KMS239" s="537"/>
      <c r="KMT239" s="537"/>
      <c r="KMU239" s="537"/>
      <c r="KMV239" s="537"/>
      <c r="KMW239" s="537"/>
      <c r="KMX239" s="537"/>
      <c r="KMY239" s="537"/>
      <c r="KMZ239" s="537"/>
      <c r="KNA239" s="537"/>
      <c r="KNB239" s="537"/>
      <c r="KNC239" s="537"/>
      <c r="KND239" s="537"/>
      <c r="KNE239" s="537"/>
      <c r="KNF239" s="537"/>
      <c r="KNG239" s="537"/>
      <c r="KNH239" s="537"/>
      <c r="KNI239" s="537"/>
      <c r="KNJ239" s="537"/>
      <c r="KNK239" s="537"/>
      <c r="KNL239" s="537"/>
      <c r="KNM239" s="537"/>
      <c r="KNN239" s="537"/>
      <c r="KNO239" s="537"/>
      <c r="KNP239" s="537"/>
      <c r="KNQ239" s="537"/>
      <c r="KNR239" s="537"/>
      <c r="KNS239" s="537"/>
      <c r="KNT239" s="537"/>
      <c r="KNU239" s="537"/>
      <c r="KNV239" s="537"/>
      <c r="KNW239" s="537"/>
      <c r="KNX239" s="537"/>
      <c r="KNY239" s="537"/>
      <c r="KNZ239" s="537"/>
      <c r="KOA239" s="537"/>
      <c r="KOB239" s="537"/>
      <c r="KOC239" s="537"/>
      <c r="KOD239" s="537"/>
      <c r="KOE239" s="537"/>
      <c r="KOF239" s="537"/>
      <c r="KOG239" s="537"/>
      <c r="KOH239" s="537"/>
      <c r="KOI239" s="537"/>
      <c r="KOJ239" s="537"/>
      <c r="KOK239" s="537"/>
      <c r="KOL239" s="537"/>
      <c r="KOM239" s="537"/>
      <c r="KON239" s="537"/>
      <c r="KOO239" s="537"/>
      <c r="KOP239" s="537"/>
      <c r="KOQ239" s="537"/>
      <c r="KOR239" s="537"/>
      <c r="KOS239" s="537"/>
      <c r="KOT239" s="537"/>
      <c r="KOU239" s="537"/>
      <c r="KOV239" s="537"/>
      <c r="KOW239" s="537"/>
      <c r="KOX239" s="537"/>
      <c r="KOY239" s="537"/>
      <c r="KOZ239" s="537"/>
      <c r="KPA239" s="537"/>
      <c r="KPB239" s="537"/>
      <c r="KPC239" s="537"/>
      <c r="KPD239" s="537"/>
      <c r="KPE239" s="537"/>
      <c r="KPF239" s="537"/>
      <c r="KPG239" s="537"/>
      <c r="KPH239" s="537"/>
      <c r="KPI239" s="537"/>
      <c r="KPJ239" s="537"/>
      <c r="KPK239" s="537"/>
      <c r="KPL239" s="537"/>
      <c r="KPM239" s="537"/>
      <c r="KPN239" s="537"/>
      <c r="KPO239" s="537"/>
      <c r="KPP239" s="537"/>
      <c r="KPQ239" s="537"/>
      <c r="KPR239" s="537"/>
      <c r="KPS239" s="537"/>
      <c r="KPT239" s="537"/>
      <c r="KPU239" s="537"/>
      <c r="KPV239" s="537"/>
      <c r="KPW239" s="537"/>
      <c r="KPX239" s="537"/>
      <c r="KPY239" s="537"/>
      <c r="KPZ239" s="537"/>
      <c r="KQA239" s="537"/>
      <c r="KQB239" s="537"/>
      <c r="KQC239" s="537"/>
      <c r="KQD239" s="537"/>
      <c r="KQE239" s="537"/>
      <c r="KQF239" s="537"/>
      <c r="KQG239" s="537"/>
      <c r="KQH239" s="537"/>
      <c r="KQI239" s="537"/>
      <c r="KQJ239" s="537"/>
      <c r="KQK239" s="537"/>
      <c r="KQL239" s="537"/>
      <c r="KQM239" s="537"/>
      <c r="KQN239" s="537"/>
      <c r="KQO239" s="537"/>
      <c r="KQP239" s="537"/>
      <c r="KQQ239" s="537"/>
      <c r="KQR239" s="537"/>
      <c r="KQS239" s="537"/>
      <c r="KQT239" s="537"/>
      <c r="KQU239" s="537"/>
      <c r="KQV239" s="537"/>
      <c r="KQW239" s="537"/>
      <c r="KQX239" s="537"/>
      <c r="KQY239" s="537"/>
      <c r="KQZ239" s="537"/>
      <c r="KRA239" s="537"/>
      <c r="KRB239" s="537"/>
      <c r="KRC239" s="537"/>
      <c r="KRD239" s="537"/>
      <c r="KRE239" s="537"/>
      <c r="KRF239" s="537"/>
      <c r="KRG239" s="537"/>
      <c r="KRH239" s="537"/>
      <c r="KRI239" s="537"/>
      <c r="KRJ239" s="537"/>
      <c r="KRK239" s="537"/>
      <c r="KRL239" s="537"/>
      <c r="KRM239" s="537"/>
      <c r="KRN239" s="537"/>
      <c r="KRO239" s="537"/>
      <c r="KRP239" s="537"/>
      <c r="KRQ239" s="537"/>
      <c r="KRR239" s="537"/>
      <c r="KRS239" s="537"/>
      <c r="KRT239" s="537"/>
      <c r="KRU239" s="537"/>
      <c r="KRV239" s="537"/>
      <c r="KRW239" s="537"/>
      <c r="KRX239" s="537"/>
      <c r="KRY239" s="537"/>
      <c r="KRZ239" s="537"/>
      <c r="KSA239" s="537"/>
      <c r="KSB239" s="537"/>
      <c r="KSC239" s="537"/>
      <c r="KSD239" s="537"/>
      <c r="KSE239" s="537"/>
      <c r="KSF239" s="537"/>
      <c r="KSG239" s="537"/>
      <c r="KSH239" s="537"/>
      <c r="KSI239" s="537"/>
      <c r="KSJ239" s="537"/>
      <c r="KSK239" s="537"/>
      <c r="KSL239" s="537"/>
      <c r="KSM239" s="537"/>
      <c r="KSN239" s="537"/>
      <c r="KSO239" s="537"/>
      <c r="KSP239" s="537"/>
      <c r="KSQ239" s="537"/>
      <c r="KSR239" s="537"/>
      <c r="KSS239" s="537"/>
      <c r="KST239" s="537"/>
      <c r="KSU239" s="537"/>
      <c r="KSV239" s="537"/>
      <c r="KSW239" s="537"/>
      <c r="KSX239" s="537"/>
      <c r="KSY239" s="537"/>
      <c r="KSZ239" s="537"/>
      <c r="KTA239" s="537"/>
      <c r="KTB239" s="537"/>
      <c r="KTC239" s="537"/>
      <c r="KTD239" s="537"/>
      <c r="KTE239" s="537"/>
      <c r="KTF239" s="537"/>
      <c r="KTG239" s="537"/>
      <c r="KTH239" s="537"/>
      <c r="KTI239" s="537"/>
      <c r="KTJ239" s="537"/>
      <c r="KTK239" s="537"/>
      <c r="KTL239" s="537"/>
      <c r="KTM239" s="537"/>
      <c r="KTN239" s="537"/>
      <c r="KTO239" s="537"/>
      <c r="KTP239" s="537"/>
      <c r="KTQ239" s="537"/>
      <c r="KTR239" s="537"/>
      <c r="KTS239" s="537"/>
      <c r="KTT239" s="537"/>
      <c r="KTU239" s="537"/>
      <c r="KTV239" s="537"/>
      <c r="KTW239" s="537"/>
      <c r="KTX239" s="537"/>
      <c r="KTY239" s="537"/>
      <c r="KTZ239" s="537"/>
      <c r="KUA239" s="537"/>
      <c r="KUB239" s="537"/>
      <c r="KUC239" s="537"/>
      <c r="KUD239" s="537"/>
      <c r="KUE239" s="537"/>
      <c r="KUF239" s="537"/>
      <c r="KUG239" s="537"/>
      <c r="KUH239" s="537"/>
      <c r="KUI239" s="537"/>
      <c r="KUJ239" s="537"/>
      <c r="KUK239" s="537"/>
      <c r="KUL239" s="537"/>
      <c r="KUM239" s="537"/>
      <c r="KUN239" s="537"/>
      <c r="KUO239" s="537"/>
      <c r="KUP239" s="537"/>
      <c r="KUQ239" s="537"/>
      <c r="KUR239" s="537"/>
      <c r="KUS239" s="537"/>
      <c r="KUT239" s="537"/>
      <c r="KUU239" s="537"/>
      <c r="KUV239" s="537"/>
      <c r="KUW239" s="537"/>
      <c r="KUX239" s="537"/>
      <c r="KUY239" s="537"/>
      <c r="KUZ239" s="537"/>
      <c r="KVA239" s="537"/>
      <c r="KVB239" s="537"/>
      <c r="KVC239" s="537"/>
      <c r="KVD239" s="537"/>
      <c r="KVE239" s="537"/>
      <c r="KVF239" s="537"/>
      <c r="KVG239" s="537"/>
      <c r="KVH239" s="537"/>
      <c r="KVI239" s="537"/>
      <c r="KVJ239" s="537"/>
      <c r="KVK239" s="537"/>
      <c r="KVL239" s="537"/>
      <c r="KVM239" s="537"/>
      <c r="KVN239" s="537"/>
      <c r="KVO239" s="537"/>
      <c r="KVP239" s="537"/>
      <c r="KVQ239" s="537"/>
      <c r="KVR239" s="537"/>
      <c r="KVS239" s="537"/>
      <c r="KVT239" s="537"/>
      <c r="KVU239" s="537"/>
      <c r="KVV239" s="537"/>
      <c r="KVW239" s="537"/>
      <c r="KVX239" s="537"/>
      <c r="KVY239" s="537"/>
      <c r="KVZ239" s="537"/>
      <c r="KWA239" s="537"/>
      <c r="KWB239" s="537"/>
      <c r="KWC239" s="537"/>
      <c r="KWD239" s="537"/>
      <c r="KWE239" s="537"/>
      <c r="KWF239" s="537"/>
      <c r="KWG239" s="537"/>
      <c r="KWH239" s="537"/>
      <c r="KWI239" s="537"/>
      <c r="KWJ239" s="537"/>
      <c r="KWK239" s="537"/>
      <c r="KWL239" s="537"/>
      <c r="KWM239" s="537"/>
      <c r="KWN239" s="537"/>
      <c r="KWO239" s="537"/>
      <c r="KWP239" s="537"/>
      <c r="KWQ239" s="537"/>
      <c r="KWR239" s="537"/>
      <c r="KWS239" s="537"/>
      <c r="KWT239" s="537"/>
      <c r="KWU239" s="537"/>
      <c r="KWV239" s="537"/>
      <c r="KWW239" s="537"/>
      <c r="KWX239" s="537"/>
      <c r="KWY239" s="537"/>
      <c r="KWZ239" s="537"/>
      <c r="KXA239" s="537"/>
      <c r="KXB239" s="537"/>
      <c r="KXC239" s="537"/>
      <c r="KXD239" s="537"/>
      <c r="KXE239" s="537"/>
      <c r="KXF239" s="537"/>
      <c r="KXG239" s="537"/>
      <c r="KXH239" s="537"/>
      <c r="KXI239" s="537"/>
      <c r="KXJ239" s="537"/>
      <c r="KXK239" s="537"/>
      <c r="KXL239" s="537"/>
      <c r="KXM239" s="537"/>
      <c r="KXN239" s="537"/>
      <c r="KXO239" s="537"/>
      <c r="KXP239" s="537"/>
      <c r="KXQ239" s="537"/>
      <c r="KXR239" s="537"/>
      <c r="KXS239" s="537"/>
      <c r="KXT239" s="537"/>
      <c r="KXU239" s="537"/>
      <c r="KXV239" s="537"/>
      <c r="KXW239" s="537"/>
      <c r="KXX239" s="537"/>
      <c r="KXY239" s="537"/>
      <c r="KXZ239" s="537"/>
      <c r="KYA239" s="537"/>
      <c r="KYB239" s="537"/>
      <c r="KYC239" s="537"/>
      <c r="KYD239" s="537"/>
      <c r="KYE239" s="537"/>
      <c r="KYF239" s="537"/>
      <c r="KYG239" s="537"/>
      <c r="KYH239" s="537"/>
      <c r="KYI239" s="537"/>
      <c r="KYJ239" s="537"/>
      <c r="KYK239" s="537"/>
      <c r="KYL239" s="537"/>
      <c r="KYM239" s="537"/>
      <c r="KYN239" s="537"/>
      <c r="KYO239" s="537"/>
      <c r="KYP239" s="537"/>
      <c r="KYQ239" s="537"/>
      <c r="KYR239" s="537"/>
      <c r="KYS239" s="537"/>
      <c r="KYT239" s="537"/>
      <c r="KYU239" s="537"/>
      <c r="KYV239" s="537"/>
      <c r="KYW239" s="537"/>
      <c r="KYX239" s="537"/>
      <c r="KYY239" s="537"/>
      <c r="KYZ239" s="537"/>
      <c r="KZA239" s="537"/>
      <c r="KZB239" s="537"/>
      <c r="KZC239" s="537"/>
      <c r="KZD239" s="537"/>
      <c r="KZE239" s="537"/>
      <c r="KZF239" s="537"/>
      <c r="KZG239" s="537"/>
      <c r="KZH239" s="537"/>
      <c r="KZI239" s="537"/>
      <c r="KZJ239" s="537"/>
      <c r="KZK239" s="537"/>
      <c r="KZL239" s="537"/>
      <c r="KZM239" s="537"/>
      <c r="KZN239" s="537"/>
      <c r="KZO239" s="537"/>
      <c r="KZP239" s="537"/>
      <c r="KZQ239" s="537"/>
      <c r="KZR239" s="537"/>
      <c r="KZS239" s="537"/>
      <c r="KZT239" s="537"/>
      <c r="KZU239" s="537"/>
      <c r="KZV239" s="537"/>
      <c r="KZW239" s="537"/>
      <c r="KZX239" s="537"/>
      <c r="KZY239" s="537"/>
      <c r="KZZ239" s="537"/>
      <c r="LAA239" s="537"/>
      <c r="LAB239" s="537"/>
      <c r="LAC239" s="537"/>
      <c r="LAD239" s="537"/>
      <c r="LAE239" s="537"/>
      <c r="LAF239" s="537"/>
      <c r="LAG239" s="537"/>
      <c r="LAH239" s="537"/>
      <c r="LAI239" s="537"/>
      <c r="LAJ239" s="537"/>
      <c r="LAK239" s="537"/>
      <c r="LAL239" s="537"/>
      <c r="LAM239" s="537"/>
      <c r="LAN239" s="537"/>
      <c r="LAO239" s="537"/>
      <c r="LAP239" s="537"/>
      <c r="LAQ239" s="537"/>
      <c r="LAR239" s="537"/>
      <c r="LAS239" s="537"/>
      <c r="LAT239" s="537"/>
      <c r="LAU239" s="537"/>
      <c r="LAV239" s="537"/>
      <c r="LAW239" s="537"/>
      <c r="LAX239" s="537"/>
      <c r="LAY239" s="537"/>
      <c r="LAZ239" s="537"/>
      <c r="LBA239" s="537"/>
      <c r="LBB239" s="537"/>
      <c r="LBC239" s="537"/>
      <c r="LBD239" s="537"/>
      <c r="LBE239" s="537"/>
      <c r="LBF239" s="537"/>
      <c r="LBG239" s="537"/>
      <c r="LBH239" s="537"/>
      <c r="LBI239" s="537"/>
      <c r="LBJ239" s="537"/>
      <c r="LBK239" s="537"/>
      <c r="LBL239" s="537"/>
      <c r="LBM239" s="537"/>
      <c r="LBN239" s="537"/>
      <c r="LBO239" s="537"/>
      <c r="LBP239" s="537"/>
      <c r="LBQ239" s="537"/>
      <c r="LBR239" s="537"/>
      <c r="LBS239" s="537"/>
      <c r="LBT239" s="537"/>
      <c r="LBU239" s="537"/>
      <c r="LBV239" s="537"/>
      <c r="LBW239" s="537"/>
      <c r="LBX239" s="537"/>
      <c r="LBY239" s="537"/>
      <c r="LBZ239" s="537"/>
      <c r="LCA239" s="537"/>
      <c r="LCB239" s="537"/>
      <c r="LCC239" s="537"/>
      <c r="LCD239" s="537"/>
      <c r="LCE239" s="537"/>
      <c r="LCF239" s="537"/>
      <c r="LCG239" s="537"/>
      <c r="LCH239" s="537"/>
      <c r="LCI239" s="537"/>
      <c r="LCJ239" s="537"/>
      <c r="LCK239" s="537"/>
      <c r="LCL239" s="537"/>
      <c r="LCM239" s="537"/>
      <c r="LCN239" s="537"/>
      <c r="LCO239" s="537"/>
      <c r="LCP239" s="537"/>
      <c r="LCQ239" s="537"/>
      <c r="LCR239" s="537"/>
      <c r="LCS239" s="537"/>
      <c r="LCT239" s="537"/>
      <c r="LCU239" s="537"/>
      <c r="LCV239" s="537"/>
      <c r="LCW239" s="537"/>
      <c r="LCX239" s="537"/>
      <c r="LCY239" s="537"/>
      <c r="LCZ239" s="537"/>
      <c r="LDA239" s="537"/>
      <c r="LDB239" s="537"/>
      <c r="LDC239" s="537"/>
      <c r="LDD239" s="537"/>
      <c r="LDE239" s="537"/>
      <c r="LDF239" s="537"/>
      <c r="LDG239" s="537"/>
      <c r="LDH239" s="537"/>
      <c r="LDI239" s="537"/>
      <c r="LDJ239" s="537"/>
      <c r="LDK239" s="537"/>
      <c r="LDL239" s="537"/>
      <c r="LDM239" s="537"/>
      <c r="LDN239" s="537"/>
      <c r="LDO239" s="537"/>
      <c r="LDP239" s="537"/>
      <c r="LDQ239" s="537"/>
      <c r="LDR239" s="537"/>
      <c r="LDS239" s="537"/>
      <c r="LDT239" s="537"/>
      <c r="LDU239" s="537"/>
      <c r="LDV239" s="537"/>
      <c r="LDW239" s="537"/>
      <c r="LDX239" s="537"/>
      <c r="LDY239" s="537"/>
      <c r="LDZ239" s="537"/>
      <c r="LEA239" s="537"/>
      <c r="LEB239" s="537"/>
      <c r="LEC239" s="537"/>
      <c r="LED239" s="537"/>
      <c r="LEE239" s="537"/>
      <c r="LEF239" s="537"/>
      <c r="LEG239" s="537"/>
      <c r="LEH239" s="537"/>
      <c r="LEI239" s="537"/>
      <c r="LEJ239" s="537"/>
      <c r="LEK239" s="537"/>
      <c r="LEL239" s="537"/>
      <c r="LEM239" s="537"/>
      <c r="LEN239" s="537"/>
      <c r="LEO239" s="537"/>
      <c r="LEP239" s="537"/>
      <c r="LEQ239" s="537"/>
      <c r="LER239" s="537"/>
      <c r="LES239" s="537"/>
      <c r="LET239" s="537"/>
      <c r="LEU239" s="537"/>
      <c r="LEV239" s="537"/>
      <c r="LEW239" s="537"/>
      <c r="LEX239" s="537"/>
      <c r="LEY239" s="537"/>
      <c r="LEZ239" s="537"/>
      <c r="LFA239" s="537"/>
      <c r="LFB239" s="537"/>
      <c r="LFC239" s="537"/>
      <c r="LFD239" s="537"/>
      <c r="LFE239" s="537"/>
      <c r="LFF239" s="537"/>
      <c r="LFG239" s="537"/>
      <c r="LFH239" s="537"/>
      <c r="LFI239" s="537"/>
      <c r="LFJ239" s="537"/>
      <c r="LFK239" s="537"/>
      <c r="LFL239" s="537"/>
      <c r="LFM239" s="537"/>
      <c r="LFN239" s="537"/>
      <c r="LFO239" s="537"/>
      <c r="LFP239" s="537"/>
      <c r="LFQ239" s="537"/>
      <c r="LFR239" s="537"/>
      <c r="LFS239" s="537"/>
      <c r="LFT239" s="537"/>
      <c r="LFU239" s="537"/>
      <c r="LFV239" s="537"/>
      <c r="LFW239" s="537"/>
      <c r="LFX239" s="537"/>
      <c r="LFY239" s="537"/>
      <c r="LFZ239" s="537"/>
      <c r="LGA239" s="537"/>
      <c r="LGB239" s="537"/>
      <c r="LGC239" s="537"/>
      <c r="LGD239" s="537"/>
      <c r="LGE239" s="537"/>
      <c r="LGF239" s="537"/>
      <c r="LGG239" s="537"/>
      <c r="LGH239" s="537"/>
      <c r="LGI239" s="537"/>
      <c r="LGJ239" s="537"/>
      <c r="LGK239" s="537"/>
      <c r="LGL239" s="537"/>
      <c r="LGM239" s="537"/>
      <c r="LGN239" s="537"/>
      <c r="LGO239" s="537"/>
      <c r="LGP239" s="537"/>
      <c r="LGQ239" s="537"/>
      <c r="LGR239" s="537"/>
      <c r="LGS239" s="537"/>
      <c r="LGT239" s="537"/>
      <c r="LGU239" s="537"/>
      <c r="LGV239" s="537"/>
      <c r="LGW239" s="537"/>
      <c r="LGX239" s="537"/>
      <c r="LGY239" s="537"/>
      <c r="LGZ239" s="537"/>
      <c r="LHA239" s="537"/>
      <c r="LHB239" s="537"/>
      <c r="LHC239" s="537"/>
      <c r="LHD239" s="537"/>
      <c r="LHE239" s="537"/>
      <c r="LHF239" s="537"/>
      <c r="LHG239" s="537"/>
      <c r="LHH239" s="537"/>
      <c r="LHI239" s="537"/>
      <c r="LHJ239" s="537"/>
      <c r="LHK239" s="537"/>
      <c r="LHL239" s="537"/>
      <c r="LHM239" s="537"/>
      <c r="LHN239" s="537"/>
      <c r="LHO239" s="537"/>
      <c r="LHP239" s="537"/>
      <c r="LHQ239" s="537"/>
      <c r="LHR239" s="537"/>
      <c r="LHS239" s="537"/>
      <c r="LHT239" s="537"/>
      <c r="LHU239" s="537"/>
      <c r="LHV239" s="537"/>
      <c r="LHW239" s="537"/>
      <c r="LHX239" s="537"/>
      <c r="LHY239" s="537"/>
      <c r="LHZ239" s="537"/>
      <c r="LIA239" s="537"/>
      <c r="LIB239" s="537"/>
      <c r="LIC239" s="537"/>
      <c r="LID239" s="537"/>
      <c r="LIE239" s="537"/>
      <c r="LIF239" s="537"/>
      <c r="LIG239" s="537"/>
      <c r="LIH239" s="537"/>
      <c r="LII239" s="537"/>
      <c r="LIJ239" s="537"/>
      <c r="LIK239" s="537"/>
      <c r="LIL239" s="537"/>
      <c r="LIM239" s="537"/>
      <c r="LIN239" s="537"/>
      <c r="LIO239" s="537"/>
      <c r="LIP239" s="537"/>
      <c r="LIQ239" s="537"/>
      <c r="LIR239" s="537"/>
      <c r="LIS239" s="537"/>
      <c r="LIT239" s="537"/>
      <c r="LIU239" s="537"/>
      <c r="LIV239" s="537"/>
      <c r="LIW239" s="537"/>
      <c r="LIX239" s="537"/>
      <c r="LIY239" s="537"/>
      <c r="LIZ239" s="537"/>
      <c r="LJA239" s="537"/>
      <c r="LJB239" s="537"/>
      <c r="LJC239" s="537"/>
      <c r="LJD239" s="537"/>
      <c r="LJE239" s="537"/>
      <c r="LJF239" s="537"/>
      <c r="LJG239" s="537"/>
      <c r="LJH239" s="537"/>
      <c r="LJI239" s="537"/>
      <c r="LJJ239" s="537"/>
      <c r="LJK239" s="537"/>
      <c r="LJL239" s="537"/>
      <c r="LJM239" s="537"/>
      <c r="LJN239" s="537"/>
      <c r="LJO239" s="537"/>
      <c r="LJP239" s="537"/>
      <c r="LJQ239" s="537"/>
      <c r="LJR239" s="537"/>
      <c r="LJS239" s="537"/>
      <c r="LJT239" s="537"/>
      <c r="LJU239" s="537"/>
      <c r="LJV239" s="537"/>
      <c r="LJW239" s="537"/>
      <c r="LJX239" s="537"/>
      <c r="LJY239" s="537"/>
      <c r="LJZ239" s="537"/>
      <c r="LKA239" s="537"/>
      <c r="LKB239" s="537"/>
      <c r="LKC239" s="537"/>
      <c r="LKD239" s="537"/>
      <c r="LKE239" s="537"/>
      <c r="LKF239" s="537"/>
      <c r="LKG239" s="537"/>
      <c r="LKH239" s="537"/>
      <c r="LKI239" s="537"/>
      <c r="LKJ239" s="537"/>
      <c r="LKK239" s="537"/>
      <c r="LKL239" s="537"/>
      <c r="LKM239" s="537"/>
      <c r="LKN239" s="537"/>
      <c r="LKO239" s="537"/>
      <c r="LKP239" s="537"/>
      <c r="LKQ239" s="537"/>
      <c r="LKR239" s="537"/>
      <c r="LKS239" s="537"/>
      <c r="LKT239" s="537"/>
      <c r="LKU239" s="537"/>
      <c r="LKV239" s="537"/>
      <c r="LKW239" s="537"/>
      <c r="LKX239" s="537"/>
      <c r="LKY239" s="537"/>
      <c r="LKZ239" s="537"/>
      <c r="LLA239" s="537"/>
      <c r="LLB239" s="537"/>
      <c r="LLC239" s="537"/>
      <c r="LLD239" s="537"/>
      <c r="LLE239" s="537"/>
      <c r="LLF239" s="537"/>
      <c r="LLG239" s="537"/>
      <c r="LLH239" s="537"/>
      <c r="LLI239" s="537"/>
      <c r="LLJ239" s="537"/>
      <c r="LLK239" s="537"/>
      <c r="LLL239" s="537"/>
      <c r="LLM239" s="537"/>
      <c r="LLN239" s="537"/>
      <c r="LLO239" s="537"/>
      <c r="LLP239" s="537"/>
      <c r="LLQ239" s="537"/>
      <c r="LLR239" s="537"/>
      <c r="LLS239" s="537"/>
      <c r="LLT239" s="537"/>
      <c r="LLU239" s="537"/>
      <c r="LLV239" s="537"/>
      <c r="LLW239" s="537"/>
      <c r="LLX239" s="537"/>
      <c r="LLY239" s="537"/>
      <c r="LLZ239" s="537"/>
      <c r="LMA239" s="537"/>
      <c r="LMB239" s="537"/>
      <c r="LMC239" s="537"/>
      <c r="LMD239" s="537"/>
      <c r="LME239" s="537"/>
      <c r="LMF239" s="537"/>
      <c r="LMG239" s="537"/>
      <c r="LMH239" s="537"/>
      <c r="LMI239" s="537"/>
      <c r="LMJ239" s="537"/>
      <c r="LMK239" s="537"/>
      <c r="LML239" s="537"/>
      <c r="LMM239" s="537"/>
      <c r="LMN239" s="537"/>
      <c r="LMO239" s="537"/>
      <c r="LMP239" s="537"/>
      <c r="LMQ239" s="537"/>
      <c r="LMR239" s="537"/>
      <c r="LMS239" s="537"/>
      <c r="LMT239" s="537"/>
      <c r="LMU239" s="537"/>
      <c r="LMV239" s="537"/>
      <c r="LMW239" s="537"/>
      <c r="LMX239" s="537"/>
      <c r="LMY239" s="537"/>
      <c r="LMZ239" s="537"/>
      <c r="LNA239" s="537"/>
      <c r="LNB239" s="537"/>
      <c r="LNC239" s="537"/>
      <c r="LND239" s="537"/>
      <c r="LNE239" s="537"/>
      <c r="LNF239" s="537"/>
      <c r="LNG239" s="537"/>
      <c r="LNH239" s="537"/>
      <c r="LNI239" s="537"/>
      <c r="LNJ239" s="537"/>
      <c r="LNK239" s="537"/>
      <c r="LNL239" s="537"/>
      <c r="LNM239" s="537"/>
      <c r="LNN239" s="537"/>
      <c r="LNO239" s="537"/>
      <c r="LNP239" s="537"/>
      <c r="LNQ239" s="537"/>
      <c r="LNR239" s="537"/>
      <c r="LNS239" s="537"/>
      <c r="LNT239" s="537"/>
      <c r="LNU239" s="537"/>
      <c r="LNV239" s="537"/>
      <c r="LNW239" s="537"/>
      <c r="LNX239" s="537"/>
      <c r="LNY239" s="537"/>
      <c r="LNZ239" s="537"/>
      <c r="LOA239" s="537"/>
      <c r="LOB239" s="537"/>
      <c r="LOC239" s="537"/>
      <c r="LOD239" s="537"/>
      <c r="LOE239" s="537"/>
      <c r="LOF239" s="537"/>
      <c r="LOG239" s="537"/>
      <c r="LOH239" s="537"/>
      <c r="LOI239" s="537"/>
      <c r="LOJ239" s="537"/>
      <c r="LOK239" s="537"/>
      <c r="LOL239" s="537"/>
      <c r="LOM239" s="537"/>
      <c r="LON239" s="537"/>
      <c r="LOO239" s="537"/>
      <c r="LOP239" s="537"/>
      <c r="LOQ239" s="537"/>
      <c r="LOR239" s="537"/>
      <c r="LOS239" s="537"/>
      <c r="LOT239" s="537"/>
      <c r="LOU239" s="537"/>
      <c r="LOV239" s="537"/>
      <c r="LOW239" s="537"/>
      <c r="LOX239" s="537"/>
      <c r="LOY239" s="537"/>
      <c r="LOZ239" s="537"/>
      <c r="LPA239" s="537"/>
      <c r="LPB239" s="537"/>
      <c r="LPC239" s="537"/>
      <c r="LPD239" s="537"/>
      <c r="LPE239" s="537"/>
      <c r="LPF239" s="537"/>
      <c r="LPG239" s="537"/>
      <c r="LPH239" s="537"/>
      <c r="LPI239" s="537"/>
      <c r="LPJ239" s="537"/>
      <c r="LPK239" s="537"/>
      <c r="LPL239" s="537"/>
      <c r="LPM239" s="537"/>
      <c r="LPN239" s="537"/>
      <c r="LPO239" s="537"/>
      <c r="LPP239" s="537"/>
      <c r="LPQ239" s="537"/>
      <c r="LPR239" s="537"/>
      <c r="LPS239" s="537"/>
      <c r="LPT239" s="537"/>
      <c r="LPU239" s="537"/>
      <c r="LPV239" s="537"/>
      <c r="LPW239" s="537"/>
      <c r="LPX239" s="537"/>
      <c r="LPY239" s="537"/>
      <c r="LPZ239" s="537"/>
      <c r="LQA239" s="537"/>
      <c r="LQB239" s="537"/>
      <c r="LQC239" s="537"/>
      <c r="LQD239" s="537"/>
      <c r="LQE239" s="537"/>
      <c r="LQF239" s="537"/>
      <c r="LQG239" s="537"/>
      <c r="LQH239" s="537"/>
      <c r="LQI239" s="537"/>
      <c r="LQJ239" s="537"/>
      <c r="LQK239" s="537"/>
      <c r="LQL239" s="537"/>
      <c r="LQM239" s="537"/>
      <c r="LQN239" s="537"/>
      <c r="LQO239" s="537"/>
      <c r="LQP239" s="537"/>
      <c r="LQQ239" s="537"/>
      <c r="LQR239" s="537"/>
      <c r="LQS239" s="537"/>
      <c r="LQT239" s="537"/>
      <c r="LQU239" s="537"/>
      <c r="LQV239" s="537"/>
      <c r="LQW239" s="537"/>
      <c r="LQX239" s="537"/>
      <c r="LQY239" s="537"/>
      <c r="LQZ239" s="537"/>
      <c r="LRA239" s="537"/>
      <c r="LRB239" s="537"/>
      <c r="LRC239" s="537"/>
      <c r="LRD239" s="537"/>
      <c r="LRE239" s="537"/>
      <c r="LRF239" s="537"/>
      <c r="LRG239" s="537"/>
      <c r="LRH239" s="537"/>
      <c r="LRI239" s="537"/>
      <c r="LRJ239" s="537"/>
      <c r="LRK239" s="537"/>
      <c r="LRL239" s="537"/>
      <c r="LRM239" s="537"/>
      <c r="LRN239" s="537"/>
      <c r="LRO239" s="537"/>
      <c r="LRP239" s="537"/>
      <c r="LRQ239" s="537"/>
      <c r="LRR239" s="537"/>
      <c r="LRS239" s="537"/>
      <c r="LRT239" s="537"/>
      <c r="LRU239" s="537"/>
      <c r="LRV239" s="537"/>
      <c r="LRW239" s="537"/>
      <c r="LRX239" s="537"/>
      <c r="LRY239" s="537"/>
      <c r="LRZ239" s="537"/>
      <c r="LSA239" s="537"/>
      <c r="LSB239" s="537"/>
      <c r="LSC239" s="537"/>
      <c r="LSD239" s="537"/>
      <c r="LSE239" s="537"/>
      <c r="LSF239" s="537"/>
      <c r="LSG239" s="537"/>
      <c r="LSH239" s="537"/>
      <c r="LSI239" s="537"/>
      <c r="LSJ239" s="537"/>
      <c r="LSK239" s="537"/>
      <c r="LSL239" s="537"/>
      <c r="LSM239" s="537"/>
      <c r="LSN239" s="537"/>
      <c r="LSO239" s="537"/>
      <c r="LSP239" s="537"/>
      <c r="LSQ239" s="537"/>
      <c r="LSR239" s="537"/>
      <c r="LSS239" s="537"/>
      <c r="LST239" s="537"/>
      <c r="LSU239" s="537"/>
      <c r="LSV239" s="537"/>
      <c r="LSW239" s="537"/>
      <c r="LSX239" s="537"/>
      <c r="LSY239" s="537"/>
      <c r="LSZ239" s="537"/>
      <c r="LTA239" s="537"/>
      <c r="LTB239" s="537"/>
      <c r="LTC239" s="537"/>
      <c r="LTD239" s="537"/>
      <c r="LTE239" s="537"/>
      <c r="LTF239" s="537"/>
      <c r="LTG239" s="537"/>
      <c r="LTH239" s="537"/>
      <c r="LTI239" s="537"/>
      <c r="LTJ239" s="537"/>
      <c r="LTK239" s="537"/>
      <c r="LTL239" s="537"/>
      <c r="LTM239" s="537"/>
      <c r="LTN239" s="537"/>
      <c r="LTO239" s="537"/>
      <c r="LTP239" s="537"/>
      <c r="LTQ239" s="537"/>
      <c r="LTR239" s="537"/>
      <c r="LTS239" s="537"/>
      <c r="LTT239" s="537"/>
      <c r="LTU239" s="537"/>
      <c r="LTV239" s="537"/>
      <c r="LTW239" s="537"/>
      <c r="LTX239" s="537"/>
      <c r="LTY239" s="537"/>
      <c r="LTZ239" s="537"/>
      <c r="LUA239" s="537"/>
      <c r="LUB239" s="537"/>
      <c r="LUC239" s="537"/>
      <c r="LUD239" s="537"/>
      <c r="LUE239" s="537"/>
      <c r="LUF239" s="537"/>
      <c r="LUG239" s="537"/>
      <c r="LUH239" s="537"/>
      <c r="LUI239" s="537"/>
      <c r="LUJ239" s="537"/>
      <c r="LUK239" s="537"/>
      <c r="LUL239" s="537"/>
      <c r="LUM239" s="537"/>
      <c r="LUN239" s="537"/>
      <c r="LUO239" s="537"/>
      <c r="LUP239" s="537"/>
      <c r="LUQ239" s="537"/>
      <c r="LUR239" s="537"/>
      <c r="LUS239" s="537"/>
      <c r="LUT239" s="537"/>
      <c r="LUU239" s="537"/>
      <c r="LUV239" s="537"/>
      <c r="LUW239" s="537"/>
      <c r="LUX239" s="537"/>
      <c r="LUY239" s="537"/>
      <c r="LUZ239" s="537"/>
      <c r="LVA239" s="537"/>
      <c r="LVB239" s="537"/>
      <c r="LVC239" s="537"/>
      <c r="LVD239" s="537"/>
      <c r="LVE239" s="537"/>
      <c r="LVF239" s="537"/>
      <c r="LVG239" s="537"/>
      <c r="LVH239" s="537"/>
      <c r="LVI239" s="537"/>
      <c r="LVJ239" s="537"/>
      <c r="LVK239" s="537"/>
      <c r="LVL239" s="537"/>
      <c r="LVM239" s="537"/>
      <c r="LVN239" s="537"/>
      <c r="LVO239" s="537"/>
      <c r="LVP239" s="537"/>
      <c r="LVQ239" s="537"/>
      <c r="LVR239" s="537"/>
      <c r="LVS239" s="537"/>
      <c r="LVT239" s="537"/>
      <c r="LVU239" s="537"/>
      <c r="LVV239" s="537"/>
      <c r="LVW239" s="537"/>
      <c r="LVX239" s="537"/>
      <c r="LVY239" s="537"/>
      <c r="LVZ239" s="537"/>
      <c r="LWA239" s="537"/>
      <c r="LWB239" s="537"/>
      <c r="LWC239" s="537"/>
      <c r="LWD239" s="537"/>
      <c r="LWE239" s="537"/>
      <c r="LWF239" s="537"/>
      <c r="LWG239" s="537"/>
      <c r="LWH239" s="537"/>
      <c r="LWI239" s="537"/>
      <c r="LWJ239" s="537"/>
      <c r="LWK239" s="537"/>
      <c r="LWL239" s="537"/>
      <c r="LWM239" s="537"/>
      <c r="LWN239" s="537"/>
      <c r="LWO239" s="537"/>
      <c r="LWP239" s="537"/>
      <c r="LWQ239" s="537"/>
      <c r="LWR239" s="537"/>
      <c r="LWS239" s="537"/>
      <c r="LWT239" s="537"/>
      <c r="LWU239" s="537"/>
      <c r="LWV239" s="537"/>
      <c r="LWW239" s="537"/>
      <c r="LWX239" s="537"/>
      <c r="LWY239" s="537"/>
      <c r="LWZ239" s="537"/>
      <c r="LXA239" s="537"/>
      <c r="LXB239" s="537"/>
      <c r="LXC239" s="537"/>
      <c r="LXD239" s="537"/>
      <c r="LXE239" s="537"/>
      <c r="LXF239" s="537"/>
      <c r="LXG239" s="537"/>
      <c r="LXH239" s="537"/>
      <c r="LXI239" s="537"/>
      <c r="LXJ239" s="537"/>
      <c r="LXK239" s="537"/>
      <c r="LXL239" s="537"/>
      <c r="LXM239" s="537"/>
      <c r="LXN239" s="537"/>
      <c r="LXO239" s="537"/>
      <c r="LXP239" s="537"/>
      <c r="LXQ239" s="537"/>
      <c r="LXR239" s="537"/>
      <c r="LXS239" s="537"/>
      <c r="LXT239" s="537"/>
      <c r="LXU239" s="537"/>
      <c r="LXV239" s="537"/>
      <c r="LXW239" s="537"/>
      <c r="LXX239" s="537"/>
      <c r="LXY239" s="537"/>
      <c r="LXZ239" s="537"/>
      <c r="LYA239" s="537"/>
      <c r="LYB239" s="537"/>
      <c r="LYC239" s="537"/>
      <c r="LYD239" s="537"/>
      <c r="LYE239" s="537"/>
      <c r="LYF239" s="537"/>
      <c r="LYG239" s="537"/>
      <c r="LYH239" s="537"/>
      <c r="LYI239" s="537"/>
      <c r="LYJ239" s="537"/>
      <c r="LYK239" s="537"/>
      <c r="LYL239" s="537"/>
      <c r="LYM239" s="537"/>
      <c r="LYN239" s="537"/>
      <c r="LYO239" s="537"/>
      <c r="LYP239" s="537"/>
      <c r="LYQ239" s="537"/>
      <c r="LYR239" s="537"/>
      <c r="LYS239" s="537"/>
      <c r="LYT239" s="537"/>
      <c r="LYU239" s="537"/>
      <c r="LYV239" s="537"/>
      <c r="LYW239" s="537"/>
      <c r="LYX239" s="537"/>
      <c r="LYY239" s="537"/>
      <c r="LYZ239" s="537"/>
      <c r="LZA239" s="537"/>
      <c r="LZB239" s="537"/>
      <c r="LZC239" s="537"/>
      <c r="LZD239" s="537"/>
      <c r="LZE239" s="537"/>
      <c r="LZF239" s="537"/>
      <c r="LZG239" s="537"/>
      <c r="LZH239" s="537"/>
      <c r="LZI239" s="537"/>
      <c r="LZJ239" s="537"/>
      <c r="LZK239" s="537"/>
      <c r="LZL239" s="537"/>
      <c r="LZM239" s="537"/>
      <c r="LZN239" s="537"/>
      <c r="LZO239" s="537"/>
      <c r="LZP239" s="537"/>
      <c r="LZQ239" s="537"/>
      <c r="LZR239" s="537"/>
      <c r="LZS239" s="537"/>
      <c r="LZT239" s="537"/>
      <c r="LZU239" s="537"/>
      <c r="LZV239" s="537"/>
      <c r="LZW239" s="537"/>
      <c r="LZX239" s="537"/>
      <c r="LZY239" s="537"/>
      <c r="LZZ239" s="537"/>
      <c r="MAA239" s="537"/>
      <c r="MAB239" s="537"/>
      <c r="MAC239" s="537"/>
      <c r="MAD239" s="537"/>
      <c r="MAE239" s="537"/>
      <c r="MAF239" s="537"/>
      <c r="MAG239" s="537"/>
      <c r="MAH239" s="537"/>
      <c r="MAI239" s="537"/>
      <c r="MAJ239" s="537"/>
      <c r="MAK239" s="537"/>
      <c r="MAL239" s="537"/>
      <c r="MAM239" s="537"/>
      <c r="MAN239" s="537"/>
      <c r="MAO239" s="537"/>
      <c r="MAP239" s="537"/>
      <c r="MAQ239" s="537"/>
      <c r="MAR239" s="537"/>
      <c r="MAS239" s="537"/>
      <c r="MAT239" s="537"/>
      <c r="MAU239" s="537"/>
      <c r="MAV239" s="537"/>
      <c r="MAW239" s="537"/>
      <c r="MAX239" s="537"/>
      <c r="MAY239" s="537"/>
      <c r="MAZ239" s="537"/>
      <c r="MBA239" s="537"/>
      <c r="MBB239" s="537"/>
      <c r="MBC239" s="537"/>
      <c r="MBD239" s="537"/>
      <c r="MBE239" s="537"/>
      <c r="MBF239" s="537"/>
      <c r="MBG239" s="537"/>
      <c r="MBH239" s="537"/>
      <c r="MBI239" s="537"/>
      <c r="MBJ239" s="537"/>
      <c r="MBK239" s="537"/>
      <c r="MBL239" s="537"/>
      <c r="MBM239" s="537"/>
      <c r="MBN239" s="537"/>
      <c r="MBO239" s="537"/>
      <c r="MBP239" s="537"/>
      <c r="MBQ239" s="537"/>
      <c r="MBR239" s="537"/>
      <c r="MBS239" s="537"/>
      <c r="MBT239" s="537"/>
      <c r="MBU239" s="537"/>
      <c r="MBV239" s="537"/>
      <c r="MBW239" s="537"/>
      <c r="MBX239" s="537"/>
      <c r="MBY239" s="537"/>
      <c r="MBZ239" s="537"/>
      <c r="MCA239" s="537"/>
      <c r="MCB239" s="537"/>
      <c r="MCC239" s="537"/>
      <c r="MCD239" s="537"/>
      <c r="MCE239" s="537"/>
      <c r="MCF239" s="537"/>
      <c r="MCG239" s="537"/>
      <c r="MCH239" s="537"/>
      <c r="MCI239" s="537"/>
      <c r="MCJ239" s="537"/>
      <c r="MCK239" s="537"/>
      <c r="MCL239" s="537"/>
      <c r="MCM239" s="537"/>
      <c r="MCN239" s="537"/>
      <c r="MCO239" s="537"/>
      <c r="MCP239" s="537"/>
      <c r="MCQ239" s="537"/>
      <c r="MCR239" s="537"/>
      <c r="MCS239" s="537"/>
      <c r="MCT239" s="537"/>
      <c r="MCU239" s="537"/>
      <c r="MCV239" s="537"/>
      <c r="MCW239" s="537"/>
      <c r="MCX239" s="537"/>
      <c r="MCY239" s="537"/>
      <c r="MCZ239" s="537"/>
      <c r="MDA239" s="537"/>
      <c r="MDB239" s="537"/>
      <c r="MDC239" s="537"/>
      <c r="MDD239" s="537"/>
      <c r="MDE239" s="537"/>
      <c r="MDF239" s="537"/>
      <c r="MDG239" s="537"/>
      <c r="MDH239" s="537"/>
      <c r="MDI239" s="537"/>
      <c r="MDJ239" s="537"/>
      <c r="MDK239" s="537"/>
      <c r="MDL239" s="537"/>
      <c r="MDM239" s="537"/>
      <c r="MDN239" s="537"/>
      <c r="MDO239" s="537"/>
      <c r="MDP239" s="537"/>
      <c r="MDQ239" s="537"/>
      <c r="MDR239" s="537"/>
      <c r="MDS239" s="537"/>
      <c r="MDT239" s="537"/>
      <c r="MDU239" s="537"/>
      <c r="MDV239" s="537"/>
      <c r="MDW239" s="537"/>
      <c r="MDX239" s="537"/>
      <c r="MDY239" s="537"/>
      <c r="MDZ239" s="537"/>
      <c r="MEA239" s="537"/>
      <c r="MEB239" s="537"/>
      <c r="MEC239" s="537"/>
      <c r="MED239" s="537"/>
      <c r="MEE239" s="537"/>
      <c r="MEF239" s="537"/>
      <c r="MEG239" s="537"/>
      <c r="MEH239" s="537"/>
      <c r="MEI239" s="537"/>
      <c r="MEJ239" s="537"/>
      <c r="MEK239" s="537"/>
      <c r="MEL239" s="537"/>
      <c r="MEM239" s="537"/>
      <c r="MEN239" s="537"/>
      <c r="MEO239" s="537"/>
      <c r="MEP239" s="537"/>
      <c r="MEQ239" s="537"/>
      <c r="MER239" s="537"/>
      <c r="MES239" s="537"/>
      <c r="MET239" s="537"/>
      <c r="MEU239" s="537"/>
      <c r="MEV239" s="537"/>
      <c r="MEW239" s="537"/>
      <c r="MEX239" s="537"/>
      <c r="MEY239" s="537"/>
      <c r="MEZ239" s="537"/>
      <c r="MFA239" s="537"/>
      <c r="MFB239" s="537"/>
      <c r="MFC239" s="537"/>
      <c r="MFD239" s="537"/>
      <c r="MFE239" s="537"/>
      <c r="MFF239" s="537"/>
      <c r="MFG239" s="537"/>
      <c r="MFH239" s="537"/>
      <c r="MFI239" s="537"/>
      <c r="MFJ239" s="537"/>
      <c r="MFK239" s="537"/>
      <c r="MFL239" s="537"/>
      <c r="MFM239" s="537"/>
      <c r="MFN239" s="537"/>
      <c r="MFO239" s="537"/>
      <c r="MFP239" s="537"/>
      <c r="MFQ239" s="537"/>
      <c r="MFR239" s="537"/>
      <c r="MFS239" s="537"/>
      <c r="MFT239" s="537"/>
      <c r="MFU239" s="537"/>
      <c r="MFV239" s="537"/>
      <c r="MFW239" s="537"/>
      <c r="MFX239" s="537"/>
      <c r="MFY239" s="537"/>
      <c r="MFZ239" s="537"/>
      <c r="MGA239" s="537"/>
      <c r="MGB239" s="537"/>
      <c r="MGC239" s="537"/>
      <c r="MGD239" s="537"/>
      <c r="MGE239" s="537"/>
      <c r="MGF239" s="537"/>
      <c r="MGG239" s="537"/>
      <c r="MGH239" s="537"/>
      <c r="MGI239" s="537"/>
      <c r="MGJ239" s="537"/>
      <c r="MGK239" s="537"/>
      <c r="MGL239" s="537"/>
      <c r="MGM239" s="537"/>
      <c r="MGN239" s="537"/>
      <c r="MGO239" s="537"/>
      <c r="MGP239" s="537"/>
      <c r="MGQ239" s="537"/>
      <c r="MGR239" s="537"/>
      <c r="MGS239" s="537"/>
      <c r="MGT239" s="537"/>
      <c r="MGU239" s="537"/>
      <c r="MGV239" s="537"/>
      <c r="MGW239" s="537"/>
      <c r="MGX239" s="537"/>
      <c r="MGY239" s="537"/>
      <c r="MGZ239" s="537"/>
      <c r="MHA239" s="537"/>
      <c r="MHB239" s="537"/>
      <c r="MHC239" s="537"/>
      <c r="MHD239" s="537"/>
      <c r="MHE239" s="537"/>
      <c r="MHF239" s="537"/>
      <c r="MHG239" s="537"/>
      <c r="MHH239" s="537"/>
      <c r="MHI239" s="537"/>
      <c r="MHJ239" s="537"/>
      <c r="MHK239" s="537"/>
      <c r="MHL239" s="537"/>
      <c r="MHM239" s="537"/>
      <c r="MHN239" s="537"/>
      <c r="MHO239" s="537"/>
      <c r="MHP239" s="537"/>
      <c r="MHQ239" s="537"/>
      <c r="MHR239" s="537"/>
      <c r="MHS239" s="537"/>
      <c r="MHT239" s="537"/>
      <c r="MHU239" s="537"/>
      <c r="MHV239" s="537"/>
      <c r="MHW239" s="537"/>
      <c r="MHX239" s="537"/>
      <c r="MHY239" s="537"/>
      <c r="MHZ239" s="537"/>
      <c r="MIA239" s="537"/>
      <c r="MIB239" s="537"/>
      <c r="MIC239" s="537"/>
      <c r="MID239" s="537"/>
      <c r="MIE239" s="537"/>
      <c r="MIF239" s="537"/>
      <c r="MIG239" s="537"/>
      <c r="MIH239" s="537"/>
      <c r="MII239" s="537"/>
      <c r="MIJ239" s="537"/>
      <c r="MIK239" s="537"/>
      <c r="MIL239" s="537"/>
      <c r="MIM239" s="537"/>
      <c r="MIN239" s="537"/>
      <c r="MIO239" s="537"/>
      <c r="MIP239" s="537"/>
      <c r="MIQ239" s="537"/>
      <c r="MIR239" s="537"/>
      <c r="MIS239" s="537"/>
      <c r="MIT239" s="537"/>
      <c r="MIU239" s="537"/>
      <c r="MIV239" s="537"/>
      <c r="MIW239" s="537"/>
      <c r="MIX239" s="537"/>
      <c r="MIY239" s="537"/>
      <c r="MIZ239" s="537"/>
      <c r="MJA239" s="537"/>
      <c r="MJB239" s="537"/>
      <c r="MJC239" s="537"/>
      <c r="MJD239" s="537"/>
      <c r="MJE239" s="537"/>
      <c r="MJF239" s="537"/>
      <c r="MJG239" s="537"/>
      <c r="MJH239" s="537"/>
      <c r="MJI239" s="537"/>
      <c r="MJJ239" s="537"/>
      <c r="MJK239" s="537"/>
      <c r="MJL239" s="537"/>
      <c r="MJM239" s="537"/>
      <c r="MJN239" s="537"/>
      <c r="MJO239" s="537"/>
      <c r="MJP239" s="537"/>
      <c r="MJQ239" s="537"/>
      <c r="MJR239" s="537"/>
      <c r="MJS239" s="537"/>
      <c r="MJT239" s="537"/>
      <c r="MJU239" s="537"/>
      <c r="MJV239" s="537"/>
      <c r="MJW239" s="537"/>
      <c r="MJX239" s="537"/>
      <c r="MJY239" s="537"/>
      <c r="MJZ239" s="537"/>
      <c r="MKA239" s="537"/>
      <c r="MKB239" s="537"/>
      <c r="MKC239" s="537"/>
      <c r="MKD239" s="537"/>
      <c r="MKE239" s="537"/>
      <c r="MKF239" s="537"/>
      <c r="MKG239" s="537"/>
      <c r="MKH239" s="537"/>
      <c r="MKI239" s="537"/>
      <c r="MKJ239" s="537"/>
      <c r="MKK239" s="537"/>
      <c r="MKL239" s="537"/>
      <c r="MKM239" s="537"/>
      <c r="MKN239" s="537"/>
      <c r="MKO239" s="537"/>
      <c r="MKP239" s="537"/>
      <c r="MKQ239" s="537"/>
      <c r="MKR239" s="537"/>
      <c r="MKS239" s="537"/>
      <c r="MKT239" s="537"/>
      <c r="MKU239" s="537"/>
      <c r="MKV239" s="537"/>
      <c r="MKW239" s="537"/>
      <c r="MKX239" s="537"/>
      <c r="MKY239" s="537"/>
      <c r="MKZ239" s="537"/>
      <c r="MLA239" s="537"/>
      <c r="MLB239" s="537"/>
      <c r="MLC239" s="537"/>
      <c r="MLD239" s="537"/>
      <c r="MLE239" s="537"/>
      <c r="MLF239" s="537"/>
      <c r="MLG239" s="537"/>
      <c r="MLH239" s="537"/>
      <c r="MLI239" s="537"/>
      <c r="MLJ239" s="537"/>
      <c r="MLK239" s="537"/>
      <c r="MLL239" s="537"/>
      <c r="MLM239" s="537"/>
      <c r="MLN239" s="537"/>
      <c r="MLO239" s="537"/>
      <c r="MLP239" s="537"/>
      <c r="MLQ239" s="537"/>
      <c r="MLR239" s="537"/>
      <c r="MLS239" s="537"/>
      <c r="MLT239" s="537"/>
      <c r="MLU239" s="537"/>
      <c r="MLV239" s="537"/>
      <c r="MLW239" s="537"/>
      <c r="MLX239" s="537"/>
      <c r="MLY239" s="537"/>
      <c r="MLZ239" s="537"/>
      <c r="MMA239" s="537"/>
      <c r="MMB239" s="537"/>
      <c r="MMC239" s="537"/>
      <c r="MMD239" s="537"/>
      <c r="MME239" s="537"/>
      <c r="MMF239" s="537"/>
      <c r="MMG239" s="537"/>
      <c r="MMH239" s="537"/>
      <c r="MMI239" s="537"/>
      <c r="MMJ239" s="537"/>
      <c r="MMK239" s="537"/>
      <c r="MML239" s="537"/>
      <c r="MMM239" s="537"/>
      <c r="MMN239" s="537"/>
      <c r="MMO239" s="537"/>
      <c r="MMP239" s="537"/>
      <c r="MMQ239" s="537"/>
      <c r="MMR239" s="537"/>
      <c r="MMS239" s="537"/>
      <c r="MMT239" s="537"/>
      <c r="MMU239" s="537"/>
      <c r="MMV239" s="537"/>
      <c r="MMW239" s="537"/>
      <c r="MMX239" s="537"/>
      <c r="MMY239" s="537"/>
      <c r="MMZ239" s="537"/>
      <c r="MNA239" s="537"/>
      <c r="MNB239" s="537"/>
      <c r="MNC239" s="537"/>
      <c r="MND239" s="537"/>
      <c r="MNE239" s="537"/>
      <c r="MNF239" s="537"/>
      <c r="MNG239" s="537"/>
      <c r="MNH239" s="537"/>
      <c r="MNI239" s="537"/>
      <c r="MNJ239" s="537"/>
      <c r="MNK239" s="537"/>
      <c r="MNL239" s="537"/>
      <c r="MNM239" s="537"/>
      <c r="MNN239" s="537"/>
      <c r="MNO239" s="537"/>
      <c r="MNP239" s="537"/>
      <c r="MNQ239" s="537"/>
      <c r="MNR239" s="537"/>
      <c r="MNS239" s="537"/>
      <c r="MNT239" s="537"/>
      <c r="MNU239" s="537"/>
      <c r="MNV239" s="537"/>
      <c r="MNW239" s="537"/>
      <c r="MNX239" s="537"/>
      <c r="MNY239" s="537"/>
      <c r="MNZ239" s="537"/>
      <c r="MOA239" s="537"/>
      <c r="MOB239" s="537"/>
      <c r="MOC239" s="537"/>
      <c r="MOD239" s="537"/>
      <c r="MOE239" s="537"/>
      <c r="MOF239" s="537"/>
      <c r="MOG239" s="537"/>
      <c r="MOH239" s="537"/>
      <c r="MOI239" s="537"/>
      <c r="MOJ239" s="537"/>
      <c r="MOK239" s="537"/>
      <c r="MOL239" s="537"/>
      <c r="MOM239" s="537"/>
      <c r="MON239" s="537"/>
      <c r="MOO239" s="537"/>
      <c r="MOP239" s="537"/>
      <c r="MOQ239" s="537"/>
      <c r="MOR239" s="537"/>
      <c r="MOS239" s="537"/>
      <c r="MOT239" s="537"/>
      <c r="MOU239" s="537"/>
      <c r="MOV239" s="537"/>
      <c r="MOW239" s="537"/>
      <c r="MOX239" s="537"/>
      <c r="MOY239" s="537"/>
      <c r="MOZ239" s="537"/>
      <c r="MPA239" s="537"/>
      <c r="MPB239" s="537"/>
      <c r="MPC239" s="537"/>
      <c r="MPD239" s="537"/>
      <c r="MPE239" s="537"/>
      <c r="MPF239" s="537"/>
      <c r="MPG239" s="537"/>
      <c r="MPH239" s="537"/>
      <c r="MPI239" s="537"/>
      <c r="MPJ239" s="537"/>
      <c r="MPK239" s="537"/>
      <c r="MPL239" s="537"/>
      <c r="MPM239" s="537"/>
      <c r="MPN239" s="537"/>
      <c r="MPO239" s="537"/>
      <c r="MPP239" s="537"/>
      <c r="MPQ239" s="537"/>
      <c r="MPR239" s="537"/>
      <c r="MPS239" s="537"/>
      <c r="MPT239" s="537"/>
      <c r="MPU239" s="537"/>
      <c r="MPV239" s="537"/>
      <c r="MPW239" s="537"/>
      <c r="MPX239" s="537"/>
      <c r="MPY239" s="537"/>
      <c r="MPZ239" s="537"/>
      <c r="MQA239" s="537"/>
      <c r="MQB239" s="537"/>
      <c r="MQC239" s="537"/>
      <c r="MQD239" s="537"/>
      <c r="MQE239" s="537"/>
      <c r="MQF239" s="537"/>
      <c r="MQG239" s="537"/>
      <c r="MQH239" s="537"/>
      <c r="MQI239" s="537"/>
      <c r="MQJ239" s="537"/>
      <c r="MQK239" s="537"/>
      <c r="MQL239" s="537"/>
      <c r="MQM239" s="537"/>
      <c r="MQN239" s="537"/>
      <c r="MQO239" s="537"/>
      <c r="MQP239" s="537"/>
      <c r="MQQ239" s="537"/>
      <c r="MQR239" s="537"/>
      <c r="MQS239" s="537"/>
      <c r="MQT239" s="537"/>
      <c r="MQU239" s="537"/>
      <c r="MQV239" s="537"/>
      <c r="MQW239" s="537"/>
      <c r="MQX239" s="537"/>
      <c r="MQY239" s="537"/>
      <c r="MQZ239" s="537"/>
      <c r="MRA239" s="537"/>
      <c r="MRB239" s="537"/>
      <c r="MRC239" s="537"/>
      <c r="MRD239" s="537"/>
      <c r="MRE239" s="537"/>
      <c r="MRF239" s="537"/>
      <c r="MRG239" s="537"/>
      <c r="MRH239" s="537"/>
      <c r="MRI239" s="537"/>
      <c r="MRJ239" s="537"/>
      <c r="MRK239" s="537"/>
      <c r="MRL239" s="537"/>
      <c r="MRM239" s="537"/>
      <c r="MRN239" s="537"/>
      <c r="MRO239" s="537"/>
      <c r="MRP239" s="537"/>
      <c r="MRQ239" s="537"/>
      <c r="MRR239" s="537"/>
      <c r="MRS239" s="537"/>
      <c r="MRT239" s="537"/>
      <c r="MRU239" s="537"/>
      <c r="MRV239" s="537"/>
      <c r="MRW239" s="537"/>
      <c r="MRX239" s="537"/>
      <c r="MRY239" s="537"/>
      <c r="MRZ239" s="537"/>
      <c r="MSA239" s="537"/>
      <c r="MSB239" s="537"/>
      <c r="MSC239" s="537"/>
      <c r="MSD239" s="537"/>
      <c r="MSE239" s="537"/>
      <c r="MSF239" s="537"/>
      <c r="MSG239" s="537"/>
      <c r="MSH239" s="537"/>
      <c r="MSI239" s="537"/>
      <c r="MSJ239" s="537"/>
      <c r="MSK239" s="537"/>
      <c r="MSL239" s="537"/>
      <c r="MSM239" s="537"/>
      <c r="MSN239" s="537"/>
      <c r="MSO239" s="537"/>
      <c r="MSP239" s="537"/>
      <c r="MSQ239" s="537"/>
      <c r="MSR239" s="537"/>
      <c r="MSS239" s="537"/>
      <c r="MST239" s="537"/>
      <c r="MSU239" s="537"/>
      <c r="MSV239" s="537"/>
      <c r="MSW239" s="537"/>
      <c r="MSX239" s="537"/>
      <c r="MSY239" s="537"/>
      <c r="MSZ239" s="537"/>
      <c r="MTA239" s="537"/>
      <c r="MTB239" s="537"/>
      <c r="MTC239" s="537"/>
      <c r="MTD239" s="537"/>
      <c r="MTE239" s="537"/>
      <c r="MTF239" s="537"/>
      <c r="MTG239" s="537"/>
      <c r="MTH239" s="537"/>
      <c r="MTI239" s="537"/>
      <c r="MTJ239" s="537"/>
      <c r="MTK239" s="537"/>
      <c r="MTL239" s="537"/>
      <c r="MTM239" s="537"/>
      <c r="MTN239" s="537"/>
      <c r="MTO239" s="537"/>
      <c r="MTP239" s="537"/>
      <c r="MTQ239" s="537"/>
      <c r="MTR239" s="537"/>
      <c r="MTS239" s="537"/>
      <c r="MTT239" s="537"/>
      <c r="MTU239" s="537"/>
      <c r="MTV239" s="537"/>
      <c r="MTW239" s="537"/>
      <c r="MTX239" s="537"/>
      <c r="MTY239" s="537"/>
      <c r="MTZ239" s="537"/>
      <c r="MUA239" s="537"/>
      <c r="MUB239" s="537"/>
      <c r="MUC239" s="537"/>
      <c r="MUD239" s="537"/>
      <c r="MUE239" s="537"/>
      <c r="MUF239" s="537"/>
      <c r="MUG239" s="537"/>
      <c r="MUH239" s="537"/>
      <c r="MUI239" s="537"/>
      <c r="MUJ239" s="537"/>
      <c r="MUK239" s="537"/>
      <c r="MUL239" s="537"/>
      <c r="MUM239" s="537"/>
      <c r="MUN239" s="537"/>
      <c r="MUO239" s="537"/>
      <c r="MUP239" s="537"/>
      <c r="MUQ239" s="537"/>
      <c r="MUR239" s="537"/>
      <c r="MUS239" s="537"/>
      <c r="MUT239" s="537"/>
      <c r="MUU239" s="537"/>
      <c r="MUV239" s="537"/>
      <c r="MUW239" s="537"/>
      <c r="MUX239" s="537"/>
      <c r="MUY239" s="537"/>
      <c r="MUZ239" s="537"/>
      <c r="MVA239" s="537"/>
      <c r="MVB239" s="537"/>
      <c r="MVC239" s="537"/>
      <c r="MVD239" s="537"/>
      <c r="MVE239" s="537"/>
      <c r="MVF239" s="537"/>
      <c r="MVG239" s="537"/>
      <c r="MVH239" s="537"/>
      <c r="MVI239" s="537"/>
      <c r="MVJ239" s="537"/>
      <c r="MVK239" s="537"/>
      <c r="MVL239" s="537"/>
      <c r="MVM239" s="537"/>
      <c r="MVN239" s="537"/>
      <c r="MVO239" s="537"/>
      <c r="MVP239" s="537"/>
      <c r="MVQ239" s="537"/>
      <c r="MVR239" s="537"/>
      <c r="MVS239" s="537"/>
      <c r="MVT239" s="537"/>
      <c r="MVU239" s="537"/>
      <c r="MVV239" s="537"/>
      <c r="MVW239" s="537"/>
      <c r="MVX239" s="537"/>
      <c r="MVY239" s="537"/>
      <c r="MVZ239" s="537"/>
      <c r="MWA239" s="537"/>
      <c r="MWB239" s="537"/>
      <c r="MWC239" s="537"/>
      <c r="MWD239" s="537"/>
      <c r="MWE239" s="537"/>
      <c r="MWF239" s="537"/>
      <c r="MWG239" s="537"/>
      <c r="MWH239" s="537"/>
      <c r="MWI239" s="537"/>
      <c r="MWJ239" s="537"/>
      <c r="MWK239" s="537"/>
      <c r="MWL239" s="537"/>
      <c r="MWM239" s="537"/>
      <c r="MWN239" s="537"/>
      <c r="MWO239" s="537"/>
      <c r="MWP239" s="537"/>
      <c r="MWQ239" s="537"/>
      <c r="MWR239" s="537"/>
      <c r="MWS239" s="537"/>
      <c r="MWT239" s="537"/>
      <c r="MWU239" s="537"/>
      <c r="MWV239" s="537"/>
      <c r="MWW239" s="537"/>
      <c r="MWX239" s="537"/>
      <c r="MWY239" s="537"/>
      <c r="MWZ239" s="537"/>
      <c r="MXA239" s="537"/>
      <c r="MXB239" s="537"/>
      <c r="MXC239" s="537"/>
      <c r="MXD239" s="537"/>
      <c r="MXE239" s="537"/>
      <c r="MXF239" s="537"/>
      <c r="MXG239" s="537"/>
      <c r="MXH239" s="537"/>
      <c r="MXI239" s="537"/>
      <c r="MXJ239" s="537"/>
      <c r="MXK239" s="537"/>
      <c r="MXL239" s="537"/>
      <c r="MXM239" s="537"/>
      <c r="MXN239" s="537"/>
      <c r="MXO239" s="537"/>
      <c r="MXP239" s="537"/>
      <c r="MXQ239" s="537"/>
      <c r="MXR239" s="537"/>
      <c r="MXS239" s="537"/>
      <c r="MXT239" s="537"/>
      <c r="MXU239" s="537"/>
      <c r="MXV239" s="537"/>
      <c r="MXW239" s="537"/>
      <c r="MXX239" s="537"/>
      <c r="MXY239" s="537"/>
      <c r="MXZ239" s="537"/>
      <c r="MYA239" s="537"/>
      <c r="MYB239" s="537"/>
      <c r="MYC239" s="537"/>
      <c r="MYD239" s="537"/>
      <c r="MYE239" s="537"/>
      <c r="MYF239" s="537"/>
      <c r="MYG239" s="537"/>
      <c r="MYH239" s="537"/>
      <c r="MYI239" s="537"/>
      <c r="MYJ239" s="537"/>
      <c r="MYK239" s="537"/>
      <c r="MYL239" s="537"/>
      <c r="MYM239" s="537"/>
      <c r="MYN239" s="537"/>
      <c r="MYO239" s="537"/>
      <c r="MYP239" s="537"/>
      <c r="MYQ239" s="537"/>
      <c r="MYR239" s="537"/>
      <c r="MYS239" s="537"/>
      <c r="MYT239" s="537"/>
      <c r="MYU239" s="537"/>
      <c r="MYV239" s="537"/>
      <c r="MYW239" s="537"/>
      <c r="MYX239" s="537"/>
      <c r="MYY239" s="537"/>
      <c r="MYZ239" s="537"/>
      <c r="MZA239" s="537"/>
      <c r="MZB239" s="537"/>
      <c r="MZC239" s="537"/>
      <c r="MZD239" s="537"/>
      <c r="MZE239" s="537"/>
      <c r="MZF239" s="537"/>
      <c r="MZG239" s="537"/>
      <c r="MZH239" s="537"/>
      <c r="MZI239" s="537"/>
      <c r="MZJ239" s="537"/>
      <c r="MZK239" s="537"/>
      <c r="MZL239" s="537"/>
      <c r="MZM239" s="537"/>
      <c r="MZN239" s="537"/>
      <c r="MZO239" s="537"/>
      <c r="MZP239" s="537"/>
      <c r="MZQ239" s="537"/>
      <c r="MZR239" s="537"/>
      <c r="MZS239" s="537"/>
      <c r="MZT239" s="537"/>
      <c r="MZU239" s="537"/>
      <c r="MZV239" s="537"/>
      <c r="MZW239" s="537"/>
      <c r="MZX239" s="537"/>
      <c r="MZY239" s="537"/>
      <c r="MZZ239" s="537"/>
      <c r="NAA239" s="537"/>
      <c r="NAB239" s="537"/>
      <c r="NAC239" s="537"/>
      <c r="NAD239" s="537"/>
      <c r="NAE239" s="537"/>
      <c r="NAF239" s="537"/>
      <c r="NAG239" s="537"/>
      <c r="NAH239" s="537"/>
      <c r="NAI239" s="537"/>
      <c r="NAJ239" s="537"/>
      <c r="NAK239" s="537"/>
      <c r="NAL239" s="537"/>
      <c r="NAM239" s="537"/>
      <c r="NAN239" s="537"/>
      <c r="NAO239" s="537"/>
      <c r="NAP239" s="537"/>
      <c r="NAQ239" s="537"/>
      <c r="NAR239" s="537"/>
      <c r="NAS239" s="537"/>
      <c r="NAT239" s="537"/>
      <c r="NAU239" s="537"/>
      <c r="NAV239" s="537"/>
      <c r="NAW239" s="537"/>
      <c r="NAX239" s="537"/>
      <c r="NAY239" s="537"/>
      <c r="NAZ239" s="537"/>
      <c r="NBA239" s="537"/>
      <c r="NBB239" s="537"/>
      <c r="NBC239" s="537"/>
      <c r="NBD239" s="537"/>
      <c r="NBE239" s="537"/>
      <c r="NBF239" s="537"/>
      <c r="NBG239" s="537"/>
      <c r="NBH239" s="537"/>
      <c r="NBI239" s="537"/>
      <c r="NBJ239" s="537"/>
      <c r="NBK239" s="537"/>
      <c r="NBL239" s="537"/>
      <c r="NBM239" s="537"/>
      <c r="NBN239" s="537"/>
      <c r="NBO239" s="537"/>
      <c r="NBP239" s="537"/>
      <c r="NBQ239" s="537"/>
      <c r="NBR239" s="537"/>
      <c r="NBS239" s="537"/>
      <c r="NBT239" s="537"/>
      <c r="NBU239" s="537"/>
      <c r="NBV239" s="537"/>
      <c r="NBW239" s="537"/>
      <c r="NBX239" s="537"/>
      <c r="NBY239" s="537"/>
      <c r="NBZ239" s="537"/>
      <c r="NCA239" s="537"/>
      <c r="NCB239" s="537"/>
      <c r="NCC239" s="537"/>
      <c r="NCD239" s="537"/>
      <c r="NCE239" s="537"/>
      <c r="NCF239" s="537"/>
      <c r="NCG239" s="537"/>
      <c r="NCH239" s="537"/>
      <c r="NCI239" s="537"/>
      <c r="NCJ239" s="537"/>
      <c r="NCK239" s="537"/>
      <c r="NCL239" s="537"/>
      <c r="NCM239" s="537"/>
      <c r="NCN239" s="537"/>
      <c r="NCO239" s="537"/>
      <c r="NCP239" s="537"/>
      <c r="NCQ239" s="537"/>
      <c r="NCR239" s="537"/>
      <c r="NCS239" s="537"/>
      <c r="NCT239" s="537"/>
      <c r="NCU239" s="537"/>
      <c r="NCV239" s="537"/>
      <c r="NCW239" s="537"/>
      <c r="NCX239" s="537"/>
      <c r="NCY239" s="537"/>
      <c r="NCZ239" s="537"/>
      <c r="NDA239" s="537"/>
      <c r="NDB239" s="537"/>
      <c r="NDC239" s="537"/>
      <c r="NDD239" s="537"/>
      <c r="NDE239" s="537"/>
      <c r="NDF239" s="537"/>
      <c r="NDG239" s="537"/>
      <c r="NDH239" s="537"/>
      <c r="NDI239" s="537"/>
      <c r="NDJ239" s="537"/>
      <c r="NDK239" s="537"/>
      <c r="NDL239" s="537"/>
      <c r="NDM239" s="537"/>
      <c r="NDN239" s="537"/>
      <c r="NDO239" s="537"/>
      <c r="NDP239" s="537"/>
      <c r="NDQ239" s="537"/>
      <c r="NDR239" s="537"/>
      <c r="NDS239" s="537"/>
      <c r="NDT239" s="537"/>
      <c r="NDU239" s="537"/>
      <c r="NDV239" s="537"/>
      <c r="NDW239" s="537"/>
      <c r="NDX239" s="537"/>
      <c r="NDY239" s="537"/>
      <c r="NDZ239" s="537"/>
      <c r="NEA239" s="537"/>
      <c r="NEB239" s="537"/>
      <c r="NEC239" s="537"/>
      <c r="NED239" s="537"/>
      <c r="NEE239" s="537"/>
      <c r="NEF239" s="537"/>
      <c r="NEG239" s="537"/>
      <c r="NEH239" s="537"/>
      <c r="NEI239" s="537"/>
      <c r="NEJ239" s="537"/>
      <c r="NEK239" s="537"/>
      <c r="NEL239" s="537"/>
      <c r="NEM239" s="537"/>
      <c r="NEN239" s="537"/>
      <c r="NEO239" s="537"/>
      <c r="NEP239" s="537"/>
      <c r="NEQ239" s="537"/>
      <c r="NER239" s="537"/>
      <c r="NES239" s="537"/>
      <c r="NET239" s="537"/>
      <c r="NEU239" s="537"/>
      <c r="NEV239" s="537"/>
      <c r="NEW239" s="537"/>
      <c r="NEX239" s="537"/>
      <c r="NEY239" s="537"/>
      <c r="NEZ239" s="537"/>
      <c r="NFA239" s="537"/>
      <c r="NFB239" s="537"/>
      <c r="NFC239" s="537"/>
      <c r="NFD239" s="537"/>
      <c r="NFE239" s="537"/>
      <c r="NFF239" s="537"/>
      <c r="NFG239" s="537"/>
      <c r="NFH239" s="537"/>
      <c r="NFI239" s="537"/>
      <c r="NFJ239" s="537"/>
      <c r="NFK239" s="537"/>
      <c r="NFL239" s="537"/>
      <c r="NFM239" s="537"/>
      <c r="NFN239" s="537"/>
      <c r="NFO239" s="537"/>
      <c r="NFP239" s="537"/>
      <c r="NFQ239" s="537"/>
      <c r="NFR239" s="537"/>
      <c r="NFS239" s="537"/>
      <c r="NFT239" s="537"/>
      <c r="NFU239" s="537"/>
      <c r="NFV239" s="537"/>
      <c r="NFW239" s="537"/>
      <c r="NFX239" s="537"/>
      <c r="NFY239" s="537"/>
      <c r="NFZ239" s="537"/>
      <c r="NGA239" s="537"/>
      <c r="NGB239" s="537"/>
      <c r="NGC239" s="537"/>
      <c r="NGD239" s="537"/>
      <c r="NGE239" s="537"/>
      <c r="NGF239" s="537"/>
      <c r="NGG239" s="537"/>
      <c r="NGH239" s="537"/>
      <c r="NGI239" s="537"/>
      <c r="NGJ239" s="537"/>
      <c r="NGK239" s="537"/>
      <c r="NGL239" s="537"/>
      <c r="NGM239" s="537"/>
      <c r="NGN239" s="537"/>
      <c r="NGO239" s="537"/>
      <c r="NGP239" s="537"/>
      <c r="NGQ239" s="537"/>
      <c r="NGR239" s="537"/>
      <c r="NGS239" s="537"/>
      <c r="NGT239" s="537"/>
      <c r="NGU239" s="537"/>
      <c r="NGV239" s="537"/>
      <c r="NGW239" s="537"/>
      <c r="NGX239" s="537"/>
      <c r="NGY239" s="537"/>
      <c r="NGZ239" s="537"/>
      <c r="NHA239" s="537"/>
      <c r="NHB239" s="537"/>
      <c r="NHC239" s="537"/>
      <c r="NHD239" s="537"/>
      <c r="NHE239" s="537"/>
      <c r="NHF239" s="537"/>
      <c r="NHG239" s="537"/>
      <c r="NHH239" s="537"/>
      <c r="NHI239" s="537"/>
      <c r="NHJ239" s="537"/>
      <c r="NHK239" s="537"/>
      <c r="NHL239" s="537"/>
      <c r="NHM239" s="537"/>
      <c r="NHN239" s="537"/>
      <c r="NHO239" s="537"/>
      <c r="NHP239" s="537"/>
      <c r="NHQ239" s="537"/>
      <c r="NHR239" s="537"/>
      <c r="NHS239" s="537"/>
      <c r="NHT239" s="537"/>
      <c r="NHU239" s="537"/>
      <c r="NHV239" s="537"/>
      <c r="NHW239" s="537"/>
      <c r="NHX239" s="537"/>
      <c r="NHY239" s="537"/>
      <c r="NHZ239" s="537"/>
      <c r="NIA239" s="537"/>
      <c r="NIB239" s="537"/>
      <c r="NIC239" s="537"/>
      <c r="NID239" s="537"/>
      <c r="NIE239" s="537"/>
      <c r="NIF239" s="537"/>
      <c r="NIG239" s="537"/>
      <c r="NIH239" s="537"/>
      <c r="NII239" s="537"/>
      <c r="NIJ239" s="537"/>
      <c r="NIK239" s="537"/>
      <c r="NIL239" s="537"/>
      <c r="NIM239" s="537"/>
      <c r="NIN239" s="537"/>
      <c r="NIO239" s="537"/>
      <c r="NIP239" s="537"/>
      <c r="NIQ239" s="537"/>
      <c r="NIR239" s="537"/>
      <c r="NIS239" s="537"/>
      <c r="NIT239" s="537"/>
      <c r="NIU239" s="537"/>
      <c r="NIV239" s="537"/>
      <c r="NIW239" s="537"/>
      <c r="NIX239" s="537"/>
      <c r="NIY239" s="537"/>
      <c r="NIZ239" s="537"/>
      <c r="NJA239" s="537"/>
      <c r="NJB239" s="537"/>
      <c r="NJC239" s="537"/>
      <c r="NJD239" s="537"/>
      <c r="NJE239" s="537"/>
      <c r="NJF239" s="537"/>
      <c r="NJG239" s="537"/>
      <c r="NJH239" s="537"/>
      <c r="NJI239" s="537"/>
      <c r="NJJ239" s="537"/>
      <c r="NJK239" s="537"/>
      <c r="NJL239" s="537"/>
      <c r="NJM239" s="537"/>
      <c r="NJN239" s="537"/>
      <c r="NJO239" s="537"/>
      <c r="NJP239" s="537"/>
      <c r="NJQ239" s="537"/>
      <c r="NJR239" s="537"/>
      <c r="NJS239" s="537"/>
      <c r="NJT239" s="537"/>
      <c r="NJU239" s="537"/>
      <c r="NJV239" s="537"/>
      <c r="NJW239" s="537"/>
      <c r="NJX239" s="537"/>
      <c r="NJY239" s="537"/>
      <c r="NJZ239" s="537"/>
      <c r="NKA239" s="537"/>
      <c r="NKB239" s="537"/>
      <c r="NKC239" s="537"/>
      <c r="NKD239" s="537"/>
      <c r="NKE239" s="537"/>
      <c r="NKF239" s="537"/>
      <c r="NKG239" s="537"/>
      <c r="NKH239" s="537"/>
      <c r="NKI239" s="537"/>
      <c r="NKJ239" s="537"/>
      <c r="NKK239" s="537"/>
      <c r="NKL239" s="537"/>
      <c r="NKM239" s="537"/>
      <c r="NKN239" s="537"/>
      <c r="NKO239" s="537"/>
      <c r="NKP239" s="537"/>
      <c r="NKQ239" s="537"/>
      <c r="NKR239" s="537"/>
      <c r="NKS239" s="537"/>
      <c r="NKT239" s="537"/>
      <c r="NKU239" s="537"/>
      <c r="NKV239" s="537"/>
      <c r="NKW239" s="537"/>
      <c r="NKX239" s="537"/>
      <c r="NKY239" s="537"/>
      <c r="NKZ239" s="537"/>
      <c r="NLA239" s="537"/>
      <c r="NLB239" s="537"/>
      <c r="NLC239" s="537"/>
      <c r="NLD239" s="537"/>
      <c r="NLE239" s="537"/>
      <c r="NLF239" s="537"/>
      <c r="NLG239" s="537"/>
      <c r="NLH239" s="537"/>
      <c r="NLI239" s="537"/>
      <c r="NLJ239" s="537"/>
      <c r="NLK239" s="537"/>
      <c r="NLL239" s="537"/>
      <c r="NLM239" s="537"/>
      <c r="NLN239" s="537"/>
      <c r="NLO239" s="537"/>
      <c r="NLP239" s="537"/>
      <c r="NLQ239" s="537"/>
      <c r="NLR239" s="537"/>
      <c r="NLS239" s="537"/>
      <c r="NLT239" s="537"/>
      <c r="NLU239" s="537"/>
      <c r="NLV239" s="537"/>
      <c r="NLW239" s="537"/>
      <c r="NLX239" s="537"/>
      <c r="NLY239" s="537"/>
      <c r="NLZ239" s="537"/>
      <c r="NMA239" s="537"/>
      <c r="NMB239" s="537"/>
      <c r="NMC239" s="537"/>
      <c r="NMD239" s="537"/>
      <c r="NME239" s="537"/>
      <c r="NMF239" s="537"/>
      <c r="NMG239" s="537"/>
      <c r="NMH239" s="537"/>
      <c r="NMI239" s="537"/>
      <c r="NMJ239" s="537"/>
      <c r="NMK239" s="537"/>
      <c r="NML239" s="537"/>
      <c r="NMM239" s="537"/>
      <c r="NMN239" s="537"/>
      <c r="NMO239" s="537"/>
      <c r="NMP239" s="537"/>
      <c r="NMQ239" s="537"/>
      <c r="NMR239" s="537"/>
      <c r="NMS239" s="537"/>
      <c r="NMT239" s="537"/>
      <c r="NMU239" s="537"/>
      <c r="NMV239" s="537"/>
      <c r="NMW239" s="537"/>
      <c r="NMX239" s="537"/>
      <c r="NMY239" s="537"/>
      <c r="NMZ239" s="537"/>
      <c r="NNA239" s="537"/>
      <c r="NNB239" s="537"/>
      <c r="NNC239" s="537"/>
      <c r="NND239" s="537"/>
      <c r="NNE239" s="537"/>
      <c r="NNF239" s="537"/>
      <c r="NNG239" s="537"/>
      <c r="NNH239" s="537"/>
      <c r="NNI239" s="537"/>
      <c r="NNJ239" s="537"/>
      <c r="NNK239" s="537"/>
      <c r="NNL239" s="537"/>
      <c r="NNM239" s="537"/>
      <c r="NNN239" s="537"/>
      <c r="NNO239" s="537"/>
      <c r="NNP239" s="537"/>
      <c r="NNQ239" s="537"/>
      <c r="NNR239" s="537"/>
      <c r="NNS239" s="537"/>
      <c r="NNT239" s="537"/>
      <c r="NNU239" s="537"/>
      <c r="NNV239" s="537"/>
      <c r="NNW239" s="537"/>
      <c r="NNX239" s="537"/>
      <c r="NNY239" s="537"/>
      <c r="NNZ239" s="537"/>
      <c r="NOA239" s="537"/>
      <c r="NOB239" s="537"/>
      <c r="NOC239" s="537"/>
      <c r="NOD239" s="537"/>
      <c r="NOE239" s="537"/>
      <c r="NOF239" s="537"/>
      <c r="NOG239" s="537"/>
      <c r="NOH239" s="537"/>
      <c r="NOI239" s="537"/>
      <c r="NOJ239" s="537"/>
      <c r="NOK239" s="537"/>
      <c r="NOL239" s="537"/>
      <c r="NOM239" s="537"/>
      <c r="NON239" s="537"/>
      <c r="NOO239" s="537"/>
      <c r="NOP239" s="537"/>
      <c r="NOQ239" s="537"/>
      <c r="NOR239" s="537"/>
      <c r="NOS239" s="537"/>
      <c r="NOT239" s="537"/>
      <c r="NOU239" s="537"/>
      <c r="NOV239" s="537"/>
      <c r="NOW239" s="537"/>
      <c r="NOX239" s="537"/>
      <c r="NOY239" s="537"/>
      <c r="NOZ239" s="537"/>
      <c r="NPA239" s="537"/>
      <c r="NPB239" s="537"/>
      <c r="NPC239" s="537"/>
      <c r="NPD239" s="537"/>
      <c r="NPE239" s="537"/>
      <c r="NPF239" s="537"/>
      <c r="NPG239" s="537"/>
      <c r="NPH239" s="537"/>
      <c r="NPI239" s="537"/>
      <c r="NPJ239" s="537"/>
      <c r="NPK239" s="537"/>
      <c r="NPL239" s="537"/>
      <c r="NPM239" s="537"/>
      <c r="NPN239" s="537"/>
      <c r="NPO239" s="537"/>
      <c r="NPP239" s="537"/>
      <c r="NPQ239" s="537"/>
      <c r="NPR239" s="537"/>
      <c r="NPS239" s="537"/>
      <c r="NPT239" s="537"/>
      <c r="NPU239" s="537"/>
      <c r="NPV239" s="537"/>
      <c r="NPW239" s="537"/>
      <c r="NPX239" s="537"/>
      <c r="NPY239" s="537"/>
      <c r="NPZ239" s="537"/>
      <c r="NQA239" s="537"/>
      <c r="NQB239" s="537"/>
      <c r="NQC239" s="537"/>
      <c r="NQD239" s="537"/>
      <c r="NQE239" s="537"/>
      <c r="NQF239" s="537"/>
      <c r="NQG239" s="537"/>
      <c r="NQH239" s="537"/>
      <c r="NQI239" s="537"/>
      <c r="NQJ239" s="537"/>
      <c r="NQK239" s="537"/>
      <c r="NQL239" s="537"/>
      <c r="NQM239" s="537"/>
      <c r="NQN239" s="537"/>
      <c r="NQO239" s="537"/>
      <c r="NQP239" s="537"/>
      <c r="NQQ239" s="537"/>
      <c r="NQR239" s="537"/>
      <c r="NQS239" s="537"/>
      <c r="NQT239" s="537"/>
      <c r="NQU239" s="537"/>
      <c r="NQV239" s="537"/>
      <c r="NQW239" s="537"/>
      <c r="NQX239" s="537"/>
      <c r="NQY239" s="537"/>
      <c r="NQZ239" s="537"/>
      <c r="NRA239" s="537"/>
      <c r="NRB239" s="537"/>
      <c r="NRC239" s="537"/>
      <c r="NRD239" s="537"/>
      <c r="NRE239" s="537"/>
      <c r="NRF239" s="537"/>
      <c r="NRG239" s="537"/>
      <c r="NRH239" s="537"/>
      <c r="NRI239" s="537"/>
      <c r="NRJ239" s="537"/>
      <c r="NRK239" s="537"/>
      <c r="NRL239" s="537"/>
      <c r="NRM239" s="537"/>
      <c r="NRN239" s="537"/>
      <c r="NRO239" s="537"/>
      <c r="NRP239" s="537"/>
      <c r="NRQ239" s="537"/>
      <c r="NRR239" s="537"/>
      <c r="NRS239" s="537"/>
      <c r="NRT239" s="537"/>
      <c r="NRU239" s="537"/>
      <c r="NRV239" s="537"/>
      <c r="NRW239" s="537"/>
      <c r="NRX239" s="537"/>
      <c r="NRY239" s="537"/>
      <c r="NRZ239" s="537"/>
      <c r="NSA239" s="537"/>
      <c r="NSB239" s="537"/>
      <c r="NSC239" s="537"/>
      <c r="NSD239" s="537"/>
      <c r="NSE239" s="537"/>
      <c r="NSF239" s="537"/>
      <c r="NSG239" s="537"/>
      <c r="NSH239" s="537"/>
      <c r="NSI239" s="537"/>
      <c r="NSJ239" s="537"/>
      <c r="NSK239" s="537"/>
      <c r="NSL239" s="537"/>
      <c r="NSM239" s="537"/>
      <c r="NSN239" s="537"/>
      <c r="NSO239" s="537"/>
      <c r="NSP239" s="537"/>
      <c r="NSQ239" s="537"/>
      <c r="NSR239" s="537"/>
      <c r="NSS239" s="537"/>
      <c r="NST239" s="537"/>
      <c r="NSU239" s="537"/>
      <c r="NSV239" s="537"/>
      <c r="NSW239" s="537"/>
      <c r="NSX239" s="537"/>
      <c r="NSY239" s="537"/>
      <c r="NSZ239" s="537"/>
      <c r="NTA239" s="537"/>
      <c r="NTB239" s="537"/>
      <c r="NTC239" s="537"/>
      <c r="NTD239" s="537"/>
      <c r="NTE239" s="537"/>
      <c r="NTF239" s="537"/>
      <c r="NTG239" s="537"/>
      <c r="NTH239" s="537"/>
      <c r="NTI239" s="537"/>
      <c r="NTJ239" s="537"/>
      <c r="NTK239" s="537"/>
      <c r="NTL239" s="537"/>
      <c r="NTM239" s="537"/>
      <c r="NTN239" s="537"/>
      <c r="NTO239" s="537"/>
      <c r="NTP239" s="537"/>
      <c r="NTQ239" s="537"/>
      <c r="NTR239" s="537"/>
      <c r="NTS239" s="537"/>
      <c r="NTT239" s="537"/>
      <c r="NTU239" s="537"/>
      <c r="NTV239" s="537"/>
      <c r="NTW239" s="537"/>
      <c r="NTX239" s="537"/>
      <c r="NTY239" s="537"/>
      <c r="NTZ239" s="537"/>
      <c r="NUA239" s="537"/>
      <c r="NUB239" s="537"/>
      <c r="NUC239" s="537"/>
      <c r="NUD239" s="537"/>
      <c r="NUE239" s="537"/>
      <c r="NUF239" s="537"/>
      <c r="NUG239" s="537"/>
      <c r="NUH239" s="537"/>
      <c r="NUI239" s="537"/>
      <c r="NUJ239" s="537"/>
      <c r="NUK239" s="537"/>
      <c r="NUL239" s="537"/>
      <c r="NUM239" s="537"/>
      <c r="NUN239" s="537"/>
      <c r="NUO239" s="537"/>
      <c r="NUP239" s="537"/>
      <c r="NUQ239" s="537"/>
      <c r="NUR239" s="537"/>
      <c r="NUS239" s="537"/>
      <c r="NUT239" s="537"/>
      <c r="NUU239" s="537"/>
      <c r="NUV239" s="537"/>
      <c r="NUW239" s="537"/>
      <c r="NUX239" s="537"/>
      <c r="NUY239" s="537"/>
      <c r="NUZ239" s="537"/>
      <c r="NVA239" s="537"/>
      <c r="NVB239" s="537"/>
      <c r="NVC239" s="537"/>
      <c r="NVD239" s="537"/>
      <c r="NVE239" s="537"/>
      <c r="NVF239" s="537"/>
      <c r="NVG239" s="537"/>
      <c r="NVH239" s="537"/>
      <c r="NVI239" s="537"/>
      <c r="NVJ239" s="537"/>
      <c r="NVK239" s="537"/>
      <c r="NVL239" s="537"/>
      <c r="NVM239" s="537"/>
      <c r="NVN239" s="537"/>
      <c r="NVO239" s="537"/>
      <c r="NVP239" s="537"/>
      <c r="NVQ239" s="537"/>
      <c r="NVR239" s="537"/>
      <c r="NVS239" s="537"/>
      <c r="NVT239" s="537"/>
      <c r="NVU239" s="537"/>
      <c r="NVV239" s="537"/>
      <c r="NVW239" s="537"/>
      <c r="NVX239" s="537"/>
      <c r="NVY239" s="537"/>
      <c r="NVZ239" s="537"/>
      <c r="NWA239" s="537"/>
      <c r="NWB239" s="537"/>
      <c r="NWC239" s="537"/>
      <c r="NWD239" s="537"/>
      <c r="NWE239" s="537"/>
      <c r="NWF239" s="537"/>
      <c r="NWG239" s="537"/>
      <c r="NWH239" s="537"/>
      <c r="NWI239" s="537"/>
      <c r="NWJ239" s="537"/>
      <c r="NWK239" s="537"/>
      <c r="NWL239" s="537"/>
      <c r="NWM239" s="537"/>
      <c r="NWN239" s="537"/>
      <c r="NWO239" s="537"/>
      <c r="NWP239" s="537"/>
      <c r="NWQ239" s="537"/>
      <c r="NWR239" s="537"/>
      <c r="NWS239" s="537"/>
      <c r="NWT239" s="537"/>
      <c r="NWU239" s="537"/>
      <c r="NWV239" s="537"/>
      <c r="NWW239" s="537"/>
      <c r="NWX239" s="537"/>
      <c r="NWY239" s="537"/>
      <c r="NWZ239" s="537"/>
      <c r="NXA239" s="537"/>
      <c r="NXB239" s="537"/>
      <c r="NXC239" s="537"/>
      <c r="NXD239" s="537"/>
      <c r="NXE239" s="537"/>
      <c r="NXF239" s="537"/>
      <c r="NXG239" s="537"/>
      <c r="NXH239" s="537"/>
      <c r="NXI239" s="537"/>
      <c r="NXJ239" s="537"/>
      <c r="NXK239" s="537"/>
      <c r="NXL239" s="537"/>
      <c r="NXM239" s="537"/>
      <c r="NXN239" s="537"/>
      <c r="NXO239" s="537"/>
      <c r="NXP239" s="537"/>
      <c r="NXQ239" s="537"/>
      <c r="NXR239" s="537"/>
      <c r="NXS239" s="537"/>
      <c r="NXT239" s="537"/>
      <c r="NXU239" s="537"/>
      <c r="NXV239" s="537"/>
      <c r="NXW239" s="537"/>
      <c r="NXX239" s="537"/>
      <c r="NXY239" s="537"/>
      <c r="NXZ239" s="537"/>
      <c r="NYA239" s="537"/>
      <c r="NYB239" s="537"/>
      <c r="NYC239" s="537"/>
      <c r="NYD239" s="537"/>
      <c r="NYE239" s="537"/>
      <c r="NYF239" s="537"/>
      <c r="NYG239" s="537"/>
      <c r="NYH239" s="537"/>
      <c r="NYI239" s="537"/>
      <c r="NYJ239" s="537"/>
      <c r="NYK239" s="537"/>
      <c r="NYL239" s="537"/>
      <c r="NYM239" s="537"/>
      <c r="NYN239" s="537"/>
      <c r="NYO239" s="537"/>
      <c r="NYP239" s="537"/>
      <c r="NYQ239" s="537"/>
      <c r="NYR239" s="537"/>
      <c r="NYS239" s="537"/>
      <c r="NYT239" s="537"/>
      <c r="NYU239" s="537"/>
      <c r="NYV239" s="537"/>
      <c r="NYW239" s="537"/>
      <c r="NYX239" s="537"/>
      <c r="NYY239" s="537"/>
      <c r="NYZ239" s="537"/>
      <c r="NZA239" s="537"/>
      <c r="NZB239" s="537"/>
      <c r="NZC239" s="537"/>
      <c r="NZD239" s="537"/>
      <c r="NZE239" s="537"/>
      <c r="NZF239" s="537"/>
      <c r="NZG239" s="537"/>
      <c r="NZH239" s="537"/>
      <c r="NZI239" s="537"/>
      <c r="NZJ239" s="537"/>
      <c r="NZK239" s="537"/>
      <c r="NZL239" s="537"/>
      <c r="NZM239" s="537"/>
      <c r="NZN239" s="537"/>
      <c r="NZO239" s="537"/>
      <c r="NZP239" s="537"/>
      <c r="NZQ239" s="537"/>
      <c r="NZR239" s="537"/>
      <c r="NZS239" s="537"/>
      <c r="NZT239" s="537"/>
      <c r="NZU239" s="537"/>
      <c r="NZV239" s="537"/>
      <c r="NZW239" s="537"/>
      <c r="NZX239" s="537"/>
      <c r="NZY239" s="537"/>
      <c r="NZZ239" s="537"/>
      <c r="OAA239" s="537"/>
      <c r="OAB239" s="537"/>
      <c r="OAC239" s="537"/>
      <c r="OAD239" s="537"/>
      <c r="OAE239" s="537"/>
      <c r="OAF239" s="537"/>
      <c r="OAG239" s="537"/>
      <c r="OAH239" s="537"/>
      <c r="OAI239" s="537"/>
      <c r="OAJ239" s="537"/>
      <c r="OAK239" s="537"/>
      <c r="OAL239" s="537"/>
      <c r="OAM239" s="537"/>
      <c r="OAN239" s="537"/>
      <c r="OAO239" s="537"/>
      <c r="OAP239" s="537"/>
      <c r="OAQ239" s="537"/>
      <c r="OAR239" s="537"/>
      <c r="OAS239" s="537"/>
      <c r="OAT239" s="537"/>
      <c r="OAU239" s="537"/>
      <c r="OAV239" s="537"/>
      <c r="OAW239" s="537"/>
      <c r="OAX239" s="537"/>
      <c r="OAY239" s="537"/>
      <c r="OAZ239" s="537"/>
      <c r="OBA239" s="537"/>
      <c r="OBB239" s="537"/>
      <c r="OBC239" s="537"/>
      <c r="OBD239" s="537"/>
      <c r="OBE239" s="537"/>
      <c r="OBF239" s="537"/>
      <c r="OBG239" s="537"/>
      <c r="OBH239" s="537"/>
      <c r="OBI239" s="537"/>
      <c r="OBJ239" s="537"/>
      <c r="OBK239" s="537"/>
      <c r="OBL239" s="537"/>
      <c r="OBM239" s="537"/>
      <c r="OBN239" s="537"/>
      <c r="OBO239" s="537"/>
      <c r="OBP239" s="537"/>
      <c r="OBQ239" s="537"/>
      <c r="OBR239" s="537"/>
      <c r="OBS239" s="537"/>
      <c r="OBT239" s="537"/>
      <c r="OBU239" s="537"/>
      <c r="OBV239" s="537"/>
      <c r="OBW239" s="537"/>
      <c r="OBX239" s="537"/>
      <c r="OBY239" s="537"/>
      <c r="OBZ239" s="537"/>
      <c r="OCA239" s="537"/>
      <c r="OCB239" s="537"/>
      <c r="OCC239" s="537"/>
      <c r="OCD239" s="537"/>
      <c r="OCE239" s="537"/>
      <c r="OCF239" s="537"/>
      <c r="OCG239" s="537"/>
      <c r="OCH239" s="537"/>
      <c r="OCI239" s="537"/>
      <c r="OCJ239" s="537"/>
      <c r="OCK239" s="537"/>
      <c r="OCL239" s="537"/>
      <c r="OCM239" s="537"/>
      <c r="OCN239" s="537"/>
      <c r="OCO239" s="537"/>
      <c r="OCP239" s="537"/>
      <c r="OCQ239" s="537"/>
      <c r="OCR239" s="537"/>
      <c r="OCS239" s="537"/>
      <c r="OCT239" s="537"/>
      <c r="OCU239" s="537"/>
      <c r="OCV239" s="537"/>
      <c r="OCW239" s="537"/>
      <c r="OCX239" s="537"/>
      <c r="OCY239" s="537"/>
      <c r="OCZ239" s="537"/>
      <c r="ODA239" s="537"/>
      <c r="ODB239" s="537"/>
      <c r="ODC239" s="537"/>
      <c r="ODD239" s="537"/>
      <c r="ODE239" s="537"/>
      <c r="ODF239" s="537"/>
      <c r="ODG239" s="537"/>
      <c r="ODH239" s="537"/>
      <c r="ODI239" s="537"/>
      <c r="ODJ239" s="537"/>
      <c r="ODK239" s="537"/>
      <c r="ODL239" s="537"/>
      <c r="ODM239" s="537"/>
      <c r="ODN239" s="537"/>
      <c r="ODO239" s="537"/>
      <c r="ODP239" s="537"/>
      <c r="ODQ239" s="537"/>
      <c r="ODR239" s="537"/>
      <c r="ODS239" s="537"/>
      <c r="ODT239" s="537"/>
      <c r="ODU239" s="537"/>
      <c r="ODV239" s="537"/>
      <c r="ODW239" s="537"/>
      <c r="ODX239" s="537"/>
      <c r="ODY239" s="537"/>
      <c r="ODZ239" s="537"/>
      <c r="OEA239" s="537"/>
      <c r="OEB239" s="537"/>
      <c r="OEC239" s="537"/>
      <c r="OED239" s="537"/>
      <c r="OEE239" s="537"/>
      <c r="OEF239" s="537"/>
      <c r="OEG239" s="537"/>
      <c r="OEH239" s="537"/>
      <c r="OEI239" s="537"/>
      <c r="OEJ239" s="537"/>
      <c r="OEK239" s="537"/>
      <c r="OEL239" s="537"/>
      <c r="OEM239" s="537"/>
      <c r="OEN239" s="537"/>
      <c r="OEO239" s="537"/>
      <c r="OEP239" s="537"/>
      <c r="OEQ239" s="537"/>
      <c r="OER239" s="537"/>
      <c r="OES239" s="537"/>
      <c r="OET239" s="537"/>
      <c r="OEU239" s="537"/>
      <c r="OEV239" s="537"/>
      <c r="OEW239" s="537"/>
      <c r="OEX239" s="537"/>
      <c r="OEY239" s="537"/>
      <c r="OEZ239" s="537"/>
      <c r="OFA239" s="537"/>
      <c r="OFB239" s="537"/>
      <c r="OFC239" s="537"/>
      <c r="OFD239" s="537"/>
      <c r="OFE239" s="537"/>
      <c r="OFF239" s="537"/>
      <c r="OFG239" s="537"/>
      <c r="OFH239" s="537"/>
      <c r="OFI239" s="537"/>
      <c r="OFJ239" s="537"/>
      <c r="OFK239" s="537"/>
      <c r="OFL239" s="537"/>
      <c r="OFM239" s="537"/>
      <c r="OFN239" s="537"/>
      <c r="OFO239" s="537"/>
      <c r="OFP239" s="537"/>
      <c r="OFQ239" s="537"/>
      <c r="OFR239" s="537"/>
      <c r="OFS239" s="537"/>
      <c r="OFT239" s="537"/>
      <c r="OFU239" s="537"/>
      <c r="OFV239" s="537"/>
      <c r="OFW239" s="537"/>
      <c r="OFX239" s="537"/>
      <c r="OFY239" s="537"/>
      <c r="OFZ239" s="537"/>
      <c r="OGA239" s="537"/>
      <c r="OGB239" s="537"/>
      <c r="OGC239" s="537"/>
      <c r="OGD239" s="537"/>
      <c r="OGE239" s="537"/>
      <c r="OGF239" s="537"/>
      <c r="OGG239" s="537"/>
      <c r="OGH239" s="537"/>
      <c r="OGI239" s="537"/>
      <c r="OGJ239" s="537"/>
      <c r="OGK239" s="537"/>
      <c r="OGL239" s="537"/>
      <c r="OGM239" s="537"/>
      <c r="OGN239" s="537"/>
      <c r="OGO239" s="537"/>
      <c r="OGP239" s="537"/>
      <c r="OGQ239" s="537"/>
      <c r="OGR239" s="537"/>
      <c r="OGS239" s="537"/>
      <c r="OGT239" s="537"/>
      <c r="OGU239" s="537"/>
      <c r="OGV239" s="537"/>
      <c r="OGW239" s="537"/>
      <c r="OGX239" s="537"/>
      <c r="OGY239" s="537"/>
      <c r="OGZ239" s="537"/>
      <c r="OHA239" s="537"/>
      <c r="OHB239" s="537"/>
      <c r="OHC239" s="537"/>
      <c r="OHD239" s="537"/>
      <c r="OHE239" s="537"/>
      <c r="OHF239" s="537"/>
      <c r="OHG239" s="537"/>
      <c r="OHH239" s="537"/>
      <c r="OHI239" s="537"/>
      <c r="OHJ239" s="537"/>
      <c r="OHK239" s="537"/>
      <c r="OHL239" s="537"/>
      <c r="OHM239" s="537"/>
      <c r="OHN239" s="537"/>
      <c r="OHO239" s="537"/>
      <c r="OHP239" s="537"/>
      <c r="OHQ239" s="537"/>
      <c r="OHR239" s="537"/>
      <c r="OHS239" s="537"/>
      <c r="OHT239" s="537"/>
      <c r="OHU239" s="537"/>
      <c r="OHV239" s="537"/>
      <c r="OHW239" s="537"/>
      <c r="OHX239" s="537"/>
      <c r="OHY239" s="537"/>
      <c r="OHZ239" s="537"/>
      <c r="OIA239" s="537"/>
      <c r="OIB239" s="537"/>
      <c r="OIC239" s="537"/>
      <c r="OID239" s="537"/>
      <c r="OIE239" s="537"/>
      <c r="OIF239" s="537"/>
      <c r="OIG239" s="537"/>
      <c r="OIH239" s="537"/>
      <c r="OII239" s="537"/>
      <c r="OIJ239" s="537"/>
      <c r="OIK239" s="537"/>
      <c r="OIL239" s="537"/>
      <c r="OIM239" s="537"/>
      <c r="OIN239" s="537"/>
      <c r="OIO239" s="537"/>
      <c r="OIP239" s="537"/>
      <c r="OIQ239" s="537"/>
      <c r="OIR239" s="537"/>
      <c r="OIS239" s="537"/>
      <c r="OIT239" s="537"/>
      <c r="OIU239" s="537"/>
      <c r="OIV239" s="537"/>
      <c r="OIW239" s="537"/>
      <c r="OIX239" s="537"/>
      <c r="OIY239" s="537"/>
      <c r="OIZ239" s="537"/>
      <c r="OJA239" s="537"/>
      <c r="OJB239" s="537"/>
      <c r="OJC239" s="537"/>
      <c r="OJD239" s="537"/>
      <c r="OJE239" s="537"/>
      <c r="OJF239" s="537"/>
      <c r="OJG239" s="537"/>
      <c r="OJH239" s="537"/>
      <c r="OJI239" s="537"/>
      <c r="OJJ239" s="537"/>
      <c r="OJK239" s="537"/>
      <c r="OJL239" s="537"/>
      <c r="OJM239" s="537"/>
      <c r="OJN239" s="537"/>
      <c r="OJO239" s="537"/>
      <c r="OJP239" s="537"/>
      <c r="OJQ239" s="537"/>
      <c r="OJR239" s="537"/>
      <c r="OJS239" s="537"/>
      <c r="OJT239" s="537"/>
      <c r="OJU239" s="537"/>
      <c r="OJV239" s="537"/>
      <c r="OJW239" s="537"/>
      <c r="OJX239" s="537"/>
      <c r="OJY239" s="537"/>
      <c r="OJZ239" s="537"/>
      <c r="OKA239" s="537"/>
      <c r="OKB239" s="537"/>
      <c r="OKC239" s="537"/>
      <c r="OKD239" s="537"/>
      <c r="OKE239" s="537"/>
      <c r="OKF239" s="537"/>
      <c r="OKG239" s="537"/>
      <c r="OKH239" s="537"/>
      <c r="OKI239" s="537"/>
      <c r="OKJ239" s="537"/>
      <c r="OKK239" s="537"/>
      <c r="OKL239" s="537"/>
      <c r="OKM239" s="537"/>
      <c r="OKN239" s="537"/>
      <c r="OKO239" s="537"/>
      <c r="OKP239" s="537"/>
      <c r="OKQ239" s="537"/>
      <c r="OKR239" s="537"/>
      <c r="OKS239" s="537"/>
      <c r="OKT239" s="537"/>
      <c r="OKU239" s="537"/>
      <c r="OKV239" s="537"/>
      <c r="OKW239" s="537"/>
      <c r="OKX239" s="537"/>
      <c r="OKY239" s="537"/>
      <c r="OKZ239" s="537"/>
      <c r="OLA239" s="537"/>
      <c r="OLB239" s="537"/>
      <c r="OLC239" s="537"/>
      <c r="OLD239" s="537"/>
      <c r="OLE239" s="537"/>
      <c r="OLF239" s="537"/>
      <c r="OLG239" s="537"/>
      <c r="OLH239" s="537"/>
      <c r="OLI239" s="537"/>
      <c r="OLJ239" s="537"/>
      <c r="OLK239" s="537"/>
      <c r="OLL239" s="537"/>
      <c r="OLM239" s="537"/>
      <c r="OLN239" s="537"/>
      <c r="OLO239" s="537"/>
      <c r="OLP239" s="537"/>
      <c r="OLQ239" s="537"/>
      <c r="OLR239" s="537"/>
      <c r="OLS239" s="537"/>
      <c r="OLT239" s="537"/>
      <c r="OLU239" s="537"/>
      <c r="OLV239" s="537"/>
      <c r="OLW239" s="537"/>
      <c r="OLX239" s="537"/>
      <c r="OLY239" s="537"/>
      <c r="OLZ239" s="537"/>
      <c r="OMA239" s="537"/>
      <c r="OMB239" s="537"/>
      <c r="OMC239" s="537"/>
      <c r="OMD239" s="537"/>
      <c r="OME239" s="537"/>
      <c r="OMF239" s="537"/>
      <c r="OMG239" s="537"/>
      <c r="OMH239" s="537"/>
      <c r="OMI239" s="537"/>
      <c r="OMJ239" s="537"/>
      <c r="OMK239" s="537"/>
      <c r="OML239" s="537"/>
      <c r="OMM239" s="537"/>
      <c r="OMN239" s="537"/>
      <c r="OMO239" s="537"/>
      <c r="OMP239" s="537"/>
      <c r="OMQ239" s="537"/>
      <c r="OMR239" s="537"/>
      <c r="OMS239" s="537"/>
      <c r="OMT239" s="537"/>
      <c r="OMU239" s="537"/>
      <c r="OMV239" s="537"/>
      <c r="OMW239" s="537"/>
      <c r="OMX239" s="537"/>
      <c r="OMY239" s="537"/>
      <c r="OMZ239" s="537"/>
      <c r="ONA239" s="537"/>
      <c r="ONB239" s="537"/>
      <c r="ONC239" s="537"/>
      <c r="OND239" s="537"/>
      <c r="ONE239" s="537"/>
      <c r="ONF239" s="537"/>
      <c r="ONG239" s="537"/>
      <c r="ONH239" s="537"/>
      <c r="ONI239" s="537"/>
      <c r="ONJ239" s="537"/>
      <c r="ONK239" s="537"/>
      <c r="ONL239" s="537"/>
      <c r="ONM239" s="537"/>
      <c r="ONN239" s="537"/>
      <c r="ONO239" s="537"/>
      <c r="ONP239" s="537"/>
      <c r="ONQ239" s="537"/>
      <c r="ONR239" s="537"/>
      <c r="ONS239" s="537"/>
      <c r="ONT239" s="537"/>
      <c r="ONU239" s="537"/>
      <c r="ONV239" s="537"/>
      <c r="ONW239" s="537"/>
      <c r="ONX239" s="537"/>
      <c r="ONY239" s="537"/>
      <c r="ONZ239" s="537"/>
      <c r="OOA239" s="537"/>
      <c r="OOB239" s="537"/>
      <c r="OOC239" s="537"/>
      <c r="OOD239" s="537"/>
      <c r="OOE239" s="537"/>
      <c r="OOF239" s="537"/>
      <c r="OOG239" s="537"/>
      <c r="OOH239" s="537"/>
      <c r="OOI239" s="537"/>
      <c r="OOJ239" s="537"/>
      <c r="OOK239" s="537"/>
      <c r="OOL239" s="537"/>
      <c r="OOM239" s="537"/>
      <c r="OON239" s="537"/>
      <c r="OOO239" s="537"/>
      <c r="OOP239" s="537"/>
      <c r="OOQ239" s="537"/>
      <c r="OOR239" s="537"/>
      <c r="OOS239" s="537"/>
      <c r="OOT239" s="537"/>
      <c r="OOU239" s="537"/>
      <c r="OOV239" s="537"/>
      <c r="OOW239" s="537"/>
      <c r="OOX239" s="537"/>
      <c r="OOY239" s="537"/>
      <c r="OOZ239" s="537"/>
      <c r="OPA239" s="537"/>
      <c r="OPB239" s="537"/>
      <c r="OPC239" s="537"/>
      <c r="OPD239" s="537"/>
      <c r="OPE239" s="537"/>
      <c r="OPF239" s="537"/>
      <c r="OPG239" s="537"/>
      <c r="OPH239" s="537"/>
      <c r="OPI239" s="537"/>
      <c r="OPJ239" s="537"/>
      <c r="OPK239" s="537"/>
      <c r="OPL239" s="537"/>
      <c r="OPM239" s="537"/>
      <c r="OPN239" s="537"/>
      <c r="OPO239" s="537"/>
      <c r="OPP239" s="537"/>
      <c r="OPQ239" s="537"/>
      <c r="OPR239" s="537"/>
      <c r="OPS239" s="537"/>
      <c r="OPT239" s="537"/>
      <c r="OPU239" s="537"/>
      <c r="OPV239" s="537"/>
      <c r="OPW239" s="537"/>
      <c r="OPX239" s="537"/>
      <c r="OPY239" s="537"/>
      <c r="OPZ239" s="537"/>
      <c r="OQA239" s="537"/>
      <c r="OQB239" s="537"/>
      <c r="OQC239" s="537"/>
      <c r="OQD239" s="537"/>
      <c r="OQE239" s="537"/>
      <c r="OQF239" s="537"/>
      <c r="OQG239" s="537"/>
      <c r="OQH239" s="537"/>
      <c r="OQI239" s="537"/>
      <c r="OQJ239" s="537"/>
      <c r="OQK239" s="537"/>
      <c r="OQL239" s="537"/>
      <c r="OQM239" s="537"/>
      <c r="OQN239" s="537"/>
      <c r="OQO239" s="537"/>
      <c r="OQP239" s="537"/>
      <c r="OQQ239" s="537"/>
      <c r="OQR239" s="537"/>
      <c r="OQS239" s="537"/>
      <c r="OQT239" s="537"/>
      <c r="OQU239" s="537"/>
      <c r="OQV239" s="537"/>
      <c r="OQW239" s="537"/>
      <c r="OQX239" s="537"/>
      <c r="OQY239" s="537"/>
      <c r="OQZ239" s="537"/>
      <c r="ORA239" s="537"/>
      <c r="ORB239" s="537"/>
      <c r="ORC239" s="537"/>
      <c r="ORD239" s="537"/>
      <c r="ORE239" s="537"/>
      <c r="ORF239" s="537"/>
      <c r="ORG239" s="537"/>
      <c r="ORH239" s="537"/>
      <c r="ORI239" s="537"/>
      <c r="ORJ239" s="537"/>
      <c r="ORK239" s="537"/>
      <c r="ORL239" s="537"/>
      <c r="ORM239" s="537"/>
      <c r="ORN239" s="537"/>
      <c r="ORO239" s="537"/>
      <c r="ORP239" s="537"/>
      <c r="ORQ239" s="537"/>
      <c r="ORR239" s="537"/>
      <c r="ORS239" s="537"/>
      <c r="ORT239" s="537"/>
      <c r="ORU239" s="537"/>
      <c r="ORV239" s="537"/>
      <c r="ORW239" s="537"/>
      <c r="ORX239" s="537"/>
      <c r="ORY239" s="537"/>
      <c r="ORZ239" s="537"/>
      <c r="OSA239" s="537"/>
      <c r="OSB239" s="537"/>
      <c r="OSC239" s="537"/>
      <c r="OSD239" s="537"/>
      <c r="OSE239" s="537"/>
      <c r="OSF239" s="537"/>
      <c r="OSG239" s="537"/>
      <c r="OSH239" s="537"/>
      <c r="OSI239" s="537"/>
      <c r="OSJ239" s="537"/>
      <c r="OSK239" s="537"/>
      <c r="OSL239" s="537"/>
      <c r="OSM239" s="537"/>
      <c r="OSN239" s="537"/>
      <c r="OSO239" s="537"/>
      <c r="OSP239" s="537"/>
      <c r="OSQ239" s="537"/>
      <c r="OSR239" s="537"/>
      <c r="OSS239" s="537"/>
      <c r="OST239" s="537"/>
      <c r="OSU239" s="537"/>
      <c r="OSV239" s="537"/>
      <c r="OSW239" s="537"/>
      <c r="OSX239" s="537"/>
      <c r="OSY239" s="537"/>
      <c r="OSZ239" s="537"/>
      <c r="OTA239" s="537"/>
      <c r="OTB239" s="537"/>
      <c r="OTC239" s="537"/>
      <c r="OTD239" s="537"/>
      <c r="OTE239" s="537"/>
      <c r="OTF239" s="537"/>
      <c r="OTG239" s="537"/>
      <c r="OTH239" s="537"/>
      <c r="OTI239" s="537"/>
      <c r="OTJ239" s="537"/>
      <c r="OTK239" s="537"/>
      <c r="OTL239" s="537"/>
      <c r="OTM239" s="537"/>
      <c r="OTN239" s="537"/>
      <c r="OTO239" s="537"/>
      <c r="OTP239" s="537"/>
      <c r="OTQ239" s="537"/>
      <c r="OTR239" s="537"/>
      <c r="OTS239" s="537"/>
      <c r="OTT239" s="537"/>
      <c r="OTU239" s="537"/>
      <c r="OTV239" s="537"/>
      <c r="OTW239" s="537"/>
      <c r="OTX239" s="537"/>
      <c r="OTY239" s="537"/>
      <c r="OTZ239" s="537"/>
      <c r="OUA239" s="537"/>
      <c r="OUB239" s="537"/>
      <c r="OUC239" s="537"/>
      <c r="OUD239" s="537"/>
      <c r="OUE239" s="537"/>
      <c r="OUF239" s="537"/>
      <c r="OUG239" s="537"/>
      <c r="OUH239" s="537"/>
      <c r="OUI239" s="537"/>
      <c r="OUJ239" s="537"/>
      <c r="OUK239" s="537"/>
      <c r="OUL239" s="537"/>
      <c r="OUM239" s="537"/>
      <c r="OUN239" s="537"/>
      <c r="OUO239" s="537"/>
      <c r="OUP239" s="537"/>
      <c r="OUQ239" s="537"/>
      <c r="OUR239" s="537"/>
      <c r="OUS239" s="537"/>
      <c r="OUT239" s="537"/>
      <c r="OUU239" s="537"/>
      <c r="OUV239" s="537"/>
      <c r="OUW239" s="537"/>
      <c r="OUX239" s="537"/>
      <c r="OUY239" s="537"/>
      <c r="OUZ239" s="537"/>
      <c r="OVA239" s="537"/>
      <c r="OVB239" s="537"/>
      <c r="OVC239" s="537"/>
      <c r="OVD239" s="537"/>
      <c r="OVE239" s="537"/>
      <c r="OVF239" s="537"/>
      <c r="OVG239" s="537"/>
      <c r="OVH239" s="537"/>
      <c r="OVI239" s="537"/>
      <c r="OVJ239" s="537"/>
      <c r="OVK239" s="537"/>
      <c r="OVL239" s="537"/>
      <c r="OVM239" s="537"/>
      <c r="OVN239" s="537"/>
      <c r="OVO239" s="537"/>
      <c r="OVP239" s="537"/>
      <c r="OVQ239" s="537"/>
      <c r="OVR239" s="537"/>
      <c r="OVS239" s="537"/>
      <c r="OVT239" s="537"/>
      <c r="OVU239" s="537"/>
      <c r="OVV239" s="537"/>
      <c r="OVW239" s="537"/>
      <c r="OVX239" s="537"/>
      <c r="OVY239" s="537"/>
      <c r="OVZ239" s="537"/>
      <c r="OWA239" s="537"/>
      <c r="OWB239" s="537"/>
      <c r="OWC239" s="537"/>
      <c r="OWD239" s="537"/>
      <c r="OWE239" s="537"/>
      <c r="OWF239" s="537"/>
      <c r="OWG239" s="537"/>
      <c r="OWH239" s="537"/>
      <c r="OWI239" s="537"/>
      <c r="OWJ239" s="537"/>
      <c r="OWK239" s="537"/>
      <c r="OWL239" s="537"/>
      <c r="OWM239" s="537"/>
      <c r="OWN239" s="537"/>
      <c r="OWO239" s="537"/>
      <c r="OWP239" s="537"/>
      <c r="OWQ239" s="537"/>
      <c r="OWR239" s="537"/>
      <c r="OWS239" s="537"/>
      <c r="OWT239" s="537"/>
      <c r="OWU239" s="537"/>
      <c r="OWV239" s="537"/>
      <c r="OWW239" s="537"/>
      <c r="OWX239" s="537"/>
      <c r="OWY239" s="537"/>
      <c r="OWZ239" s="537"/>
      <c r="OXA239" s="537"/>
      <c r="OXB239" s="537"/>
      <c r="OXC239" s="537"/>
      <c r="OXD239" s="537"/>
      <c r="OXE239" s="537"/>
      <c r="OXF239" s="537"/>
      <c r="OXG239" s="537"/>
      <c r="OXH239" s="537"/>
      <c r="OXI239" s="537"/>
      <c r="OXJ239" s="537"/>
      <c r="OXK239" s="537"/>
      <c r="OXL239" s="537"/>
      <c r="OXM239" s="537"/>
      <c r="OXN239" s="537"/>
      <c r="OXO239" s="537"/>
      <c r="OXP239" s="537"/>
      <c r="OXQ239" s="537"/>
      <c r="OXR239" s="537"/>
      <c r="OXS239" s="537"/>
      <c r="OXT239" s="537"/>
      <c r="OXU239" s="537"/>
      <c r="OXV239" s="537"/>
      <c r="OXW239" s="537"/>
      <c r="OXX239" s="537"/>
      <c r="OXY239" s="537"/>
      <c r="OXZ239" s="537"/>
      <c r="OYA239" s="537"/>
      <c r="OYB239" s="537"/>
      <c r="OYC239" s="537"/>
      <c r="OYD239" s="537"/>
      <c r="OYE239" s="537"/>
      <c r="OYF239" s="537"/>
      <c r="OYG239" s="537"/>
      <c r="OYH239" s="537"/>
      <c r="OYI239" s="537"/>
      <c r="OYJ239" s="537"/>
      <c r="OYK239" s="537"/>
      <c r="OYL239" s="537"/>
      <c r="OYM239" s="537"/>
      <c r="OYN239" s="537"/>
      <c r="OYO239" s="537"/>
      <c r="OYP239" s="537"/>
      <c r="OYQ239" s="537"/>
      <c r="OYR239" s="537"/>
      <c r="OYS239" s="537"/>
      <c r="OYT239" s="537"/>
      <c r="OYU239" s="537"/>
      <c r="OYV239" s="537"/>
      <c r="OYW239" s="537"/>
      <c r="OYX239" s="537"/>
      <c r="OYY239" s="537"/>
      <c r="OYZ239" s="537"/>
      <c r="OZA239" s="537"/>
      <c r="OZB239" s="537"/>
      <c r="OZC239" s="537"/>
      <c r="OZD239" s="537"/>
      <c r="OZE239" s="537"/>
      <c r="OZF239" s="537"/>
      <c r="OZG239" s="537"/>
      <c r="OZH239" s="537"/>
      <c r="OZI239" s="537"/>
      <c r="OZJ239" s="537"/>
      <c r="OZK239" s="537"/>
      <c r="OZL239" s="537"/>
      <c r="OZM239" s="537"/>
      <c r="OZN239" s="537"/>
      <c r="OZO239" s="537"/>
      <c r="OZP239" s="537"/>
      <c r="OZQ239" s="537"/>
      <c r="OZR239" s="537"/>
      <c r="OZS239" s="537"/>
      <c r="OZT239" s="537"/>
      <c r="OZU239" s="537"/>
      <c r="OZV239" s="537"/>
      <c r="OZW239" s="537"/>
      <c r="OZX239" s="537"/>
      <c r="OZY239" s="537"/>
      <c r="OZZ239" s="537"/>
      <c r="PAA239" s="537"/>
      <c r="PAB239" s="537"/>
      <c r="PAC239" s="537"/>
      <c r="PAD239" s="537"/>
      <c r="PAE239" s="537"/>
      <c r="PAF239" s="537"/>
      <c r="PAG239" s="537"/>
      <c r="PAH239" s="537"/>
      <c r="PAI239" s="537"/>
      <c r="PAJ239" s="537"/>
      <c r="PAK239" s="537"/>
      <c r="PAL239" s="537"/>
      <c r="PAM239" s="537"/>
      <c r="PAN239" s="537"/>
      <c r="PAO239" s="537"/>
      <c r="PAP239" s="537"/>
      <c r="PAQ239" s="537"/>
      <c r="PAR239" s="537"/>
      <c r="PAS239" s="537"/>
      <c r="PAT239" s="537"/>
      <c r="PAU239" s="537"/>
      <c r="PAV239" s="537"/>
      <c r="PAW239" s="537"/>
      <c r="PAX239" s="537"/>
      <c r="PAY239" s="537"/>
      <c r="PAZ239" s="537"/>
      <c r="PBA239" s="537"/>
      <c r="PBB239" s="537"/>
      <c r="PBC239" s="537"/>
      <c r="PBD239" s="537"/>
      <c r="PBE239" s="537"/>
      <c r="PBF239" s="537"/>
      <c r="PBG239" s="537"/>
      <c r="PBH239" s="537"/>
      <c r="PBI239" s="537"/>
      <c r="PBJ239" s="537"/>
      <c r="PBK239" s="537"/>
      <c r="PBL239" s="537"/>
      <c r="PBM239" s="537"/>
      <c r="PBN239" s="537"/>
      <c r="PBO239" s="537"/>
      <c r="PBP239" s="537"/>
      <c r="PBQ239" s="537"/>
      <c r="PBR239" s="537"/>
      <c r="PBS239" s="537"/>
      <c r="PBT239" s="537"/>
      <c r="PBU239" s="537"/>
      <c r="PBV239" s="537"/>
      <c r="PBW239" s="537"/>
      <c r="PBX239" s="537"/>
      <c r="PBY239" s="537"/>
      <c r="PBZ239" s="537"/>
      <c r="PCA239" s="537"/>
      <c r="PCB239" s="537"/>
      <c r="PCC239" s="537"/>
      <c r="PCD239" s="537"/>
      <c r="PCE239" s="537"/>
      <c r="PCF239" s="537"/>
      <c r="PCG239" s="537"/>
      <c r="PCH239" s="537"/>
      <c r="PCI239" s="537"/>
      <c r="PCJ239" s="537"/>
      <c r="PCK239" s="537"/>
      <c r="PCL239" s="537"/>
      <c r="PCM239" s="537"/>
      <c r="PCN239" s="537"/>
      <c r="PCO239" s="537"/>
      <c r="PCP239" s="537"/>
      <c r="PCQ239" s="537"/>
      <c r="PCR239" s="537"/>
      <c r="PCS239" s="537"/>
      <c r="PCT239" s="537"/>
      <c r="PCU239" s="537"/>
      <c r="PCV239" s="537"/>
      <c r="PCW239" s="537"/>
      <c r="PCX239" s="537"/>
      <c r="PCY239" s="537"/>
      <c r="PCZ239" s="537"/>
      <c r="PDA239" s="537"/>
      <c r="PDB239" s="537"/>
      <c r="PDC239" s="537"/>
      <c r="PDD239" s="537"/>
      <c r="PDE239" s="537"/>
      <c r="PDF239" s="537"/>
      <c r="PDG239" s="537"/>
      <c r="PDH239" s="537"/>
      <c r="PDI239" s="537"/>
      <c r="PDJ239" s="537"/>
      <c r="PDK239" s="537"/>
      <c r="PDL239" s="537"/>
      <c r="PDM239" s="537"/>
      <c r="PDN239" s="537"/>
      <c r="PDO239" s="537"/>
      <c r="PDP239" s="537"/>
      <c r="PDQ239" s="537"/>
      <c r="PDR239" s="537"/>
      <c r="PDS239" s="537"/>
      <c r="PDT239" s="537"/>
      <c r="PDU239" s="537"/>
      <c r="PDV239" s="537"/>
      <c r="PDW239" s="537"/>
      <c r="PDX239" s="537"/>
      <c r="PDY239" s="537"/>
      <c r="PDZ239" s="537"/>
      <c r="PEA239" s="537"/>
      <c r="PEB239" s="537"/>
      <c r="PEC239" s="537"/>
      <c r="PED239" s="537"/>
      <c r="PEE239" s="537"/>
      <c r="PEF239" s="537"/>
      <c r="PEG239" s="537"/>
      <c r="PEH239" s="537"/>
      <c r="PEI239" s="537"/>
      <c r="PEJ239" s="537"/>
      <c r="PEK239" s="537"/>
      <c r="PEL239" s="537"/>
      <c r="PEM239" s="537"/>
      <c r="PEN239" s="537"/>
      <c r="PEO239" s="537"/>
      <c r="PEP239" s="537"/>
      <c r="PEQ239" s="537"/>
      <c r="PER239" s="537"/>
      <c r="PES239" s="537"/>
      <c r="PET239" s="537"/>
      <c r="PEU239" s="537"/>
      <c r="PEV239" s="537"/>
      <c r="PEW239" s="537"/>
      <c r="PEX239" s="537"/>
      <c r="PEY239" s="537"/>
      <c r="PEZ239" s="537"/>
      <c r="PFA239" s="537"/>
      <c r="PFB239" s="537"/>
      <c r="PFC239" s="537"/>
      <c r="PFD239" s="537"/>
      <c r="PFE239" s="537"/>
      <c r="PFF239" s="537"/>
      <c r="PFG239" s="537"/>
      <c r="PFH239" s="537"/>
      <c r="PFI239" s="537"/>
      <c r="PFJ239" s="537"/>
      <c r="PFK239" s="537"/>
      <c r="PFL239" s="537"/>
      <c r="PFM239" s="537"/>
      <c r="PFN239" s="537"/>
      <c r="PFO239" s="537"/>
      <c r="PFP239" s="537"/>
      <c r="PFQ239" s="537"/>
      <c r="PFR239" s="537"/>
      <c r="PFS239" s="537"/>
      <c r="PFT239" s="537"/>
      <c r="PFU239" s="537"/>
      <c r="PFV239" s="537"/>
      <c r="PFW239" s="537"/>
      <c r="PFX239" s="537"/>
      <c r="PFY239" s="537"/>
      <c r="PFZ239" s="537"/>
      <c r="PGA239" s="537"/>
      <c r="PGB239" s="537"/>
      <c r="PGC239" s="537"/>
      <c r="PGD239" s="537"/>
      <c r="PGE239" s="537"/>
      <c r="PGF239" s="537"/>
      <c r="PGG239" s="537"/>
      <c r="PGH239" s="537"/>
      <c r="PGI239" s="537"/>
      <c r="PGJ239" s="537"/>
      <c r="PGK239" s="537"/>
      <c r="PGL239" s="537"/>
      <c r="PGM239" s="537"/>
      <c r="PGN239" s="537"/>
      <c r="PGO239" s="537"/>
      <c r="PGP239" s="537"/>
      <c r="PGQ239" s="537"/>
      <c r="PGR239" s="537"/>
      <c r="PGS239" s="537"/>
      <c r="PGT239" s="537"/>
      <c r="PGU239" s="537"/>
      <c r="PGV239" s="537"/>
      <c r="PGW239" s="537"/>
      <c r="PGX239" s="537"/>
      <c r="PGY239" s="537"/>
      <c r="PGZ239" s="537"/>
      <c r="PHA239" s="537"/>
      <c r="PHB239" s="537"/>
      <c r="PHC239" s="537"/>
      <c r="PHD239" s="537"/>
      <c r="PHE239" s="537"/>
      <c r="PHF239" s="537"/>
      <c r="PHG239" s="537"/>
      <c r="PHH239" s="537"/>
      <c r="PHI239" s="537"/>
      <c r="PHJ239" s="537"/>
      <c r="PHK239" s="537"/>
      <c r="PHL239" s="537"/>
      <c r="PHM239" s="537"/>
      <c r="PHN239" s="537"/>
      <c r="PHO239" s="537"/>
      <c r="PHP239" s="537"/>
      <c r="PHQ239" s="537"/>
      <c r="PHR239" s="537"/>
      <c r="PHS239" s="537"/>
      <c r="PHT239" s="537"/>
      <c r="PHU239" s="537"/>
      <c r="PHV239" s="537"/>
      <c r="PHW239" s="537"/>
      <c r="PHX239" s="537"/>
      <c r="PHY239" s="537"/>
      <c r="PHZ239" s="537"/>
      <c r="PIA239" s="537"/>
      <c r="PIB239" s="537"/>
      <c r="PIC239" s="537"/>
      <c r="PID239" s="537"/>
      <c r="PIE239" s="537"/>
      <c r="PIF239" s="537"/>
      <c r="PIG239" s="537"/>
      <c r="PIH239" s="537"/>
      <c r="PII239" s="537"/>
      <c r="PIJ239" s="537"/>
      <c r="PIK239" s="537"/>
      <c r="PIL239" s="537"/>
      <c r="PIM239" s="537"/>
      <c r="PIN239" s="537"/>
      <c r="PIO239" s="537"/>
      <c r="PIP239" s="537"/>
      <c r="PIQ239" s="537"/>
      <c r="PIR239" s="537"/>
      <c r="PIS239" s="537"/>
      <c r="PIT239" s="537"/>
      <c r="PIU239" s="537"/>
      <c r="PIV239" s="537"/>
      <c r="PIW239" s="537"/>
      <c r="PIX239" s="537"/>
      <c r="PIY239" s="537"/>
      <c r="PIZ239" s="537"/>
      <c r="PJA239" s="537"/>
      <c r="PJB239" s="537"/>
      <c r="PJC239" s="537"/>
      <c r="PJD239" s="537"/>
      <c r="PJE239" s="537"/>
      <c r="PJF239" s="537"/>
      <c r="PJG239" s="537"/>
      <c r="PJH239" s="537"/>
      <c r="PJI239" s="537"/>
      <c r="PJJ239" s="537"/>
      <c r="PJK239" s="537"/>
      <c r="PJL239" s="537"/>
      <c r="PJM239" s="537"/>
      <c r="PJN239" s="537"/>
      <c r="PJO239" s="537"/>
      <c r="PJP239" s="537"/>
      <c r="PJQ239" s="537"/>
      <c r="PJR239" s="537"/>
      <c r="PJS239" s="537"/>
      <c r="PJT239" s="537"/>
      <c r="PJU239" s="537"/>
      <c r="PJV239" s="537"/>
      <c r="PJW239" s="537"/>
      <c r="PJX239" s="537"/>
      <c r="PJY239" s="537"/>
      <c r="PJZ239" s="537"/>
      <c r="PKA239" s="537"/>
      <c r="PKB239" s="537"/>
      <c r="PKC239" s="537"/>
      <c r="PKD239" s="537"/>
      <c r="PKE239" s="537"/>
      <c r="PKF239" s="537"/>
      <c r="PKG239" s="537"/>
      <c r="PKH239" s="537"/>
      <c r="PKI239" s="537"/>
      <c r="PKJ239" s="537"/>
      <c r="PKK239" s="537"/>
      <c r="PKL239" s="537"/>
      <c r="PKM239" s="537"/>
      <c r="PKN239" s="537"/>
      <c r="PKO239" s="537"/>
      <c r="PKP239" s="537"/>
      <c r="PKQ239" s="537"/>
      <c r="PKR239" s="537"/>
      <c r="PKS239" s="537"/>
      <c r="PKT239" s="537"/>
      <c r="PKU239" s="537"/>
      <c r="PKV239" s="537"/>
      <c r="PKW239" s="537"/>
      <c r="PKX239" s="537"/>
      <c r="PKY239" s="537"/>
      <c r="PKZ239" s="537"/>
      <c r="PLA239" s="537"/>
      <c r="PLB239" s="537"/>
      <c r="PLC239" s="537"/>
      <c r="PLD239" s="537"/>
      <c r="PLE239" s="537"/>
      <c r="PLF239" s="537"/>
      <c r="PLG239" s="537"/>
      <c r="PLH239" s="537"/>
      <c r="PLI239" s="537"/>
      <c r="PLJ239" s="537"/>
      <c r="PLK239" s="537"/>
      <c r="PLL239" s="537"/>
      <c r="PLM239" s="537"/>
      <c r="PLN239" s="537"/>
      <c r="PLO239" s="537"/>
      <c r="PLP239" s="537"/>
      <c r="PLQ239" s="537"/>
      <c r="PLR239" s="537"/>
      <c r="PLS239" s="537"/>
      <c r="PLT239" s="537"/>
      <c r="PLU239" s="537"/>
      <c r="PLV239" s="537"/>
      <c r="PLW239" s="537"/>
      <c r="PLX239" s="537"/>
      <c r="PLY239" s="537"/>
      <c r="PLZ239" s="537"/>
      <c r="PMA239" s="537"/>
      <c r="PMB239" s="537"/>
      <c r="PMC239" s="537"/>
      <c r="PMD239" s="537"/>
      <c r="PME239" s="537"/>
      <c r="PMF239" s="537"/>
      <c r="PMG239" s="537"/>
      <c r="PMH239" s="537"/>
      <c r="PMI239" s="537"/>
      <c r="PMJ239" s="537"/>
      <c r="PMK239" s="537"/>
      <c r="PML239" s="537"/>
      <c r="PMM239" s="537"/>
      <c r="PMN239" s="537"/>
      <c r="PMO239" s="537"/>
      <c r="PMP239" s="537"/>
      <c r="PMQ239" s="537"/>
      <c r="PMR239" s="537"/>
      <c r="PMS239" s="537"/>
      <c r="PMT239" s="537"/>
      <c r="PMU239" s="537"/>
      <c r="PMV239" s="537"/>
      <c r="PMW239" s="537"/>
      <c r="PMX239" s="537"/>
      <c r="PMY239" s="537"/>
      <c r="PMZ239" s="537"/>
      <c r="PNA239" s="537"/>
      <c r="PNB239" s="537"/>
      <c r="PNC239" s="537"/>
      <c r="PND239" s="537"/>
      <c r="PNE239" s="537"/>
      <c r="PNF239" s="537"/>
      <c r="PNG239" s="537"/>
      <c r="PNH239" s="537"/>
      <c r="PNI239" s="537"/>
      <c r="PNJ239" s="537"/>
      <c r="PNK239" s="537"/>
      <c r="PNL239" s="537"/>
      <c r="PNM239" s="537"/>
      <c r="PNN239" s="537"/>
      <c r="PNO239" s="537"/>
      <c r="PNP239" s="537"/>
      <c r="PNQ239" s="537"/>
      <c r="PNR239" s="537"/>
      <c r="PNS239" s="537"/>
      <c r="PNT239" s="537"/>
      <c r="PNU239" s="537"/>
      <c r="PNV239" s="537"/>
      <c r="PNW239" s="537"/>
      <c r="PNX239" s="537"/>
      <c r="PNY239" s="537"/>
      <c r="PNZ239" s="537"/>
      <c r="POA239" s="537"/>
      <c r="POB239" s="537"/>
      <c r="POC239" s="537"/>
      <c r="POD239" s="537"/>
      <c r="POE239" s="537"/>
      <c r="POF239" s="537"/>
      <c r="POG239" s="537"/>
      <c r="POH239" s="537"/>
      <c r="POI239" s="537"/>
      <c r="POJ239" s="537"/>
      <c r="POK239" s="537"/>
      <c r="POL239" s="537"/>
      <c r="POM239" s="537"/>
      <c r="PON239" s="537"/>
      <c r="POO239" s="537"/>
      <c r="POP239" s="537"/>
      <c r="POQ239" s="537"/>
      <c r="POR239" s="537"/>
      <c r="POS239" s="537"/>
      <c r="POT239" s="537"/>
      <c r="POU239" s="537"/>
      <c r="POV239" s="537"/>
      <c r="POW239" s="537"/>
      <c r="POX239" s="537"/>
      <c r="POY239" s="537"/>
      <c r="POZ239" s="537"/>
      <c r="PPA239" s="537"/>
      <c r="PPB239" s="537"/>
      <c r="PPC239" s="537"/>
      <c r="PPD239" s="537"/>
      <c r="PPE239" s="537"/>
      <c r="PPF239" s="537"/>
      <c r="PPG239" s="537"/>
      <c r="PPH239" s="537"/>
      <c r="PPI239" s="537"/>
      <c r="PPJ239" s="537"/>
      <c r="PPK239" s="537"/>
      <c r="PPL239" s="537"/>
      <c r="PPM239" s="537"/>
      <c r="PPN239" s="537"/>
      <c r="PPO239" s="537"/>
      <c r="PPP239" s="537"/>
      <c r="PPQ239" s="537"/>
      <c r="PPR239" s="537"/>
      <c r="PPS239" s="537"/>
      <c r="PPT239" s="537"/>
      <c r="PPU239" s="537"/>
      <c r="PPV239" s="537"/>
      <c r="PPW239" s="537"/>
      <c r="PPX239" s="537"/>
      <c r="PPY239" s="537"/>
      <c r="PPZ239" s="537"/>
      <c r="PQA239" s="537"/>
      <c r="PQB239" s="537"/>
      <c r="PQC239" s="537"/>
      <c r="PQD239" s="537"/>
      <c r="PQE239" s="537"/>
      <c r="PQF239" s="537"/>
      <c r="PQG239" s="537"/>
      <c r="PQH239" s="537"/>
      <c r="PQI239" s="537"/>
      <c r="PQJ239" s="537"/>
      <c r="PQK239" s="537"/>
      <c r="PQL239" s="537"/>
      <c r="PQM239" s="537"/>
      <c r="PQN239" s="537"/>
      <c r="PQO239" s="537"/>
      <c r="PQP239" s="537"/>
      <c r="PQQ239" s="537"/>
      <c r="PQR239" s="537"/>
      <c r="PQS239" s="537"/>
      <c r="PQT239" s="537"/>
      <c r="PQU239" s="537"/>
      <c r="PQV239" s="537"/>
      <c r="PQW239" s="537"/>
      <c r="PQX239" s="537"/>
      <c r="PQY239" s="537"/>
      <c r="PQZ239" s="537"/>
      <c r="PRA239" s="537"/>
      <c r="PRB239" s="537"/>
      <c r="PRC239" s="537"/>
      <c r="PRD239" s="537"/>
      <c r="PRE239" s="537"/>
      <c r="PRF239" s="537"/>
      <c r="PRG239" s="537"/>
      <c r="PRH239" s="537"/>
      <c r="PRI239" s="537"/>
      <c r="PRJ239" s="537"/>
      <c r="PRK239" s="537"/>
      <c r="PRL239" s="537"/>
      <c r="PRM239" s="537"/>
      <c r="PRN239" s="537"/>
      <c r="PRO239" s="537"/>
      <c r="PRP239" s="537"/>
      <c r="PRQ239" s="537"/>
      <c r="PRR239" s="537"/>
      <c r="PRS239" s="537"/>
      <c r="PRT239" s="537"/>
      <c r="PRU239" s="537"/>
      <c r="PRV239" s="537"/>
      <c r="PRW239" s="537"/>
      <c r="PRX239" s="537"/>
      <c r="PRY239" s="537"/>
      <c r="PRZ239" s="537"/>
      <c r="PSA239" s="537"/>
      <c r="PSB239" s="537"/>
      <c r="PSC239" s="537"/>
      <c r="PSD239" s="537"/>
      <c r="PSE239" s="537"/>
      <c r="PSF239" s="537"/>
      <c r="PSG239" s="537"/>
      <c r="PSH239" s="537"/>
      <c r="PSI239" s="537"/>
      <c r="PSJ239" s="537"/>
      <c r="PSK239" s="537"/>
      <c r="PSL239" s="537"/>
      <c r="PSM239" s="537"/>
      <c r="PSN239" s="537"/>
      <c r="PSO239" s="537"/>
      <c r="PSP239" s="537"/>
      <c r="PSQ239" s="537"/>
      <c r="PSR239" s="537"/>
      <c r="PSS239" s="537"/>
      <c r="PST239" s="537"/>
      <c r="PSU239" s="537"/>
      <c r="PSV239" s="537"/>
      <c r="PSW239" s="537"/>
      <c r="PSX239" s="537"/>
      <c r="PSY239" s="537"/>
      <c r="PSZ239" s="537"/>
      <c r="PTA239" s="537"/>
      <c r="PTB239" s="537"/>
      <c r="PTC239" s="537"/>
      <c r="PTD239" s="537"/>
      <c r="PTE239" s="537"/>
      <c r="PTF239" s="537"/>
      <c r="PTG239" s="537"/>
      <c r="PTH239" s="537"/>
      <c r="PTI239" s="537"/>
      <c r="PTJ239" s="537"/>
      <c r="PTK239" s="537"/>
      <c r="PTL239" s="537"/>
      <c r="PTM239" s="537"/>
      <c r="PTN239" s="537"/>
      <c r="PTO239" s="537"/>
      <c r="PTP239" s="537"/>
      <c r="PTQ239" s="537"/>
      <c r="PTR239" s="537"/>
      <c r="PTS239" s="537"/>
      <c r="PTT239" s="537"/>
      <c r="PTU239" s="537"/>
      <c r="PTV239" s="537"/>
      <c r="PTW239" s="537"/>
      <c r="PTX239" s="537"/>
      <c r="PTY239" s="537"/>
      <c r="PTZ239" s="537"/>
      <c r="PUA239" s="537"/>
      <c r="PUB239" s="537"/>
      <c r="PUC239" s="537"/>
      <c r="PUD239" s="537"/>
      <c r="PUE239" s="537"/>
      <c r="PUF239" s="537"/>
      <c r="PUG239" s="537"/>
      <c r="PUH239" s="537"/>
      <c r="PUI239" s="537"/>
      <c r="PUJ239" s="537"/>
      <c r="PUK239" s="537"/>
      <c r="PUL239" s="537"/>
      <c r="PUM239" s="537"/>
      <c r="PUN239" s="537"/>
      <c r="PUO239" s="537"/>
      <c r="PUP239" s="537"/>
      <c r="PUQ239" s="537"/>
      <c r="PUR239" s="537"/>
      <c r="PUS239" s="537"/>
      <c r="PUT239" s="537"/>
      <c r="PUU239" s="537"/>
      <c r="PUV239" s="537"/>
      <c r="PUW239" s="537"/>
      <c r="PUX239" s="537"/>
      <c r="PUY239" s="537"/>
      <c r="PUZ239" s="537"/>
      <c r="PVA239" s="537"/>
      <c r="PVB239" s="537"/>
      <c r="PVC239" s="537"/>
      <c r="PVD239" s="537"/>
      <c r="PVE239" s="537"/>
      <c r="PVF239" s="537"/>
      <c r="PVG239" s="537"/>
      <c r="PVH239" s="537"/>
      <c r="PVI239" s="537"/>
      <c r="PVJ239" s="537"/>
      <c r="PVK239" s="537"/>
      <c r="PVL239" s="537"/>
      <c r="PVM239" s="537"/>
      <c r="PVN239" s="537"/>
      <c r="PVO239" s="537"/>
      <c r="PVP239" s="537"/>
      <c r="PVQ239" s="537"/>
      <c r="PVR239" s="537"/>
      <c r="PVS239" s="537"/>
      <c r="PVT239" s="537"/>
      <c r="PVU239" s="537"/>
      <c r="PVV239" s="537"/>
      <c r="PVW239" s="537"/>
      <c r="PVX239" s="537"/>
      <c r="PVY239" s="537"/>
      <c r="PVZ239" s="537"/>
      <c r="PWA239" s="537"/>
      <c r="PWB239" s="537"/>
      <c r="PWC239" s="537"/>
      <c r="PWD239" s="537"/>
      <c r="PWE239" s="537"/>
      <c r="PWF239" s="537"/>
      <c r="PWG239" s="537"/>
      <c r="PWH239" s="537"/>
      <c r="PWI239" s="537"/>
      <c r="PWJ239" s="537"/>
      <c r="PWK239" s="537"/>
      <c r="PWL239" s="537"/>
      <c r="PWM239" s="537"/>
      <c r="PWN239" s="537"/>
      <c r="PWO239" s="537"/>
      <c r="PWP239" s="537"/>
      <c r="PWQ239" s="537"/>
      <c r="PWR239" s="537"/>
      <c r="PWS239" s="537"/>
      <c r="PWT239" s="537"/>
      <c r="PWU239" s="537"/>
      <c r="PWV239" s="537"/>
      <c r="PWW239" s="537"/>
      <c r="PWX239" s="537"/>
      <c r="PWY239" s="537"/>
      <c r="PWZ239" s="537"/>
      <c r="PXA239" s="537"/>
      <c r="PXB239" s="537"/>
      <c r="PXC239" s="537"/>
      <c r="PXD239" s="537"/>
      <c r="PXE239" s="537"/>
      <c r="PXF239" s="537"/>
      <c r="PXG239" s="537"/>
      <c r="PXH239" s="537"/>
      <c r="PXI239" s="537"/>
      <c r="PXJ239" s="537"/>
      <c r="PXK239" s="537"/>
      <c r="PXL239" s="537"/>
      <c r="PXM239" s="537"/>
      <c r="PXN239" s="537"/>
      <c r="PXO239" s="537"/>
      <c r="PXP239" s="537"/>
      <c r="PXQ239" s="537"/>
      <c r="PXR239" s="537"/>
      <c r="PXS239" s="537"/>
      <c r="PXT239" s="537"/>
      <c r="PXU239" s="537"/>
      <c r="PXV239" s="537"/>
      <c r="PXW239" s="537"/>
      <c r="PXX239" s="537"/>
      <c r="PXY239" s="537"/>
      <c r="PXZ239" s="537"/>
      <c r="PYA239" s="537"/>
      <c r="PYB239" s="537"/>
      <c r="PYC239" s="537"/>
      <c r="PYD239" s="537"/>
      <c r="PYE239" s="537"/>
      <c r="PYF239" s="537"/>
      <c r="PYG239" s="537"/>
      <c r="PYH239" s="537"/>
      <c r="PYI239" s="537"/>
      <c r="PYJ239" s="537"/>
      <c r="PYK239" s="537"/>
      <c r="PYL239" s="537"/>
      <c r="PYM239" s="537"/>
      <c r="PYN239" s="537"/>
      <c r="PYO239" s="537"/>
      <c r="PYP239" s="537"/>
      <c r="PYQ239" s="537"/>
      <c r="PYR239" s="537"/>
      <c r="PYS239" s="537"/>
      <c r="PYT239" s="537"/>
      <c r="PYU239" s="537"/>
      <c r="PYV239" s="537"/>
      <c r="PYW239" s="537"/>
      <c r="PYX239" s="537"/>
      <c r="PYY239" s="537"/>
      <c r="PYZ239" s="537"/>
      <c r="PZA239" s="537"/>
      <c r="PZB239" s="537"/>
      <c r="PZC239" s="537"/>
      <c r="PZD239" s="537"/>
      <c r="PZE239" s="537"/>
      <c r="PZF239" s="537"/>
      <c r="PZG239" s="537"/>
      <c r="PZH239" s="537"/>
      <c r="PZI239" s="537"/>
      <c r="PZJ239" s="537"/>
      <c r="PZK239" s="537"/>
      <c r="PZL239" s="537"/>
      <c r="PZM239" s="537"/>
      <c r="PZN239" s="537"/>
      <c r="PZO239" s="537"/>
      <c r="PZP239" s="537"/>
      <c r="PZQ239" s="537"/>
      <c r="PZR239" s="537"/>
      <c r="PZS239" s="537"/>
      <c r="PZT239" s="537"/>
      <c r="PZU239" s="537"/>
      <c r="PZV239" s="537"/>
      <c r="PZW239" s="537"/>
      <c r="PZX239" s="537"/>
      <c r="PZY239" s="537"/>
      <c r="PZZ239" s="537"/>
      <c r="QAA239" s="537"/>
      <c r="QAB239" s="537"/>
      <c r="QAC239" s="537"/>
      <c r="QAD239" s="537"/>
      <c r="QAE239" s="537"/>
      <c r="QAF239" s="537"/>
      <c r="QAG239" s="537"/>
      <c r="QAH239" s="537"/>
      <c r="QAI239" s="537"/>
      <c r="QAJ239" s="537"/>
      <c r="QAK239" s="537"/>
      <c r="QAL239" s="537"/>
      <c r="QAM239" s="537"/>
      <c r="QAN239" s="537"/>
      <c r="QAO239" s="537"/>
      <c r="QAP239" s="537"/>
      <c r="QAQ239" s="537"/>
      <c r="QAR239" s="537"/>
      <c r="QAS239" s="537"/>
      <c r="QAT239" s="537"/>
      <c r="QAU239" s="537"/>
      <c r="QAV239" s="537"/>
      <c r="QAW239" s="537"/>
      <c r="QAX239" s="537"/>
      <c r="QAY239" s="537"/>
      <c r="QAZ239" s="537"/>
      <c r="QBA239" s="537"/>
      <c r="QBB239" s="537"/>
      <c r="QBC239" s="537"/>
      <c r="QBD239" s="537"/>
      <c r="QBE239" s="537"/>
      <c r="QBF239" s="537"/>
      <c r="QBG239" s="537"/>
      <c r="QBH239" s="537"/>
      <c r="QBI239" s="537"/>
      <c r="QBJ239" s="537"/>
      <c r="QBK239" s="537"/>
      <c r="QBL239" s="537"/>
      <c r="QBM239" s="537"/>
      <c r="QBN239" s="537"/>
      <c r="QBO239" s="537"/>
      <c r="QBP239" s="537"/>
      <c r="QBQ239" s="537"/>
      <c r="QBR239" s="537"/>
      <c r="QBS239" s="537"/>
      <c r="QBT239" s="537"/>
      <c r="QBU239" s="537"/>
      <c r="QBV239" s="537"/>
      <c r="QBW239" s="537"/>
      <c r="QBX239" s="537"/>
      <c r="QBY239" s="537"/>
      <c r="QBZ239" s="537"/>
      <c r="QCA239" s="537"/>
      <c r="QCB239" s="537"/>
      <c r="QCC239" s="537"/>
      <c r="QCD239" s="537"/>
      <c r="QCE239" s="537"/>
      <c r="QCF239" s="537"/>
      <c r="QCG239" s="537"/>
      <c r="QCH239" s="537"/>
      <c r="QCI239" s="537"/>
      <c r="QCJ239" s="537"/>
      <c r="QCK239" s="537"/>
      <c r="QCL239" s="537"/>
      <c r="QCM239" s="537"/>
      <c r="QCN239" s="537"/>
      <c r="QCO239" s="537"/>
      <c r="QCP239" s="537"/>
      <c r="QCQ239" s="537"/>
      <c r="QCR239" s="537"/>
      <c r="QCS239" s="537"/>
      <c r="QCT239" s="537"/>
      <c r="QCU239" s="537"/>
      <c r="QCV239" s="537"/>
      <c r="QCW239" s="537"/>
      <c r="QCX239" s="537"/>
      <c r="QCY239" s="537"/>
      <c r="QCZ239" s="537"/>
      <c r="QDA239" s="537"/>
      <c r="QDB239" s="537"/>
      <c r="QDC239" s="537"/>
      <c r="QDD239" s="537"/>
      <c r="QDE239" s="537"/>
      <c r="QDF239" s="537"/>
      <c r="QDG239" s="537"/>
      <c r="QDH239" s="537"/>
      <c r="QDI239" s="537"/>
      <c r="QDJ239" s="537"/>
      <c r="QDK239" s="537"/>
      <c r="QDL239" s="537"/>
      <c r="QDM239" s="537"/>
      <c r="QDN239" s="537"/>
      <c r="QDO239" s="537"/>
      <c r="QDP239" s="537"/>
      <c r="QDQ239" s="537"/>
      <c r="QDR239" s="537"/>
      <c r="QDS239" s="537"/>
      <c r="QDT239" s="537"/>
      <c r="QDU239" s="537"/>
      <c r="QDV239" s="537"/>
      <c r="QDW239" s="537"/>
      <c r="QDX239" s="537"/>
      <c r="QDY239" s="537"/>
      <c r="QDZ239" s="537"/>
      <c r="QEA239" s="537"/>
      <c r="QEB239" s="537"/>
      <c r="QEC239" s="537"/>
      <c r="QED239" s="537"/>
      <c r="QEE239" s="537"/>
      <c r="QEF239" s="537"/>
      <c r="QEG239" s="537"/>
      <c r="QEH239" s="537"/>
      <c r="QEI239" s="537"/>
      <c r="QEJ239" s="537"/>
      <c r="QEK239" s="537"/>
      <c r="QEL239" s="537"/>
      <c r="QEM239" s="537"/>
      <c r="QEN239" s="537"/>
      <c r="QEO239" s="537"/>
      <c r="QEP239" s="537"/>
      <c r="QEQ239" s="537"/>
      <c r="QER239" s="537"/>
      <c r="QES239" s="537"/>
      <c r="QET239" s="537"/>
      <c r="QEU239" s="537"/>
      <c r="QEV239" s="537"/>
      <c r="QEW239" s="537"/>
      <c r="QEX239" s="537"/>
      <c r="QEY239" s="537"/>
      <c r="QEZ239" s="537"/>
      <c r="QFA239" s="537"/>
      <c r="QFB239" s="537"/>
      <c r="QFC239" s="537"/>
      <c r="QFD239" s="537"/>
      <c r="QFE239" s="537"/>
      <c r="QFF239" s="537"/>
      <c r="QFG239" s="537"/>
      <c r="QFH239" s="537"/>
      <c r="QFI239" s="537"/>
      <c r="QFJ239" s="537"/>
      <c r="QFK239" s="537"/>
      <c r="QFL239" s="537"/>
      <c r="QFM239" s="537"/>
      <c r="QFN239" s="537"/>
      <c r="QFO239" s="537"/>
      <c r="QFP239" s="537"/>
      <c r="QFQ239" s="537"/>
      <c r="QFR239" s="537"/>
      <c r="QFS239" s="537"/>
      <c r="QFT239" s="537"/>
      <c r="QFU239" s="537"/>
      <c r="QFV239" s="537"/>
      <c r="QFW239" s="537"/>
      <c r="QFX239" s="537"/>
      <c r="QFY239" s="537"/>
      <c r="QFZ239" s="537"/>
      <c r="QGA239" s="537"/>
      <c r="QGB239" s="537"/>
      <c r="QGC239" s="537"/>
      <c r="QGD239" s="537"/>
      <c r="QGE239" s="537"/>
      <c r="QGF239" s="537"/>
      <c r="QGG239" s="537"/>
      <c r="QGH239" s="537"/>
      <c r="QGI239" s="537"/>
      <c r="QGJ239" s="537"/>
      <c r="QGK239" s="537"/>
      <c r="QGL239" s="537"/>
      <c r="QGM239" s="537"/>
      <c r="QGN239" s="537"/>
      <c r="QGO239" s="537"/>
      <c r="QGP239" s="537"/>
      <c r="QGQ239" s="537"/>
      <c r="QGR239" s="537"/>
      <c r="QGS239" s="537"/>
      <c r="QGT239" s="537"/>
      <c r="QGU239" s="537"/>
      <c r="QGV239" s="537"/>
      <c r="QGW239" s="537"/>
      <c r="QGX239" s="537"/>
      <c r="QGY239" s="537"/>
      <c r="QGZ239" s="537"/>
      <c r="QHA239" s="537"/>
      <c r="QHB239" s="537"/>
      <c r="QHC239" s="537"/>
      <c r="QHD239" s="537"/>
      <c r="QHE239" s="537"/>
      <c r="QHF239" s="537"/>
      <c r="QHG239" s="537"/>
      <c r="QHH239" s="537"/>
      <c r="QHI239" s="537"/>
      <c r="QHJ239" s="537"/>
      <c r="QHK239" s="537"/>
      <c r="QHL239" s="537"/>
      <c r="QHM239" s="537"/>
      <c r="QHN239" s="537"/>
      <c r="QHO239" s="537"/>
      <c r="QHP239" s="537"/>
      <c r="QHQ239" s="537"/>
      <c r="QHR239" s="537"/>
      <c r="QHS239" s="537"/>
      <c r="QHT239" s="537"/>
      <c r="QHU239" s="537"/>
      <c r="QHV239" s="537"/>
      <c r="QHW239" s="537"/>
      <c r="QHX239" s="537"/>
      <c r="QHY239" s="537"/>
      <c r="QHZ239" s="537"/>
      <c r="QIA239" s="537"/>
      <c r="QIB239" s="537"/>
      <c r="QIC239" s="537"/>
      <c r="QID239" s="537"/>
      <c r="QIE239" s="537"/>
      <c r="QIF239" s="537"/>
      <c r="QIG239" s="537"/>
      <c r="QIH239" s="537"/>
      <c r="QII239" s="537"/>
      <c r="QIJ239" s="537"/>
      <c r="QIK239" s="537"/>
      <c r="QIL239" s="537"/>
      <c r="QIM239" s="537"/>
      <c r="QIN239" s="537"/>
      <c r="QIO239" s="537"/>
      <c r="QIP239" s="537"/>
      <c r="QIQ239" s="537"/>
      <c r="QIR239" s="537"/>
      <c r="QIS239" s="537"/>
      <c r="QIT239" s="537"/>
      <c r="QIU239" s="537"/>
      <c r="QIV239" s="537"/>
      <c r="QIW239" s="537"/>
      <c r="QIX239" s="537"/>
      <c r="QIY239" s="537"/>
      <c r="QIZ239" s="537"/>
      <c r="QJA239" s="537"/>
      <c r="QJB239" s="537"/>
      <c r="QJC239" s="537"/>
      <c r="QJD239" s="537"/>
      <c r="QJE239" s="537"/>
      <c r="QJF239" s="537"/>
      <c r="QJG239" s="537"/>
      <c r="QJH239" s="537"/>
      <c r="QJI239" s="537"/>
      <c r="QJJ239" s="537"/>
      <c r="QJK239" s="537"/>
      <c r="QJL239" s="537"/>
      <c r="QJM239" s="537"/>
      <c r="QJN239" s="537"/>
      <c r="QJO239" s="537"/>
      <c r="QJP239" s="537"/>
      <c r="QJQ239" s="537"/>
      <c r="QJR239" s="537"/>
      <c r="QJS239" s="537"/>
      <c r="QJT239" s="537"/>
      <c r="QJU239" s="537"/>
      <c r="QJV239" s="537"/>
      <c r="QJW239" s="537"/>
      <c r="QJX239" s="537"/>
      <c r="QJY239" s="537"/>
      <c r="QJZ239" s="537"/>
      <c r="QKA239" s="537"/>
      <c r="QKB239" s="537"/>
      <c r="QKC239" s="537"/>
      <c r="QKD239" s="537"/>
      <c r="QKE239" s="537"/>
      <c r="QKF239" s="537"/>
      <c r="QKG239" s="537"/>
      <c r="QKH239" s="537"/>
      <c r="QKI239" s="537"/>
      <c r="QKJ239" s="537"/>
      <c r="QKK239" s="537"/>
      <c r="QKL239" s="537"/>
      <c r="QKM239" s="537"/>
      <c r="QKN239" s="537"/>
      <c r="QKO239" s="537"/>
      <c r="QKP239" s="537"/>
      <c r="QKQ239" s="537"/>
      <c r="QKR239" s="537"/>
      <c r="QKS239" s="537"/>
      <c r="QKT239" s="537"/>
      <c r="QKU239" s="537"/>
      <c r="QKV239" s="537"/>
      <c r="QKW239" s="537"/>
      <c r="QKX239" s="537"/>
      <c r="QKY239" s="537"/>
      <c r="QKZ239" s="537"/>
      <c r="QLA239" s="537"/>
      <c r="QLB239" s="537"/>
      <c r="QLC239" s="537"/>
      <c r="QLD239" s="537"/>
      <c r="QLE239" s="537"/>
      <c r="QLF239" s="537"/>
      <c r="QLG239" s="537"/>
      <c r="QLH239" s="537"/>
      <c r="QLI239" s="537"/>
      <c r="QLJ239" s="537"/>
      <c r="QLK239" s="537"/>
      <c r="QLL239" s="537"/>
      <c r="QLM239" s="537"/>
      <c r="QLN239" s="537"/>
      <c r="QLO239" s="537"/>
      <c r="QLP239" s="537"/>
      <c r="QLQ239" s="537"/>
      <c r="QLR239" s="537"/>
      <c r="QLS239" s="537"/>
      <c r="QLT239" s="537"/>
      <c r="QLU239" s="537"/>
      <c r="QLV239" s="537"/>
      <c r="QLW239" s="537"/>
      <c r="QLX239" s="537"/>
      <c r="QLY239" s="537"/>
      <c r="QLZ239" s="537"/>
      <c r="QMA239" s="537"/>
      <c r="QMB239" s="537"/>
      <c r="QMC239" s="537"/>
      <c r="QMD239" s="537"/>
      <c r="QME239" s="537"/>
      <c r="QMF239" s="537"/>
      <c r="QMG239" s="537"/>
      <c r="QMH239" s="537"/>
      <c r="QMI239" s="537"/>
      <c r="QMJ239" s="537"/>
      <c r="QMK239" s="537"/>
      <c r="QML239" s="537"/>
      <c r="QMM239" s="537"/>
      <c r="QMN239" s="537"/>
      <c r="QMO239" s="537"/>
      <c r="QMP239" s="537"/>
      <c r="QMQ239" s="537"/>
      <c r="QMR239" s="537"/>
      <c r="QMS239" s="537"/>
      <c r="QMT239" s="537"/>
      <c r="QMU239" s="537"/>
      <c r="QMV239" s="537"/>
      <c r="QMW239" s="537"/>
      <c r="QMX239" s="537"/>
      <c r="QMY239" s="537"/>
      <c r="QMZ239" s="537"/>
      <c r="QNA239" s="537"/>
      <c r="QNB239" s="537"/>
      <c r="QNC239" s="537"/>
      <c r="QND239" s="537"/>
      <c r="QNE239" s="537"/>
      <c r="QNF239" s="537"/>
      <c r="QNG239" s="537"/>
      <c r="QNH239" s="537"/>
      <c r="QNI239" s="537"/>
      <c r="QNJ239" s="537"/>
      <c r="QNK239" s="537"/>
      <c r="QNL239" s="537"/>
      <c r="QNM239" s="537"/>
      <c r="QNN239" s="537"/>
      <c r="QNO239" s="537"/>
      <c r="QNP239" s="537"/>
      <c r="QNQ239" s="537"/>
      <c r="QNR239" s="537"/>
      <c r="QNS239" s="537"/>
      <c r="QNT239" s="537"/>
      <c r="QNU239" s="537"/>
      <c r="QNV239" s="537"/>
      <c r="QNW239" s="537"/>
      <c r="QNX239" s="537"/>
      <c r="QNY239" s="537"/>
      <c r="QNZ239" s="537"/>
      <c r="QOA239" s="537"/>
      <c r="QOB239" s="537"/>
      <c r="QOC239" s="537"/>
      <c r="QOD239" s="537"/>
      <c r="QOE239" s="537"/>
      <c r="QOF239" s="537"/>
      <c r="QOG239" s="537"/>
      <c r="QOH239" s="537"/>
      <c r="QOI239" s="537"/>
      <c r="QOJ239" s="537"/>
      <c r="QOK239" s="537"/>
      <c r="QOL239" s="537"/>
      <c r="QOM239" s="537"/>
      <c r="QON239" s="537"/>
      <c r="QOO239" s="537"/>
      <c r="QOP239" s="537"/>
      <c r="QOQ239" s="537"/>
      <c r="QOR239" s="537"/>
      <c r="QOS239" s="537"/>
      <c r="QOT239" s="537"/>
      <c r="QOU239" s="537"/>
      <c r="QOV239" s="537"/>
      <c r="QOW239" s="537"/>
      <c r="QOX239" s="537"/>
      <c r="QOY239" s="537"/>
      <c r="QOZ239" s="537"/>
      <c r="QPA239" s="537"/>
      <c r="QPB239" s="537"/>
      <c r="QPC239" s="537"/>
      <c r="QPD239" s="537"/>
      <c r="QPE239" s="537"/>
      <c r="QPF239" s="537"/>
      <c r="QPG239" s="537"/>
      <c r="QPH239" s="537"/>
      <c r="QPI239" s="537"/>
      <c r="QPJ239" s="537"/>
      <c r="QPK239" s="537"/>
      <c r="QPL239" s="537"/>
      <c r="QPM239" s="537"/>
      <c r="QPN239" s="537"/>
      <c r="QPO239" s="537"/>
      <c r="QPP239" s="537"/>
      <c r="QPQ239" s="537"/>
      <c r="QPR239" s="537"/>
      <c r="QPS239" s="537"/>
      <c r="QPT239" s="537"/>
      <c r="QPU239" s="537"/>
      <c r="QPV239" s="537"/>
      <c r="QPW239" s="537"/>
      <c r="QPX239" s="537"/>
      <c r="QPY239" s="537"/>
      <c r="QPZ239" s="537"/>
      <c r="QQA239" s="537"/>
      <c r="QQB239" s="537"/>
      <c r="QQC239" s="537"/>
      <c r="QQD239" s="537"/>
      <c r="QQE239" s="537"/>
      <c r="QQF239" s="537"/>
      <c r="QQG239" s="537"/>
      <c r="QQH239" s="537"/>
      <c r="QQI239" s="537"/>
      <c r="QQJ239" s="537"/>
      <c r="QQK239" s="537"/>
      <c r="QQL239" s="537"/>
      <c r="QQM239" s="537"/>
      <c r="QQN239" s="537"/>
      <c r="QQO239" s="537"/>
      <c r="QQP239" s="537"/>
      <c r="QQQ239" s="537"/>
      <c r="QQR239" s="537"/>
      <c r="QQS239" s="537"/>
      <c r="QQT239" s="537"/>
      <c r="QQU239" s="537"/>
      <c r="QQV239" s="537"/>
      <c r="QQW239" s="537"/>
      <c r="QQX239" s="537"/>
      <c r="QQY239" s="537"/>
      <c r="QQZ239" s="537"/>
      <c r="QRA239" s="537"/>
      <c r="QRB239" s="537"/>
      <c r="QRC239" s="537"/>
      <c r="QRD239" s="537"/>
      <c r="QRE239" s="537"/>
      <c r="QRF239" s="537"/>
      <c r="QRG239" s="537"/>
      <c r="QRH239" s="537"/>
      <c r="QRI239" s="537"/>
      <c r="QRJ239" s="537"/>
      <c r="QRK239" s="537"/>
      <c r="QRL239" s="537"/>
      <c r="QRM239" s="537"/>
      <c r="QRN239" s="537"/>
      <c r="QRO239" s="537"/>
      <c r="QRP239" s="537"/>
      <c r="QRQ239" s="537"/>
      <c r="QRR239" s="537"/>
      <c r="QRS239" s="537"/>
      <c r="QRT239" s="537"/>
      <c r="QRU239" s="537"/>
      <c r="QRV239" s="537"/>
      <c r="QRW239" s="537"/>
      <c r="QRX239" s="537"/>
      <c r="QRY239" s="537"/>
      <c r="QRZ239" s="537"/>
      <c r="QSA239" s="537"/>
      <c r="QSB239" s="537"/>
      <c r="QSC239" s="537"/>
      <c r="QSD239" s="537"/>
      <c r="QSE239" s="537"/>
      <c r="QSF239" s="537"/>
      <c r="QSG239" s="537"/>
      <c r="QSH239" s="537"/>
      <c r="QSI239" s="537"/>
      <c r="QSJ239" s="537"/>
      <c r="QSK239" s="537"/>
      <c r="QSL239" s="537"/>
      <c r="QSM239" s="537"/>
      <c r="QSN239" s="537"/>
      <c r="QSO239" s="537"/>
      <c r="QSP239" s="537"/>
      <c r="QSQ239" s="537"/>
      <c r="QSR239" s="537"/>
      <c r="QSS239" s="537"/>
      <c r="QST239" s="537"/>
      <c r="QSU239" s="537"/>
      <c r="QSV239" s="537"/>
      <c r="QSW239" s="537"/>
      <c r="QSX239" s="537"/>
      <c r="QSY239" s="537"/>
      <c r="QSZ239" s="537"/>
      <c r="QTA239" s="537"/>
      <c r="QTB239" s="537"/>
      <c r="QTC239" s="537"/>
      <c r="QTD239" s="537"/>
      <c r="QTE239" s="537"/>
      <c r="QTF239" s="537"/>
      <c r="QTG239" s="537"/>
      <c r="QTH239" s="537"/>
      <c r="QTI239" s="537"/>
      <c r="QTJ239" s="537"/>
      <c r="QTK239" s="537"/>
      <c r="QTL239" s="537"/>
      <c r="QTM239" s="537"/>
      <c r="QTN239" s="537"/>
      <c r="QTO239" s="537"/>
      <c r="QTP239" s="537"/>
      <c r="QTQ239" s="537"/>
      <c r="QTR239" s="537"/>
      <c r="QTS239" s="537"/>
      <c r="QTT239" s="537"/>
      <c r="QTU239" s="537"/>
      <c r="QTV239" s="537"/>
      <c r="QTW239" s="537"/>
      <c r="QTX239" s="537"/>
      <c r="QTY239" s="537"/>
      <c r="QTZ239" s="537"/>
      <c r="QUA239" s="537"/>
      <c r="QUB239" s="537"/>
      <c r="QUC239" s="537"/>
      <c r="QUD239" s="537"/>
      <c r="QUE239" s="537"/>
      <c r="QUF239" s="537"/>
      <c r="QUG239" s="537"/>
      <c r="QUH239" s="537"/>
      <c r="QUI239" s="537"/>
      <c r="QUJ239" s="537"/>
      <c r="QUK239" s="537"/>
      <c r="QUL239" s="537"/>
      <c r="QUM239" s="537"/>
      <c r="QUN239" s="537"/>
      <c r="QUO239" s="537"/>
      <c r="QUP239" s="537"/>
      <c r="QUQ239" s="537"/>
      <c r="QUR239" s="537"/>
      <c r="QUS239" s="537"/>
      <c r="QUT239" s="537"/>
      <c r="QUU239" s="537"/>
      <c r="QUV239" s="537"/>
      <c r="QUW239" s="537"/>
      <c r="QUX239" s="537"/>
      <c r="QUY239" s="537"/>
      <c r="QUZ239" s="537"/>
      <c r="QVA239" s="537"/>
      <c r="QVB239" s="537"/>
      <c r="QVC239" s="537"/>
      <c r="QVD239" s="537"/>
      <c r="QVE239" s="537"/>
      <c r="QVF239" s="537"/>
      <c r="QVG239" s="537"/>
      <c r="QVH239" s="537"/>
      <c r="QVI239" s="537"/>
      <c r="QVJ239" s="537"/>
      <c r="QVK239" s="537"/>
      <c r="QVL239" s="537"/>
      <c r="QVM239" s="537"/>
      <c r="QVN239" s="537"/>
      <c r="QVO239" s="537"/>
      <c r="QVP239" s="537"/>
      <c r="QVQ239" s="537"/>
      <c r="QVR239" s="537"/>
      <c r="QVS239" s="537"/>
      <c r="QVT239" s="537"/>
      <c r="QVU239" s="537"/>
      <c r="QVV239" s="537"/>
      <c r="QVW239" s="537"/>
      <c r="QVX239" s="537"/>
      <c r="QVY239" s="537"/>
      <c r="QVZ239" s="537"/>
      <c r="QWA239" s="537"/>
      <c r="QWB239" s="537"/>
      <c r="QWC239" s="537"/>
      <c r="QWD239" s="537"/>
      <c r="QWE239" s="537"/>
      <c r="QWF239" s="537"/>
      <c r="QWG239" s="537"/>
      <c r="QWH239" s="537"/>
      <c r="QWI239" s="537"/>
      <c r="QWJ239" s="537"/>
      <c r="QWK239" s="537"/>
      <c r="QWL239" s="537"/>
      <c r="QWM239" s="537"/>
      <c r="QWN239" s="537"/>
      <c r="QWO239" s="537"/>
      <c r="QWP239" s="537"/>
      <c r="QWQ239" s="537"/>
      <c r="QWR239" s="537"/>
      <c r="QWS239" s="537"/>
      <c r="QWT239" s="537"/>
      <c r="QWU239" s="537"/>
      <c r="QWV239" s="537"/>
      <c r="QWW239" s="537"/>
      <c r="QWX239" s="537"/>
      <c r="QWY239" s="537"/>
      <c r="QWZ239" s="537"/>
      <c r="QXA239" s="537"/>
      <c r="QXB239" s="537"/>
      <c r="QXC239" s="537"/>
      <c r="QXD239" s="537"/>
      <c r="QXE239" s="537"/>
      <c r="QXF239" s="537"/>
      <c r="QXG239" s="537"/>
      <c r="QXH239" s="537"/>
      <c r="QXI239" s="537"/>
      <c r="QXJ239" s="537"/>
      <c r="QXK239" s="537"/>
      <c r="QXL239" s="537"/>
      <c r="QXM239" s="537"/>
      <c r="QXN239" s="537"/>
      <c r="QXO239" s="537"/>
      <c r="QXP239" s="537"/>
      <c r="QXQ239" s="537"/>
      <c r="QXR239" s="537"/>
      <c r="QXS239" s="537"/>
      <c r="QXT239" s="537"/>
      <c r="QXU239" s="537"/>
      <c r="QXV239" s="537"/>
      <c r="QXW239" s="537"/>
      <c r="QXX239" s="537"/>
      <c r="QXY239" s="537"/>
      <c r="QXZ239" s="537"/>
      <c r="QYA239" s="537"/>
      <c r="QYB239" s="537"/>
      <c r="QYC239" s="537"/>
      <c r="QYD239" s="537"/>
      <c r="QYE239" s="537"/>
      <c r="QYF239" s="537"/>
      <c r="QYG239" s="537"/>
      <c r="QYH239" s="537"/>
      <c r="QYI239" s="537"/>
      <c r="QYJ239" s="537"/>
      <c r="QYK239" s="537"/>
      <c r="QYL239" s="537"/>
      <c r="QYM239" s="537"/>
      <c r="QYN239" s="537"/>
      <c r="QYO239" s="537"/>
      <c r="QYP239" s="537"/>
      <c r="QYQ239" s="537"/>
      <c r="QYR239" s="537"/>
      <c r="QYS239" s="537"/>
      <c r="QYT239" s="537"/>
      <c r="QYU239" s="537"/>
      <c r="QYV239" s="537"/>
      <c r="QYW239" s="537"/>
      <c r="QYX239" s="537"/>
      <c r="QYY239" s="537"/>
      <c r="QYZ239" s="537"/>
      <c r="QZA239" s="537"/>
      <c r="QZB239" s="537"/>
      <c r="QZC239" s="537"/>
      <c r="QZD239" s="537"/>
      <c r="QZE239" s="537"/>
      <c r="QZF239" s="537"/>
      <c r="QZG239" s="537"/>
      <c r="QZH239" s="537"/>
      <c r="QZI239" s="537"/>
      <c r="QZJ239" s="537"/>
      <c r="QZK239" s="537"/>
      <c r="QZL239" s="537"/>
      <c r="QZM239" s="537"/>
      <c r="QZN239" s="537"/>
      <c r="QZO239" s="537"/>
      <c r="QZP239" s="537"/>
      <c r="QZQ239" s="537"/>
      <c r="QZR239" s="537"/>
      <c r="QZS239" s="537"/>
      <c r="QZT239" s="537"/>
      <c r="QZU239" s="537"/>
      <c r="QZV239" s="537"/>
      <c r="QZW239" s="537"/>
      <c r="QZX239" s="537"/>
      <c r="QZY239" s="537"/>
      <c r="QZZ239" s="537"/>
      <c r="RAA239" s="537"/>
      <c r="RAB239" s="537"/>
      <c r="RAC239" s="537"/>
      <c r="RAD239" s="537"/>
      <c r="RAE239" s="537"/>
      <c r="RAF239" s="537"/>
      <c r="RAG239" s="537"/>
      <c r="RAH239" s="537"/>
      <c r="RAI239" s="537"/>
      <c r="RAJ239" s="537"/>
      <c r="RAK239" s="537"/>
      <c r="RAL239" s="537"/>
      <c r="RAM239" s="537"/>
      <c r="RAN239" s="537"/>
      <c r="RAO239" s="537"/>
      <c r="RAP239" s="537"/>
      <c r="RAQ239" s="537"/>
      <c r="RAR239" s="537"/>
      <c r="RAS239" s="537"/>
      <c r="RAT239" s="537"/>
      <c r="RAU239" s="537"/>
      <c r="RAV239" s="537"/>
      <c r="RAW239" s="537"/>
      <c r="RAX239" s="537"/>
      <c r="RAY239" s="537"/>
      <c r="RAZ239" s="537"/>
      <c r="RBA239" s="537"/>
      <c r="RBB239" s="537"/>
      <c r="RBC239" s="537"/>
      <c r="RBD239" s="537"/>
      <c r="RBE239" s="537"/>
      <c r="RBF239" s="537"/>
      <c r="RBG239" s="537"/>
      <c r="RBH239" s="537"/>
      <c r="RBI239" s="537"/>
      <c r="RBJ239" s="537"/>
      <c r="RBK239" s="537"/>
      <c r="RBL239" s="537"/>
      <c r="RBM239" s="537"/>
      <c r="RBN239" s="537"/>
      <c r="RBO239" s="537"/>
      <c r="RBP239" s="537"/>
      <c r="RBQ239" s="537"/>
      <c r="RBR239" s="537"/>
      <c r="RBS239" s="537"/>
      <c r="RBT239" s="537"/>
      <c r="RBU239" s="537"/>
      <c r="RBV239" s="537"/>
      <c r="RBW239" s="537"/>
      <c r="RBX239" s="537"/>
      <c r="RBY239" s="537"/>
      <c r="RBZ239" s="537"/>
      <c r="RCA239" s="537"/>
      <c r="RCB239" s="537"/>
      <c r="RCC239" s="537"/>
      <c r="RCD239" s="537"/>
      <c r="RCE239" s="537"/>
      <c r="RCF239" s="537"/>
      <c r="RCG239" s="537"/>
      <c r="RCH239" s="537"/>
      <c r="RCI239" s="537"/>
      <c r="RCJ239" s="537"/>
      <c r="RCK239" s="537"/>
      <c r="RCL239" s="537"/>
      <c r="RCM239" s="537"/>
      <c r="RCN239" s="537"/>
      <c r="RCO239" s="537"/>
      <c r="RCP239" s="537"/>
      <c r="RCQ239" s="537"/>
      <c r="RCR239" s="537"/>
      <c r="RCS239" s="537"/>
      <c r="RCT239" s="537"/>
      <c r="RCU239" s="537"/>
      <c r="RCV239" s="537"/>
      <c r="RCW239" s="537"/>
      <c r="RCX239" s="537"/>
      <c r="RCY239" s="537"/>
      <c r="RCZ239" s="537"/>
      <c r="RDA239" s="537"/>
      <c r="RDB239" s="537"/>
      <c r="RDC239" s="537"/>
      <c r="RDD239" s="537"/>
      <c r="RDE239" s="537"/>
      <c r="RDF239" s="537"/>
      <c r="RDG239" s="537"/>
      <c r="RDH239" s="537"/>
      <c r="RDI239" s="537"/>
      <c r="RDJ239" s="537"/>
      <c r="RDK239" s="537"/>
      <c r="RDL239" s="537"/>
      <c r="RDM239" s="537"/>
      <c r="RDN239" s="537"/>
      <c r="RDO239" s="537"/>
      <c r="RDP239" s="537"/>
      <c r="RDQ239" s="537"/>
      <c r="RDR239" s="537"/>
      <c r="RDS239" s="537"/>
      <c r="RDT239" s="537"/>
      <c r="RDU239" s="537"/>
      <c r="RDV239" s="537"/>
      <c r="RDW239" s="537"/>
      <c r="RDX239" s="537"/>
      <c r="RDY239" s="537"/>
      <c r="RDZ239" s="537"/>
      <c r="REA239" s="537"/>
      <c r="REB239" s="537"/>
      <c r="REC239" s="537"/>
      <c r="RED239" s="537"/>
      <c r="REE239" s="537"/>
      <c r="REF239" s="537"/>
      <c r="REG239" s="537"/>
      <c r="REH239" s="537"/>
      <c r="REI239" s="537"/>
      <c r="REJ239" s="537"/>
      <c r="REK239" s="537"/>
      <c r="REL239" s="537"/>
      <c r="REM239" s="537"/>
      <c r="REN239" s="537"/>
      <c r="REO239" s="537"/>
      <c r="REP239" s="537"/>
      <c r="REQ239" s="537"/>
      <c r="RER239" s="537"/>
      <c r="RES239" s="537"/>
      <c r="RET239" s="537"/>
      <c r="REU239" s="537"/>
      <c r="REV239" s="537"/>
      <c r="REW239" s="537"/>
      <c r="REX239" s="537"/>
      <c r="REY239" s="537"/>
      <c r="REZ239" s="537"/>
      <c r="RFA239" s="537"/>
      <c r="RFB239" s="537"/>
      <c r="RFC239" s="537"/>
      <c r="RFD239" s="537"/>
      <c r="RFE239" s="537"/>
      <c r="RFF239" s="537"/>
      <c r="RFG239" s="537"/>
      <c r="RFH239" s="537"/>
      <c r="RFI239" s="537"/>
      <c r="RFJ239" s="537"/>
      <c r="RFK239" s="537"/>
      <c r="RFL239" s="537"/>
      <c r="RFM239" s="537"/>
      <c r="RFN239" s="537"/>
      <c r="RFO239" s="537"/>
      <c r="RFP239" s="537"/>
      <c r="RFQ239" s="537"/>
      <c r="RFR239" s="537"/>
      <c r="RFS239" s="537"/>
      <c r="RFT239" s="537"/>
      <c r="RFU239" s="537"/>
      <c r="RFV239" s="537"/>
      <c r="RFW239" s="537"/>
      <c r="RFX239" s="537"/>
      <c r="RFY239" s="537"/>
      <c r="RFZ239" s="537"/>
      <c r="RGA239" s="537"/>
      <c r="RGB239" s="537"/>
      <c r="RGC239" s="537"/>
      <c r="RGD239" s="537"/>
      <c r="RGE239" s="537"/>
      <c r="RGF239" s="537"/>
      <c r="RGG239" s="537"/>
      <c r="RGH239" s="537"/>
      <c r="RGI239" s="537"/>
      <c r="RGJ239" s="537"/>
      <c r="RGK239" s="537"/>
      <c r="RGL239" s="537"/>
      <c r="RGM239" s="537"/>
      <c r="RGN239" s="537"/>
      <c r="RGO239" s="537"/>
      <c r="RGP239" s="537"/>
      <c r="RGQ239" s="537"/>
      <c r="RGR239" s="537"/>
      <c r="RGS239" s="537"/>
      <c r="RGT239" s="537"/>
      <c r="RGU239" s="537"/>
      <c r="RGV239" s="537"/>
      <c r="RGW239" s="537"/>
      <c r="RGX239" s="537"/>
      <c r="RGY239" s="537"/>
      <c r="RGZ239" s="537"/>
      <c r="RHA239" s="537"/>
      <c r="RHB239" s="537"/>
      <c r="RHC239" s="537"/>
      <c r="RHD239" s="537"/>
      <c r="RHE239" s="537"/>
      <c r="RHF239" s="537"/>
      <c r="RHG239" s="537"/>
      <c r="RHH239" s="537"/>
      <c r="RHI239" s="537"/>
      <c r="RHJ239" s="537"/>
      <c r="RHK239" s="537"/>
      <c r="RHL239" s="537"/>
      <c r="RHM239" s="537"/>
      <c r="RHN239" s="537"/>
      <c r="RHO239" s="537"/>
      <c r="RHP239" s="537"/>
      <c r="RHQ239" s="537"/>
      <c r="RHR239" s="537"/>
      <c r="RHS239" s="537"/>
      <c r="RHT239" s="537"/>
      <c r="RHU239" s="537"/>
      <c r="RHV239" s="537"/>
      <c r="RHW239" s="537"/>
      <c r="RHX239" s="537"/>
      <c r="RHY239" s="537"/>
      <c r="RHZ239" s="537"/>
      <c r="RIA239" s="537"/>
      <c r="RIB239" s="537"/>
      <c r="RIC239" s="537"/>
      <c r="RID239" s="537"/>
      <c r="RIE239" s="537"/>
      <c r="RIF239" s="537"/>
      <c r="RIG239" s="537"/>
      <c r="RIH239" s="537"/>
      <c r="RII239" s="537"/>
      <c r="RIJ239" s="537"/>
      <c r="RIK239" s="537"/>
      <c r="RIL239" s="537"/>
      <c r="RIM239" s="537"/>
      <c r="RIN239" s="537"/>
      <c r="RIO239" s="537"/>
      <c r="RIP239" s="537"/>
      <c r="RIQ239" s="537"/>
      <c r="RIR239" s="537"/>
      <c r="RIS239" s="537"/>
      <c r="RIT239" s="537"/>
      <c r="RIU239" s="537"/>
      <c r="RIV239" s="537"/>
      <c r="RIW239" s="537"/>
      <c r="RIX239" s="537"/>
      <c r="RIY239" s="537"/>
      <c r="RIZ239" s="537"/>
      <c r="RJA239" s="537"/>
      <c r="RJB239" s="537"/>
      <c r="RJC239" s="537"/>
      <c r="RJD239" s="537"/>
      <c r="RJE239" s="537"/>
      <c r="RJF239" s="537"/>
      <c r="RJG239" s="537"/>
      <c r="RJH239" s="537"/>
      <c r="RJI239" s="537"/>
      <c r="RJJ239" s="537"/>
      <c r="RJK239" s="537"/>
      <c r="RJL239" s="537"/>
      <c r="RJM239" s="537"/>
      <c r="RJN239" s="537"/>
      <c r="RJO239" s="537"/>
      <c r="RJP239" s="537"/>
      <c r="RJQ239" s="537"/>
      <c r="RJR239" s="537"/>
      <c r="RJS239" s="537"/>
      <c r="RJT239" s="537"/>
      <c r="RJU239" s="537"/>
      <c r="RJV239" s="537"/>
      <c r="RJW239" s="537"/>
      <c r="RJX239" s="537"/>
      <c r="RJY239" s="537"/>
      <c r="RJZ239" s="537"/>
      <c r="RKA239" s="537"/>
      <c r="RKB239" s="537"/>
      <c r="RKC239" s="537"/>
      <c r="RKD239" s="537"/>
      <c r="RKE239" s="537"/>
      <c r="RKF239" s="537"/>
      <c r="RKG239" s="537"/>
      <c r="RKH239" s="537"/>
      <c r="RKI239" s="537"/>
      <c r="RKJ239" s="537"/>
      <c r="RKK239" s="537"/>
      <c r="RKL239" s="537"/>
      <c r="RKM239" s="537"/>
      <c r="RKN239" s="537"/>
      <c r="RKO239" s="537"/>
      <c r="RKP239" s="537"/>
      <c r="RKQ239" s="537"/>
      <c r="RKR239" s="537"/>
      <c r="RKS239" s="537"/>
      <c r="RKT239" s="537"/>
      <c r="RKU239" s="537"/>
      <c r="RKV239" s="537"/>
      <c r="RKW239" s="537"/>
      <c r="RKX239" s="537"/>
      <c r="RKY239" s="537"/>
      <c r="RKZ239" s="537"/>
      <c r="RLA239" s="537"/>
      <c r="RLB239" s="537"/>
      <c r="RLC239" s="537"/>
      <c r="RLD239" s="537"/>
      <c r="RLE239" s="537"/>
      <c r="RLF239" s="537"/>
      <c r="RLG239" s="537"/>
      <c r="RLH239" s="537"/>
      <c r="RLI239" s="537"/>
      <c r="RLJ239" s="537"/>
      <c r="RLK239" s="537"/>
      <c r="RLL239" s="537"/>
      <c r="RLM239" s="537"/>
      <c r="RLN239" s="537"/>
      <c r="RLO239" s="537"/>
      <c r="RLP239" s="537"/>
      <c r="RLQ239" s="537"/>
      <c r="RLR239" s="537"/>
      <c r="RLS239" s="537"/>
      <c r="RLT239" s="537"/>
      <c r="RLU239" s="537"/>
      <c r="RLV239" s="537"/>
      <c r="RLW239" s="537"/>
      <c r="RLX239" s="537"/>
      <c r="RLY239" s="537"/>
      <c r="RLZ239" s="537"/>
      <c r="RMA239" s="537"/>
      <c r="RMB239" s="537"/>
      <c r="RMC239" s="537"/>
      <c r="RMD239" s="537"/>
      <c r="RME239" s="537"/>
      <c r="RMF239" s="537"/>
      <c r="RMG239" s="537"/>
      <c r="RMH239" s="537"/>
      <c r="RMI239" s="537"/>
      <c r="RMJ239" s="537"/>
      <c r="RMK239" s="537"/>
      <c r="RML239" s="537"/>
      <c r="RMM239" s="537"/>
      <c r="RMN239" s="537"/>
      <c r="RMO239" s="537"/>
      <c r="RMP239" s="537"/>
      <c r="RMQ239" s="537"/>
      <c r="RMR239" s="537"/>
      <c r="RMS239" s="537"/>
      <c r="RMT239" s="537"/>
      <c r="RMU239" s="537"/>
      <c r="RMV239" s="537"/>
      <c r="RMW239" s="537"/>
      <c r="RMX239" s="537"/>
      <c r="RMY239" s="537"/>
      <c r="RMZ239" s="537"/>
      <c r="RNA239" s="537"/>
      <c r="RNB239" s="537"/>
      <c r="RNC239" s="537"/>
      <c r="RND239" s="537"/>
      <c r="RNE239" s="537"/>
      <c r="RNF239" s="537"/>
      <c r="RNG239" s="537"/>
      <c r="RNH239" s="537"/>
      <c r="RNI239" s="537"/>
      <c r="RNJ239" s="537"/>
      <c r="RNK239" s="537"/>
      <c r="RNL239" s="537"/>
      <c r="RNM239" s="537"/>
      <c r="RNN239" s="537"/>
      <c r="RNO239" s="537"/>
      <c r="RNP239" s="537"/>
      <c r="RNQ239" s="537"/>
      <c r="RNR239" s="537"/>
      <c r="RNS239" s="537"/>
      <c r="RNT239" s="537"/>
      <c r="RNU239" s="537"/>
      <c r="RNV239" s="537"/>
      <c r="RNW239" s="537"/>
      <c r="RNX239" s="537"/>
      <c r="RNY239" s="537"/>
      <c r="RNZ239" s="537"/>
      <c r="ROA239" s="537"/>
      <c r="ROB239" s="537"/>
      <c r="ROC239" s="537"/>
      <c r="ROD239" s="537"/>
      <c r="ROE239" s="537"/>
      <c r="ROF239" s="537"/>
      <c r="ROG239" s="537"/>
      <c r="ROH239" s="537"/>
      <c r="ROI239" s="537"/>
      <c r="ROJ239" s="537"/>
      <c r="ROK239" s="537"/>
      <c r="ROL239" s="537"/>
      <c r="ROM239" s="537"/>
      <c r="RON239" s="537"/>
      <c r="ROO239" s="537"/>
      <c r="ROP239" s="537"/>
      <c r="ROQ239" s="537"/>
      <c r="ROR239" s="537"/>
      <c r="ROS239" s="537"/>
      <c r="ROT239" s="537"/>
      <c r="ROU239" s="537"/>
      <c r="ROV239" s="537"/>
      <c r="ROW239" s="537"/>
      <c r="ROX239" s="537"/>
      <c r="ROY239" s="537"/>
      <c r="ROZ239" s="537"/>
      <c r="RPA239" s="537"/>
      <c r="RPB239" s="537"/>
      <c r="RPC239" s="537"/>
      <c r="RPD239" s="537"/>
      <c r="RPE239" s="537"/>
      <c r="RPF239" s="537"/>
      <c r="RPG239" s="537"/>
      <c r="RPH239" s="537"/>
      <c r="RPI239" s="537"/>
      <c r="RPJ239" s="537"/>
      <c r="RPK239" s="537"/>
      <c r="RPL239" s="537"/>
      <c r="RPM239" s="537"/>
      <c r="RPN239" s="537"/>
      <c r="RPO239" s="537"/>
      <c r="RPP239" s="537"/>
      <c r="RPQ239" s="537"/>
      <c r="RPR239" s="537"/>
      <c r="RPS239" s="537"/>
      <c r="RPT239" s="537"/>
      <c r="RPU239" s="537"/>
      <c r="RPV239" s="537"/>
      <c r="RPW239" s="537"/>
      <c r="RPX239" s="537"/>
      <c r="RPY239" s="537"/>
      <c r="RPZ239" s="537"/>
      <c r="RQA239" s="537"/>
      <c r="RQB239" s="537"/>
      <c r="RQC239" s="537"/>
      <c r="RQD239" s="537"/>
      <c r="RQE239" s="537"/>
      <c r="RQF239" s="537"/>
      <c r="RQG239" s="537"/>
      <c r="RQH239" s="537"/>
      <c r="RQI239" s="537"/>
      <c r="RQJ239" s="537"/>
      <c r="RQK239" s="537"/>
      <c r="RQL239" s="537"/>
      <c r="RQM239" s="537"/>
      <c r="RQN239" s="537"/>
      <c r="RQO239" s="537"/>
      <c r="RQP239" s="537"/>
      <c r="RQQ239" s="537"/>
      <c r="RQR239" s="537"/>
      <c r="RQS239" s="537"/>
      <c r="RQT239" s="537"/>
      <c r="RQU239" s="537"/>
      <c r="RQV239" s="537"/>
      <c r="RQW239" s="537"/>
      <c r="RQX239" s="537"/>
      <c r="RQY239" s="537"/>
      <c r="RQZ239" s="537"/>
      <c r="RRA239" s="537"/>
      <c r="RRB239" s="537"/>
      <c r="RRC239" s="537"/>
      <c r="RRD239" s="537"/>
      <c r="RRE239" s="537"/>
      <c r="RRF239" s="537"/>
      <c r="RRG239" s="537"/>
      <c r="RRH239" s="537"/>
      <c r="RRI239" s="537"/>
      <c r="RRJ239" s="537"/>
      <c r="RRK239" s="537"/>
      <c r="RRL239" s="537"/>
      <c r="RRM239" s="537"/>
      <c r="RRN239" s="537"/>
      <c r="RRO239" s="537"/>
      <c r="RRP239" s="537"/>
      <c r="RRQ239" s="537"/>
      <c r="RRR239" s="537"/>
      <c r="RRS239" s="537"/>
      <c r="RRT239" s="537"/>
      <c r="RRU239" s="537"/>
      <c r="RRV239" s="537"/>
      <c r="RRW239" s="537"/>
      <c r="RRX239" s="537"/>
      <c r="RRY239" s="537"/>
      <c r="RRZ239" s="537"/>
      <c r="RSA239" s="537"/>
      <c r="RSB239" s="537"/>
      <c r="RSC239" s="537"/>
      <c r="RSD239" s="537"/>
      <c r="RSE239" s="537"/>
      <c r="RSF239" s="537"/>
      <c r="RSG239" s="537"/>
      <c r="RSH239" s="537"/>
      <c r="RSI239" s="537"/>
      <c r="RSJ239" s="537"/>
      <c r="RSK239" s="537"/>
      <c r="RSL239" s="537"/>
      <c r="RSM239" s="537"/>
      <c r="RSN239" s="537"/>
      <c r="RSO239" s="537"/>
      <c r="RSP239" s="537"/>
      <c r="RSQ239" s="537"/>
      <c r="RSR239" s="537"/>
      <c r="RSS239" s="537"/>
      <c r="RST239" s="537"/>
      <c r="RSU239" s="537"/>
      <c r="RSV239" s="537"/>
      <c r="RSW239" s="537"/>
      <c r="RSX239" s="537"/>
      <c r="RSY239" s="537"/>
      <c r="RSZ239" s="537"/>
      <c r="RTA239" s="537"/>
      <c r="RTB239" s="537"/>
      <c r="RTC239" s="537"/>
      <c r="RTD239" s="537"/>
      <c r="RTE239" s="537"/>
      <c r="RTF239" s="537"/>
      <c r="RTG239" s="537"/>
      <c r="RTH239" s="537"/>
      <c r="RTI239" s="537"/>
      <c r="RTJ239" s="537"/>
      <c r="RTK239" s="537"/>
      <c r="RTL239" s="537"/>
      <c r="RTM239" s="537"/>
      <c r="RTN239" s="537"/>
      <c r="RTO239" s="537"/>
      <c r="RTP239" s="537"/>
      <c r="RTQ239" s="537"/>
      <c r="RTR239" s="537"/>
      <c r="RTS239" s="537"/>
      <c r="RTT239" s="537"/>
      <c r="RTU239" s="537"/>
      <c r="RTV239" s="537"/>
      <c r="RTW239" s="537"/>
      <c r="RTX239" s="537"/>
      <c r="RTY239" s="537"/>
      <c r="RTZ239" s="537"/>
      <c r="RUA239" s="537"/>
      <c r="RUB239" s="537"/>
      <c r="RUC239" s="537"/>
      <c r="RUD239" s="537"/>
      <c r="RUE239" s="537"/>
      <c r="RUF239" s="537"/>
      <c r="RUG239" s="537"/>
      <c r="RUH239" s="537"/>
      <c r="RUI239" s="537"/>
      <c r="RUJ239" s="537"/>
      <c r="RUK239" s="537"/>
      <c r="RUL239" s="537"/>
      <c r="RUM239" s="537"/>
      <c r="RUN239" s="537"/>
      <c r="RUO239" s="537"/>
      <c r="RUP239" s="537"/>
      <c r="RUQ239" s="537"/>
      <c r="RUR239" s="537"/>
      <c r="RUS239" s="537"/>
      <c r="RUT239" s="537"/>
      <c r="RUU239" s="537"/>
      <c r="RUV239" s="537"/>
      <c r="RUW239" s="537"/>
      <c r="RUX239" s="537"/>
      <c r="RUY239" s="537"/>
      <c r="RUZ239" s="537"/>
      <c r="RVA239" s="537"/>
      <c r="RVB239" s="537"/>
      <c r="RVC239" s="537"/>
      <c r="RVD239" s="537"/>
      <c r="RVE239" s="537"/>
      <c r="RVF239" s="537"/>
      <c r="RVG239" s="537"/>
      <c r="RVH239" s="537"/>
      <c r="RVI239" s="537"/>
      <c r="RVJ239" s="537"/>
      <c r="RVK239" s="537"/>
      <c r="RVL239" s="537"/>
      <c r="RVM239" s="537"/>
      <c r="RVN239" s="537"/>
      <c r="RVO239" s="537"/>
      <c r="RVP239" s="537"/>
      <c r="RVQ239" s="537"/>
      <c r="RVR239" s="537"/>
      <c r="RVS239" s="537"/>
      <c r="RVT239" s="537"/>
      <c r="RVU239" s="537"/>
      <c r="RVV239" s="537"/>
      <c r="RVW239" s="537"/>
      <c r="RVX239" s="537"/>
      <c r="RVY239" s="537"/>
      <c r="RVZ239" s="537"/>
      <c r="RWA239" s="537"/>
      <c r="RWB239" s="537"/>
      <c r="RWC239" s="537"/>
      <c r="RWD239" s="537"/>
      <c r="RWE239" s="537"/>
      <c r="RWF239" s="537"/>
      <c r="RWG239" s="537"/>
      <c r="RWH239" s="537"/>
      <c r="RWI239" s="537"/>
      <c r="RWJ239" s="537"/>
      <c r="RWK239" s="537"/>
      <c r="RWL239" s="537"/>
      <c r="RWM239" s="537"/>
      <c r="RWN239" s="537"/>
      <c r="RWO239" s="537"/>
      <c r="RWP239" s="537"/>
      <c r="RWQ239" s="537"/>
      <c r="RWR239" s="537"/>
      <c r="RWS239" s="537"/>
      <c r="RWT239" s="537"/>
      <c r="RWU239" s="537"/>
      <c r="RWV239" s="537"/>
      <c r="RWW239" s="537"/>
      <c r="RWX239" s="537"/>
      <c r="RWY239" s="537"/>
      <c r="RWZ239" s="537"/>
      <c r="RXA239" s="537"/>
      <c r="RXB239" s="537"/>
      <c r="RXC239" s="537"/>
      <c r="RXD239" s="537"/>
      <c r="RXE239" s="537"/>
      <c r="RXF239" s="537"/>
      <c r="RXG239" s="537"/>
      <c r="RXH239" s="537"/>
      <c r="RXI239" s="537"/>
      <c r="RXJ239" s="537"/>
      <c r="RXK239" s="537"/>
      <c r="RXL239" s="537"/>
      <c r="RXM239" s="537"/>
      <c r="RXN239" s="537"/>
      <c r="RXO239" s="537"/>
      <c r="RXP239" s="537"/>
      <c r="RXQ239" s="537"/>
      <c r="RXR239" s="537"/>
      <c r="RXS239" s="537"/>
      <c r="RXT239" s="537"/>
      <c r="RXU239" s="537"/>
      <c r="RXV239" s="537"/>
      <c r="RXW239" s="537"/>
      <c r="RXX239" s="537"/>
      <c r="RXY239" s="537"/>
      <c r="RXZ239" s="537"/>
      <c r="RYA239" s="537"/>
      <c r="RYB239" s="537"/>
      <c r="RYC239" s="537"/>
      <c r="RYD239" s="537"/>
      <c r="RYE239" s="537"/>
      <c r="RYF239" s="537"/>
      <c r="RYG239" s="537"/>
      <c r="RYH239" s="537"/>
      <c r="RYI239" s="537"/>
      <c r="RYJ239" s="537"/>
      <c r="RYK239" s="537"/>
      <c r="RYL239" s="537"/>
      <c r="RYM239" s="537"/>
      <c r="RYN239" s="537"/>
      <c r="RYO239" s="537"/>
      <c r="RYP239" s="537"/>
      <c r="RYQ239" s="537"/>
      <c r="RYR239" s="537"/>
      <c r="RYS239" s="537"/>
      <c r="RYT239" s="537"/>
      <c r="RYU239" s="537"/>
      <c r="RYV239" s="537"/>
      <c r="RYW239" s="537"/>
      <c r="RYX239" s="537"/>
      <c r="RYY239" s="537"/>
      <c r="RYZ239" s="537"/>
      <c r="RZA239" s="537"/>
      <c r="RZB239" s="537"/>
      <c r="RZC239" s="537"/>
      <c r="RZD239" s="537"/>
      <c r="RZE239" s="537"/>
      <c r="RZF239" s="537"/>
      <c r="RZG239" s="537"/>
      <c r="RZH239" s="537"/>
      <c r="RZI239" s="537"/>
      <c r="RZJ239" s="537"/>
      <c r="RZK239" s="537"/>
      <c r="RZL239" s="537"/>
      <c r="RZM239" s="537"/>
      <c r="RZN239" s="537"/>
      <c r="RZO239" s="537"/>
      <c r="RZP239" s="537"/>
      <c r="RZQ239" s="537"/>
      <c r="RZR239" s="537"/>
      <c r="RZS239" s="537"/>
      <c r="RZT239" s="537"/>
      <c r="RZU239" s="537"/>
      <c r="RZV239" s="537"/>
      <c r="RZW239" s="537"/>
      <c r="RZX239" s="537"/>
      <c r="RZY239" s="537"/>
      <c r="RZZ239" s="537"/>
      <c r="SAA239" s="537"/>
      <c r="SAB239" s="537"/>
      <c r="SAC239" s="537"/>
      <c r="SAD239" s="537"/>
      <c r="SAE239" s="537"/>
      <c r="SAF239" s="537"/>
      <c r="SAG239" s="537"/>
      <c r="SAH239" s="537"/>
      <c r="SAI239" s="537"/>
      <c r="SAJ239" s="537"/>
      <c r="SAK239" s="537"/>
      <c r="SAL239" s="537"/>
      <c r="SAM239" s="537"/>
      <c r="SAN239" s="537"/>
      <c r="SAO239" s="537"/>
      <c r="SAP239" s="537"/>
      <c r="SAQ239" s="537"/>
      <c r="SAR239" s="537"/>
      <c r="SAS239" s="537"/>
      <c r="SAT239" s="537"/>
      <c r="SAU239" s="537"/>
      <c r="SAV239" s="537"/>
      <c r="SAW239" s="537"/>
      <c r="SAX239" s="537"/>
      <c r="SAY239" s="537"/>
      <c r="SAZ239" s="537"/>
      <c r="SBA239" s="537"/>
      <c r="SBB239" s="537"/>
      <c r="SBC239" s="537"/>
      <c r="SBD239" s="537"/>
      <c r="SBE239" s="537"/>
      <c r="SBF239" s="537"/>
      <c r="SBG239" s="537"/>
      <c r="SBH239" s="537"/>
      <c r="SBI239" s="537"/>
      <c r="SBJ239" s="537"/>
      <c r="SBK239" s="537"/>
      <c r="SBL239" s="537"/>
      <c r="SBM239" s="537"/>
      <c r="SBN239" s="537"/>
      <c r="SBO239" s="537"/>
      <c r="SBP239" s="537"/>
      <c r="SBQ239" s="537"/>
      <c r="SBR239" s="537"/>
      <c r="SBS239" s="537"/>
      <c r="SBT239" s="537"/>
      <c r="SBU239" s="537"/>
      <c r="SBV239" s="537"/>
      <c r="SBW239" s="537"/>
      <c r="SBX239" s="537"/>
      <c r="SBY239" s="537"/>
      <c r="SBZ239" s="537"/>
      <c r="SCA239" s="537"/>
      <c r="SCB239" s="537"/>
      <c r="SCC239" s="537"/>
      <c r="SCD239" s="537"/>
      <c r="SCE239" s="537"/>
      <c r="SCF239" s="537"/>
      <c r="SCG239" s="537"/>
      <c r="SCH239" s="537"/>
      <c r="SCI239" s="537"/>
      <c r="SCJ239" s="537"/>
      <c r="SCK239" s="537"/>
      <c r="SCL239" s="537"/>
      <c r="SCM239" s="537"/>
      <c r="SCN239" s="537"/>
      <c r="SCO239" s="537"/>
      <c r="SCP239" s="537"/>
      <c r="SCQ239" s="537"/>
      <c r="SCR239" s="537"/>
      <c r="SCS239" s="537"/>
      <c r="SCT239" s="537"/>
      <c r="SCU239" s="537"/>
      <c r="SCV239" s="537"/>
      <c r="SCW239" s="537"/>
      <c r="SCX239" s="537"/>
      <c r="SCY239" s="537"/>
      <c r="SCZ239" s="537"/>
      <c r="SDA239" s="537"/>
      <c r="SDB239" s="537"/>
      <c r="SDC239" s="537"/>
      <c r="SDD239" s="537"/>
      <c r="SDE239" s="537"/>
      <c r="SDF239" s="537"/>
      <c r="SDG239" s="537"/>
      <c r="SDH239" s="537"/>
      <c r="SDI239" s="537"/>
      <c r="SDJ239" s="537"/>
      <c r="SDK239" s="537"/>
      <c r="SDL239" s="537"/>
      <c r="SDM239" s="537"/>
      <c r="SDN239" s="537"/>
      <c r="SDO239" s="537"/>
      <c r="SDP239" s="537"/>
      <c r="SDQ239" s="537"/>
      <c r="SDR239" s="537"/>
      <c r="SDS239" s="537"/>
      <c r="SDT239" s="537"/>
      <c r="SDU239" s="537"/>
      <c r="SDV239" s="537"/>
      <c r="SDW239" s="537"/>
      <c r="SDX239" s="537"/>
      <c r="SDY239" s="537"/>
      <c r="SDZ239" s="537"/>
      <c r="SEA239" s="537"/>
      <c r="SEB239" s="537"/>
      <c r="SEC239" s="537"/>
      <c r="SED239" s="537"/>
      <c r="SEE239" s="537"/>
      <c r="SEF239" s="537"/>
      <c r="SEG239" s="537"/>
      <c r="SEH239" s="537"/>
      <c r="SEI239" s="537"/>
      <c r="SEJ239" s="537"/>
      <c r="SEK239" s="537"/>
      <c r="SEL239" s="537"/>
      <c r="SEM239" s="537"/>
      <c r="SEN239" s="537"/>
      <c r="SEO239" s="537"/>
      <c r="SEP239" s="537"/>
      <c r="SEQ239" s="537"/>
      <c r="SER239" s="537"/>
      <c r="SES239" s="537"/>
      <c r="SET239" s="537"/>
      <c r="SEU239" s="537"/>
      <c r="SEV239" s="537"/>
      <c r="SEW239" s="537"/>
      <c r="SEX239" s="537"/>
      <c r="SEY239" s="537"/>
      <c r="SEZ239" s="537"/>
      <c r="SFA239" s="537"/>
      <c r="SFB239" s="537"/>
      <c r="SFC239" s="537"/>
      <c r="SFD239" s="537"/>
      <c r="SFE239" s="537"/>
      <c r="SFF239" s="537"/>
      <c r="SFG239" s="537"/>
      <c r="SFH239" s="537"/>
      <c r="SFI239" s="537"/>
      <c r="SFJ239" s="537"/>
      <c r="SFK239" s="537"/>
      <c r="SFL239" s="537"/>
      <c r="SFM239" s="537"/>
      <c r="SFN239" s="537"/>
      <c r="SFO239" s="537"/>
      <c r="SFP239" s="537"/>
      <c r="SFQ239" s="537"/>
      <c r="SFR239" s="537"/>
      <c r="SFS239" s="537"/>
      <c r="SFT239" s="537"/>
      <c r="SFU239" s="537"/>
      <c r="SFV239" s="537"/>
      <c r="SFW239" s="537"/>
      <c r="SFX239" s="537"/>
      <c r="SFY239" s="537"/>
      <c r="SFZ239" s="537"/>
      <c r="SGA239" s="537"/>
      <c r="SGB239" s="537"/>
      <c r="SGC239" s="537"/>
      <c r="SGD239" s="537"/>
      <c r="SGE239" s="537"/>
      <c r="SGF239" s="537"/>
      <c r="SGG239" s="537"/>
      <c r="SGH239" s="537"/>
      <c r="SGI239" s="537"/>
      <c r="SGJ239" s="537"/>
      <c r="SGK239" s="537"/>
      <c r="SGL239" s="537"/>
      <c r="SGM239" s="537"/>
      <c r="SGN239" s="537"/>
      <c r="SGO239" s="537"/>
      <c r="SGP239" s="537"/>
      <c r="SGQ239" s="537"/>
      <c r="SGR239" s="537"/>
      <c r="SGS239" s="537"/>
      <c r="SGT239" s="537"/>
      <c r="SGU239" s="537"/>
      <c r="SGV239" s="537"/>
      <c r="SGW239" s="537"/>
      <c r="SGX239" s="537"/>
      <c r="SGY239" s="537"/>
      <c r="SGZ239" s="537"/>
      <c r="SHA239" s="537"/>
      <c r="SHB239" s="537"/>
      <c r="SHC239" s="537"/>
      <c r="SHD239" s="537"/>
      <c r="SHE239" s="537"/>
      <c r="SHF239" s="537"/>
      <c r="SHG239" s="537"/>
      <c r="SHH239" s="537"/>
      <c r="SHI239" s="537"/>
      <c r="SHJ239" s="537"/>
      <c r="SHK239" s="537"/>
      <c r="SHL239" s="537"/>
      <c r="SHM239" s="537"/>
      <c r="SHN239" s="537"/>
      <c r="SHO239" s="537"/>
      <c r="SHP239" s="537"/>
      <c r="SHQ239" s="537"/>
      <c r="SHR239" s="537"/>
      <c r="SHS239" s="537"/>
      <c r="SHT239" s="537"/>
      <c r="SHU239" s="537"/>
      <c r="SHV239" s="537"/>
      <c r="SHW239" s="537"/>
      <c r="SHX239" s="537"/>
      <c r="SHY239" s="537"/>
      <c r="SHZ239" s="537"/>
      <c r="SIA239" s="537"/>
      <c r="SIB239" s="537"/>
      <c r="SIC239" s="537"/>
      <c r="SID239" s="537"/>
      <c r="SIE239" s="537"/>
      <c r="SIF239" s="537"/>
      <c r="SIG239" s="537"/>
      <c r="SIH239" s="537"/>
      <c r="SII239" s="537"/>
      <c r="SIJ239" s="537"/>
      <c r="SIK239" s="537"/>
      <c r="SIL239" s="537"/>
      <c r="SIM239" s="537"/>
      <c r="SIN239" s="537"/>
      <c r="SIO239" s="537"/>
      <c r="SIP239" s="537"/>
      <c r="SIQ239" s="537"/>
      <c r="SIR239" s="537"/>
      <c r="SIS239" s="537"/>
      <c r="SIT239" s="537"/>
      <c r="SIU239" s="537"/>
      <c r="SIV239" s="537"/>
      <c r="SIW239" s="537"/>
      <c r="SIX239" s="537"/>
      <c r="SIY239" s="537"/>
      <c r="SIZ239" s="537"/>
      <c r="SJA239" s="537"/>
      <c r="SJB239" s="537"/>
      <c r="SJC239" s="537"/>
      <c r="SJD239" s="537"/>
      <c r="SJE239" s="537"/>
      <c r="SJF239" s="537"/>
      <c r="SJG239" s="537"/>
      <c r="SJH239" s="537"/>
      <c r="SJI239" s="537"/>
      <c r="SJJ239" s="537"/>
      <c r="SJK239" s="537"/>
      <c r="SJL239" s="537"/>
      <c r="SJM239" s="537"/>
      <c r="SJN239" s="537"/>
      <c r="SJO239" s="537"/>
      <c r="SJP239" s="537"/>
      <c r="SJQ239" s="537"/>
      <c r="SJR239" s="537"/>
      <c r="SJS239" s="537"/>
      <c r="SJT239" s="537"/>
      <c r="SJU239" s="537"/>
      <c r="SJV239" s="537"/>
      <c r="SJW239" s="537"/>
      <c r="SJX239" s="537"/>
      <c r="SJY239" s="537"/>
      <c r="SJZ239" s="537"/>
      <c r="SKA239" s="537"/>
      <c r="SKB239" s="537"/>
      <c r="SKC239" s="537"/>
      <c r="SKD239" s="537"/>
      <c r="SKE239" s="537"/>
      <c r="SKF239" s="537"/>
      <c r="SKG239" s="537"/>
      <c r="SKH239" s="537"/>
      <c r="SKI239" s="537"/>
      <c r="SKJ239" s="537"/>
      <c r="SKK239" s="537"/>
      <c r="SKL239" s="537"/>
      <c r="SKM239" s="537"/>
      <c r="SKN239" s="537"/>
      <c r="SKO239" s="537"/>
      <c r="SKP239" s="537"/>
      <c r="SKQ239" s="537"/>
      <c r="SKR239" s="537"/>
      <c r="SKS239" s="537"/>
      <c r="SKT239" s="537"/>
      <c r="SKU239" s="537"/>
      <c r="SKV239" s="537"/>
      <c r="SKW239" s="537"/>
      <c r="SKX239" s="537"/>
      <c r="SKY239" s="537"/>
      <c r="SKZ239" s="537"/>
      <c r="SLA239" s="537"/>
      <c r="SLB239" s="537"/>
      <c r="SLC239" s="537"/>
      <c r="SLD239" s="537"/>
      <c r="SLE239" s="537"/>
      <c r="SLF239" s="537"/>
      <c r="SLG239" s="537"/>
      <c r="SLH239" s="537"/>
      <c r="SLI239" s="537"/>
      <c r="SLJ239" s="537"/>
      <c r="SLK239" s="537"/>
      <c r="SLL239" s="537"/>
      <c r="SLM239" s="537"/>
      <c r="SLN239" s="537"/>
      <c r="SLO239" s="537"/>
      <c r="SLP239" s="537"/>
      <c r="SLQ239" s="537"/>
      <c r="SLR239" s="537"/>
      <c r="SLS239" s="537"/>
      <c r="SLT239" s="537"/>
      <c r="SLU239" s="537"/>
      <c r="SLV239" s="537"/>
      <c r="SLW239" s="537"/>
      <c r="SLX239" s="537"/>
      <c r="SLY239" s="537"/>
      <c r="SLZ239" s="537"/>
      <c r="SMA239" s="537"/>
      <c r="SMB239" s="537"/>
      <c r="SMC239" s="537"/>
      <c r="SMD239" s="537"/>
      <c r="SME239" s="537"/>
      <c r="SMF239" s="537"/>
      <c r="SMG239" s="537"/>
      <c r="SMH239" s="537"/>
      <c r="SMI239" s="537"/>
      <c r="SMJ239" s="537"/>
      <c r="SMK239" s="537"/>
      <c r="SML239" s="537"/>
      <c r="SMM239" s="537"/>
      <c r="SMN239" s="537"/>
      <c r="SMO239" s="537"/>
      <c r="SMP239" s="537"/>
      <c r="SMQ239" s="537"/>
      <c r="SMR239" s="537"/>
      <c r="SMS239" s="537"/>
      <c r="SMT239" s="537"/>
      <c r="SMU239" s="537"/>
      <c r="SMV239" s="537"/>
      <c r="SMW239" s="537"/>
      <c r="SMX239" s="537"/>
      <c r="SMY239" s="537"/>
      <c r="SMZ239" s="537"/>
      <c r="SNA239" s="537"/>
      <c r="SNB239" s="537"/>
      <c r="SNC239" s="537"/>
      <c r="SND239" s="537"/>
      <c r="SNE239" s="537"/>
      <c r="SNF239" s="537"/>
      <c r="SNG239" s="537"/>
      <c r="SNH239" s="537"/>
      <c r="SNI239" s="537"/>
      <c r="SNJ239" s="537"/>
      <c r="SNK239" s="537"/>
      <c r="SNL239" s="537"/>
      <c r="SNM239" s="537"/>
      <c r="SNN239" s="537"/>
      <c r="SNO239" s="537"/>
      <c r="SNP239" s="537"/>
      <c r="SNQ239" s="537"/>
      <c r="SNR239" s="537"/>
      <c r="SNS239" s="537"/>
      <c r="SNT239" s="537"/>
      <c r="SNU239" s="537"/>
      <c r="SNV239" s="537"/>
      <c r="SNW239" s="537"/>
      <c r="SNX239" s="537"/>
      <c r="SNY239" s="537"/>
      <c r="SNZ239" s="537"/>
      <c r="SOA239" s="537"/>
      <c r="SOB239" s="537"/>
      <c r="SOC239" s="537"/>
      <c r="SOD239" s="537"/>
      <c r="SOE239" s="537"/>
      <c r="SOF239" s="537"/>
      <c r="SOG239" s="537"/>
      <c r="SOH239" s="537"/>
      <c r="SOI239" s="537"/>
      <c r="SOJ239" s="537"/>
      <c r="SOK239" s="537"/>
      <c r="SOL239" s="537"/>
      <c r="SOM239" s="537"/>
      <c r="SON239" s="537"/>
      <c r="SOO239" s="537"/>
      <c r="SOP239" s="537"/>
      <c r="SOQ239" s="537"/>
      <c r="SOR239" s="537"/>
      <c r="SOS239" s="537"/>
      <c r="SOT239" s="537"/>
      <c r="SOU239" s="537"/>
      <c r="SOV239" s="537"/>
      <c r="SOW239" s="537"/>
      <c r="SOX239" s="537"/>
      <c r="SOY239" s="537"/>
      <c r="SOZ239" s="537"/>
      <c r="SPA239" s="537"/>
      <c r="SPB239" s="537"/>
      <c r="SPC239" s="537"/>
      <c r="SPD239" s="537"/>
      <c r="SPE239" s="537"/>
      <c r="SPF239" s="537"/>
      <c r="SPG239" s="537"/>
      <c r="SPH239" s="537"/>
      <c r="SPI239" s="537"/>
      <c r="SPJ239" s="537"/>
      <c r="SPK239" s="537"/>
      <c r="SPL239" s="537"/>
      <c r="SPM239" s="537"/>
      <c r="SPN239" s="537"/>
      <c r="SPO239" s="537"/>
      <c r="SPP239" s="537"/>
      <c r="SPQ239" s="537"/>
      <c r="SPR239" s="537"/>
      <c r="SPS239" s="537"/>
      <c r="SPT239" s="537"/>
      <c r="SPU239" s="537"/>
      <c r="SPV239" s="537"/>
      <c r="SPW239" s="537"/>
      <c r="SPX239" s="537"/>
      <c r="SPY239" s="537"/>
      <c r="SPZ239" s="537"/>
      <c r="SQA239" s="537"/>
      <c r="SQB239" s="537"/>
      <c r="SQC239" s="537"/>
      <c r="SQD239" s="537"/>
      <c r="SQE239" s="537"/>
      <c r="SQF239" s="537"/>
      <c r="SQG239" s="537"/>
      <c r="SQH239" s="537"/>
      <c r="SQI239" s="537"/>
      <c r="SQJ239" s="537"/>
      <c r="SQK239" s="537"/>
      <c r="SQL239" s="537"/>
      <c r="SQM239" s="537"/>
      <c r="SQN239" s="537"/>
      <c r="SQO239" s="537"/>
      <c r="SQP239" s="537"/>
      <c r="SQQ239" s="537"/>
      <c r="SQR239" s="537"/>
      <c r="SQS239" s="537"/>
      <c r="SQT239" s="537"/>
      <c r="SQU239" s="537"/>
      <c r="SQV239" s="537"/>
      <c r="SQW239" s="537"/>
      <c r="SQX239" s="537"/>
      <c r="SQY239" s="537"/>
      <c r="SQZ239" s="537"/>
      <c r="SRA239" s="537"/>
      <c r="SRB239" s="537"/>
      <c r="SRC239" s="537"/>
      <c r="SRD239" s="537"/>
      <c r="SRE239" s="537"/>
      <c r="SRF239" s="537"/>
      <c r="SRG239" s="537"/>
      <c r="SRH239" s="537"/>
      <c r="SRI239" s="537"/>
      <c r="SRJ239" s="537"/>
      <c r="SRK239" s="537"/>
      <c r="SRL239" s="537"/>
      <c r="SRM239" s="537"/>
      <c r="SRN239" s="537"/>
      <c r="SRO239" s="537"/>
      <c r="SRP239" s="537"/>
      <c r="SRQ239" s="537"/>
      <c r="SRR239" s="537"/>
      <c r="SRS239" s="537"/>
      <c r="SRT239" s="537"/>
      <c r="SRU239" s="537"/>
      <c r="SRV239" s="537"/>
      <c r="SRW239" s="537"/>
      <c r="SRX239" s="537"/>
      <c r="SRY239" s="537"/>
      <c r="SRZ239" s="537"/>
      <c r="SSA239" s="537"/>
      <c r="SSB239" s="537"/>
      <c r="SSC239" s="537"/>
      <c r="SSD239" s="537"/>
      <c r="SSE239" s="537"/>
      <c r="SSF239" s="537"/>
      <c r="SSG239" s="537"/>
      <c r="SSH239" s="537"/>
      <c r="SSI239" s="537"/>
      <c r="SSJ239" s="537"/>
      <c r="SSK239" s="537"/>
      <c r="SSL239" s="537"/>
      <c r="SSM239" s="537"/>
      <c r="SSN239" s="537"/>
      <c r="SSO239" s="537"/>
      <c r="SSP239" s="537"/>
      <c r="SSQ239" s="537"/>
      <c r="SSR239" s="537"/>
      <c r="SSS239" s="537"/>
      <c r="SST239" s="537"/>
      <c r="SSU239" s="537"/>
      <c r="SSV239" s="537"/>
      <c r="SSW239" s="537"/>
      <c r="SSX239" s="537"/>
      <c r="SSY239" s="537"/>
      <c r="SSZ239" s="537"/>
      <c r="STA239" s="537"/>
      <c r="STB239" s="537"/>
      <c r="STC239" s="537"/>
      <c r="STD239" s="537"/>
      <c r="STE239" s="537"/>
      <c r="STF239" s="537"/>
      <c r="STG239" s="537"/>
      <c r="STH239" s="537"/>
      <c r="STI239" s="537"/>
      <c r="STJ239" s="537"/>
      <c r="STK239" s="537"/>
      <c r="STL239" s="537"/>
      <c r="STM239" s="537"/>
      <c r="STN239" s="537"/>
      <c r="STO239" s="537"/>
      <c r="STP239" s="537"/>
      <c r="STQ239" s="537"/>
      <c r="STR239" s="537"/>
      <c r="STS239" s="537"/>
      <c r="STT239" s="537"/>
      <c r="STU239" s="537"/>
      <c r="STV239" s="537"/>
      <c r="STW239" s="537"/>
      <c r="STX239" s="537"/>
      <c r="STY239" s="537"/>
      <c r="STZ239" s="537"/>
      <c r="SUA239" s="537"/>
      <c r="SUB239" s="537"/>
      <c r="SUC239" s="537"/>
      <c r="SUD239" s="537"/>
      <c r="SUE239" s="537"/>
      <c r="SUF239" s="537"/>
      <c r="SUG239" s="537"/>
      <c r="SUH239" s="537"/>
      <c r="SUI239" s="537"/>
      <c r="SUJ239" s="537"/>
      <c r="SUK239" s="537"/>
      <c r="SUL239" s="537"/>
      <c r="SUM239" s="537"/>
      <c r="SUN239" s="537"/>
      <c r="SUO239" s="537"/>
      <c r="SUP239" s="537"/>
      <c r="SUQ239" s="537"/>
      <c r="SUR239" s="537"/>
      <c r="SUS239" s="537"/>
      <c r="SUT239" s="537"/>
      <c r="SUU239" s="537"/>
      <c r="SUV239" s="537"/>
      <c r="SUW239" s="537"/>
      <c r="SUX239" s="537"/>
      <c r="SUY239" s="537"/>
      <c r="SUZ239" s="537"/>
      <c r="SVA239" s="537"/>
      <c r="SVB239" s="537"/>
      <c r="SVC239" s="537"/>
      <c r="SVD239" s="537"/>
      <c r="SVE239" s="537"/>
      <c r="SVF239" s="537"/>
      <c r="SVG239" s="537"/>
      <c r="SVH239" s="537"/>
      <c r="SVI239" s="537"/>
      <c r="SVJ239" s="537"/>
      <c r="SVK239" s="537"/>
      <c r="SVL239" s="537"/>
      <c r="SVM239" s="537"/>
      <c r="SVN239" s="537"/>
      <c r="SVO239" s="537"/>
      <c r="SVP239" s="537"/>
      <c r="SVQ239" s="537"/>
      <c r="SVR239" s="537"/>
      <c r="SVS239" s="537"/>
      <c r="SVT239" s="537"/>
      <c r="SVU239" s="537"/>
      <c r="SVV239" s="537"/>
      <c r="SVW239" s="537"/>
      <c r="SVX239" s="537"/>
      <c r="SVY239" s="537"/>
      <c r="SVZ239" s="537"/>
      <c r="SWA239" s="537"/>
      <c r="SWB239" s="537"/>
      <c r="SWC239" s="537"/>
      <c r="SWD239" s="537"/>
      <c r="SWE239" s="537"/>
      <c r="SWF239" s="537"/>
      <c r="SWG239" s="537"/>
      <c r="SWH239" s="537"/>
      <c r="SWI239" s="537"/>
      <c r="SWJ239" s="537"/>
      <c r="SWK239" s="537"/>
      <c r="SWL239" s="537"/>
      <c r="SWM239" s="537"/>
      <c r="SWN239" s="537"/>
      <c r="SWO239" s="537"/>
      <c r="SWP239" s="537"/>
      <c r="SWQ239" s="537"/>
      <c r="SWR239" s="537"/>
      <c r="SWS239" s="537"/>
      <c r="SWT239" s="537"/>
      <c r="SWU239" s="537"/>
      <c r="SWV239" s="537"/>
      <c r="SWW239" s="537"/>
      <c r="SWX239" s="537"/>
      <c r="SWY239" s="537"/>
      <c r="SWZ239" s="537"/>
      <c r="SXA239" s="537"/>
      <c r="SXB239" s="537"/>
      <c r="SXC239" s="537"/>
      <c r="SXD239" s="537"/>
      <c r="SXE239" s="537"/>
      <c r="SXF239" s="537"/>
      <c r="SXG239" s="537"/>
      <c r="SXH239" s="537"/>
      <c r="SXI239" s="537"/>
      <c r="SXJ239" s="537"/>
      <c r="SXK239" s="537"/>
      <c r="SXL239" s="537"/>
      <c r="SXM239" s="537"/>
      <c r="SXN239" s="537"/>
      <c r="SXO239" s="537"/>
      <c r="SXP239" s="537"/>
      <c r="SXQ239" s="537"/>
      <c r="SXR239" s="537"/>
      <c r="SXS239" s="537"/>
      <c r="SXT239" s="537"/>
      <c r="SXU239" s="537"/>
      <c r="SXV239" s="537"/>
      <c r="SXW239" s="537"/>
      <c r="SXX239" s="537"/>
      <c r="SXY239" s="537"/>
      <c r="SXZ239" s="537"/>
      <c r="SYA239" s="537"/>
      <c r="SYB239" s="537"/>
      <c r="SYC239" s="537"/>
      <c r="SYD239" s="537"/>
      <c r="SYE239" s="537"/>
      <c r="SYF239" s="537"/>
      <c r="SYG239" s="537"/>
      <c r="SYH239" s="537"/>
      <c r="SYI239" s="537"/>
      <c r="SYJ239" s="537"/>
      <c r="SYK239" s="537"/>
      <c r="SYL239" s="537"/>
      <c r="SYM239" s="537"/>
      <c r="SYN239" s="537"/>
      <c r="SYO239" s="537"/>
      <c r="SYP239" s="537"/>
      <c r="SYQ239" s="537"/>
      <c r="SYR239" s="537"/>
      <c r="SYS239" s="537"/>
      <c r="SYT239" s="537"/>
      <c r="SYU239" s="537"/>
      <c r="SYV239" s="537"/>
      <c r="SYW239" s="537"/>
      <c r="SYX239" s="537"/>
      <c r="SYY239" s="537"/>
      <c r="SYZ239" s="537"/>
      <c r="SZA239" s="537"/>
      <c r="SZB239" s="537"/>
      <c r="SZC239" s="537"/>
      <c r="SZD239" s="537"/>
      <c r="SZE239" s="537"/>
      <c r="SZF239" s="537"/>
      <c r="SZG239" s="537"/>
      <c r="SZH239" s="537"/>
      <c r="SZI239" s="537"/>
      <c r="SZJ239" s="537"/>
      <c r="SZK239" s="537"/>
      <c r="SZL239" s="537"/>
      <c r="SZM239" s="537"/>
      <c r="SZN239" s="537"/>
      <c r="SZO239" s="537"/>
      <c r="SZP239" s="537"/>
      <c r="SZQ239" s="537"/>
      <c r="SZR239" s="537"/>
      <c r="SZS239" s="537"/>
      <c r="SZT239" s="537"/>
      <c r="SZU239" s="537"/>
      <c r="SZV239" s="537"/>
      <c r="SZW239" s="537"/>
      <c r="SZX239" s="537"/>
      <c r="SZY239" s="537"/>
      <c r="SZZ239" s="537"/>
      <c r="TAA239" s="537"/>
      <c r="TAB239" s="537"/>
      <c r="TAC239" s="537"/>
      <c r="TAD239" s="537"/>
      <c r="TAE239" s="537"/>
      <c r="TAF239" s="537"/>
      <c r="TAG239" s="537"/>
      <c r="TAH239" s="537"/>
      <c r="TAI239" s="537"/>
      <c r="TAJ239" s="537"/>
      <c r="TAK239" s="537"/>
      <c r="TAL239" s="537"/>
      <c r="TAM239" s="537"/>
      <c r="TAN239" s="537"/>
      <c r="TAO239" s="537"/>
      <c r="TAP239" s="537"/>
      <c r="TAQ239" s="537"/>
      <c r="TAR239" s="537"/>
      <c r="TAS239" s="537"/>
      <c r="TAT239" s="537"/>
      <c r="TAU239" s="537"/>
      <c r="TAV239" s="537"/>
      <c r="TAW239" s="537"/>
      <c r="TAX239" s="537"/>
      <c r="TAY239" s="537"/>
      <c r="TAZ239" s="537"/>
      <c r="TBA239" s="537"/>
      <c r="TBB239" s="537"/>
      <c r="TBC239" s="537"/>
      <c r="TBD239" s="537"/>
      <c r="TBE239" s="537"/>
      <c r="TBF239" s="537"/>
      <c r="TBG239" s="537"/>
      <c r="TBH239" s="537"/>
      <c r="TBI239" s="537"/>
      <c r="TBJ239" s="537"/>
      <c r="TBK239" s="537"/>
      <c r="TBL239" s="537"/>
      <c r="TBM239" s="537"/>
      <c r="TBN239" s="537"/>
      <c r="TBO239" s="537"/>
      <c r="TBP239" s="537"/>
      <c r="TBQ239" s="537"/>
      <c r="TBR239" s="537"/>
      <c r="TBS239" s="537"/>
      <c r="TBT239" s="537"/>
      <c r="TBU239" s="537"/>
      <c r="TBV239" s="537"/>
      <c r="TBW239" s="537"/>
      <c r="TBX239" s="537"/>
      <c r="TBY239" s="537"/>
      <c r="TBZ239" s="537"/>
      <c r="TCA239" s="537"/>
      <c r="TCB239" s="537"/>
      <c r="TCC239" s="537"/>
      <c r="TCD239" s="537"/>
      <c r="TCE239" s="537"/>
      <c r="TCF239" s="537"/>
      <c r="TCG239" s="537"/>
      <c r="TCH239" s="537"/>
      <c r="TCI239" s="537"/>
      <c r="TCJ239" s="537"/>
      <c r="TCK239" s="537"/>
      <c r="TCL239" s="537"/>
      <c r="TCM239" s="537"/>
      <c r="TCN239" s="537"/>
      <c r="TCO239" s="537"/>
      <c r="TCP239" s="537"/>
      <c r="TCQ239" s="537"/>
      <c r="TCR239" s="537"/>
      <c r="TCS239" s="537"/>
      <c r="TCT239" s="537"/>
      <c r="TCU239" s="537"/>
      <c r="TCV239" s="537"/>
      <c r="TCW239" s="537"/>
      <c r="TCX239" s="537"/>
      <c r="TCY239" s="537"/>
      <c r="TCZ239" s="537"/>
      <c r="TDA239" s="537"/>
      <c r="TDB239" s="537"/>
      <c r="TDC239" s="537"/>
      <c r="TDD239" s="537"/>
      <c r="TDE239" s="537"/>
      <c r="TDF239" s="537"/>
      <c r="TDG239" s="537"/>
      <c r="TDH239" s="537"/>
      <c r="TDI239" s="537"/>
      <c r="TDJ239" s="537"/>
      <c r="TDK239" s="537"/>
      <c r="TDL239" s="537"/>
      <c r="TDM239" s="537"/>
      <c r="TDN239" s="537"/>
      <c r="TDO239" s="537"/>
      <c r="TDP239" s="537"/>
      <c r="TDQ239" s="537"/>
      <c r="TDR239" s="537"/>
      <c r="TDS239" s="537"/>
      <c r="TDT239" s="537"/>
      <c r="TDU239" s="537"/>
      <c r="TDV239" s="537"/>
      <c r="TDW239" s="537"/>
      <c r="TDX239" s="537"/>
      <c r="TDY239" s="537"/>
      <c r="TDZ239" s="537"/>
      <c r="TEA239" s="537"/>
      <c r="TEB239" s="537"/>
      <c r="TEC239" s="537"/>
      <c r="TED239" s="537"/>
      <c r="TEE239" s="537"/>
      <c r="TEF239" s="537"/>
      <c r="TEG239" s="537"/>
      <c r="TEH239" s="537"/>
      <c r="TEI239" s="537"/>
      <c r="TEJ239" s="537"/>
      <c r="TEK239" s="537"/>
      <c r="TEL239" s="537"/>
      <c r="TEM239" s="537"/>
      <c r="TEN239" s="537"/>
      <c r="TEO239" s="537"/>
      <c r="TEP239" s="537"/>
      <c r="TEQ239" s="537"/>
      <c r="TER239" s="537"/>
      <c r="TES239" s="537"/>
      <c r="TET239" s="537"/>
      <c r="TEU239" s="537"/>
      <c r="TEV239" s="537"/>
      <c r="TEW239" s="537"/>
      <c r="TEX239" s="537"/>
      <c r="TEY239" s="537"/>
      <c r="TEZ239" s="537"/>
      <c r="TFA239" s="537"/>
      <c r="TFB239" s="537"/>
      <c r="TFC239" s="537"/>
      <c r="TFD239" s="537"/>
      <c r="TFE239" s="537"/>
      <c r="TFF239" s="537"/>
      <c r="TFG239" s="537"/>
      <c r="TFH239" s="537"/>
      <c r="TFI239" s="537"/>
      <c r="TFJ239" s="537"/>
      <c r="TFK239" s="537"/>
      <c r="TFL239" s="537"/>
      <c r="TFM239" s="537"/>
      <c r="TFN239" s="537"/>
      <c r="TFO239" s="537"/>
      <c r="TFP239" s="537"/>
      <c r="TFQ239" s="537"/>
      <c r="TFR239" s="537"/>
      <c r="TFS239" s="537"/>
      <c r="TFT239" s="537"/>
      <c r="TFU239" s="537"/>
      <c r="TFV239" s="537"/>
      <c r="TFW239" s="537"/>
      <c r="TFX239" s="537"/>
      <c r="TFY239" s="537"/>
      <c r="TFZ239" s="537"/>
      <c r="TGA239" s="537"/>
      <c r="TGB239" s="537"/>
      <c r="TGC239" s="537"/>
      <c r="TGD239" s="537"/>
      <c r="TGE239" s="537"/>
      <c r="TGF239" s="537"/>
      <c r="TGG239" s="537"/>
      <c r="TGH239" s="537"/>
      <c r="TGI239" s="537"/>
      <c r="TGJ239" s="537"/>
      <c r="TGK239" s="537"/>
      <c r="TGL239" s="537"/>
      <c r="TGM239" s="537"/>
      <c r="TGN239" s="537"/>
      <c r="TGO239" s="537"/>
      <c r="TGP239" s="537"/>
      <c r="TGQ239" s="537"/>
      <c r="TGR239" s="537"/>
      <c r="TGS239" s="537"/>
      <c r="TGT239" s="537"/>
      <c r="TGU239" s="537"/>
      <c r="TGV239" s="537"/>
      <c r="TGW239" s="537"/>
      <c r="TGX239" s="537"/>
      <c r="TGY239" s="537"/>
      <c r="TGZ239" s="537"/>
      <c r="THA239" s="537"/>
      <c r="THB239" s="537"/>
      <c r="THC239" s="537"/>
      <c r="THD239" s="537"/>
      <c r="THE239" s="537"/>
      <c r="THF239" s="537"/>
      <c r="THG239" s="537"/>
      <c r="THH239" s="537"/>
      <c r="THI239" s="537"/>
      <c r="THJ239" s="537"/>
      <c r="THK239" s="537"/>
      <c r="THL239" s="537"/>
      <c r="THM239" s="537"/>
      <c r="THN239" s="537"/>
      <c r="THO239" s="537"/>
      <c r="THP239" s="537"/>
      <c r="THQ239" s="537"/>
      <c r="THR239" s="537"/>
      <c r="THS239" s="537"/>
      <c r="THT239" s="537"/>
      <c r="THU239" s="537"/>
      <c r="THV239" s="537"/>
      <c r="THW239" s="537"/>
      <c r="THX239" s="537"/>
      <c r="THY239" s="537"/>
      <c r="THZ239" s="537"/>
      <c r="TIA239" s="537"/>
      <c r="TIB239" s="537"/>
      <c r="TIC239" s="537"/>
      <c r="TID239" s="537"/>
      <c r="TIE239" s="537"/>
      <c r="TIF239" s="537"/>
      <c r="TIG239" s="537"/>
      <c r="TIH239" s="537"/>
      <c r="TII239" s="537"/>
      <c r="TIJ239" s="537"/>
      <c r="TIK239" s="537"/>
      <c r="TIL239" s="537"/>
      <c r="TIM239" s="537"/>
      <c r="TIN239" s="537"/>
      <c r="TIO239" s="537"/>
      <c r="TIP239" s="537"/>
      <c r="TIQ239" s="537"/>
      <c r="TIR239" s="537"/>
      <c r="TIS239" s="537"/>
      <c r="TIT239" s="537"/>
      <c r="TIU239" s="537"/>
      <c r="TIV239" s="537"/>
      <c r="TIW239" s="537"/>
      <c r="TIX239" s="537"/>
      <c r="TIY239" s="537"/>
      <c r="TIZ239" s="537"/>
      <c r="TJA239" s="537"/>
      <c r="TJB239" s="537"/>
      <c r="TJC239" s="537"/>
      <c r="TJD239" s="537"/>
      <c r="TJE239" s="537"/>
      <c r="TJF239" s="537"/>
      <c r="TJG239" s="537"/>
      <c r="TJH239" s="537"/>
      <c r="TJI239" s="537"/>
      <c r="TJJ239" s="537"/>
      <c r="TJK239" s="537"/>
      <c r="TJL239" s="537"/>
      <c r="TJM239" s="537"/>
      <c r="TJN239" s="537"/>
      <c r="TJO239" s="537"/>
      <c r="TJP239" s="537"/>
      <c r="TJQ239" s="537"/>
      <c r="TJR239" s="537"/>
      <c r="TJS239" s="537"/>
      <c r="TJT239" s="537"/>
      <c r="TJU239" s="537"/>
      <c r="TJV239" s="537"/>
      <c r="TJW239" s="537"/>
      <c r="TJX239" s="537"/>
      <c r="TJY239" s="537"/>
      <c r="TJZ239" s="537"/>
      <c r="TKA239" s="537"/>
      <c r="TKB239" s="537"/>
      <c r="TKC239" s="537"/>
      <c r="TKD239" s="537"/>
      <c r="TKE239" s="537"/>
      <c r="TKF239" s="537"/>
      <c r="TKG239" s="537"/>
      <c r="TKH239" s="537"/>
      <c r="TKI239" s="537"/>
      <c r="TKJ239" s="537"/>
      <c r="TKK239" s="537"/>
      <c r="TKL239" s="537"/>
      <c r="TKM239" s="537"/>
      <c r="TKN239" s="537"/>
      <c r="TKO239" s="537"/>
      <c r="TKP239" s="537"/>
      <c r="TKQ239" s="537"/>
      <c r="TKR239" s="537"/>
      <c r="TKS239" s="537"/>
      <c r="TKT239" s="537"/>
      <c r="TKU239" s="537"/>
      <c r="TKV239" s="537"/>
      <c r="TKW239" s="537"/>
      <c r="TKX239" s="537"/>
      <c r="TKY239" s="537"/>
      <c r="TKZ239" s="537"/>
      <c r="TLA239" s="537"/>
      <c r="TLB239" s="537"/>
      <c r="TLC239" s="537"/>
      <c r="TLD239" s="537"/>
      <c r="TLE239" s="537"/>
      <c r="TLF239" s="537"/>
      <c r="TLG239" s="537"/>
      <c r="TLH239" s="537"/>
      <c r="TLI239" s="537"/>
      <c r="TLJ239" s="537"/>
      <c r="TLK239" s="537"/>
      <c r="TLL239" s="537"/>
      <c r="TLM239" s="537"/>
      <c r="TLN239" s="537"/>
      <c r="TLO239" s="537"/>
      <c r="TLP239" s="537"/>
      <c r="TLQ239" s="537"/>
      <c r="TLR239" s="537"/>
      <c r="TLS239" s="537"/>
      <c r="TLT239" s="537"/>
      <c r="TLU239" s="537"/>
      <c r="TLV239" s="537"/>
      <c r="TLW239" s="537"/>
      <c r="TLX239" s="537"/>
      <c r="TLY239" s="537"/>
      <c r="TLZ239" s="537"/>
      <c r="TMA239" s="537"/>
      <c r="TMB239" s="537"/>
      <c r="TMC239" s="537"/>
      <c r="TMD239" s="537"/>
      <c r="TME239" s="537"/>
      <c r="TMF239" s="537"/>
      <c r="TMG239" s="537"/>
      <c r="TMH239" s="537"/>
      <c r="TMI239" s="537"/>
      <c r="TMJ239" s="537"/>
      <c r="TMK239" s="537"/>
      <c r="TML239" s="537"/>
      <c r="TMM239" s="537"/>
      <c r="TMN239" s="537"/>
      <c r="TMO239" s="537"/>
      <c r="TMP239" s="537"/>
      <c r="TMQ239" s="537"/>
      <c r="TMR239" s="537"/>
      <c r="TMS239" s="537"/>
      <c r="TMT239" s="537"/>
      <c r="TMU239" s="537"/>
      <c r="TMV239" s="537"/>
      <c r="TMW239" s="537"/>
      <c r="TMX239" s="537"/>
      <c r="TMY239" s="537"/>
      <c r="TMZ239" s="537"/>
      <c r="TNA239" s="537"/>
      <c r="TNB239" s="537"/>
      <c r="TNC239" s="537"/>
      <c r="TND239" s="537"/>
      <c r="TNE239" s="537"/>
      <c r="TNF239" s="537"/>
      <c r="TNG239" s="537"/>
      <c r="TNH239" s="537"/>
      <c r="TNI239" s="537"/>
      <c r="TNJ239" s="537"/>
      <c r="TNK239" s="537"/>
      <c r="TNL239" s="537"/>
      <c r="TNM239" s="537"/>
      <c r="TNN239" s="537"/>
      <c r="TNO239" s="537"/>
      <c r="TNP239" s="537"/>
      <c r="TNQ239" s="537"/>
      <c r="TNR239" s="537"/>
      <c r="TNS239" s="537"/>
      <c r="TNT239" s="537"/>
      <c r="TNU239" s="537"/>
      <c r="TNV239" s="537"/>
      <c r="TNW239" s="537"/>
      <c r="TNX239" s="537"/>
      <c r="TNY239" s="537"/>
      <c r="TNZ239" s="537"/>
      <c r="TOA239" s="537"/>
      <c r="TOB239" s="537"/>
      <c r="TOC239" s="537"/>
      <c r="TOD239" s="537"/>
      <c r="TOE239" s="537"/>
      <c r="TOF239" s="537"/>
      <c r="TOG239" s="537"/>
      <c r="TOH239" s="537"/>
      <c r="TOI239" s="537"/>
      <c r="TOJ239" s="537"/>
      <c r="TOK239" s="537"/>
      <c r="TOL239" s="537"/>
      <c r="TOM239" s="537"/>
      <c r="TON239" s="537"/>
      <c r="TOO239" s="537"/>
      <c r="TOP239" s="537"/>
      <c r="TOQ239" s="537"/>
      <c r="TOR239" s="537"/>
      <c r="TOS239" s="537"/>
      <c r="TOT239" s="537"/>
      <c r="TOU239" s="537"/>
      <c r="TOV239" s="537"/>
      <c r="TOW239" s="537"/>
      <c r="TOX239" s="537"/>
      <c r="TOY239" s="537"/>
      <c r="TOZ239" s="537"/>
      <c r="TPA239" s="537"/>
      <c r="TPB239" s="537"/>
      <c r="TPC239" s="537"/>
      <c r="TPD239" s="537"/>
      <c r="TPE239" s="537"/>
      <c r="TPF239" s="537"/>
      <c r="TPG239" s="537"/>
      <c r="TPH239" s="537"/>
      <c r="TPI239" s="537"/>
      <c r="TPJ239" s="537"/>
      <c r="TPK239" s="537"/>
      <c r="TPL239" s="537"/>
      <c r="TPM239" s="537"/>
      <c r="TPN239" s="537"/>
      <c r="TPO239" s="537"/>
      <c r="TPP239" s="537"/>
      <c r="TPQ239" s="537"/>
      <c r="TPR239" s="537"/>
      <c r="TPS239" s="537"/>
      <c r="TPT239" s="537"/>
      <c r="TPU239" s="537"/>
      <c r="TPV239" s="537"/>
      <c r="TPW239" s="537"/>
      <c r="TPX239" s="537"/>
      <c r="TPY239" s="537"/>
      <c r="TPZ239" s="537"/>
      <c r="TQA239" s="537"/>
      <c r="TQB239" s="537"/>
      <c r="TQC239" s="537"/>
      <c r="TQD239" s="537"/>
      <c r="TQE239" s="537"/>
      <c r="TQF239" s="537"/>
      <c r="TQG239" s="537"/>
      <c r="TQH239" s="537"/>
      <c r="TQI239" s="537"/>
      <c r="TQJ239" s="537"/>
      <c r="TQK239" s="537"/>
      <c r="TQL239" s="537"/>
      <c r="TQM239" s="537"/>
      <c r="TQN239" s="537"/>
      <c r="TQO239" s="537"/>
      <c r="TQP239" s="537"/>
      <c r="TQQ239" s="537"/>
      <c r="TQR239" s="537"/>
      <c r="TQS239" s="537"/>
      <c r="TQT239" s="537"/>
      <c r="TQU239" s="537"/>
      <c r="TQV239" s="537"/>
      <c r="TQW239" s="537"/>
      <c r="TQX239" s="537"/>
      <c r="TQY239" s="537"/>
      <c r="TQZ239" s="537"/>
      <c r="TRA239" s="537"/>
      <c r="TRB239" s="537"/>
      <c r="TRC239" s="537"/>
      <c r="TRD239" s="537"/>
      <c r="TRE239" s="537"/>
      <c r="TRF239" s="537"/>
      <c r="TRG239" s="537"/>
      <c r="TRH239" s="537"/>
      <c r="TRI239" s="537"/>
      <c r="TRJ239" s="537"/>
      <c r="TRK239" s="537"/>
      <c r="TRL239" s="537"/>
      <c r="TRM239" s="537"/>
      <c r="TRN239" s="537"/>
      <c r="TRO239" s="537"/>
      <c r="TRP239" s="537"/>
      <c r="TRQ239" s="537"/>
      <c r="TRR239" s="537"/>
      <c r="TRS239" s="537"/>
      <c r="TRT239" s="537"/>
      <c r="TRU239" s="537"/>
      <c r="TRV239" s="537"/>
      <c r="TRW239" s="537"/>
      <c r="TRX239" s="537"/>
      <c r="TRY239" s="537"/>
      <c r="TRZ239" s="537"/>
      <c r="TSA239" s="537"/>
      <c r="TSB239" s="537"/>
      <c r="TSC239" s="537"/>
      <c r="TSD239" s="537"/>
      <c r="TSE239" s="537"/>
      <c r="TSF239" s="537"/>
      <c r="TSG239" s="537"/>
      <c r="TSH239" s="537"/>
      <c r="TSI239" s="537"/>
      <c r="TSJ239" s="537"/>
      <c r="TSK239" s="537"/>
      <c r="TSL239" s="537"/>
      <c r="TSM239" s="537"/>
      <c r="TSN239" s="537"/>
      <c r="TSO239" s="537"/>
      <c r="TSP239" s="537"/>
      <c r="TSQ239" s="537"/>
      <c r="TSR239" s="537"/>
      <c r="TSS239" s="537"/>
      <c r="TST239" s="537"/>
      <c r="TSU239" s="537"/>
      <c r="TSV239" s="537"/>
      <c r="TSW239" s="537"/>
      <c r="TSX239" s="537"/>
      <c r="TSY239" s="537"/>
      <c r="TSZ239" s="537"/>
      <c r="TTA239" s="537"/>
      <c r="TTB239" s="537"/>
      <c r="TTC239" s="537"/>
      <c r="TTD239" s="537"/>
      <c r="TTE239" s="537"/>
      <c r="TTF239" s="537"/>
      <c r="TTG239" s="537"/>
      <c r="TTH239" s="537"/>
      <c r="TTI239" s="537"/>
      <c r="TTJ239" s="537"/>
      <c r="TTK239" s="537"/>
      <c r="TTL239" s="537"/>
      <c r="TTM239" s="537"/>
      <c r="TTN239" s="537"/>
      <c r="TTO239" s="537"/>
      <c r="TTP239" s="537"/>
      <c r="TTQ239" s="537"/>
      <c r="TTR239" s="537"/>
      <c r="TTS239" s="537"/>
      <c r="TTT239" s="537"/>
      <c r="TTU239" s="537"/>
      <c r="TTV239" s="537"/>
      <c r="TTW239" s="537"/>
      <c r="TTX239" s="537"/>
      <c r="TTY239" s="537"/>
      <c r="TTZ239" s="537"/>
      <c r="TUA239" s="537"/>
      <c r="TUB239" s="537"/>
      <c r="TUC239" s="537"/>
      <c r="TUD239" s="537"/>
      <c r="TUE239" s="537"/>
      <c r="TUF239" s="537"/>
      <c r="TUG239" s="537"/>
      <c r="TUH239" s="537"/>
      <c r="TUI239" s="537"/>
      <c r="TUJ239" s="537"/>
      <c r="TUK239" s="537"/>
      <c r="TUL239" s="537"/>
      <c r="TUM239" s="537"/>
      <c r="TUN239" s="537"/>
      <c r="TUO239" s="537"/>
      <c r="TUP239" s="537"/>
      <c r="TUQ239" s="537"/>
      <c r="TUR239" s="537"/>
      <c r="TUS239" s="537"/>
      <c r="TUT239" s="537"/>
      <c r="TUU239" s="537"/>
      <c r="TUV239" s="537"/>
      <c r="TUW239" s="537"/>
      <c r="TUX239" s="537"/>
      <c r="TUY239" s="537"/>
      <c r="TUZ239" s="537"/>
      <c r="TVA239" s="537"/>
      <c r="TVB239" s="537"/>
      <c r="TVC239" s="537"/>
      <c r="TVD239" s="537"/>
      <c r="TVE239" s="537"/>
      <c r="TVF239" s="537"/>
      <c r="TVG239" s="537"/>
      <c r="TVH239" s="537"/>
      <c r="TVI239" s="537"/>
      <c r="TVJ239" s="537"/>
      <c r="TVK239" s="537"/>
      <c r="TVL239" s="537"/>
      <c r="TVM239" s="537"/>
      <c r="TVN239" s="537"/>
      <c r="TVO239" s="537"/>
      <c r="TVP239" s="537"/>
      <c r="TVQ239" s="537"/>
      <c r="TVR239" s="537"/>
      <c r="TVS239" s="537"/>
      <c r="TVT239" s="537"/>
      <c r="TVU239" s="537"/>
      <c r="TVV239" s="537"/>
      <c r="TVW239" s="537"/>
      <c r="TVX239" s="537"/>
      <c r="TVY239" s="537"/>
      <c r="TVZ239" s="537"/>
      <c r="TWA239" s="537"/>
      <c r="TWB239" s="537"/>
      <c r="TWC239" s="537"/>
      <c r="TWD239" s="537"/>
      <c r="TWE239" s="537"/>
      <c r="TWF239" s="537"/>
      <c r="TWG239" s="537"/>
      <c r="TWH239" s="537"/>
      <c r="TWI239" s="537"/>
      <c r="TWJ239" s="537"/>
      <c r="TWK239" s="537"/>
      <c r="TWL239" s="537"/>
      <c r="TWM239" s="537"/>
      <c r="TWN239" s="537"/>
      <c r="TWO239" s="537"/>
      <c r="TWP239" s="537"/>
      <c r="TWQ239" s="537"/>
      <c r="TWR239" s="537"/>
      <c r="TWS239" s="537"/>
      <c r="TWT239" s="537"/>
      <c r="TWU239" s="537"/>
      <c r="TWV239" s="537"/>
      <c r="TWW239" s="537"/>
      <c r="TWX239" s="537"/>
      <c r="TWY239" s="537"/>
      <c r="TWZ239" s="537"/>
      <c r="TXA239" s="537"/>
      <c r="TXB239" s="537"/>
      <c r="TXC239" s="537"/>
      <c r="TXD239" s="537"/>
      <c r="TXE239" s="537"/>
      <c r="TXF239" s="537"/>
      <c r="TXG239" s="537"/>
      <c r="TXH239" s="537"/>
      <c r="TXI239" s="537"/>
      <c r="TXJ239" s="537"/>
      <c r="TXK239" s="537"/>
      <c r="TXL239" s="537"/>
      <c r="TXM239" s="537"/>
      <c r="TXN239" s="537"/>
      <c r="TXO239" s="537"/>
      <c r="TXP239" s="537"/>
      <c r="TXQ239" s="537"/>
      <c r="TXR239" s="537"/>
      <c r="TXS239" s="537"/>
      <c r="TXT239" s="537"/>
      <c r="TXU239" s="537"/>
      <c r="TXV239" s="537"/>
      <c r="TXW239" s="537"/>
      <c r="TXX239" s="537"/>
      <c r="TXY239" s="537"/>
      <c r="TXZ239" s="537"/>
      <c r="TYA239" s="537"/>
      <c r="TYB239" s="537"/>
      <c r="TYC239" s="537"/>
      <c r="TYD239" s="537"/>
      <c r="TYE239" s="537"/>
      <c r="TYF239" s="537"/>
      <c r="TYG239" s="537"/>
      <c r="TYH239" s="537"/>
      <c r="TYI239" s="537"/>
      <c r="TYJ239" s="537"/>
      <c r="TYK239" s="537"/>
      <c r="TYL239" s="537"/>
      <c r="TYM239" s="537"/>
      <c r="TYN239" s="537"/>
      <c r="TYO239" s="537"/>
      <c r="TYP239" s="537"/>
      <c r="TYQ239" s="537"/>
      <c r="TYR239" s="537"/>
      <c r="TYS239" s="537"/>
      <c r="TYT239" s="537"/>
      <c r="TYU239" s="537"/>
      <c r="TYV239" s="537"/>
      <c r="TYW239" s="537"/>
      <c r="TYX239" s="537"/>
      <c r="TYY239" s="537"/>
      <c r="TYZ239" s="537"/>
      <c r="TZA239" s="537"/>
      <c r="TZB239" s="537"/>
      <c r="TZC239" s="537"/>
      <c r="TZD239" s="537"/>
      <c r="TZE239" s="537"/>
      <c r="TZF239" s="537"/>
      <c r="TZG239" s="537"/>
      <c r="TZH239" s="537"/>
      <c r="TZI239" s="537"/>
      <c r="TZJ239" s="537"/>
      <c r="TZK239" s="537"/>
      <c r="TZL239" s="537"/>
      <c r="TZM239" s="537"/>
      <c r="TZN239" s="537"/>
      <c r="TZO239" s="537"/>
      <c r="TZP239" s="537"/>
      <c r="TZQ239" s="537"/>
      <c r="TZR239" s="537"/>
      <c r="TZS239" s="537"/>
      <c r="TZT239" s="537"/>
      <c r="TZU239" s="537"/>
      <c r="TZV239" s="537"/>
      <c r="TZW239" s="537"/>
      <c r="TZX239" s="537"/>
      <c r="TZY239" s="537"/>
      <c r="TZZ239" s="537"/>
      <c r="UAA239" s="537"/>
      <c r="UAB239" s="537"/>
      <c r="UAC239" s="537"/>
      <c r="UAD239" s="537"/>
      <c r="UAE239" s="537"/>
      <c r="UAF239" s="537"/>
      <c r="UAG239" s="537"/>
      <c r="UAH239" s="537"/>
      <c r="UAI239" s="537"/>
      <c r="UAJ239" s="537"/>
      <c r="UAK239" s="537"/>
      <c r="UAL239" s="537"/>
      <c r="UAM239" s="537"/>
      <c r="UAN239" s="537"/>
      <c r="UAO239" s="537"/>
      <c r="UAP239" s="537"/>
      <c r="UAQ239" s="537"/>
      <c r="UAR239" s="537"/>
      <c r="UAS239" s="537"/>
      <c r="UAT239" s="537"/>
      <c r="UAU239" s="537"/>
      <c r="UAV239" s="537"/>
      <c r="UAW239" s="537"/>
      <c r="UAX239" s="537"/>
      <c r="UAY239" s="537"/>
      <c r="UAZ239" s="537"/>
      <c r="UBA239" s="537"/>
      <c r="UBB239" s="537"/>
      <c r="UBC239" s="537"/>
      <c r="UBD239" s="537"/>
      <c r="UBE239" s="537"/>
      <c r="UBF239" s="537"/>
      <c r="UBG239" s="537"/>
      <c r="UBH239" s="537"/>
      <c r="UBI239" s="537"/>
      <c r="UBJ239" s="537"/>
      <c r="UBK239" s="537"/>
      <c r="UBL239" s="537"/>
      <c r="UBM239" s="537"/>
      <c r="UBN239" s="537"/>
      <c r="UBO239" s="537"/>
      <c r="UBP239" s="537"/>
      <c r="UBQ239" s="537"/>
      <c r="UBR239" s="537"/>
      <c r="UBS239" s="537"/>
      <c r="UBT239" s="537"/>
      <c r="UBU239" s="537"/>
      <c r="UBV239" s="537"/>
      <c r="UBW239" s="537"/>
      <c r="UBX239" s="537"/>
      <c r="UBY239" s="537"/>
      <c r="UBZ239" s="537"/>
      <c r="UCA239" s="537"/>
      <c r="UCB239" s="537"/>
      <c r="UCC239" s="537"/>
      <c r="UCD239" s="537"/>
      <c r="UCE239" s="537"/>
      <c r="UCF239" s="537"/>
      <c r="UCG239" s="537"/>
      <c r="UCH239" s="537"/>
      <c r="UCI239" s="537"/>
      <c r="UCJ239" s="537"/>
      <c r="UCK239" s="537"/>
      <c r="UCL239" s="537"/>
      <c r="UCM239" s="537"/>
      <c r="UCN239" s="537"/>
      <c r="UCO239" s="537"/>
      <c r="UCP239" s="537"/>
      <c r="UCQ239" s="537"/>
      <c r="UCR239" s="537"/>
      <c r="UCS239" s="537"/>
      <c r="UCT239" s="537"/>
      <c r="UCU239" s="537"/>
      <c r="UCV239" s="537"/>
      <c r="UCW239" s="537"/>
      <c r="UCX239" s="537"/>
      <c r="UCY239" s="537"/>
      <c r="UCZ239" s="537"/>
      <c r="UDA239" s="537"/>
      <c r="UDB239" s="537"/>
      <c r="UDC239" s="537"/>
      <c r="UDD239" s="537"/>
      <c r="UDE239" s="537"/>
      <c r="UDF239" s="537"/>
      <c r="UDG239" s="537"/>
      <c r="UDH239" s="537"/>
      <c r="UDI239" s="537"/>
      <c r="UDJ239" s="537"/>
      <c r="UDK239" s="537"/>
      <c r="UDL239" s="537"/>
      <c r="UDM239" s="537"/>
      <c r="UDN239" s="537"/>
      <c r="UDO239" s="537"/>
      <c r="UDP239" s="537"/>
      <c r="UDQ239" s="537"/>
      <c r="UDR239" s="537"/>
      <c r="UDS239" s="537"/>
      <c r="UDT239" s="537"/>
      <c r="UDU239" s="537"/>
      <c r="UDV239" s="537"/>
      <c r="UDW239" s="537"/>
      <c r="UDX239" s="537"/>
      <c r="UDY239" s="537"/>
      <c r="UDZ239" s="537"/>
      <c r="UEA239" s="537"/>
      <c r="UEB239" s="537"/>
      <c r="UEC239" s="537"/>
      <c r="UED239" s="537"/>
      <c r="UEE239" s="537"/>
      <c r="UEF239" s="537"/>
      <c r="UEG239" s="537"/>
      <c r="UEH239" s="537"/>
      <c r="UEI239" s="537"/>
      <c r="UEJ239" s="537"/>
      <c r="UEK239" s="537"/>
      <c r="UEL239" s="537"/>
      <c r="UEM239" s="537"/>
      <c r="UEN239" s="537"/>
      <c r="UEO239" s="537"/>
      <c r="UEP239" s="537"/>
      <c r="UEQ239" s="537"/>
      <c r="UER239" s="537"/>
      <c r="UES239" s="537"/>
      <c r="UET239" s="537"/>
      <c r="UEU239" s="537"/>
      <c r="UEV239" s="537"/>
      <c r="UEW239" s="537"/>
      <c r="UEX239" s="537"/>
      <c r="UEY239" s="537"/>
      <c r="UEZ239" s="537"/>
      <c r="UFA239" s="537"/>
      <c r="UFB239" s="537"/>
      <c r="UFC239" s="537"/>
      <c r="UFD239" s="537"/>
      <c r="UFE239" s="537"/>
      <c r="UFF239" s="537"/>
      <c r="UFG239" s="537"/>
      <c r="UFH239" s="537"/>
      <c r="UFI239" s="537"/>
      <c r="UFJ239" s="537"/>
      <c r="UFK239" s="537"/>
      <c r="UFL239" s="537"/>
      <c r="UFM239" s="537"/>
      <c r="UFN239" s="537"/>
      <c r="UFO239" s="537"/>
      <c r="UFP239" s="537"/>
      <c r="UFQ239" s="537"/>
      <c r="UFR239" s="537"/>
      <c r="UFS239" s="537"/>
      <c r="UFT239" s="537"/>
      <c r="UFU239" s="537"/>
      <c r="UFV239" s="537"/>
      <c r="UFW239" s="537"/>
      <c r="UFX239" s="537"/>
      <c r="UFY239" s="537"/>
      <c r="UFZ239" s="537"/>
      <c r="UGA239" s="537"/>
      <c r="UGB239" s="537"/>
      <c r="UGC239" s="537"/>
      <c r="UGD239" s="537"/>
      <c r="UGE239" s="537"/>
      <c r="UGF239" s="537"/>
      <c r="UGG239" s="537"/>
      <c r="UGH239" s="537"/>
      <c r="UGI239" s="537"/>
      <c r="UGJ239" s="537"/>
      <c r="UGK239" s="537"/>
      <c r="UGL239" s="537"/>
      <c r="UGM239" s="537"/>
      <c r="UGN239" s="537"/>
      <c r="UGO239" s="537"/>
      <c r="UGP239" s="537"/>
      <c r="UGQ239" s="537"/>
      <c r="UGR239" s="537"/>
      <c r="UGS239" s="537"/>
      <c r="UGT239" s="537"/>
      <c r="UGU239" s="537"/>
      <c r="UGV239" s="537"/>
      <c r="UGW239" s="537"/>
      <c r="UGX239" s="537"/>
      <c r="UGY239" s="537"/>
      <c r="UGZ239" s="537"/>
      <c r="UHA239" s="537"/>
      <c r="UHB239" s="537"/>
      <c r="UHC239" s="537"/>
      <c r="UHD239" s="537"/>
      <c r="UHE239" s="537"/>
      <c r="UHF239" s="537"/>
      <c r="UHG239" s="537"/>
      <c r="UHH239" s="537"/>
      <c r="UHI239" s="537"/>
      <c r="UHJ239" s="537"/>
      <c r="UHK239" s="537"/>
      <c r="UHL239" s="537"/>
      <c r="UHM239" s="537"/>
      <c r="UHN239" s="537"/>
      <c r="UHO239" s="537"/>
      <c r="UHP239" s="537"/>
      <c r="UHQ239" s="537"/>
      <c r="UHR239" s="537"/>
      <c r="UHS239" s="537"/>
      <c r="UHT239" s="537"/>
      <c r="UHU239" s="537"/>
      <c r="UHV239" s="537"/>
      <c r="UHW239" s="537"/>
      <c r="UHX239" s="537"/>
      <c r="UHY239" s="537"/>
      <c r="UHZ239" s="537"/>
      <c r="UIA239" s="537"/>
      <c r="UIB239" s="537"/>
      <c r="UIC239" s="537"/>
      <c r="UID239" s="537"/>
      <c r="UIE239" s="537"/>
      <c r="UIF239" s="537"/>
      <c r="UIG239" s="537"/>
      <c r="UIH239" s="537"/>
      <c r="UII239" s="537"/>
      <c r="UIJ239" s="537"/>
      <c r="UIK239" s="537"/>
      <c r="UIL239" s="537"/>
      <c r="UIM239" s="537"/>
      <c r="UIN239" s="537"/>
      <c r="UIO239" s="537"/>
      <c r="UIP239" s="537"/>
      <c r="UIQ239" s="537"/>
      <c r="UIR239" s="537"/>
      <c r="UIS239" s="537"/>
      <c r="UIT239" s="537"/>
      <c r="UIU239" s="537"/>
      <c r="UIV239" s="537"/>
      <c r="UIW239" s="537"/>
      <c r="UIX239" s="537"/>
      <c r="UIY239" s="537"/>
      <c r="UIZ239" s="537"/>
      <c r="UJA239" s="537"/>
      <c r="UJB239" s="537"/>
      <c r="UJC239" s="537"/>
      <c r="UJD239" s="537"/>
      <c r="UJE239" s="537"/>
      <c r="UJF239" s="537"/>
      <c r="UJG239" s="537"/>
      <c r="UJH239" s="537"/>
      <c r="UJI239" s="537"/>
      <c r="UJJ239" s="537"/>
      <c r="UJK239" s="537"/>
      <c r="UJL239" s="537"/>
      <c r="UJM239" s="537"/>
      <c r="UJN239" s="537"/>
      <c r="UJO239" s="537"/>
      <c r="UJP239" s="537"/>
      <c r="UJQ239" s="537"/>
      <c r="UJR239" s="537"/>
      <c r="UJS239" s="537"/>
      <c r="UJT239" s="537"/>
      <c r="UJU239" s="537"/>
      <c r="UJV239" s="537"/>
      <c r="UJW239" s="537"/>
      <c r="UJX239" s="537"/>
      <c r="UJY239" s="537"/>
      <c r="UJZ239" s="537"/>
      <c r="UKA239" s="537"/>
      <c r="UKB239" s="537"/>
      <c r="UKC239" s="537"/>
      <c r="UKD239" s="537"/>
      <c r="UKE239" s="537"/>
      <c r="UKF239" s="537"/>
      <c r="UKG239" s="537"/>
      <c r="UKH239" s="537"/>
      <c r="UKI239" s="537"/>
      <c r="UKJ239" s="537"/>
      <c r="UKK239" s="537"/>
      <c r="UKL239" s="537"/>
      <c r="UKM239" s="537"/>
      <c r="UKN239" s="537"/>
      <c r="UKO239" s="537"/>
      <c r="UKP239" s="537"/>
      <c r="UKQ239" s="537"/>
      <c r="UKR239" s="537"/>
      <c r="UKS239" s="537"/>
      <c r="UKT239" s="537"/>
      <c r="UKU239" s="537"/>
      <c r="UKV239" s="537"/>
      <c r="UKW239" s="537"/>
      <c r="UKX239" s="537"/>
      <c r="UKY239" s="537"/>
      <c r="UKZ239" s="537"/>
      <c r="ULA239" s="537"/>
      <c r="ULB239" s="537"/>
      <c r="ULC239" s="537"/>
      <c r="ULD239" s="537"/>
      <c r="ULE239" s="537"/>
      <c r="ULF239" s="537"/>
      <c r="ULG239" s="537"/>
      <c r="ULH239" s="537"/>
      <c r="ULI239" s="537"/>
      <c r="ULJ239" s="537"/>
      <c r="ULK239" s="537"/>
      <c r="ULL239" s="537"/>
      <c r="ULM239" s="537"/>
      <c r="ULN239" s="537"/>
      <c r="ULO239" s="537"/>
      <c r="ULP239" s="537"/>
      <c r="ULQ239" s="537"/>
      <c r="ULR239" s="537"/>
      <c r="ULS239" s="537"/>
      <c r="ULT239" s="537"/>
      <c r="ULU239" s="537"/>
      <c r="ULV239" s="537"/>
      <c r="ULW239" s="537"/>
      <c r="ULX239" s="537"/>
      <c r="ULY239" s="537"/>
      <c r="ULZ239" s="537"/>
      <c r="UMA239" s="537"/>
      <c r="UMB239" s="537"/>
      <c r="UMC239" s="537"/>
      <c r="UMD239" s="537"/>
      <c r="UME239" s="537"/>
      <c r="UMF239" s="537"/>
      <c r="UMG239" s="537"/>
      <c r="UMH239" s="537"/>
      <c r="UMI239" s="537"/>
      <c r="UMJ239" s="537"/>
      <c r="UMK239" s="537"/>
      <c r="UML239" s="537"/>
      <c r="UMM239" s="537"/>
      <c r="UMN239" s="537"/>
      <c r="UMO239" s="537"/>
      <c r="UMP239" s="537"/>
      <c r="UMQ239" s="537"/>
      <c r="UMR239" s="537"/>
      <c r="UMS239" s="537"/>
      <c r="UMT239" s="537"/>
      <c r="UMU239" s="537"/>
      <c r="UMV239" s="537"/>
      <c r="UMW239" s="537"/>
      <c r="UMX239" s="537"/>
      <c r="UMY239" s="537"/>
      <c r="UMZ239" s="537"/>
      <c r="UNA239" s="537"/>
      <c r="UNB239" s="537"/>
      <c r="UNC239" s="537"/>
      <c r="UND239" s="537"/>
      <c r="UNE239" s="537"/>
      <c r="UNF239" s="537"/>
      <c r="UNG239" s="537"/>
      <c r="UNH239" s="537"/>
      <c r="UNI239" s="537"/>
      <c r="UNJ239" s="537"/>
      <c r="UNK239" s="537"/>
      <c r="UNL239" s="537"/>
      <c r="UNM239" s="537"/>
      <c r="UNN239" s="537"/>
      <c r="UNO239" s="537"/>
      <c r="UNP239" s="537"/>
      <c r="UNQ239" s="537"/>
      <c r="UNR239" s="537"/>
      <c r="UNS239" s="537"/>
      <c r="UNT239" s="537"/>
      <c r="UNU239" s="537"/>
      <c r="UNV239" s="537"/>
      <c r="UNW239" s="537"/>
      <c r="UNX239" s="537"/>
      <c r="UNY239" s="537"/>
      <c r="UNZ239" s="537"/>
      <c r="UOA239" s="537"/>
      <c r="UOB239" s="537"/>
      <c r="UOC239" s="537"/>
      <c r="UOD239" s="537"/>
      <c r="UOE239" s="537"/>
      <c r="UOF239" s="537"/>
      <c r="UOG239" s="537"/>
      <c r="UOH239" s="537"/>
      <c r="UOI239" s="537"/>
      <c r="UOJ239" s="537"/>
      <c r="UOK239" s="537"/>
      <c r="UOL239" s="537"/>
      <c r="UOM239" s="537"/>
      <c r="UON239" s="537"/>
      <c r="UOO239" s="537"/>
      <c r="UOP239" s="537"/>
      <c r="UOQ239" s="537"/>
      <c r="UOR239" s="537"/>
      <c r="UOS239" s="537"/>
      <c r="UOT239" s="537"/>
      <c r="UOU239" s="537"/>
      <c r="UOV239" s="537"/>
      <c r="UOW239" s="537"/>
      <c r="UOX239" s="537"/>
      <c r="UOY239" s="537"/>
      <c r="UOZ239" s="537"/>
      <c r="UPA239" s="537"/>
      <c r="UPB239" s="537"/>
      <c r="UPC239" s="537"/>
      <c r="UPD239" s="537"/>
      <c r="UPE239" s="537"/>
      <c r="UPF239" s="537"/>
      <c r="UPG239" s="537"/>
      <c r="UPH239" s="537"/>
      <c r="UPI239" s="537"/>
      <c r="UPJ239" s="537"/>
      <c r="UPK239" s="537"/>
      <c r="UPL239" s="537"/>
      <c r="UPM239" s="537"/>
      <c r="UPN239" s="537"/>
      <c r="UPO239" s="537"/>
      <c r="UPP239" s="537"/>
      <c r="UPQ239" s="537"/>
      <c r="UPR239" s="537"/>
      <c r="UPS239" s="537"/>
      <c r="UPT239" s="537"/>
      <c r="UPU239" s="537"/>
      <c r="UPV239" s="537"/>
      <c r="UPW239" s="537"/>
      <c r="UPX239" s="537"/>
      <c r="UPY239" s="537"/>
      <c r="UPZ239" s="537"/>
      <c r="UQA239" s="537"/>
      <c r="UQB239" s="537"/>
      <c r="UQC239" s="537"/>
      <c r="UQD239" s="537"/>
      <c r="UQE239" s="537"/>
      <c r="UQF239" s="537"/>
      <c r="UQG239" s="537"/>
      <c r="UQH239" s="537"/>
      <c r="UQI239" s="537"/>
      <c r="UQJ239" s="537"/>
      <c r="UQK239" s="537"/>
      <c r="UQL239" s="537"/>
      <c r="UQM239" s="537"/>
      <c r="UQN239" s="537"/>
      <c r="UQO239" s="537"/>
      <c r="UQP239" s="537"/>
      <c r="UQQ239" s="537"/>
      <c r="UQR239" s="537"/>
      <c r="UQS239" s="537"/>
      <c r="UQT239" s="537"/>
      <c r="UQU239" s="537"/>
      <c r="UQV239" s="537"/>
      <c r="UQW239" s="537"/>
      <c r="UQX239" s="537"/>
      <c r="UQY239" s="537"/>
      <c r="UQZ239" s="537"/>
      <c r="URA239" s="537"/>
      <c r="URB239" s="537"/>
      <c r="URC239" s="537"/>
      <c r="URD239" s="537"/>
      <c r="URE239" s="537"/>
      <c r="URF239" s="537"/>
      <c r="URG239" s="537"/>
      <c r="URH239" s="537"/>
      <c r="URI239" s="537"/>
      <c r="URJ239" s="537"/>
      <c r="URK239" s="537"/>
      <c r="URL239" s="537"/>
      <c r="URM239" s="537"/>
      <c r="URN239" s="537"/>
      <c r="URO239" s="537"/>
      <c r="URP239" s="537"/>
      <c r="URQ239" s="537"/>
      <c r="URR239" s="537"/>
      <c r="URS239" s="537"/>
      <c r="URT239" s="537"/>
      <c r="URU239" s="537"/>
      <c r="URV239" s="537"/>
      <c r="URW239" s="537"/>
      <c r="URX239" s="537"/>
      <c r="URY239" s="537"/>
      <c r="URZ239" s="537"/>
      <c r="USA239" s="537"/>
      <c r="USB239" s="537"/>
      <c r="USC239" s="537"/>
      <c r="USD239" s="537"/>
      <c r="USE239" s="537"/>
      <c r="USF239" s="537"/>
      <c r="USG239" s="537"/>
      <c r="USH239" s="537"/>
      <c r="USI239" s="537"/>
      <c r="USJ239" s="537"/>
      <c r="USK239" s="537"/>
      <c r="USL239" s="537"/>
      <c r="USM239" s="537"/>
      <c r="USN239" s="537"/>
      <c r="USO239" s="537"/>
      <c r="USP239" s="537"/>
      <c r="USQ239" s="537"/>
      <c r="USR239" s="537"/>
      <c r="USS239" s="537"/>
      <c r="UST239" s="537"/>
      <c r="USU239" s="537"/>
      <c r="USV239" s="537"/>
      <c r="USW239" s="537"/>
      <c r="USX239" s="537"/>
      <c r="USY239" s="537"/>
      <c r="USZ239" s="537"/>
      <c r="UTA239" s="537"/>
      <c r="UTB239" s="537"/>
      <c r="UTC239" s="537"/>
      <c r="UTD239" s="537"/>
      <c r="UTE239" s="537"/>
      <c r="UTF239" s="537"/>
      <c r="UTG239" s="537"/>
      <c r="UTH239" s="537"/>
      <c r="UTI239" s="537"/>
      <c r="UTJ239" s="537"/>
      <c r="UTK239" s="537"/>
      <c r="UTL239" s="537"/>
      <c r="UTM239" s="537"/>
      <c r="UTN239" s="537"/>
      <c r="UTO239" s="537"/>
      <c r="UTP239" s="537"/>
      <c r="UTQ239" s="537"/>
      <c r="UTR239" s="537"/>
      <c r="UTS239" s="537"/>
      <c r="UTT239" s="537"/>
      <c r="UTU239" s="537"/>
      <c r="UTV239" s="537"/>
      <c r="UTW239" s="537"/>
      <c r="UTX239" s="537"/>
      <c r="UTY239" s="537"/>
      <c r="UTZ239" s="537"/>
      <c r="UUA239" s="537"/>
      <c r="UUB239" s="537"/>
      <c r="UUC239" s="537"/>
      <c r="UUD239" s="537"/>
      <c r="UUE239" s="537"/>
      <c r="UUF239" s="537"/>
      <c r="UUG239" s="537"/>
      <c r="UUH239" s="537"/>
      <c r="UUI239" s="537"/>
      <c r="UUJ239" s="537"/>
      <c r="UUK239" s="537"/>
      <c r="UUL239" s="537"/>
      <c r="UUM239" s="537"/>
      <c r="UUN239" s="537"/>
      <c r="UUO239" s="537"/>
      <c r="UUP239" s="537"/>
      <c r="UUQ239" s="537"/>
      <c r="UUR239" s="537"/>
      <c r="UUS239" s="537"/>
      <c r="UUT239" s="537"/>
      <c r="UUU239" s="537"/>
      <c r="UUV239" s="537"/>
      <c r="UUW239" s="537"/>
      <c r="UUX239" s="537"/>
      <c r="UUY239" s="537"/>
      <c r="UUZ239" s="537"/>
      <c r="UVA239" s="537"/>
      <c r="UVB239" s="537"/>
      <c r="UVC239" s="537"/>
      <c r="UVD239" s="537"/>
      <c r="UVE239" s="537"/>
      <c r="UVF239" s="537"/>
      <c r="UVG239" s="537"/>
      <c r="UVH239" s="537"/>
      <c r="UVI239" s="537"/>
      <c r="UVJ239" s="537"/>
      <c r="UVK239" s="537"/>
      <c r="UVL239" s="537"/>
      <c r="UVM239" s="537"/>
      <c r="UVN239" s="537"/>
      <c r="UVO239" s="537"/>
      <c r="UVP239" s="537"/>
      <c r="UVQ239" s="537"/>
      <c r="UVR239" s="537"/>
      <c r="UVS239" s="537"/>
      <c r="UVT239" s="537"/>
      <c r="UVU239" s="537"/>
      <c r="UVV239" s="537"/>
      <c r="UVW239" s="537"/>
      <c r="UVX239" s="537"/>
      <c r="UVY239" s="537"/>
      <c r="UVZ239" s="537"/>
      <c r="UWA239" s="537"/>
      <c r="UWB239" s="537"/>
      <c r="UWC239" s="537"/>
      <c r="UWD239" s="537"/>
      <c r="UWE239" s="537"/>
      <c r="UWF239" s="537"/>
      <c r="UWG239" s="537"/>
      <c r="UWH239" s="537"/>
      <c r="UWI239" s="537"/>
      <c r="UWJ239" s="537"/>
      <c r="UWK239" s="537"/>
      <c r="UWL239" s="537"/>
      <c r="UWM239" s="537"/>
      <c r="UWN239" s="537"/>
      <c r="UWO239" s="537"/>
      <c r="UWP239" s="537"/>
      <c r="UWQ239" s="537"/>
      <c r="UWR239" s="537"/>
      <c r="UWS239" s="537"/>
      <c r="UWT239" s="537"/>
      <c r="UWU239" s="537"/>
      <c r="UWV239" s="537"/>
      <c r="UWW239" s="537"/>
      <c r="UWX239" s="537"/>
      <c r="UWY239" s="537"/>
      <c r="UWZ239" s="537"/>
      <c r="UXA239" s="537"/>
      <c r="UXB239" s="537"/>
      <c r="UXC239" s="537"/>
      <c r="UXD239" s="537"/>
      <c r="UXE239" s="537"/>
      <c r="UXF239" s="537"/>
      <c r="UXG239" s="537"/>
      <c r="UXH239" s="537"/>
      <c r="UXI239" s="537"/>
      <c r="UXJ239" s="537"/>
      <c r="UXK239" s="537"/>
      <c r="UXL239" s="537"/>
      <c r="UXM239" s="537"/>
      <c r="UXN239" s="537"/>
      <c r="UXO239" s="537"/>
      <c r="UXP239" s="537"/>
      <c r="UXQ239" s="537"/>
      <c r="UXR239" s="537"/>
      <c r="UXS239" s="537"/>
      <c r="UXT239" s="537"/>
      <c r="UXU239" s="537"/>
      <c r="UXV239" s="537"/>
      <c r="UXW239" s="537"/>
      <c r="UXX239" s="537"/>
      <c r="UXY239" s="537"/>
      <c r="UXZ239" s="537"/>
      <c r="UYA239" s="537"/>
      <c r="UYB239" s="537"/>
      <c r="UYC239" s="537"/>
      <c r="UYD239" s="537"/>
      <c r="UYE239" s="537"/>
      <c r="UYF239" s="537"/>
      <c r="UYG239" s="537"/>
      <c r="UYH239" s="537"/>
      <c r="UYI239" s="537"/>
      <c r="UYJ239" s="537"/>
      <c r="UYK239" s="537"/>
      <c r="UYL239" s="537"/>
      <c r="UYM239" s="537"/>
      <c r="UYN239" s="537"/>
      <c r="UYO239" s="537"/>
      <c r="UYP239" s="537"/>
      <c r="UYQ239" s="537"/>
      <c r="UYR239" s="537"/>
      <c r="UYS239" s="537"/>
      <c r="UYT239" s="537"/>
      <c r="UYU239" s="537"/>
      <c r="UYV239" s="537"/>
      <c r="UYW239" s="537"/>
      <c r="UYX239" s="537"/>
      <c r="UYY239" s="537"/>
      <c r="UYZ239" s="537"/>
      <c r="UZA239" s="537"/>
      <c r="UZB239" s="537"/>
      <c r="UZC239" s="537"/>
      <c r="UZD239" s="537"/>
      <c r="UZE239" s="537"/>
      <c r="UZF239" s="537"/>
      <c r="UZG239" s="537"/>
      <c r="UZH239" s="537"/>
      <c r="UZI239" s="537"/>
      <c r="UZJ239" s="537"/>
      <c r="UZK239" s="537"/>
      <c r="UZL239" s="537"/>
      <c r="UZM239" s="537"/>
      <c r="UZN239" s="537"/>
      <c r="UZO239" s="537"/>
      <c r="UZP239" s="537"/>
      <c r="UZQ239" s="537"/>
      <c r="UZR239" s="537"/>
      <c r="UZS239" s="537"/>
      <c r="UZT239" s="537"/>
      <c r="UZU239" s="537"/>
      <c r="UZV239" s="537"/>
      <c r="UZW239" s="537"/>
      <c r="UZX239" s="537"/>
      <c r="UZY239" s="537"/>
      <c r="UZZ239" s="537"/>
      <c r="VAA239" s="537"/>
      <c r="VAB239" s="537"/>
      <c r="VAC239" s="537"/>
      <c r="VAD239" s="537"/>
      <c r="VAE239" s="537"/>
      <c r="VAF239" s="537"/>
      <c r="VAG239" s="537"/>
      <c r="VAH239" s="537"/>
      <c r="VAI239" s="537"/>
      <c r="VAJ239" s="537"/>
      <c r="VAK239" s="537"/>
      <c r="VAL239" s="537"/>
      <c r="VAM239" s="537"/>
      <c r="VAN239" s="537"/>
      <c r="VAO239" s="537"/>
      <c r="VAP239" s="537"/>
      <c r="VAQ239" s="537"/>
      <c r="VAR239" s="537"/>
      <c r="VAS239" s="537"/>
      <c r="VAT239" s="537"/>
      <c r="VAU239" s="537"/>
      <c r="VAV239" s="537"/>
      <c r="VAW239" s="537"/>
      <c r="VAX239" s="537"/>
      <c r="VAY239" s="537"/>
      <c r="VAZ239" s="537"/>
      <c r="VBA239" s="537"/>
      <c r="VBB239" s="537"/>
      <c r="VBC239" s="537"/>
      <c r="VBD239" s="537"/>
      <c r="VBE239" s="537"/>
      <c r="VBF239" s="537"/>
      <c r="VBG239" s="537"/>
      <c r="VBH239" s="537"/>
      <c r="VBI239" s="537"/>
      <c r="VBJ239" s="537"/>
      <c r="VBK239" s="537"/>
      <c r="VBL239" s="537"/>
      <c r="VBM239" s="537"/>
      <c r="VBN239" s="537"/>
      <c r="VBO239" s="537"/>
      <c r="VBP239" s="537"/>
      <c r="VBQ239" s="537"/>
      <c r="VBR239" s="537"/>
      <c r="VBS239" s="537"/>
      <c r="VBT239" s="537"/>
      <c r="VBU239" s="537"/>
      <c r="VBV239" s="537"/>
      <c r="VBW239" s="537"/>
      <c r="VBX239" s="537"/>
      <c r="VBY239" s="537"/>
      <c r="VBZ239" s="537"/>
      <c r="VCA239" s="537"/>
      <c r="VCB239" s="537"/>
      <c r="VCC239" s="537"/>
      <c r="VCD239" s="537"/>
      <c r="VCE239" s="537"/>
      <c r="VCF239" s="537"/>
      <c r="VCG239" s="537"/>
      <c r="VCH239" s="537"/>
      <c r="VCI239" s="537"/>
      <c r="VCJ239" s="537"/>
      <c r="VCK239" s="537"/>
      <c r="VCL239" s="537"/>
      <c r="VCM239" s="537"/>
      <c r="VCN239" s="537"/>
      <c r="VCO239" s="537"/>
      <c r="VCP239" s="537"/>
      <c r="VCQ239" s="537"/>
      <c r="VCR239" s="537"/>
      <c r="VCS239" s="537"/>
      <c r="VCT239" s="537"/>
      <c r="VCU239" s="537"/>
      <c r="VCV239" s="537"/>
      <c r="VCW239" s="537"/>
      <c r="VCX239" s="537"/>
      <c r="VCY239" s="537"/>
      <c r="VCZ239" s="537"/>
      <c r="VDA239" s="537"/>
      <c r="VDB239" s="537"/>
      <c r="VDC239" s="537"/>
      <c r="VDD239" s="537"/>
      <c r="VDE239" s="537"/>
      <c r="VDF239" s="537"/>
      <c r="VDG239" s="537"/>
      <c r="VDH239" s="537"/>
      <c r="VDI239" s="537"/>
      <c r="VDJ239" s="537"/>
      <c r="VDK239" s="537"/>
      <c r="VDL239" s="537"/>
      <c r="VDM239" s="537"/>
      <c r="VDN239" s="537"/>
      <c r="VDO239" s="537"/>
      <c r="VDP239" s="537"/>
      <c r="VDQ239" s="537"/>
      <c r="VDR239" s="537"/>
      <c r="VDS239" s="537"/>
      <c r="VDT239" s="537"/>
      <c r="VDU239" s="537"/>
      <c r="VDV239" s="537"/>
      <c r="VDW239" s="537"/>
      <c r="VDX239" s="537"/>
      <c r="VDY239" s="537"/>
      <c r="VDZ239" s="537"/>
      <c r="VEA239" s="537"/>
      <c r="VEB239" s="537"/>
      <c r="VEC239" s="537"/>
      <c r="VED239" s="537"/>
      <c r="VEE239" s="537"/>
      <c r="VEF239" s="537"/>
      <c r="VEG239" s="537"/>
      <c r="VEH239" s="537"/>
      <c r="VEI239" s="537"/>
      <c r="VEJ239" s="537"/>
      <c r="VEK239" s="537"/>
      <c r="VEL239" s="537"/>
      <c r="VEM239" s="537"/>
      <c r="VEN239" s="537"/>
      <c r="VEO239" s="537"/>
      <c r="VEP239" s="537"/>
      <c r="VEQ239" s="537"/>
      <c r="VER239" s="537"/>
      <c r="VES239" s="537"/>
      <c r="VET239" s="537"/>
      <c r="VEU239" s="537"/>
      <c r="VEV239" s="537"/>
      <c r="VEW239" s="537"/>
      <c r="VEX239" s="537"/>
      <c r="VEY239" s="537"/>
      <c r="VEZ239" s="537"/>
      <c r="VFA239" s="537"/>
      <c r="VFB239" s="537"/>
      <c r="VFC239" s="537"/>
      <c r="VFD239" s="537"/>
      <c r="VFE239" s="537"/>
      <c r="VFF239" s="537"/>
      <c r="VFG239" s="537"/>
      <c r="VFH239" s="537"/>
      <c r="VFI239" s="537"/>
      <c r="VFJ239" s="537"/>
      <c r="VFK239" s="537"/>
      <c r="VFL239" s="537"/>
      <c r="VFM239" s="537"/>
      <c r="VFN239" s="537"/>
      <c r="VFO239" s="537"/>
      <c r="VFP239" s="537"/>
      <c r="VFQ239" s="537"/>
      <c r="VFR239" s="537"/>
      <c r="VFS239" s="537"/>
      <c r="VFT239" s="537"/>
      <c r="VFU239" s="537"/>
      <c r="VFV239" s="537"/>
      <c r="VFW239" s="537"/>
      <c r="VFX239" s="537"/>
      <c r="VFY239" s="537"/>
      <c r="VFZ239" s="537"/>
      <c r="VGA239" s="537"/>
      <c r="VGB239" s="537"/>
      <c r="VGC239" s="537"/>
      <c r="VGD239" s="537"/>
      <c r="VGE239" s="537"/>
      <c r="VGF239" s="537"/>
      <c r="VGG239" s="537"/>
      <c r="VGH239" s="537"/>
      <c r="VGI239" s="537"/>
      <c r="VGJ239" s="537"/>
      <c r="VGK239" s="537"/>
      <c r="VGL239" s="537"/>
      <c r="VGM239" s="537"/>
      <c r="VGN239" s="537"/>
      <c r="VGO239" s="537"/>
      <c r="VGP239" s="537"/>
      <c r="VGQ239" s="537"/>
      <c r="VGR239" s="537"/>
      <c r="VGS239" s="537"/>
      <c r="VGT239" s="537"/>
      <c r="VGU239" s="537"/>
      <c r="VGV239" s="537"/>
      <c r="VGW239" s="537"/>
      <c r="VGX239" s="537"/>
      <c r="VGY239" s="537"/>
      <c r="VGZ239" s="537"/>
      <c r="VHA239" s="537"/>
      <c r="VHB239" s="537"/>
      <c r="VHC239" s="537"/>
      <c r="VHD239" s="537"/>
      <c r="VHE239" s="537"/>
      <c r="VHF239" s="537"/>
      <c r="VHG239" s="537"/>
      <c r="VHH239" s="537"/>
      <c r="VHI239" s="537"/>
      <c r="VHJ239" s="537"/>
      <c r="VHK239" s="537"/>
      <c r="VHL239" s="537"/>
      <c r="VHM239" s="537"/>
      <c r="VHN239" s="537"/>
      <c r="VHO239" s="537"/>
      <c r="VHP239" s="537"/>
      <c r="VHQ239" s="537"/>
      <c r="VHR239" s="537"/>
      <c r="VHS239" s="537"/>
      <c r="VHT239" s="537"/>
      <c r="VHU239" s="537"/>
      <c r="VHV239" s="537"/>
      <c r="VHW239" s="537"/>
      <c r="VHX239" s="537"/>
      <c r="VHY239" s="537"/>
      <c r="VHZ239" s="537"/>
      <c r="VIA239" s="537"/>
      <c r="VIB239" s="537"/>
      <c r="VIC239" s="537"/>
      <c r="VID239" s="537"/>
      <c r="VIE239" s="537"/>
      <c r="VIF239" s="537"/>
      <c r="VIG239" s="537"/>
      <c r="VIH239" s="537"/>
      <c r="VII239" s="537"/>
      <c r="VIJ239" s="537"/>
      <c r="VIK239" s="537"/>
      <c r="VIL239" s="537"/>
      <c r="VIM239" s="537"/>
      <c r="VIN239" s="537"/>
      <c r="VIO239" s="537"/>
      <c r="VIP239" s="537"/>
      <c r="VIQ239" s="537"/>
      <c r="VIR239" s="537"/>
      <c r="VIS239" s="537"/>
      <c r="VIT239" s="537"/>
      <c r="VIU239" s="537"/>
      <c r="VIV239" s="537"/>
      <c r="VIW239" s="537"/>
      <c r="VIX239" s="537"/>
      <c r="VIY239" s="537"/>
      <c r="VIZ239" s="537"/>
      <c r="VJA239" s="537"/>
      <c r="VJB239" s="537"/>
      <c r="VJC239" s="537"/>
      <c r="VJD239" s="537"/>
      <c r="VJE239" s="537"/>
      <c r="VJF239" s="537"/>
      <c r="VJG239" s="537"/>
      <c r="VJH239" s="537"/>
      <c r="VJI239" s="537"/>
      <c r="VJJ239" s="537"/>
      <c r="VJK239" s="537"/>
      <c r="VJL239" s="537"/>
      <c r="VJM239" s="537"/>
      <c r="VJN239" s="537"/>
      <c r="VJO239" s="537"/>
      <c r="VJP239" s="537"/>
      <c r="VJQ239" s="537"/>
      <c r="VJR239" s="537"/>
      <c r="VJS239" s="537"/>
      <c r="VJT239" s="537"/>
      <c r="VJU239" s="537"/>
      <c r="VJV239" s="537"/>
      <c r="VJW239" s="537"/>
      <c r="VJX239" s="537"/>
      <c r="VJY239" s="537"/>
      <c r="VJZ239" s="537"/>
      <c r="VKA239" s="537"/>
      <c r="VKB239" s="537"/>
      <c r="VKC239" s="537"/>
      <c r="VKD239" s="537"/>
      <c r="VKE239" s="537"/>
      <c r="VKF239" s="537"/>
      <c r="VKG239" s="537"/>
      <c r="VKH239" s="537"/>
      <c r="VKI239" s="537"/>
      <c r="VKJ239" s="537"/>
      <c r="VKK239" s="537"/>
      <c r="VKL239" s="537"/>
      <c r="VKM239" s="537"/>
      <c r="VKN239" s="537"/>
      <c r="VKO239" s="537"/>
      <c r="VKP239" s="537"/>
      <c r="VKQ239" s="537"/>
      <c r="VKR239" s="537"/>
      <c r="VKS239" s="537"/>
      <c r="VKT239" s="537"/>
      <c r="VKU239" s="537"/>
      <c r="VKV239" s="537"/>
      <c r="VKW239" s="537"/>
      <c r="VKX239" s="537"/>
      <c r="VKY239" s="537"/>
      <c r="VKZ239" s="537"/>
      <c r="VLA239" s="537"/>
      <c r="VLB239" s="537"/>
      <c r="VLC239" s="537"/>
      <c r="VLD239" s="537"/>
      <c r="VLE239" s="537"/>
      <c r="VLF239" s="537"/>
      <c r="VLG239" s="537"/>
      <c r="VLH239" s="537"/>
      <c r="VLI239" s="537"/>
      <c r="VLJ239" s="537"/>
      <c r="VLK239" s="537"/>
      <c r="VLL239" s="537"/>
      <c r="VLM239" s="537"/>
      <c r="VLN239" s="537"/>
      <c r="VLO239" s="537"/>
      <c r="VLP239" s="537"/>
      <c r="VLQ239" s="537"/>
      <c r="VLR239" s="537"/>
      <c r="VLS239" s="537"/>
      <c r="VLT239" s="537"/>
      <c r="VLU239" s="537"/>
      <c r="VLV239" s="537"/>
      <c r="VLW239" s="537"/>
      <c r="VLX239" s="537"/>
      <c r="VLY239" s="537"/>
      <c r="VLZ239" s="537"/>
      <c r="VMA239" s="537"/>
      <c r="VMB239" s="537"/>
      <c r="VMC239" s="537"/>
      <c r="VMD239" s="537"/>
      <c r="VME239" s="537"/>
      <c r="VMF239" s="537"/>
      <c r="VMG239" s="537"/>
      <c r="VMH239" s="537"/>
      <c r="VMI239" s="537"/>
      <c r="VMJ239" s="537"/>
      <c r="VMK239" s="537"/>
      <c r="VML239" s="537"/>
      <c r="VMM239" s="537"/>
      <c r="VMN239" s="537"/>
      <c r="VMO239" s="537"/>
      <c r="VMP239" s="537"/>
      <c r="VMQ239" s="537"/>
      <c r="VMR239" s="537"/>
      <c r="VMS239" s="537"/>
      <c r="VMT239" s="537"/>
      <c r="VMU239" s="537"/>
      <c r="VMV239" s="537"/>
      <c r="VMW239" s="537"/>
      <c r="VMX239" s="537"/>
      <c r="VMY239" s="537"/>
      <c r="VMZ239" s="537"/>
      <c r="VNA239" s="537"/>
      <c r="VNB239" s="537"/>
      <c r="VNC239" s="537"/>
      <c r="VND239" s="537"/>
      <c r="VNE239" s="537"/>
      <c r="VNF239" s="537"/>
      <c r="VNG239" s="537"/>
      <c r="VNH239" s="537"/>
      <c r="VNI239" s="537"/>
      <c r="VNJ239" s="537"/>
      <c r="VNK239" s="537"/>
      <c r="VNL239" s="537"/>
      <c r="VNM239" s="537"/>
      <c r="VNN239" s="537"/>
      <c r="VNO239" s="537"/>
      <c r="VNP239" s="537"/>
      <c r="VNQ239" s="537"/>
      <c r="VNR239" s="537"/>
      <c r="VNS239" s="537"/>
      <c r="VNT239" s="537"/>
      <c r="VNU239" s="537"/>
      <c r="VNV239" s="537"/>
      <c r="VNW239" s="537"/>
      <c r="VNX239" s="537"/>
      <c r="VNY239" s="537"/>
      <c r="VNZ239" s="537"/>
      <c r="VOA239" s="537"/>
      <c r="VOB239" s="537"/>
      <c r="VOC239" s="537"/>
      <c r="VOD239" s="537"/>
      <c r="VOE239" s="537"/>
      <c r="VOF239" s="537"/>
      <c r="VOG239" s="537"/>
      <c r="VOH239" s="537"/>
      <c r="VOI239" s="537"/>
      <c r="VOJ239" s="537"/>
      <c r="VOK239" s="537"/>
      <c r="VOL239" s="537"/>
      <c r="VOM239" s="537"/>
      <c r="VON239" s="537"/>
      <c r="VOO239" s="537"/>
      <c r="VOP239" s="537"/>
      <c r="VOQ239" s="537"/>
      <c r="VOR239" s="537"/>
      <c r="VOS239" s="537"/>
      <c r="VOT239" s="537"/>
      <c r="VOU239" s="537"/>
      <c r="VOV239" s="537"/>
      <c r="VOW239" s="537"/>
      <c r="VOX239" s="537"/>
      <c r="VOY239" s="537"/>
      <c r="VOZ239" s="537"/>
      <c r="VPA239" s="537"/>
      <c r="VPB239" s="537"/>
      <c r="VPC239" s="537"/>
      <c r="VPD239" s="537"/>
      <c r="VPE239" s="537"/>
      <c r="VPF239" s="537"/>
      <c r="VPG239" s="537"/>
      <c r="VPH239" s="537"/>
      <c r="VPI239" s="537"/>
      <c r="VPJ239" s="537"/>
      <c r="VPK239" s="537"/>
      <c r="VPL239" s="537"/>
      <c r="VPM239" s="537"/>
      <c r="VPN239" s="537"/>
      <c r="VPO239" s="537"/>
      <c r="VPP239" s="537"/>
      <c r="VPQ239" s="537"/>
      <c r="VPR239" s="537"/>
      <c r="VPS239" s="537"/>
      <c r="VPT239" s="537"/>
      <c r="VPU239" s="537"/>
      <c r="VPV239" s="537"/>
      <c r="VPW239" s="537"/>
      <c r="VPX239" s="537"/>
      <c r="VPY239" s="537"/>
      <c r="VPZ239" s="537"/>
      <c r="VQA239" s="537"/>
      <c r="VQB239" s="537"/>
      <c r="VQC239" s="537"/>
      <c r="VQD239" s="537"/>
      <c r="VQE239" s="537"/>
      <c r="VQF239" s="537"/>
      <c r="VQG239" s="537"/>
      <c r="VQH239" s="537"/>
      <c r="VQI239" s="537"/>
      <c r="VQJ239" s="537"/>
      <c r="VQK239" s="537"/>
      <c r="VQL239" s="537"/>
      <c r="VQM239" s="537"/>
      <c r="VQN239" s="537"/>
      <c r="VQO239" s="537"/>
      <c r="VQP239" s="537"/>
      <c r="VQQ239" s="537"/>
      <c r="VQR239" s="537"/>
      <c r="VQS239" s="537"/>
      <c r="VQT239" s="537"/>
      <c r="VQU239" s="537"/>
      <c r="VQV239" s="537"/>
      <c r="VQW239" s="537"/>
      <c r="VQX239" s="537"/>
      <c r="VQY239" s="537"/>
      <c r="VQZ239" s="537"/>
      <c r="VRA239" s="537"/>
      <c r="VRB239" s="537"/>
      <c r="VRC239" s="537"/>
      <c r="VRD239" s="537"/>
      <c r="VRE239" s="537"/>
      <c r="VRF239" s="537"/>
      <c r="VRG239" s="537"/>
      <c r="VRH239" s="537"/>
      <c r="VRI239" s="537"/>
      <c r="VRJ239" s="537"/>
      <c r="VRK239" s="537"/>
      <c r="VRL239" s="537"/>
      <c r="VRM239" s="537"/>
      <c r="VRN239" s="537"/>
      <c r="VRO239" s="537"/>
      <c r="VRP239" s="537"/>
      <c r="VRQ239" s="537"/>
      <c r="VRR239" s="537"/>
      <c r="VRS239" s="537"/>
      <c r="VRT239" s="537"/>
      <c r="VRU239" s="537"/>
      <c r="VRV239" s="537"/>
      <c r="VRW239" s="537"/>
      <c r="VRX239" s="537"/>
      <c r="VRY239" s="537"/>
      <c r="VRZ239" s="537"/>
      <c r="VSA239" s="537"/>
      <c r="VSB239" s="537"/>
      <c r="VSC239" s="537"/>
      <c r="VSD239" s="537"/>
      <c r="VSE239" s="537"/>
      <c r="VSF239" s="537"/>
      <c r="VSG239" s="537"/>
      <c r="VSH239" s="537"/>
      <c r="VSI239" s="537"/>
      <c r="VSJ239" s="537"/>
      <c r="VSK239" s="537"/>
      <c r="VSL239" s="537"/>
      <c r="VSM239" s="537"/>
      <c r="VSN239" s="537"/>
      <c r="VSO239" s="537"/>
      <c r="VSP239" s="537"/>
      <c r="VSQ239" s="537"/>
      <c r="VSR239" s="537"/>
      <c r="VSS239" s="537"/>
      <c r="VST239" s="537"/>
      <c r="VSU239" s="537"/>
      <c r="VSV239" s="537"/>
      <c r="VSW239" s="537"/>
      <c r="VSX239" s="537"/>
      <c r="VSY239" s="537"/>
      <c r="VSZ239" s="537"/>
      <c r="VTA239" s="537"/>
      <c r="VTB239" s="537"/>
      <c r="VTC239" s="537"/>
      <c r="VTD239" s="537"/>
      <c r="VTE239" s="537"/>
      <c r="VTF239" s="537"/>
      <c r="VTG239" s="537"/>
      <c r="VTH239" s="537"/>
      <c r="VTI239" s="537"/>
      <c r="VTJ239" s="537"/>
      <c r="VTK239" s="537"/>
      <c r="VTL239" s="537"/>
      <c r="VTM239" s="537"/>
      <c r="VTN239" s="537"/>
      <c r="VTO239" s="537"/>
      <c r="VTP239" s="537"/>
      <c r="VTQ239" s="537"/>
      <c r="VTR239" s="537"/>
      <c r="VTS239" s="537"/>
      <c r="VTT239" s="537"/>
      <c r="VTU239" s="537"/>
      <c r="VTV239" s="537"/>
      <c r="VTW239" s="537"/>
      <c r="VTX239" s="537"/>
      <c r="VTY239" s="537"/>
      <c r="VTZ239" s="537"/>
      <c r="VUA239" s="537"/>
      <c r="VUB239" s="537"/>
      <c r="VUC239" s="537"/>
      <c r="VUD239" s="537"/>
      <c r="VUE239" s="537"/>
      <c r="VUF239" s="537"/>
      <c r="VUG239" s="537"/>
      <c r="VUH239" s="537"/>
      <c r="VUI239" s="537"/>
      <c r="VUJ239" s="537"/>
      <c r="VUK239" s="537"/>
      <c r="VUL239" s="537"/>
      <c r="VUM239" s="537"/>
      <c r="VUN239" s="537"/>
      <c r="VUO239" s="537"/>
      <c r="VUP239" s="537"/>
      <c r="VUQ239" s="537"/>
      <c r="VUR239" s="537"/>
      <c r="VUS239" s="537"/>
      <c r="VUT239" s="537"/>
      <c r="VUU239" s="537"/>
      <c r="VUV239" s="537"/>
      <c r="VUW239" s="537"/>
      <c r="VUX239" s="537"/>
      <c r="VUY239" s="537"/>
      <c r="VUZ239" s="537"/>
      <c r="VVA239" s="537"/>
      <c r="VVB239" s="537"/>
      <c r="VVC239" s="537"/>
      <c r="VVD239" s="537"/>
      <c r="VVE239" s="537"/>
      <c r="VVF239" s="537"/>
      <c r="VVG239" s="537"/>
      <c r="VVH239" s="537"/>
      <c r="VVI239" s="537"/>
      <c r="VVJ239" s="537"/>
      <c r="VVK239" s="537"/>
      <c r="VVL239" s="537"/>
      <c r="VVM239" s="537"/>
      <c r="VVN239" s="537"/>
      <c r="VVO239" s="537"/>
      <c r="VVP239" s="537"/>
      <c r="VVQ239" s="537"/>
      <c r="VVR239" s="537"/>
      <c r="VVS239" s="537"/>
      <c r="VVT239" s="537"/>
      <c r="VVU239" s="537"/>
      <c r="VVV239" s="537"/>
      <c r="VVW239" s="537"/>
      <c r="VVX239" s="537"/>
      <c r="VVY239" s="537"/>
      <c r="VVZ239" s="537"/>
      <c r="VWA239" s="537"/>
      <c r="VWB239" s="537"/>
      <c r="VWC239" s="537"/>
      <c r="VWD239" s="537"/>
      <c r="VWE239" s="537"/>
      <c r="VWF239" s="537"/>
      <c r="VWG239" s="537"/>
      <c r="VWH239" s="537"/>
      <c r="VWI239" s="537"/>
      <c r="VWJ239" s="537"/>
      <c r="VWK239" s="537"/>
      <c r="VWL239" s="537"/>
      <c r="VWM239" s="537"/>
      <c r="VWN239" s="537"/>
      <c r="VWO239" s="537"/>
      <c r="VWP239" s="537"/>
      <c r="VWQ239" s="537"/>
      <c r="VWR239" s="537"/>
      <c r="VWS239" s="537"/>
      <c r="VWT239" s="537"/>
      <c r="VWU239" s="537"/>
      <c r="VWV239" s="537"/>
      <c r="VWW239" s="537"/>
      <c r="VWX239" s="537"/>
      <c r="VWY239" s="537"/>
      <c r="VWZ239" s="537"/>
      <c r="VXA239" s="537"/>
      <c r="VXB239" s="537"/>
      <c r="VXC239" s="537"/>
      <c r="VXD239" s="537"/>
      <c r="VXE239" s="537"/>
      <c r="VXF239" s="537"/>
      <c r="VXG239" s="537"/>
      <c r="VXH239" s="537"/>
      <c r="VXI239" s="537"/>
      <c r="VXJ239" s="537"/>
      <c r="VXK239" s="537"/>
      <c r="VXL239" s="537"/>
      <c r="VXM239" s="537"/>
      <c r="VXN239" s="537"/>
      <c r="VXO239" s="537"/>
      <c r="VXP239" s="537"/>
      <c r="VXQ239" s="537"/>
      <c r="VXR239" s="537"/>
      <c r="VXS239" s="537"/>
      <c r="VXT239" s="537"/>
      <c r="VXU239" s="537"/>
      <c r="VXV239" s="537"/>
      <c r="VXW239" s="537"/>
      <c r="VXX239" s="537"/>
      <c r="VXY239" s="537"/>
      <c r="VXZ239" s="537"/>
      <c r="VYA239" s="537"/>
      <c r="VYB239" s="537"/>
      <c r="VYC239" s="537"/>
      <c r="VYD239" s="537"/>
      <c r="VYE239" s="537"/>
      <c r="VYF239" s="537"/>
      <c r="VYG239" s="537"/>
      <c r="VYH239" s="537"/>
      <c r="VYI239" s="537"/>
      <c r="VYJ239" s="537"/>
      <c r="VYK239" s="537"/>
      <c r="VYL239" s="537"/>
      <c r="VYM239" s="537"/>
      <c r="VYN239" s="537"/>
      <c r="VYO239" s="537"/>
      <c r="VYP239" s="537"/>
      <c r="VYQ239" s="537"/>
      <c r="VYR239" s="537"/>
      <c r="VYS239" s="537"/>
      <c r="VYT239" s="537"/>
      <c r="VYU239" s="537"/>
      <c r="VYV239" s="537"/>
      <c r="VYW239" s="537"/>
      <c r="VYX239" s="537"/>
      <c r="VYY239" s="537"/>
      <c r="VYZ239" s="537"/>
      <c r="VZA239" s="537"/>
      <c r="VZB239" s="537"/>
      <c r="VZC239" s="537"/>
      <c r="VZD239" s="537"/>
      <c r="VZE239" s="537"/>
      <c r="VZF239" s="537"/>
      <c r="VZG239" s="537"/>
      <c r="VZH239" s="537"/>
      <c r="VZI239" s="537"/>
      <c r="VZJ239" s="537"/>
      <c r="VZK239" s="537"/>
      <c r="VZL239" s="537"/>
      <c r="VZM239" s="537"/>
      <c r="VZN239" s="537"/>
      <c r="VZO239" s="537"/>
      <c r="VZP239" s="537"/>
      <c r="VZQ239" s="537"/>
      <c r="VZR239" s="537"/>
      <c r="VZS239" s="537"/>
      <c r="VZT239" s="537"/>
      <c r="VZU239" s="537"/>
      <c r="VZV239" s="537"/>
      <c r="VZW239" s="537"/>
      <c r="VZX239" s="537"/>
      <c r="VZY239" s="537"/>
      <c r="VZZ239" s="537"/>
      <c r="WAA239" s="537"/>
      <c r="WAB239" s="537"/>
      <c r="WAC239" s="537"/>
      <c r="WAD239" s="537"/>
      <c r="WAE239" s="537"/>
      <c r="WAF239" s="537"/>
      <c r="WAG239" s="537"/>
      <c r="WAH239" s="537"/>
      <c r="WAI239" s="537"/>
      <c r="WAJ239" s="537"/>
      <c r="WAK239" s="537"/>
      <c r="WAL239" s="537"/>
      <c r="WAM239" s="537"/>
      <c r="WAN239" s="537"/>
      <c r="WAO239" s="537"/>
      <c r="WAP239" s="537"/>
      <c r="WAQ239" s="537"/>
      <c r="WAR239" s="537"/>
      <c r="WAS239" s="537"/>
      <c r="WAT239" s="537"/>
      <c r="WAU239" s="537"/>
      <c r="WAV239" s="537"/>
      <c r="WAW239" s="537"/>
      <c r="WAX239" s="537"/>
      <c r="WAY239" s="537"/>
      <c r="WAZ239" s="537"/>
      <c r="WBA239" s="537"/>
      <c r="WBB239" s="537"/>
      <c r="WBC239" s="537"/>
      <c r="WBD239" s="537"/>
      <c r="WBE239" s="537"/>
      <c r="WBF239" s="537"/>
      <c r="WBG239" s="537"/>
      <c r="WBH239" s="537"/>
      <c r="WBI239" s="537"/>
      <c r="WBJ239" s="537"/>
      <c r="WBK239" s="537"/>
      <c r="WBL239" s="537"/>
      <c r="WBM239" s="537"/>
      <c r="WBN239" s="537"/>
      <c r="WBO239" s="537"/>
      <c r="WBP239" s="537"/>
      <c r="WBQ239" s="537"/>
      <c r="WBR239" s="537"/>
      <c r="WBS239" s="537"/>
      <c r="WBT239" s="537"/>
      <c r="WBU239" s="537"/>
      <c r="WBV239" s="537"/>
      <c r="WBW239" s="537"/>
      <c r="WBX239" s="537"/>
      <c r="WBY239" s="537"/>
      <c r="WBZ239" s="537"/>
      <c r="WCA239" s="537"/>
      <c r="WCB239" s="537"/>
      <c r="WCC239" s="537"/>
      <c r="WCD239" s="537"/>
      <c r="WCE239" s="537"/>
      <c r="WCF239" s="537"/>
      <c r="WCG239" s="537"/>
      <c r="WCH239" s="537"/>
      <c r="WCI239" s="537"/>
      <c r="WCJ239" s="537"/>
      <c r="WCK239" s="537"/>
      <c r="WCL239" s="537"/>
      <c r="WCM239" s="537"/>
      <c r="WCN239" s="537"/>
      <c r="WCO239" s="537"/>
      <c r="WCP239" s="537"/>
      <c r="WCQ239" s="537"/>
      <c r="WCR239" s="537"/>
      <c r="WCS239" s="537"/>
      <c r="WCT239" s="537"/>
      <c r="WCU239" s="537"/>
      <c r="WCV239" s="537"/>
      <c r="WCW239" s="537"/>
      <c r="WCX239" s="537"/>
      <c r="WCY239" s="537"/>
      <c r="WCZ239" s="537"/>
      <c r="WDA239" s="537"/>
      <c r="WDB239" s="537"/>
      <c r="WDC239" s="537"/>
      <c r="WDD239" s="537"/>
      <c r="WDE239" s="537"/>
      <c r="WDF239" s="537"/>
      <c r="WDG239" s="537"/>
      <c r="WDH239" s="537"/>
      <c r="WDI239" s="537"/>
      <c r="WDJ239" s="537"/>
      <c r="WDK239" s="537"/>
      <c r="WDL239" s="537"/>
      <c r="WDM239" s="537"/>
      <c r="WDN239" s="537"/>
      <c r="WDO239" s="537"/>
      <c r="WDP239" s="537"/>
      <c r="WDQ239" s="537"/>
      <c r="WDR239" s="537"/>
      <c r="WDS239" s="537"/>
      <c r="WDT239" s="537"/>
      <c r="WDU239" s="537"/>
      <c r="WDV239" s="537"/>
      <c r="WDW239" s="537"/>
      <c r="WDX239" s="537"/>
      <c r="WDY239" s="537"/>
      <c r="WDZ239" s="537"/>
      <c r="WEA239" s="537"/>
      <c r="WEB239" s="537"/>
      <c r="WEC239" s="537"/>
      <c r="WED239" s="537"/>
      <c r="WEE239" s="537"/>
      <c r="WEF239" s="537"/>
      <c r="WEG239" s="537"/>
      <c r="WEH239" s="537"/>
      <c r="WEI239" s="537"/>
      <c r="WEJ239" s="537"/>
      <c r="WEK239" s="537"/>
      <c r="WEL239" s="537"/>
      <c r="WEM239" s="537"/>
      <c r="WEN239" s="537"/>
      <c r="WEO239" s="537"/>
      <c r="WEP239" s="537"/>
      <c r="WEQ239" s="537"/>
      <c r="WER239" s="537"/>
      <c r="WES239" s="537"/>
      <c r="WET239" s="537"/>
      <c r="WEU239" s="537"/>
      <c r="WEV239" s="537"/>
      <c r="WEW239" s="537"/>
      <c r="WEX239" s="537"/>
      <c r="WEY239" s="537"/>
      <c r="WEZ239" s="537"/>
      <c r="WFA239" s="537"/>
      <c r="WFB239" s="537"/>
      <c r="WFC239" s="537"/>
      <c r="WFD239" s="537"/>
      <c r="WFE239" s="537"/>
      <c r="WFF239" s="537"/>
      <c r="WFG239" s="537"/>
      <c r="WFH239" s="537"/>
      <c r="WFI239" s="537"/>
      <c r="WFJ239" s="537"/>
      <c r="WFK239" s="537"/>
      <c r="WFL239" s="537"/>
      <c r="WFM239" s="537"/>
      <c r="WFN239" s="537"/>
      <c r="WFO239" s="537"/>
      <c r="WFP239" s="537"/>
      <c r="WFQ239" s="537"/>
      <c r="WFR239" s="537"/>
      <c r="WFS239" s="537"/>
      <c r="WFT239" s="537"/>
      <c r="WFU239" s="537"/>
      <c r="WFV239" s="537"/>
      <c r="WFW239" s="537"/>
      <c r="WFX239" s="537"/>
      <c r="WFY239" s="537"/>
      <c r="WFZ239" s="537"/>
      <c r="WGA239" s="537"/>
      <c r="WGB239" s="537"/>
      <c r="WGC239" s="537"/>
      <c r="WGD239" s="537"/>
      <c r="WGE239" s="537"/>
      <c r="WGF239" s="537"/>
      <c r="WGG239" s="537"/>
      <c r="WGH239" s="537"/>
      <c r="WGI239" s="537"/>
      <c r="WGJ239" s="537"/>
      <c r="WGK239" s="537"/>
      <c r="WGL239" s="537"/>
      <c r="WGM239" s="537"/>
      <c r="WGN239" s="537"/>
      <c r="WGO239" s="537"/>
      <c r="WGP239" s="537"/>
      <c r="WGQ239" s="537"/>
      <c r="WGR239" s="537"/>
      <c r="WGS239" s="537"/>
      <c r="WGT239" s="537"/>
      <c r="WGU239" s="537"/>
      <c r="WGV239" s="537"/>
      <c r="WGW239" s="537"/>
      <c r="WGX239" s="537"/>
      <c r="WGY239" s="537"/>
      <c r="WGZ239" s="537"/>
      <c r="WHA239" s="537"/>
      <c r="WHB239" s="537"/>
      <c r="WHC239" s="537"/>
      <c r="WHD239" s="537"/>
      <c r="WHE239" s="537"/>
      <c r="WHF239" s="537"/>
      <c r="WHG239" s="537"/>
      <c r="WHH239" s="537"/>
      <c r="WHI239" s="537"/>
      <c r="WHJ239" s="537"/>
      <c r="WHK239" s="537"/>
      <c r="WHL239" s="537"/>
      <c r="WHM239" s="537"/>
      <c r="WHN239" s="537"/>
      <c r="WHO239" s="537"/>
      <c r="WHP239" s="537"/>
      <c r="WHQ239" s="537"/>
      <c r="WHR239" s="537"/>
      <c r="WHS239" s="537"/>
      <c r="WHT239" s="537"/>
      <c r="WHU239" s="537"/>
      <c r="WHV239" s="537"/>
      <c r="WHW239" s="537"/>
      <c r="WHX239" s="537"/>
      <c r="WHY239" s="537"/>
      <c r="WHZ239" s="537"/>
      <c r="WIA239" s="537"/>
      <c r="WIB239" s="537"/>
      <c r="WIC239" s="537"/>
      <c r="WID239" s="537"/>
      <c r="WIE239" s="537"/>
      <c r="WIF239" s="537"/>
      <c r="WIG239" s="537"/>
      <c r="WIH239" s="537"/>
      <c r="WII239" s="537"/>
      <c r="WIJ239" s="537"/>
      <c r="WIK239" s="537"/>
      <c r="WIL239" s="537"/>
      <c r="WIM239" s="537"/>
      <c r="WIN239" s="537"/>
      <c r="WIO239" s="537"/>
      <c r="WIP239" s="537"/>
      <c r="WIQ239" s="537"/>
      <c r="WIR239" s="537"/>
      <c r="WIS239" s="537"/>
      <c r="WIT239" s="537"/>
      <c r="WIU239" s="537"/>
      <c r="WIV239" s="537"/>
      <c r="WIW239" s="537"/>
      <c r="WIX239" s="537"/>
      <c r="WIY239" s="537"/>
      <c r="WIZ239" s="537"/>
      <c r="WJA239" s="537"/>
      <c r="WJB239" s="537"/>
      <c r="WJC239" s="537"/>
      <c r="WJD239" s="537"/>
      <c r="WJE239" s="537"/>
      <c r="WJF239" s="537"/>
      <c r="WJG239" s="537"/>
      <c r="WJH239" s="537"/>
      <c r="WJI239" s="537"/>
      <c r="WJJ239" s="537"/>
      <c r="WJK239" s="537"/>
      <c r="WJL239" s="537"/>
      <c r="WJM239" s="537"/>
      <c r="WJN239" s="537"/>
      <c r="WJO239" s="537"/>
      <c r="WJP239" s="537"/>
      <c r="WJQ239" s="537"/>
      <c r="WJR239" s="537"/>
      <c r="WJS239" s="537"/>
      <c r="WJT239" s="537"/>
      <c r="WJU239" s="537"/>
      <c r="WJV239" s="537"/>
      <c r="WJW239" s="537"/>
      <c r="WJX239" s="537"/>
      <c r="WJY239" s="537"/>
      <c r="WJZ239" s="537"/>
      <c r="WKA239" s="537"/>
      <c r="WKB239" s="537"/>
      <c r="WKC239" s="537"/>
      <c r="WKD239" s="537"/>
      <c r="WKE239" s="537"/>
      <c r="WKF239" s="537"/>
      <c r="WKG239" s="537"/>
      <c r="WKH239" s="537"/>
      <c r="WKI239" s="537"/>
      <c r="WKJ239" s="537"/>
      <c r="WKK239" s="537"/>
      <c r="WKL239" s="537"/>
      <c r="WKM239" s="537"/>
      <c r="WKN239" s="537"/>
      <c r="WKO239" s="537"/>
      <c r="WKP239" s="537"/>
      <c r="WKQ239" s="537"/>
      <c r="WKR239" s="537"/>
      <c r="WKS239" s="537"/>
      <c r="WKT239" s="537"/>
      <c r="WKU239" s="537"/>
      <c r="WKV239" s="537"/>
      <c r="WKW239" s="537"/>
      <c r="WKX239" s="537"/>
      <c r="WKY239" s="537"/>
      <c r="WKZ239" s="537"/>
      <c r="WLA239" s="537"/>
      <c r="WLB239" s="537"/>
      <c r="WLC239" s="537"/>
      <c r="WLD239" s="537"/>
      <c r="WLE239" s="537"/>
      <c r="WLF239" s="537"/>
      <c r="WLG239" s="537"/>
      <c r="WLH239" s="537"/>
      <c r="WLI239" s="537"/>
      <c r="WLJ239" s="537"/>
      <c r="WLK239" s="537"/>
      <c r="WLL239" s="537"/>
      <c r="WLM239" s="537"/>
      <c r="WLN239" s="537"/>
      <c r="WLO239" s="537"/>
      <c r="WLP239" s="537"/>
      <c r="WLQ239" s="537"/>
      <c r="WLR239" s="537"/>
      <c r="WLS239" s="537"/>
      <c r="WLT239" s="537"/>
      <c r="WLU239" s="537"/>
      <c r="WLV239" s="537"/>
      <c r="WLW239" s="537"/>
      <c r="WLX239" s="537"/>
      <c r="WLY239" s="537"/>
      <c r="WLZ239" s="537"/>
      <c r="WMA239" s="537"/>
      <c r="WMB239" s="537"/>
      <c r="WMC239" s="537"/>
      <c r="WMD239" s="537"/>
      <c r="WME239" s="537"/>
      <c r="WMF239" s="537"/>
      <c r="WMG239" s="537"/>
      <c r="WMH239" s="537"/>
      <c r="WMI239" s="537"/>
      <c r="WMJ239" s="537"/>
      <c r="WMK239" s="537"/>
      <c r="WML239" s="537"/>
      <c r="WMM239" s="537"/>
      <c r="WMN239" s="537"/>
      <c r="WMO239" s="537"/>
      <c r="WMP239" s="537"/>
      <c r="WMQ239" s="537"/>
      <c r="WMR239" s="537"/>
      <c r="WMS239" s="537"/>
      <c r="WMT239" s="537"/>
      <c r="WMU239" s="537"/>
      <c r="WMV239" s="537"/>
      <c r="WMW239" s="537"/>
      <c r="WMX239" s="537"/>
      <c r="WMY239" s="537"/>
      <c r="WMZ239" s="537"/>
      <c r="WNA239" s="537"/>
      <c r="WNB239" s="537"/>
      <c r="WNC239" s="537"/>
      <c r="WND239" s="537"/>
      <c r="WNE239" s="537"/>
      <c r="WNF239" s="537"/>
      <c r="WNG239" s="537"/>
      <c r="WNH239" s="537"/>
      <c r="WNI239" s="537"/>
      <c r="WNJ239" s="537"/>
      <c r="WNK239" s="537"/>
      <c r="WNL239" s="537"/>
      <c r="WNM239" s="537"/>
      <c r="WNN239" s="537"/>
      <c r="WNO239" s="537"/>
      <c r="WNP239" s="537"/>
      <c r="WNQ239" s="537"/>
      <c r="WNR239" s="537"/>
      <c r="WNS239" s="537"/>
      <c r="WNT239" s="537"/>
      <c r="WNU239" s="537"/>
      <c r="WNV239" s="537"/>
      <c r="WNW239" s="537"/>
      <c r="WNX239" s="537"/>
      <c r="WNY239" s="537"/>
      <c r="WNZ239" s="537"/>
      <c r="WOA239" s="537"/>
      <c r="WOB239" s="537"/>
      <c r="WOC239" s="537"/>
      <c r="WOD239" s="537"/>
      <c r="WOE239" s="537"/>
      <c r="WOF239" s="537"/>
      <c r="WOG239" s="537"/>
      <c r="WOH239" s="537"/>
      <c r="WOI239" s="537"/>
      <c r="WOJ239" s="537"/>
      <c r="WOK239" s="537"/>
      <c r="WOL239" s="537"/>
      <c r="WOM239" s="537"/>
      <c r="WON239" s="537"/>
      <c r="WOO239" s="537"/>
      <c r="WOP239" s="537"/>
      <c r="WOQ239" s="537"/>
      <c r="WOR239" s="537"/>
      <c r="WOS239" s="537"/>
      <c r="WOT239" s="537"/>
      <c r="WOU239" s="537"/>
      <c r="WOV239" s="537"/>
      <c r="WOW239" s="537"/>
      <c r="WOX239" s="537"/>
      <c r="WOY239" s="537"/>
      <c r="WOZ239" s="537"/>
      <c r="WPA239" s="537"/>
      <c r="WPB239" s="537"/>
      <c r="WPC239" s="537"/>
      <c r="WPD239" s="537"/>
      <c r="WPE239" s="537"/>
      <c r="WPF239" s="537"/>
      <c r="WPG239" s="537"/>
      <c r="WPH239" s="537"/>
      <c r="WPI239" s="537"/>
      <c r="WPJ239" s="537"/>
      <c r="WPK239" s="537"/>
      <c r="WPL239" s="537"/>
      <c r="WPM239" s="537"/>
      <c r="WPN239" s="537"/>
      <c r="WPO239" s="537"/>
      <c r="WPP239" s="537"/>
      <c r="WPQ239" s="537"/>
      <c r="WPR239" s="537"/>
      <c r="WPS239" s="537"/>
      <c r="WPT239" s="537"/>
      <c r="WPU239" s="537"/>
      <c r="WPV239" s="537"/>
      <c r="WPW239" s="537"/>
      <c r="WPX239" s="537"/>
      <c r="WPY239" s="537"/>
      <c r="WPZ239" s="537"/>
      <c r="WQA239" s="537"/>
      <c r="WQB239" s="537"/>
      <c r="WQC239" s="537"/>
      <c r="WQD239" s="537"/>
      <c r="WQE239" s="537"/>
      <c r="WQF239" s="537"/>
      <c r="WQG239" s="537"/>
      <c r="WQH239" s="537"/>
      <c r="WQI239" s="537"/>
      <c r="WQJ239" s="537"/>
      <c r="WQK239" s="537"/>
      <c r="WQL239" s="537"/>
      <c r="WQM239" s="537"/>
      <c r="WQN239" s="537"/>
      <c r="WQO239" s="537"/>
      <c r="WQP239" s="537"/>
      <c r="WQQ239" s="537"/>
      <c r="WQR239" s="537"/>
      <c r="WQS239" s="537"/>
      <c r="WQT239" s="537"/>
      <c r="WQU239" s="537"/>
      <c r="WQV239" s="537"/>
      <c r="WQW239" s="537"/>
      <c r="WQX239" s="537"/>
      <c r="WQY239" s="537"/>
      <c r="WQZ239" s="537"/>
      <c r="WRA239" s="537"/>
      <c r="WRB239" s="537"/>
      <c r="WRC239" s="537"/>
      <c r="WRD239" s="537"/>
      <c r="WRE239" s="537"/>
      <c r="WRF239" s="537"/>
      <c r="WRG239" s="537"/>
      <c r="WRH239" s="537"/>
      <c r="WRI239" s="537"/>
      <c r="WRJ239" s="537"/>
      <c r="WRK239" s="537"/>
      <c r="WRL239" s="537"/>
      <c r="WRM239" s="537"/>
      <c r="WRN239" s="537"/>
      <c r="WRO239" s="537"/>
      <c r="WRP239" s="537"/>
      <c r="WRQ239" s="537"/>
      <c r="WRR239" s="537"/>
      <c r="WRS239" s="537"/>
      <c r="WRT239" s="537"/>
      <c r="WRU239" s="537"/>
      <c r="WRV239" s="537"/>
      <c r="WRW239" s="537"/>
      <c r="WRX239" s="537"/>
      <c r="WRY239" s="537"/>
      <c r="WRZ239" s="537"/>
      <c r="WSA239" s="537"/>
      <c r="WSB239" s="537"/>
      <c r="WSC239" s="537"/>
      <c r="WSD239" s="537"/>
      <c r="WSE239" s="537"/>
      <c r="WSF239" s="537"/>
      <c r="WSG239" s="537"/>
      <c r="WSH239" s="537"/>
      <c r="WSI239" s="537"/>
      <c r="WSJ239" s="537"/>
      <c r="WSK239" s="537"/>
      <c r="WSL239" s="537"/>
      <c r="WSM239" s="537"/>
      <c r="WSN239" s="537"/>
      <c r="WSO239" s="537"/>
      <c r="WSP239" s="537"/>
      <c r="WSQ239" s="537"/>
      <c r="WSR239" s="537"/>
      <c r="WSS239" s="537"/>
      <c r="WST239" s="537"/>
      <c r="WSU239" s="537"/>
      <c r="WSV239" s="537"/>
      <c r="WSW239" s="537"/>
      <c r="WSX239" s="537"/>
      <c r="WSY239" s="537"/>
      <c r="WSZ239" s="537"/>
      <c r="WTA239" s="537"/>
      <c r="WTB239" s="537"/>
      <c r="WTC239" s="537"/>
      <c r="WTD239" s="537"/>
      <c r="WTE239" s="537"/>
      <c r="WTF239" s="537"/>
      <c r="WTG239" s="537"/>
      <c r="WTH239" s="537"/>
      <c r="WTI239" s="537"/>
      <c r="WTJ239" s="537"/>
      <c r="WTK239" s="537"/>
      <c r="WTL239" s="537"/>
      <c r="WTM239" s="537"/>
      <c r="WTN239" s="537"/>
      <c r="WTO239" s="537"/>
      <c r="WTP239" s="537"/>
      <c r="WTQ239" s="537"/>
      <c r="WTR239" s="537"/>
      <c r="WTS239" s="537"/>
      <c r="WTT239" s="537"/>
      <c r="WTU239" s="537"/>
      <c r="WTV239" s="537"/>
      <c r="WTW239" s="537"/>
      <c r="WTX239" s="537"/>
      <c r="WTY239" s="537"/>
      <c r="WTZ239" s="537"/>
      <c r="WUA239" s="537"/>
      <c r="WUB239" s="537"/>
      <c r="WUC239" s="537"/>
      <c r="WUD239" s="537"/>
      <c r="WUE239" s="537"/>
      <c r="WUF239" s="537"/>
      <c r="WUG239" s="537"/>
      <c r="WUH239" s="537"/>
      <c r="WUI239" s="537"/>
      <c r="WUJ239" s="537"/>
      <c r="WUK239" s="537"/>
      <c r="WUL239" s="537"/>
      <c r="WUM239" s="537"/>
      <c r="WUN239" s="537"/>
      <c r="WUO239" s="537"/>
      <c r="WUP239" s="537"/>
      <c r="WUQ239" s="537"/>
      <c r="WUR239" s="537"/>
      <c r="WUS239" s="537"/>
      <c r="WUT239" s="537"/>
      <c r="WUU239" s="537"/>
      <c r="WUV239" s="537"/>
      <c r="WUW239" s="537"/>
      <c r="WUX239" s="537"/>
      <c r="WUY239" s="537"/>
      <c r="WUZ239" s="537"/>
      <c r="WVA239" s="537"/>
      <c r="WVB239" s="537"/>
      <c r="WVC239" s="537"/>
      <c r="WVD239" s="537"/>
      <c r="WVE239" s="537"/>
      <c r="WVF239" s="537"/>
      <c r="WVG239" s="537"/>
      <c r="WVH239" s="537"/>
      <c r="WVI239" s="537"/>
      <c r="WVJ239" s="537"/>
      <c r="WVK239" s="537"/>
      <c r="WVL239" s="537"/>
      <c r="WVM239" s="537"/>
      <c r="WVN239" s="537"/>
      <c r="WVO239" s="537"/>
      <c r="WVP239" s="537"/>
      <c r="WVQ239" s="537"/>
      <c r="WVR239" s="537"/>
      <c r="WVS239" s="537"/>
      <c r="WVT239" s="537"/>
      <c r="WVU239" s="537"/>
      <c r="WVV239" s="537"/>
      <c r="WVW239" s="537"/>
      <c r="WVX239" s="537"/>
      <c r="WVY239" s="537"/>
      <c r="WVZ239" s="537"/>
      <c r="WWA239" s="537"/>
      <c r="WWB239" s="537"/>
      <c r="WWC239" s="537"/>
      <c r="WWD239" s="537"/>
      <c r="WWE239" s="537"/>
      <c r="WWF239" s="537"/>
      <c r="WWG239" s="537"/>
      <c r="WWH239" s="537"/>
      <c r="WWI239" s="537"/>
      <c r="WWJ239" s="537"/>
      <c r="WWK239" s="537"/>
      <c r="WWL239" s="537"/>
      <c r="WWM239" s="537"/>
      <c r="WWN239" s="537"/>
      <c r="WWO239" s="537"/>
      <c r="WWP239" s="537"/>
      <c r="WWQ239" s="537"/>
      <c r="WWR239" s="537"/>
      <c r="WWS239" s="537"/>
      <c r="WWT239" s="537"/>
      <c r="WWU239" s="537"/>
      <c r="WWV239" s="537"/>
      <c r="WWW239" s="537"/>
      <c r="WWX239" s="537"/>
      <c r="WWY239" s="537"/>
      <c r="WWZ239" s="537"/>
      <c r="WXA239" s="537"/>
      <c r="WXB239" s="537"/>
      <c r="WXC239" s="537"/>
      <c r="WXD239" s="537"/>
      <c r="WXE239" s="537"/>
      <c r="WXF239" s="537"/>
      <c r="WXG239" s="537"/>
      <c r="WXH239" s="537"/>
      <c r="WXI239" s="537"/>
      <c r="WXJ239" s="537"/>
      <c r="WXK239" s="537"/>
      <c r="WXL239" s="537"/>
      <c r="WXM239" s="537"/>
      <c r="WXN239" s="537"/>
      <c r="WXO239" s="537"/>
      <c r="WXP239" s="537"/>
      <c r="WXQ239" s="537"/>
      <c r="WXR239" s="537"/>
      <c r="WXS239" s="537"/>
      <c r="WXT239" s="537"/>
      <c r="WXU239" s="537"/>
      <c r="WXV239" s="537"/>
      <c r="WXW239" s="537"/>
      <c r="WXX239" s="537"/>
      <c r="WXY239" s="537"/>
      <c r="WXZ239" s="537"/>
      <c r="WYA239" s="537"/>
      <c r="WYB239" s="537"/>
      <c r="WYC239" s="537"/>
      <c r="WYD239" s="537"/>
      <c r="WYE239" s="537"/>
      <c r="WYF239" s="537"/>
      <c r="WYG239" s="537"/>
      <c r="WYH239" s="537"/>
      <c r="WYI239" s="537"/>
      <c r="WYJ239" s="537"/>
      <c r="WYK239" s="537"/>
      <c r="WYL239" s="537"/>
      <c r="WYM239" s="537"/>
      <c r="WYN239" s="537"/>
      <c r="WYO239" s="537"/>
      <c r="WYP239" s="537"/>
      <c r="WYQ239" s="537"/>
      <c r="WYR239" s="537"/>
      <c r="WYS239" s="537"/>
      <c r="WYT239" s="537"/>
      <c r="WYU239" s="537"/>
      <c r="WYV239" s="537"/>
      <c r="WYW239" s="537"/>
      <c r="WYX239" s="537"/>
      <c r="WYY239" s="537"/>
      <c r="WYZ239" s="537"/>
      <c r="WZA239" s="537"/>
      <c r="WZB239" s="537"/>
      <c r="WZC239" s="537"/>
      <c r="WZD239" s="537"/>
      <c r="WZE239" s="537"/>
      <c r="WZF239" s="537"/>
      <c r="WZG239" s="537"/>
      <c r="WZH239" s="537"/>
      <c r="WZI239" s="537"/>
      <c r="WZJ239" s="537"/>
      <c r="WZK239" s="537"/>
      <c r="WZL239" s="537"/>
      <c r="WZM239" s="537"/>
      <c r="WZN239" s="537"/>
      <c r="WZO239" s="537"/>
      <c r="WZP239" s="537"/>
      <c r="WZQ239" s="537"/>
      <c r="WZR239" s="537"/>
      <c r="WZS239" s="537"/>
      <c r="WZT239" s="537"/>
      <c r="WZU239" s="537"/>
      <c r="WZV239" s="537"/>
      <c r="WZW239" s="537"/>
      <c r="WZX239" s="537"/>
      <c r="WZY239" s="537"/>
      <c r="WZZ239" s="537"/>
      <c r="XAA239" s="537"/>
      <c r="XAB239" s="537"/>
      <c r="XAC239" s="537"/>
      <c r="XAD239" s="537"/>
      <c r="XAE239" s="537"/>
      <c r="XAF239" s="537"/>
      <c r="XAG239" s="537"/>
      <c r="XAH239" s="537"/>
      <c r="XAI239" s="537"/>
      <c r="XAJ239" s="537"/>
      <c r="XAK239" s="537"/>
      <c r="XAL239" s="537"/>
      <c r="XAM239" s="537"/>
      <c r="XAN239" s="537"/>
      <c r="XAO239" s="537"/>
      <c r="XAP239" s="537"/>
      <c r="XAQ239" s="537"/>
      <c r="XAR239" s="537"/>
      <c r="XAS239" s="537"/>
      <c r="XAT239" s="537"/>
      <c r="XAU239" s="537"/>
      <c r="XAV239" s="537"/>
      <c r="XAW239" s="537"/>
      <c r="XAX239" s="537"/>
      <c r="XAY239" s="537"/>
      <c r="XAZ239" s="537"/>
      <c r="XBA239" s="537"/>
      <c r="XBB239" s="537"/>
      <c r="XBC239" s="537"/>
      <c r="XBD239" s="537"/>
      <c r="XBE239" s="537"/>
      <c r="XBF239" s="537"/>
      <c r="XBG239" s="537"/>
      <c r="XBH239" s="537"/>
      <c r="XBI239" s="537"/>
      <c r="XBJ239" s="537"/>
      <c r="XBK239" s="537"/>
      <c r="XBL239" s="537"/>
      <c r="XBM239" s="537"/>
      <c r="XBN239" s="537"/>
      <c r="XBO239" s="537"/>
      <c r="XBP239" s="537"/>
      <c r="XBQ239" s="537"/>
      <c r="XBR239" s="537"/>
      <c r="XBS239" s="537"/>
      <c r="XBT239" s="537"/>
      <c r="XBU239" s="537"/>
      <c r="XBV239" s="537"/>
      <c r="XBW239" s="537"/>
      <c r="XBX239" s="537"/>
      <c r="XBY239" s="537"/>
      <c r="XBZ239" s="537"/>
      <c r="XCA239" s="537"/>
      <c r="XCB239" s="537"/>
      <c r="XCC239" s="537"/>
      <c r="XCD239" s="537"/>
      <c r="XCE239" s="537"/>
      <c r="XCF239" s="537"/>
      <c r="XCG239" s="537"/>
      <c r="XCH239" s="537"/>
      <c r="XCI239" s="537"/>
      <c r="XCJ239" s="537"/>
      <c r="XCK239" s="537"/>
      <c r="XCL239" s="537"/>
      <c r="XCM239" s="537"/>
      <c r="XCN239" s="537"/>
      <c r="XCO239" s="537"/>
      <c r="XCP239" s="537"/>
      <c r="XCQ239" s="537"/>
      <c r="XCR239" s="537"/>
      <c r="XCS239" s="537"/>
      <c r="XCT239" s="537"/>
      <c r="XCU239" s="537"/>
      <c r="XCV239" s="537"/>
      <c r="XCW239" s="537"/>
      <c r="XCX239" s="537"/>
      <c r="XCY239" s="537"/>
      <c r="XCZ239" s="537"/>
      <c r="XDA239" s="537"/>
      <c r="XDB239" s="537"/>
      <c r="XDC239" s="537"/>
      <c r="XDD239" s="537"/>
      <c r="XDE239" s="537"/>
      <c r="XDF239" s="537"/>
      <c r="XDG239" s="537"/>
      <c r="XDH239" s="537"/>
      <c r="XDI239" s="537"/>
      <c r="XDJ239" s="537"/>
      <c r="XDK239" s="537"/>
      <c r="XDL239" s="537"/>
      <c r="XDM239" s="537"/>
      <c r="XDN239" s="537"/>
      <c r="XDO239" s="537"/>
      <c r="XDP239" s="537"/>
      <c r="XDQ239" s="537"/>
      <c r="XDR239" s="537"/>
      <c r="XDS239" s="537"/>
      <c r="XDT239" s="537"/>
      <c r="XDU239" s="537"/>
      <c r="XDV239" s="537"/>
      <c r="XDW239" s="537"/>
      <c r="XDX239" s="537"/>
      <c r="XDY239" s="537"/>
      <c r="XDZ239" s="537"/>
      <c r="XEA239" s="537"/>
      <c r="XEB239" s="537"/>
      <c r="XEC239" s="537"/>
      <c r="XED239" s="537"/>
      <c r="XEE239" s="537"/>
      <c r="XEF239" s="537"/>
      <c r="XEG239" s="537"/>
      <c r="XEH239" s="537"/>
      <c r="XEI239" s="537"/>
      <c r="XEJ239" s="537"/>
      <c r="XEK239" s="537"/>
      <c r="XEL239" s="537"/>
      <c r="XEM239" s="537"/>
      <c r="XEN239" s="537"/>
      <c r="XEO239" s="537"/>
      <c r="XEP239" s="537"/>
      <c r="XEQ239" s="537"/>
      <c r="XER239" s="537"/>
      <c r="XES239" s="537"/>
      <c r="XET239" s="537"/>
      <c r="XEU239" s="537"/>
      <c r="XEV239" s="537"/>
      <c r="XEW239" s="537"/>
      <c r="XEX239" s="537"/>
      <c r="XEY239" s="537"/>
      <c r="XEZ239" s="537"/>
      <c r="XFA239" s="537"/>
      <c r="XFB239" s="537"/>
      <c r="XFC239" s="537"/>
      <c r="XFD239" s="537"/>
    </row>
    <row r="240" spans="1:16384">
      <c r="A240" s="279">
        <v>44927</v>
      </c>
      <c r="B240" s="26">
        <v>6.4207999999999998</v>
      </c>
      <c r="C240" s="26">
        <v>49.51</v>
      </c>
      <c r="D240" s="26">
        <v>53.396000000000001</v>
      </c>
      <c r="E240" s="26">
        <v>77.391000000000005</v>
      </c>
      <c r="F240" s="26">
        <v>20.844000000000001</v>
      </c>
      <c r="G240" s="26">
        <v>51.802</v>
      </c>
      <c r="H240" s="26">
        <v>21.221</v>
      </c>
      <c r="I240" s="26">
        <v>57.042999999999999</v>
      </c>
      <c r="J240" s="26">
        <v>67.858000000000004</v>
      </c>
      <c r="K240" s="26">
        <v>20.762</v>
      </c>
      <c r="L240" s="26">
        <v>53.61</v>
      </c>
      <c r="M240" s="26">
        <v>46.24</v>
      </c>
      <c r="N240" s="26">
        <v>21.44</v>
      </c>
      <c r="O240" s="26">
        <v>68.2</v>
      </c>
      <c r="P240" s="26">
        <v>19.760000000000002</v>
      </c>
      <c r="Q240" s="26">
        <v>8.3573000000000004</v>
      </c>
      <c r="R240" s="26">
        <v>13.37</v>
      </c>
      <c r="S240" s="26">
        <v>76.451999999999998</v>
      </c>
      <c r="T240" s="26">
        <v>21.016999999999999</v>
      </c>
      <c r="U240" s="26">
        <v>71.19</v>
      </c>
      <c r="V240" s="26">
        <v>6.4207999999999998</v>
      </c>
      <c r="W240" s="26">
        <v>19.602</v>
      </c>
      <c r="X240" s="26">
        <v>1.0326</v>
      </c>
      <c r="Y240" s="26">
        <v>20.295000000000002</v>
      </c>
      <c r="Z240" s="26">
        <v>9.3602000000000007</v>
      </c>
      <c r="AA240" s="26">
        <v>20.068999999999999</v>
      </c>
      <c r="AB240" s="26">
        <v>31.367999999999999</v>
      </c>
      <c r="AC240" s="26">
        <v>51.137999999999998</v>
      </c>
      <c r="AD240" s="26">
        <v>11.276999999999999</v>
      </c>
      <c r="AE240" s="26">
        <v>11.936999999999999</v>
      </c>
      <c r="AF240" s="26">
        <v>59.317999999999998</v>
      </c>
      <c r="AG240" s="26">
        <v>78.498999999999995</v>
      </c>
      <c r="AH240" s="26">
        <v>50.332000000000001</v>
      </c>
      <c r="AI240" s="26">
        <v>46.055999999999997</v>
      </c>
      <c r="AJ240" s="26">
        <v>53.281999999999996</v>
      </c>
      <c r="AK240" s="26">
        <v>22.161000000000001</v>
      </c>
      <c r="AL240" s="26">
        <v>19.841999999999999</v>
      </c>
      <c r="AM240" s="26">
        <v>19.649000000000001</v>
      </c>
      <c r="AN240" s="26">
        <v>53.401000000000003</v>
      </c>
      <c r="AO240" s="26">
        <v>73.881</v>
      </c>
      <c r="AP240" s="26">
        <v>20.039000000000001</v>
      </c>
      <c r="AQ240" s="26">
        <v>45.915999999999997</v>
      </c>
      <c r="AR240" s="26">
        <v>15.65</v>
      </c>
      <c r="AS240" s="26">
        <v>49.491</v>
      </c>
      <c r="AT240" s="26">
        <v>56.350999999999999</v>
      </c>
      <c r="AU240" s="26">
        <v>43.320999999999998</v>
      </c>
      <c r="AV240" s="26">
        <v>53.728999999999999</v>
      </c>
      <c r="AW240" s="26">
        <v>53.853999999999999</v>
      </c>
      <c r="AX240" s="26">
        <v>37.451000000000001</v>
      </c>
      <c r="AY240" s="26">
        <v>57.694000000000003</v>
      </c>
      <c r="AZ240" s="26">
        <v>69.605999999999995</v>
      </c>
      <c r="BA240" s="26">
        <v>20.068999999999999</v>
      </c>
      <c r="BB240" s="26">
        <v>67.88</v>
      </c>
      <c r="BC240" s="26">
        <v>38.826000000000001</v>
      </c>
      <c r="BD240" s="26">
        <v>45.915999999999997</v>
      </c>
      <c r="BE240" s="26">
        <v>53.152999999999999</v>
      </c>
      <c r="BF240" s="26">
        <v>76.552999999999997</v>
      </c>
      <c r="BG240" s="26">
        <v>48.423000000000002</v>
      </c>
      <c r="BH240" s="26">
        <v>53.801000000000002</v>
      </c>
      <c r="BI240" s="26">
        <v>19.483000000000001</v>
      </c>
      <c r="BJ240" s="26">
        <v>19.841999999999999</v>
      </c>
      <c r="BK240" s="26">
        <v>81.915000000000006</v>
      </c>
      <c r="BL240" s="26">
        <v>8.3573000000000004</v>
      </c>
      <c r="BM240" s="26">
        <v>19.669</v>
      </c>
      <c r="BN240" s="26">
        <v>19.744</v>
      </c>
      <c r="BO240" s="26">
        <v>5.1458000000000004</v>
      </c>
      <c r="BP240" s="26">
        <v>52.923000000000002</v>
      </c>
      <c r="BQ240" s="26">
        <v>53.176000000000002</v>
      </c>
      <c r="BR240" s="26">
        <v>76.552999999999997</v>
      </c>
      <c r="BS240" s="26">
        <v>20.286000000000001</v>
      </c>
      <c r="BT240" s="26">
        <v>70.36</v>
      </c>
      <c r="BU240" s="26">
        <v>8.2394999999999996</v>
      </c>
      <c r="BV240" s="26">
        <v>56.625999999999998</v>
      </c>
      <c r="BW240" s="26">
        <v>11.542</v>
      </c>
      <c r="BX240" s="26">
        <v>8.3573000000000004</v>
      </c>
      <c r="BY240" s="26">
        <v>22.489000000000001</v>
      </c>
      <c r="BZ240" s="26">
        <v>54.558999999999997</v>
      </c>
      <c r="CA240" s="26">
        <v>27.425999999999998</v>
      </c>
      <c r="CB240" s="26">
        <v>51.085000000000001</v>
      </c>
      <c r="CC240" s="26">
        <v>56.616</v>
      </c>
      <c r="CD240" s="26">
        <v>20.425000000000001</v>
      </c>
      <c r="CE240" s="26">
        <v>13.279</v>
      </c>
      <c r="CF240" s="26">
        <v>57.598999999999997</v>
      </c>
      <c r="CG240" s="26">
        <v>18.766999999999999</v>
      </c>
      <c r="CH240" s="26">
        <v>25.175000000000001</v>
      </c>
      <c r="CI240" s="26">
        <v>14.138</v>
      </c>
      <c r="CJ240" s="26">
        <v>79.87</v>
      </c>
      <c r="CK240" s="26">
        <v>20.068999999999999</v>
      </c>
      <c r="CL240" s="26">
        <v>19.815000000000001</v>
      </c>
      <c r="CM240" s="26">
        <v>39.698</v>
      </c>
      <c r="CN240" s="26">
        <v>1.0326</v>
      </c>
      <c r="CO240" s="26">
        <v>13.297000000000001</v>
      </c>
      <c r="CP240" s="26">
        <v>53.54</v>
      </c>
      <c r="CQ240" s="26">
        <v>27.015999999999998</v>
      </c>
      <c r="CR240" s="26">
        <v>49.485999999999997</v>
      </c>
      <c r="CS240" s="26">
        <v>68.2</v>
      </c>
      <c r="CT240" s="26">
        <v>13.476000000000001</v>
      </c>
      <c r="CU240" s="26">
        <v>20.068999999999999</v>
      </c>
      <c r="CV240" s="26">
        <v>69.787000000000006</v>
      </c>
      <c r="CW240" s="26">
        <v>77.635999999999996</v>
      </c>
      <c r="CX240" s="26">
        <v>49.405999999999999</v>
      </c>
      <c r="CY240" s="61"/>
      <c r="CZ240" s="537"/>
      <c r="DA240" s="61"/>
    </row>
    <row r="241" spans="1:16384">
      <c r="A241" s="279">
        <v>44958</v>
      </c>
      <c r="B241" s="26">
        <v>10.18</v>
      </c>
      <c r="C241" s="26">
        <v>70.525000000000006</v>
      </c>
      <c r="D241" s="26">
        <v>70.525000000000006</v>
      </c>
      <c r="E241" s="26">
        <v>85.326999999999998</v>
      </c>
      <c r="F241" s="26">
        <v>52.923000000000002</v>
      </c>
      <c r="G241" s="26">
        <v>63.103999999999999</v>
      </c>
      <c r="H241" s="26">
        <v>37.451000000000001</v>
      </c>
      <c r="I241" s="26">
        <v>76.088999999999999</v>
      </c>
      <c r="J241" s="26">
        <v>76.478999999999999</v>
      </c>
      <c r="K241" s="26">
        <v>70.525000000000006</v>
      </c>
      <c r="L241" s="26">
        <v>66.704999999999998</v>
      </c>
      <c r="M241" s="26">
        <v>50.146000000000001</v>
      </c>
      <c r="N241" s="26">
        <v>42.765000000000001</v>
      </c>
      <c r="O241" s="26">
        <v>63.414999999999999</v>
      </c>
      <c r="P241" s="26">
        <v>14.358000000000001</v>
      </c>
      <c r="Q241" s="26">
        <v>10.446</v>
      </c>
      <c r="R241" s="26">
        <v>19.363</v>
      </c>
      <c r="S241" s="26">
        <v>86.762</v>
      </c>
      <c r="T241" s="26">
        <v>55.478000000000002</v>
      </c>
      <c r="U241" s="26">
        <v>76.478999999999999</v>
      </c>
      <c r="V241" s="26">
        <v>10.282</v>
      </c>
      <c r="W241" s="26">
        <v>11.132999999999999</v>
      </c>
      <c r="X241" s="26">
        <v>0.86636999999999997</v>
      </c>
      <c r="Y241" s="26">
        <v>42.667000000000002</v>
      </c>
      <c r="Z241" s="26">
        <v>12.254</v>
      </c>
      <c r="AA241" s="26">
        <v>22.66</v>
      </c>
      <c r="AB241" s="26">
        <v>70.525000000000006</v>
      </c>
      <c r="AC241" s="26">
        <v>63.283999999999999</v>
      </c>
      <c r="AD241" s="26">
        <v>12.472</v>
      </c>
      <c r="AE241" s="26">
        <v>35.966999999999999</v>
      </c>
      <c r="AF241" s="26">
        <v>69.093000000000004</v>
      </c>
      <c r="AG241" s="26">
        <v>83.608000000000004</v>
      </c>
      <c r="AH241" s="26">
        <v>56.064999999999998</v>
      </c>
      <c r="AI241" s="26">
        <v>49.142000000000003</v>
      </c>
      <c r="AJ241" s="26">
        <v>55.478000000000002</v>
      </c>
      <c r="AK241" s="26">
        <v>44.274999999999999</v>
      </c>
      <c r="AL241" s="26">
        <v>35.332000000000001</v>
      </c>
      <c r="AM241" s="26">
        <v>19.116</v>
      </c>
      <c r="AN241" s="26">
        <v>62.454999999999998</v>
      </c>
      <c r="AO241" s="26">
        <v>83.608000000000004</v>
      </c>
      <c r="AP241" s="26">
        <v>37.895000000000003</v>
      </c>
      <c r="AQ241" s="26">
        <v>59.314</v>
      </c>
      <c r="AR241" s="26">
        <v>15.747999999999999</v>
      </c>
      <c r="AS241" s="26">
        <v>25.399000000000001</v>
      </c>
      <c r="AT241" s="26">
        <v>70.525000000000006</v>
      </c>
      <c r="AU241" s="26">
        <v>22.794</v>
      </c>
      <c r="AV241" s="26">
        <v>68.221000000000004</v>
      </c>
      <c r="AW241" s="26">
        <v>68.296999999999997</v>
      </c>
      <c r="AX241" s="26">
        <v>24.015000000000001</v>
      </c>
      <c r="AY241" s="26">
        <v>83.608000000000004</v>
      </c>
      <c r="AZ241" s="26">
        <v>70.525000000000006</v>
      </c>
      <c r="BA241" s="26">
        <v>25.609000000000002</v>
      </c>
      <c r="BB241" s="26">
        <v>74.397999999999996</v>
      </c>
      <c r="BC241" s="26">
        <v>42.677</v>
      </c>
      <c r="BD241" s="26">
        <v>54.036000000000001</v>
      </c>
      <c r="BE241" s="26">
        <v>69.361999999999995</v>
      </c>
      <c r="BF241" s="26">
        <v>84.281999999999996</v>
      </c>
      <c r="BG241" s="26">
        <v>78.564999999999998</v>
      </c>
      <c r="BH241" s="26">
        <v>70.525000000000006</v>
      </c>
      <c r="BI241" s="26">
        <v>19.611000000000001</v>
      </c>
      <c r="BJ241" s="26">
        <v>42.667000000000002</v>
      </c>
      <c r="BK241" s="26">
        <v>167.05</v>
      </c>
      <c r="BL241" s="26">
        <v>10.446999999999999</v>
      </c>
      <c r="BM241" s="26">
        <v>22.984000000000002</v>
      </c>
      <c r="BN241" s="26">
        <v>35.966999999999999</v>
      </c>
      <c r="BO241" s="26">
        <v>5.2240000000000002</v>
      </c>
      <c r="BP241" s="26">
        <v>70.525000000000006</v>
      </c>
      <c r="BQ241" s="26">
        <v>61.209000000000003</v>
      </c>
      <c r="BR241" s="26">
        <v>87.76</v>
      </c>
      <c r="BS241" s="26">
        <v>23.594999999999999</v>
      </c>
      <c r="BT241" s="26">
        <v>77.512</v>
      </c>
      <c r="BU241" s="26">
        <v>16.228000000000002</v>
      </c>
      <c r="BV241" s="26">
        <v>67.736999999999995</v>
      </c>
      <c r="BW241" s="26">
        <v>11.994</v>
      </c>
      <c r="BX241" s="26">
        <v>16.541</v>
      </c>
      <c r="BY241" s="26">
        <v>45.046999999999997</v>
      </c>
      <c r="BZ241" s="26">
        <v>70.525000000000006</v>
      </c>
      <c r="CA241" s="26">
        <v>76.478999999999999</v>
      </c>
      <c r="CB241" s="26">
        <v>70.364000000000004</v>
      </c>
      <c r="CC241" s="26">
        <v>45.915999999999997</v>
      </c>
      <c r="CD241" s="26">
        <v>23.087</v>
      </c>
      <c r="CE241" s="26">
        <v>11.06</v>
      </c>
      <c r="CF241" s="26">
        <v>63.085000000000001</v>
      </c>
      <c r="CG241" s="26">
        <v>23.309000000000001</v>
      </c>
      <c r="CH241" s="26">
        <v>43.396000000000001</v>
      </c>
      <c r="CI241" s="26">
        <v>40.091000000000001</v>
      </c>
      <c r="CJ241" s="26">
        <v>86.762</v>
      </c>
      <c r="CK241" s="26">
        <v>23.888999999999999</v>
      </c>
      <c r="CL241" s="26">
        <v>25.382999999999999</v>
      </c>
      <c r="CM241" s="26">
        <v>42.765000000000001</v>
      </c>
      <c r="CN241" s="26">
        <v>0.86636999999999997</v>
      </c>
      <c r="CO241" s="26">
        <v>11.574999999999999</v>
      </c>
      <c r="CP241" s="26">
        <v>49.51</v>
      </c>
      <c r="CQ241" s="26">
        <v>42.765000000000001</v>
      </c>
      <c r="CR241" s="26">
        <v>49.164999999999999</v>
      </c>
      <c r="CS241" s="26">
        <v>70.525000000000006</v>
      </c>
      <c r="CT241" s="26">
        <v>12.241</v>
      </c>
      <c r="CU241" s="26">
        <v>42.667000000000002</v>
      </c>
      <c r="CV241" s="26">
        <v>78.564999999999998</v>
      </c>
      <c r="CW241" s="26">
        <v>85.326999999999998</v>
      </c>
      <c r="CX241" s="26">
        <v>57.832999999999998</v>
      </c>
      <c r="CY241" s="61"/>
      <c r="CZ241" s="537"/>
      <c r="DA241" s="61"/>
    </row>
    <row r="242" spans="1:16384">
      <c r="A242" s="279">
        <v>44986</v>
      </c>
      <c r="B242" s="26">
        <v>11.401</v>
      </c>
      <c r="C242" s="26">
        <v>70.075000000000003</v>
      </c>
      <c r="D242" s="26">
        <v>70.075000000000003</v>
      </c>
      <c r="E242" s="26">
        <v>66.727000000000004</v>
      </c>
      <c r="F242" s="26">
        <v>45.968000000000004</v>
      </c>
      <c r="G242" s="26">
        <v>70.075000000000003</v>
      </c>
      <c r="H242" s="26">
        <v>43.396000000000001</v>
      </c>
      <c r="I242" s="26">
        <v>53.665999999999997</v>
      </c>
      <c r="J242" s="26">
        <v>83.188000000000002</v>
      </c>
      <c r="K242" s="26">
        <v>70.075000000000003</v>
      </c>
      <c r="L242" s="26">
        <v>59.180999999999997</v>
      </c>
      <c r="M242" s="26">
        <v>61.353999999999999</v>
      </c>
      <c r="N242" s="26">
        <v>43.396000000000001</v>
      </c>
      <c r="O242" s="26">
        <v>55.487000000000002</v>
      </c>
      <c r="P242" s="26">
        <v>19.893999999999998</v>
      </c>
      <c r="Q242" s="26">
        <v>14.403</v>
      </c>
      <c r="R242" s="26">
        <v>17.510999999999999</v>
      </c>
      <c r="S242" s="26">
        <v>63.283999999999999</v>
      </c>
      <c r="T242" s="26">
        <v>63.283999999999999</v>
      </c>
      <c r="U242" s="26">
        <v>70.075000000000003</v>
      </c>
      <c r="V242" s="26">
        <v>4.2953999999999999</v>
      </c>
      <c r="W242" s="26">
        <v>37.454000000000001</v>
      </c>
      <c r="X242" s="26">
        <v>1.0326</v>
      </c>
      <c r="Y242" s="26">
        <v>63.283999999999999</v>
      </c>
      <c r="Z242" s="26">
        <v>13.065</v>
      </c>
      <c r="AA242" s="26">
        <v>21.388000000000002</v>
      </c>
      <c r="AB242" s="26">
        <v>75.147999999999996</v>
      </c>
      <c r="AC242" s="26">
        <v>78.177999999999997</v>
      </c>
      <c r="AD242" s="26">
        <v>18.288</v>
      </c>
      <c r="AE242" s="26">
        <v>28.571000000000002</v>
      </c>
      <c r="AF242" s="26">
        <v>61.353999999999999</v>
      </c>
      <c r="AG242" s="26">
        <v>54.686999999999998</v>
      </c>
      <c r="AH242" s="26">
        <v>47.883000000000003</v>
      </c>
      <c r="AI242" s="26">
        <v>46.695</v>
      </c>
      <c r="AJ242" s="26">
        <v>70.075000000000003</v>
      </c>
      <c r="AK242" s="26">
        <v>42.070999999999998</v>
      </c>
      <c r="AL242" s="26">
        <v>70.075000000000003</v>
      </c>
      <c r="AM242" s="26">
        <v>38.347999999999999</v>
      </c>
      <c r="AN242" s="26">
        <v>50.771999999999998</v>
      </c>
      <c r="AO242" s="26">
        <v>60.38</v>
      </c>
      <c r="AP242" s="26">
        <v>42.805999999999997</v>
      </c>
      <c r="AQ242" s="26">
        <v>53.945</v>
      </c>
      <c r="AR242" s="26">
        <v>20.373000000000001</v>
      </c>
      <c r="AS242" s="26">
        <v>49.552999999999997</v>
      </c>
      <c r="AT242" s="26">
        <v>83.188000000000002</v>
      </c>
      <c r="AU242" s="26">
        <v>35.6</v>
      </c>
      <c r="AV242" s="26">
        <v>35.546999999999997</v>
      </c>
      <c r="AW242" s="26">
        <v>59.180999999999997</v>
      </c>
      <c r="AX242" s="26">
        <v>43.457000000000001</v>
      </c>
      <c r="AY242" s="26">
        <v>54.009</v>
      </c>
      <c r="AZ242" s="26">
        <v>78.177999999999997</v>
      </c>
      <c r="BA242" s="26">
        <v>68.709999999999994</v>
      </c>
      <c r="BB242" s="26">
        <v>63.283999999999999</v>
      </c>
      <c r="BC242" s="26">
        <v>43.457000000000001</v>
      </c>
      <c r="BD242" s="26">
        <v>23.628</v>
      </c>
      <c r="BE242" s="26">
        <v>57.997</v>
      </c>
      <c r="BF242" s="26">
        <v>75.975999999999999</v>
      </c>
      <c r="BG242" s="26">
        <v>78.177999999999997</v>
      </c>
      <c r="BH242" s="26">
        <v>75.975999999999999</v>
      </c>
      <c r="BI242" s="26">
        <v>22.824000000000002</v>
      </c>
      <c r="BJ242" s="26">
        <v>70.075000000000003</v>
      </c>
      <c r="BK242" s="26">
        <v>93.447999999999993</v>
      </c>
      <c r="BL242" s="26">
        <v>13.292</v>
      </c>
      <c r="BM242" s="26">
        <v>44.761000000000003</v>
      </c>
      <c r="BN242" s="26">
        <v>55.478000000000002</v>
      </c>
      <c r="BO242" s="26">
        <v>8.9063999999999997</v>
      </c>
      <c r="BP242" s="26">
        <v>63.283999999999999</v>
      </c>
      <c r="BQ242" s="26">
        <v>51.268000000000001</v>
      </c>
      <c r="BR242" s="26">
        <v>63.283999999999999</v>
      </c>
      <c r="BS242" s="26">
        <v>26.091000000000001</v>
      </c>
      <c r="BT242" s="26">
        <v>63.283999999999999</v>
      </c>
      <c r="BU242" s="26">
        <v>18.334</v>
      </c>
      <c r="BV242" s="26">
        <v>70.075000000000003</v>
      </c>
      <c r="BW242" s="26">
        <v>18.370999999999999</v>
      </c>
      <c r="BX242" s="26">
        <v>20.047000000000001</v>
      </c>
      <c r="BY242" s="26">
        <v>61.353999999999999</v>
      </c>
      <c r="BZ242" s="26">
        <v>83.188000000000002</v>
      </c>
      <c r="CA242" s="26">
        <v>83.188000000000002</v>
      </c>
      <c r="CB242" s="26">
        <v>70.075000000000003</v>
      </c>
      <c r="CC242" s="26">
        <v>63.283999999999999</v>
      </c>
      <c r="CD242" s="26">
        <v>42.927999999999997</v>
      </c>
      <c r="CE242" s="26">
        <v>3.0888</v>
      </c>
      <c r="CF242" s="26">
        <v>63.283999999999999</v>
      </c>
      <c r="CG242" s="26">
        <v>26.029</v>
      </c>
      <c r="CH242" s="26">
        <v>61.353999999999999</v>
      </c>
      <c r="CI242" s="26">
        <v>55.643999999999998</v>
      </c>
      <c r="CJ242" s="26">
        <v>70.075000000000003</v>
      </c>
      <c r="CK242" s="26">
        <v>25.321999999999999</v>
      </c>
      <c r="CL242" s="26">
        <v>51.055</v>
      </c>
      <c r="CM242" s="26">
        <v>43.543999999999997</v>
      </c>
      <c r="CN242" s="26">
        <v>1.0348999999999999</v>
      </c>
      <c r="CO242" s="26">
        <v>8.4452999999999996</v>
      </c>
      <c r="CP242" s="26">
        <v>55.286999999999999</v>
      </c>
      <c r="CQ242" s="26">
        <v>83.188000000000002</v>
      </c>
      <c r="CR242" s="26">
        <v>49.935000000000002</v>
      </c>
      <c r="CS242" s="26">
        <v>70.075000000000003</v>
      </c>
      <c r="CT242" s="26">
        <v>13.832000000000001</v>
      </c>
      <c r="CU242" s="26">
        <v>55.478000000000002</v>
      </c>
      <c r="CV242" s="26">
        <v>69.370999999999995</v>
      </c>
      <c r="CW242" s="26">
        <v>66.725999999999999</v>
      </c>
      <c r="CX242" s="26">
        <v>57.241</v>
      </c>
      <c r="CY242" s="61"/>
      <c r="CZ242" s="537"/>
      <c r="DA242" s="61"/>
    </row>
    <row r="243" spans="1:16384">
      <c r="A243" s="279">
        <v>45017</v>
      </c>
      <c r="B243" s="26">
        <v>11.114000000000001</v>
      </c>
      <c r="C243" s="26">
        <v>70.599999999999994</v>
      </c>
      <c r="D243" s="26">
        <v>70.599999999999994</v>
      </c>
      <c r="E243" s="26">
        <v>63.283999999999999</v>
      </c>
      <c r="F243" s="26">
        <v>15.407999999999999</v>
      </c>
      <c r="G243" s="26">
        <v>39.280999999999999</v>
      </c>
      <c r="H243" s="26">
        <v>20.702999999999999</v>
      </c>
      <c r="I243" s="26">
        <v>39.293999999999997</v>
      </c>
      <c r="J243" s="26">
        <v>83.691999999999993</v>
      </c>
      <c r="K243" s="26">
        <v>26.567</v>
      </c>
      <c r="L243" s="26">
        <v>41.436999999999998</v>
      </c>
      <c r="M243" s="26">
        <v>43.073</v>
      </c>
      <c r="N243" s="26">
        <v>70.599999999999994</v>
      </c>
      <c r="O243" s="26">
        <v>42.786000000000001</v>
      </c>
      <c r="P243" s="26">
        <v>30.042999999999999</v>
      </c>
      <c r="Q243" s="26">
        <v>19.963999999999999</v>
      </c>
      <c r="R243" s="26">
        <v>28.265000000000001</v>
      </c>
      <c r="S243" s="26">
        <v>43.863</v>
      </c>
      <c r="T243" s="26">
        <v>35.984999999999999</v>
      </c>
      <c r="U243" s="26">
        <v>76.563000000000002</v>
      </c>
      <c r="V243" s="26">
        <v>5.9874000000000001</v>
      </c>
      <c r="W243" s="26">
        <v>42.805999999999997</v>
      </c>
      <c r="X243" s="26">
        <v>2.3393999999999999</v>
      </c>
      <c r="Y243" s="26">
        <v>42.972000000000001</v>
      </c>
      <c r="Z243" s="26">
        <v>20.574000000000002</v>
      </c>
      <c r="AA243" s="26">
        <v>15.157</v>
      </c>
      <c r="AB243" s="26">
        <v>43.011000000000003</v>
      </c>
      <c r="AC243" s="26">
        <v>55.478000000000002</v>
      </c>
      <c r="AD243" s="26">
        <v>15.744999999999999</v>
      </c>
      <c r="AE243" s="26">
        <v>12.919</v>
      </c>
      <c r="AF243" s="26">
        <v>42.314</v>
      </c>
      <c r="AG243" s="26">
        <v>46.027000000000001</v>
      </c>
      <c r="AH243" s="26">
        <v>43.109000000000002</v>
      </c>
      <c r="AI243" s="26">
        <v>33.030999999999999</v>
      </c>
      <c r="AJ243" s="26">
        <v>52.923000000000002</v>
      </c>
      <c r="AK243" s="26">
        <v>29.4</v>
      </c>
      <c r="AL243" s="26">
        <v>42.914999999999999</v>
      </c>
      <c r="AM243" s="26">
        <v>42.78</v>
      </c>
      <c r="AN243" s="26">
        <v>40.206000000000003</v>
      </c>
      <c r="AO243" s="26">
        <v>43.543999999999997</v>
      </c>
      <c r="AP243" s="26">
        <v>49.593000000000004</v>
      </c>
      <c r="AQ243" s="26">
        <v>36.72</v>
      </c>
      <c r="AR243" s="26">
        <v>20.242000000000001</v>
      </c>
      <c r="AS243" s="26">
        <v>45.948999999999998</v>
      </c>
      <c r="AT243" s="26">
        <v>83.691999999999993</v>
      </c>
      <c r="AU243" s="26">
        <v>45.915999999999997</v>
      </c>
      <c r="AV243" s="26">
        <v>23.321999999999999</v>
      </c>
      <c r="AW243" s="26">
        <v>61.353999999999999</v>
      </c>
      <c r="AX243" s="26">
        <v>43.402000000000001</v>
      </c>
      <c r="AY243" s="26">
        <v>43.558999999999997</v>
      </c>
      <c r="AZ243" s="26">
        <v>78.643000000000001</v>
      </c>
      <c r="BA243" s="26">
        <v>49.51</v>
      </c>
      <c r="BB243" s="26">
        <v>55.478000000000002</v>
      </c>
      <c r="BC243" s="26">
        <v>32.704999999999998</v>
      </c>
      <c r="BD243" s="26">
        <v>13.012</v>
      </c>
      <c r="BE243" s="26">
        <v>33</v>
      </c>
      <c r="BF243" s="26">
        <v>61.578000000000003</v>
      </c>
      <c r="BG243" s="26">
        <v>76.563000000000002</v>
      </c>
      <c r="BH243" s="26">
        <v>28.946000000000002</v>
      </c>
      <c r="BI243" s="26">
        <v>19.792000000000002</v>
      </c>
      <c r="BJ243" s="26">
        <v>42.820999999999998</v>
      </c>
      <c r="BK243" s="26">
        <v>83.691999999999993</v>
      </c>
      <c r="BL243" s="26">
        <v>15.44</v>
      </c>
      <c r="BM243" s="26">
        <v>39.348999999999997</v>
      </c>
      <c r="BN243" s="26">
        <v>76.563000000000002</v>
      </c>
      <c r="BO243" s="26">
        <v>10.087</v>
      </c>
      <c r="BP243" s="26">
        <v>49.593000000000004</v>
      </c>
      <c r="BQ243" s="26">
        <v>39.131</v>
      </c>
      <c r="BR243" s="26">
        <v>58.954999999999998</v>
      </c>
      <c r="BS243" s="26">
        <v>21.143999999999998</v>
      </c>
      <c r="BT243" s="26">
        <v>55.478000000000002</v>
      </c>
      <c r="BU243" s="26">
        <v>12.284000000000001</v>
      </c>
      <c r="BV243" s="26">
        <v>78.643000000000001</v>
      </c>
      <c r="BW243" s="26">
        <v>22.207999999999998</v>
      </c>
      <c r="BX243" s="26">
        <v>3.9094000000000002</v>
      </c>
      <c r="BY243" s="26">
        <v>63.283999999999999</v>
      </c>
      <c r="BZ243" s="26">
        <v>76.563000000000002</v>
      </c>
      <c r="CA243" s="26">
        <v>70.599999999999994</v>
      </c>
      <c r="CB243" s="26">
        <v>43.457000000000001</v>
      </c>
      <c r="CC243" s="26">
        <v>46.146999999999998</v>
      </c>
      <c r="CD243" s="26">
        <v>20.847000000000001</v>
      </c>
      <c r="CE243" s="26">
        <v>1.0481</v>
      </c>
      <c r="CF243" s="26">
        <v>43.457000000000001</v>
      </c>
      <c r="CG243" s="26">
        <v>42.746000000000002</v>
      </c>
      <c r="CH243" s="26">
        <v>43.320999999999998</v>
      </c>
      <c r="CI243" s="26">
        <v>2.8277999999999999</v>
      </c>
      <c r="CJ243" s="26">
        <v>78.643000000000001</v>
      </c>
      <c r="CK243" s="26">
        <v>21.425999999999998</v>
      </c>
      <c r="CL243" s="26">
        <v>42.78</v>
      </c>
      <c r="CM243" s="26">
        <v>38.813000000000002</v>
      </c>
      <c r="CN243" s="26">
        <v>1.0348999999999999</v>
      </c>
      <c r="CO243" s="26">
        <v>8.1768999999999998</v>
      </c>
      <c r="CP243" s="26">
        <v>55.62</v>
      </c>
      <c r="CQ243" s="26">
        <v>61.353999999999999</v>
      </c>
      <c r="CR243" s="26">
        <v>42.893000000000001</v>
      </c>
      <c r="CS243" s="26">
        <v>43.627000000000002</v>
      </c>
      <c r="CT243" s="26">
        <v>13.548999999999999</v>
      </c>
      <c r="CU243" s="26">
        <v>70.599999999999994</v>
      </c>
      <c r="CV243" s="26">
        <v>70.599999999999994</v>
      </c>
      <c r="CW243" s="26">
        <v>48.594000000000001</v>
      </c>
      <c r="CX243" s="26">
        <v>47.585000000000001</v>
      </c>
      <c r="CY243" s="61"/>
      <c r="CZ243" s="537"/>
      <c r="DA243" s="61"/>
    </row>
    <row r="244" spans="1:16384">
      <c r="A244" s="279">
        <v>45047</v>
      </c>
      <c r="B244" s="26">
        <v>22.268999999999998</v>
      </c>
      <c r="C244" s="26">
        <v>39.143000000000001</v>
      </c>
      <c r="D244" s="26">
        <v>49.100999999999999</v>
      </c>
      <c r="E244" s="26">
        <v>77.713999999999999</v>
      </c>
      <c r="F244" s="26">
        <v>16.117999999999999</v>
      </c>
      <c r="G244" s="26">
        <v>35.72</v>
      </c>
      <c r="H244" s="26">
        <v>35.689</v>
      </c>
      <c r="I244" s="26">
        <v>43.215000000000003</v>
      </c>
      <c r="J244" s="26">
        <v>61.353999999999999</v>
      </c>
      <c r="K244" s="26">
        <v>21.559000000000001</v>
      </c>
      <c r="L244" s="26">
        <v>49.625999999999998</v>
      </c>
      <c r="M244" s="26">
        <v>42.238999999999997</v>
      </c>
      <c r="N244" s="26">
        <v>24.567</v>
      </c>
      <c r="O244" s="26">
        <v>44.802</v>
      </c>
      <c r="P244" s="26">
        <v>22.289000000000001</v>
      </c>
      <c r="Q244" s="26">
        <v>26.402000000000001</v>
      </c>
      <c r="R244" s="26">
        <v>8.3347999999999995</v>
      </c>
      <c r="S244" s="26">
        <v>43.069000000000003</v>
      </c>
      <c r="T244" s="26">
        <v>36.886000000000003</v>
      </c>
      <c r="U244" s="26">
        <v>47.835999999999999</v>
      </c>
      <c r="V244" s="26">
        <v>11.409000000000001</v>
      </c>
      <c r="W244" s="26">
        <v>2.3077999999999999</v>
      </c>
      <c r="X244" s="26">
        <v>6.2207999999999997</v>
      </c>
      <c r="Y244" s="26">
        <v>34.124000000000002</v>
      </c>
      <c r="Z244" s="26">
        <v>8.3704999999999998</v>
      </c>
      <c r="AA244" s="26">
        <v>21.498999999999999</v>
      </c>
      <c r="AB244" s="26">
        <v>29.001999999999999</v>
      </c>
      <c r="AC244" s="26">
        <v>66.959000000000003</v>
      </c>
      <c r="AD244" s="26">
        <v>16.045999999999999</v>
      </c>
      <c r="AE244" s="26">
        <v>8.2453000000000003</v>
      </c>
      <c r="AF244" s="26">
        <v>51.231000000000002</v>
      </c>
      <c r="AG244" s="26">
        <v>43.688000000000002</v>
      </c>
      <c r="AH244" s="26">
        <v>36.874000000000002</v>
      </c>
      <c r="AI244" s="26">
        <v>32.847000000000001</v>
      </c>
      <c r="AJ244" s="26">
        <v>42.98</v>
      </c>
      <c r="AK244" s="26">
        <v>39.523000000000003</v>
      </c>
      <c r="AL244" s="26">
        <v>35.777000000000001</v>
      </c>
      <c r="AM244" s="26">
        <v>53.44</v>
      </c>
      <c r="AN244" s="26">
        <v>36.418999999999997</v>
      </c>
      <c r="AO244" s="26">
        <v>42.241999999999997</v>
      </c>
      <c r="AP244" s="26">
        <v>47.103000000000002</v>
      </c>
      <c r="AQ244" s="26">
        <v>22.792999999999999</v>
      </c>
      <c r="AR244" s="26">
        <v>7.9744999999999999</v>
      </c>
      <c r="AS244" s="26">
        <v>61.353999999999999</v>
      </c>
      <c r="AT244" s="26">
        <v>34.515999999999998</v>
      </c>
      <c r="AU244" s="26">
        <v>42.874000000000002</v>
      </c>
      <c r="AV244" s="26">
        <v>20.936</v>
      </c>
      <c r="AW244" s="26">
        <v>43.411000000000001</v>
      </c>
      <c r="AX244" s="26">
        <v>26.102</v>
      </c>
      <c r="AY244" s="26">
        <v>51.073</v>
      </c>
      <c r="AZ244" s="26">
        <v>46.911999999999999</v>
      </c>
      <c r="BA244" s="26">
        <v>43.215000000000003</v>
      </c>
      <c r="BB244" s="26">
        <v>46.122</v>
      </c>
      <c r="BC244" s="26">
        <v>23.195</v>
      </c>
      <c r="BD244" s="26">
        <v>21.3</v>
      </c>
      <c r="BE244" s="26">
        <v>33.405000000000001</v>
      </c>
      <c r="BF244" s="26">
        <v>64.569999999999993</v>
      </c>
      <c r="BG244" s="26">
        <v>69.474999999999994</v>
      </c>
      <c r="BH244" s="26">
        <v>16.731000000000002</v>
      </c>
      <c r="BI244" s="26">
        <v>16.789000000000001</v>
      </c>
      <c r="BJ244" s="26">
        <v>43.543999999999997</v>
      </c>
      <c r="BK244" s="26">
        <v>69.474999999999994</v>
      </c>
      <c r="BL244" s="26">
        <v>11.598000000000001</v>
      </c>
      <c r="BM244" s="26">
        <v>10.231999999999999</v>
      </c>
      <c r="BN244" s="26">
        <v>37.765000000000001</v>
      </c>
      <c r="BO244" s="26">
        <v>8.5902999999999992</v>
      </c>
      <c r="BP244" s="26">
        <v>42.874000000000002</v>
      </c>
      <c r="BQ244" s="26">
        <v>17.155999999999999</v>
      </c>
      <c r="BR244" s="26">
        <v>43.05</v>
      </c>
      <c r="BS244" s="26">
        <v>22.215</v>
      </c>
      <c r="BT244" s="26">
        <v>43.215000000000003</v>
      </c>
      <c r="BU244" s="26">
        <v>18.109000000000002</v>
      </c>
      <c r="BV244" s="26">
        <v>64.703999999999994</v>
      </c>
      <c r="BW244" s="26">
        <v>23.32</v>
      </c>
      <c r="BX244" s="26">
        <v>2.5518999999999998</v>
      </c>
      <c r="BY244" s="26">
        <v>60.298999999999999</v>
      </c>
      <c r="BZ244" s="26">
        <v>52.427</v>
      </c>
      <c r="CA244" s="26">
        <v>19.707000000000001</v>
      </c>
      <c r="CB244" s="26">
        <v>22.620999999999999</v>
      </c>
      <c r="CC244" s="26">
        <v>25.071999999999999</v>
      </c>
      <c r="CD244" s="26">
        <v>21.596</v>
      </c>
      <c r="CE244" s="26">
        <v>1.0502</v>
      </c>
      <c r="CF244" s="26">
        <v>45.417999999999999</v>
      </c>
      <c r="CG244" s="26">
        <v>36.281999999999996</v>
      </c>
      <c r="CH244" s="26">
        <v>20.704000000000001</v>
      </c>
      <c r="CI244" s="26">
        <v>8.1585999999999999</v>
      </c>
      <c r="CJ244" s="26">
        <v>69.474999999999994</v>
      </c>
      <c r="CK244" s="26">
        <v>31.925000000000001</v>
      </c>
      <c r="CL244" s="26">
        <v>48.515999999999998</v>
      </c>
      <c r="CM244" s="26">
        <v>25.861000000000001</v>
      </c>
      <c r="CN244" s="26">
        <v>1.0348999999999999</v>
      </c>
      <c r="CO244" s="26">
        <v>4.7614999999999998</v>
      </c>
      <c r="CP244" s="26">
        <v>41.933999999999997</v>
      </c>
      <c r="CQ244" s="26">
        <v>63.283999999999999</v>
      </c>
      <c r="CR244" s="26">
        <v>33.881999999999998</v>
      </c>
      <c r="CS244" s="26">
        <v>36.045999999999999</v>
      </c>
      <c r="CT244" s="26">
        <v>7.8426999999999998</v>
      </c>
      <c r="CU244" s="26">
        <v>36.957999999999998</v>
      </c>
      <c r="CV244" s="26">
        <v>53.323999999999998</v>
      </c>
      <c r="CW244" s="26">
        <v>53.015000000000001</v>
      </c>
      <c r="CX244" s="26">
        <v>43.548999999999999</v>
      </c>
      <c r="CY244" s="61"/>
      <c r="CZ244" s="537"/>
      <c r="DA244" s="61"/>
    </row>
    <row r="245" spans="1:16384">
      <c r="A245" s="279">
        <v>45078</v>
      </c>
      <c r="B245" s="26">
        <v>26.21</v>
      </c>
      <c r="C245" s="26">
        <v>42.816000000000003</v>
      </c>
      <c r="D245" s="26">
        <v>49.017000000000003</v>
      </c>
      <c r="E245" s="26">
        <v>70.45</v>
      </c>
      <c r="F245" s="26">
        <v>7.3028000000000004</v>
      </c>
      <c r="G245" s="26">
        <v>11.432</v>
      </c>
      <c r="H245" s="26">
        <v>36.076999999999998</v>
      </c>
      <c r="I245" s="26">
        <v>45.932000000000002</v>
      </c>
      <c r="J245" s="26">
        <v>53.9</v>
      </c>
      <c r="K245" s="26">
        <v>32.929000000000002</v>
      </c>
      <c r="L245" s="26">
        <v>52.978000000000002</v>
      </c>
      <c r="M245" s="26">
        <v>30.760999999999999</v>
      </c>
      <c r="N245" s="26">
        <v>25.103000000000002</v>
      </c>
      <c r="O245" s="26">
        <v>53.783000000000001</v>
      </c>
      <c r="P245" s="26">
        <v>30.271000000000001</v>
      </c>
      <c r="Q245" s="26">
        <v>25.106000000000002</v>
      </c>
      <c r="R245" s="26">
        <v>10.199</v>
      </c>
      <c r="S245" s="26">
        <v>46.86</v>
      </c>
      <c r="T245" s="26">
        <v>24.47</v>
      </c>
      <c r="U245" s="26">
        <v>47.13</v>
      </c>
      <c r="V245" s="26">
        <v>16.626999999999999</v>
      </c>
      <c r="W245" s="26">
        <v>3.7934999999999999</v>
      </c>
      <c r="X245" s="26">
        <v>3.7715999999999998</v>
      </c>
      <c r="Y245" s="26">
        <v>24.44</v>
      </c>
      <c r="Z245" s="26">
        <v>11.823</v>
      </c>
      <c r="AA245" s="26">
        <v>23.446000000000002</v>
      </c>
      <c r="AB245" s="26">
        <v>30.651</v>
      </c>
      <c r="AC245" s="26">
        <v>41.591999999999999</v>
      </c>
      <c r="AD245" s="26">
        <v>24.265999999999998</v>
      </c>
      <c r="AE245" s="26">
        <v>15.118</v>
      </c>
      <c r="AF245" s="26">
        <v>76.394999999999996</v>
      </c>
      <c r="AG245" s="26">
        <v>46.573999999999998</v>
      </c>
      <c r="AH245" s="26">
        <v>42.643000000000001</v>
      </c>
      <c r="AI245" s="26">
        <v>34.735999999999997</v>
      </c>
      <c r="AJ245" s="26">
        <v>36.749000000000002</v>
      </c>
      <c r="AK245" s="26">
        <v>28.419</v>
      </c>
      <c r="AL245" s="26">
        <v>18.457999999999998</v>
      </c>
      <c r="AM245" s="26">
        <v>42.78</v>
      </c>
      <c r="AN245" s="26">
        <v>36.253</v>
      </c>
      <c r="AO245" s="26">
        <v>57.38</v>
      </c>
      <c r="AP245" s="26">
        <v>47.601999999999997</v>
      </c>
      <c r="AQ245" s="26">
        <v>35.270000000000003</v>
      </c>
      <c r="AR245" s="26">
        <v>2.1549</v>
      </c>
      <c r="AS245" s="26">
        <v>55.62</v>
      </c>
      <c r="AT245" s="26">
        <v>33.805999999999997</v>
      </c>
      <c r="AU245" s="26">
        <v>40.215000000000003</v>
      </c>
      <c r="AV245" s="26">
        <v>11.798</v>
      </c>
      <c r="AW245" s="26">
        <v>47.942</v>
      </c>
      <c r="AX245" s="26">
        <v>25.312999999999999</v>
      </c>
      <c r="AY245" s="26">
        <v>54.345999999999997</v>
      </c>
      <c r="AZ245" s="26">
        <v>42.750999999999998</v>
      </c>
      <c r="BA245" s="26">
        <v>48.709000000000003</v>
      </c>
      <c r="BB245" s="26">
        <v>51.256</v>
      </c>
      <c r="BC245" s="26">
        <v>15.163</v>
      </c>
      <c r="BD245" s="26">
        <v>33.356000000000002</v>
      </c>
      <c r="BE245" s="26">
        <v>44.533000000000001</v>
      </c>
      <c r="BF245" s="26">
        <v>63.283999999999999</v>
      </c>
      <c r="BG245" s="26">
        <v>55.481000000000002</v>
      </c>
      <c r="BH245" s="26">
        <v>11.477</v>
      </c>
      <c r="BI245" s="26">
        <v>11.112</v>
      </c>
      <c r="BJ245" s="26">
        <v>46.048000000000002</v>
      </c>
      <c r="BK245" s="26">
        <v>58.941000000000003</v>
      </c>
      <c r="BL245" s="26">
        <v>2.2987000000000002</v>
      </c>
      <c r="BM245" s="26">
        <v>17.363</v>
      </c>
      <c r="BN245" s="26">
        <v>42.709000000000003</v>
      </c>
      <c r="BO245" s="26">
        <v>3.7246000000000001</v>
      </c>
      <c r="BP245" s="26">
        <v>47.344000000000001</v>
      </c>
      <c r="BQ245" s="26">
        <v>24.712</v>
      </c>
      <c r="BR245" s="26">
        <v>30.765000000000001</v>
      </c>
      <c r="BS245" s="26">
        <v>25.122</v>
      </c>
      <c r="BT245" s="26">
        <v>41.465000000000003</v>
      </c>
      <c r="BU245" s="26">
        <v>24.867999999999999</v>
      </c>
      <c r="BV245" s="26">
        <v>70.456999999999994</v>
      </c>
      <c r="BW245" s="26">
        <v>25.082999999999998</v>
      </c>
      <c r="BX245" s="26">
        <v>3.2980999999999998</v>
      </c>
      <c r="BY245" s="26">
        <v>44.015000000000001</v>
      </c>
      <c r="BZ245" s="26">
        <v>36.238</v>
      </c>
      <c r="CA245" s="26">
        <v>13.3</v>
      </c>
      <c r="CB245" s="26">
        <v>24.849</v>
      </c>
      <c r="CC245" s="26">
        <v>24.808</v>
      </c>
      <c r="CD245" s="26">
        <v>24.103000000000002</v>
      </c>
      <c r="CE245" s="26">
        <v>2.2359</v>
      </c>
      <c r="CF245" s="26">
        <v>46.959000000000003</v>
      </c>
      <c r="CG245" s="26">
        <v>41.718000000000004</v>
      </c>
      <c r="CH245" s="26">
        <v>22.77</v>
      </c>
      <c r="CI245" s="26">
        <v>15.742000000000001</v>
      </c>
      <c r="CJ245" s="26">
        <v>64.218999999999994</v>
      </c>
      <c r="CK245" s="26">
        <v>1.2532000000000001</v>
      </c>
      <c r="CL245" s="26">
        <v>42.805999999999997</v>
      </c>
      <c r="CM245" s="26">
        <v>41.332000000000001</v>
      </c>
      <c r="CN245" s="26">
        <v>1.0491999999999999</v>
      </c>
      <c r="CO245" s="26">
        <v>12.413</v>
      </c>
      <c r="CP245" s="26">
        <v>29.294</v>
      </c>
      <c r="CQ245" s="26">
        <v>42.976999999999997</v>
      </c>
      <c r="CR245" s="26">
        <v>42.859000000000002</v>
      </c>
      <c r="CS245" s="26">
        <v>44.104999999999997</v>
      </c>
      <c r="CT245" s="26">
        <v>7.3718000000000004</v>
      </c>
      <c r="CU245" s="26">
        <v>40.387999999999998</v>
      </c>
      <c r="CV245" s="26">
        <v>40.613999999999997</v>
      </c>
      <c r="CW245" s="26">
        <v>61.353999999999999</v>
      </c>
      <c r="CX245" s="26">
        <v>45.795000000000002</v>
      </c>
      <c r="CY245" s="61"/>
      <c r="CZ245" s="537"/>
      <c r="DA245" s="61"/>
    </row>
    <row r="246" spans="1:16384">
      <c r="A246" s="279">
        <v>45108</v>
      </c>
      <c r="B246" s="26">
        <v>18.053999999999998</v>
      </c>
      <c r="C246" s="26">
        <v>48.436</v>
      </c>
      <c r="D246" s="26">
        <v>24.251000000000001</v>
      </c>
      <c r="E246" s="26">
        <v>61.353999999999999</v>
      </c>
      <c r="F246" s="26">
        <v>10.423</v>
      </c>
      <c r="G246" s="26">
        <v>18.073</v>
      </c>
      <c r="H246" s="26">
        <v>17.262</v>
      </c>
      <c r="I246" s="26">
        <v>53.793999999999997</v>
      </c>
      <c r="J246" s="26">
        <v>63.338999999999999</v>
      </c>
      <c r="K246" s="26">
        <v>30.637</v>
      </c>
      <c r="L246" s="26">
        <v>44.26</v>
      </c>
      <c r="M246" s="26">
        <v>38.159999999999997</v>
      </c>
      <c r="N246" s="26">
        <v>18.788</v>
      </c>
      <c r="O246" s="26">
        <v>51.527999999999999</v>
      </c>
      <c r="P246" s="26">
        <v>42.813000000000002</v>
      </c>
      <c r="Q246" s="26">
        <v>36.466000000000001</v>
      </c>
      <c r="R246" s="26">
        <v>2.4857999999999998</v>
      </c>
      <c r="S246" s="26">
        <v>25.376999999999999</v>
      </c>
      <c r="T246" s="26">
        <v>23.44</v>
      </c>
      <c r="U246" s="26">
        <v>68.322999999999993</v>
      </c>
      <c r="V246" s="26">
        <v>17.260999999999999</v>
      </c>
      <c r="W246" s="26">
        <v>10.420999999999999</v>
      </c>
      <c r="X246" s="26">
        <v>6.0739000000000001</v>
      </c>
      <c r="Y246" s="26">
        <v>3.8879999999999999</v>
      </c>
      <c r="Z246" s="26">
        <v>30.366</v>
      </c>
      <c r="AA246" s="26">
        <v>24.875</v>
      </c>
      <c r="AB246" s="26">
        <v>38.161999999999999</v>
      </c>
      <c r="AC246" s="26">
        <v>53.234999999999999</v>
      </c>
      <c r="AD246" s="26">
        <v>11.263</v>
      </c>
      <c r="AE246" s="26">
        <v>7.8461999999999996</v>
      </c>
      <c r="AF246" s="26">
        <v>46.088000000000001</v>
      </c>
      <c r="AG246" s="26">
        <v>47.838999999999999</v>
      </c>
      <c r="AH246" s="26">
        <v>47.972000000000001</v>
      </c>
      <c r="AI246" s="26">
        <v>36.719000000000001</v>
      </c>
      <c r="AJ246" s="26">
        <v>43.447000000000003</v>
      </c>
      <c r="AK246" s="26">
        <v>9.4624000000000006</v>
      </c>
      <c r="AL246" s="26">
        <v>25.187999999999999</v>
      </c>
      <c r="AM246" s="26">
        <v>31.795999999999999</v>
      </c>
      <c r="AN246" s="26">
        <v>43.786999999999999</v>
      </c>
      <c r="AO246" s="26">
        <v>65.710999999999999</v>
      </c>
      <c r="AP246" s="26">
        <v>56.957000000000001</v>
      </c>
      <c r="AQ246" s="26">
        <v>41.624000000000002</v>
      </c>
      <c r="AR246" s="26">
        <v>1.9663999999999999</v>
      </c>
      <c r="AS246" s="26">
        <v>44.764000000000003</v>
      </c>
      <c r="AT246" s="26">
        <v>34.695999999999998</v>
      </c>
      <c r="AU246" s="26">
        <v>46.454000000000001</v>
      </c>
      <c r="AV246" s="26">
        <v>8.6221999999999994</v>
      </c>
      <c r="AW246" s="26">
        <v>43.430999999999997</v>
      </c>
      <c r="AX246" s="26">
        <v>31.193000000000001</v>
      </c>
      <c r="AY246" s="26">
        <v>64.064999999999998</v>
      </c>
      <c r="AZ246" s="26">
        <v>43.226999999999997</v>
      </c>
      <c r="BA246" s="26">
        <v>49.448</v>
      </c>
      <c r="BB246" s="26">
        <v>49.360999999999997</v>
      </c>
      <c r="BC246" s="26">
        <v>16.071999999999999</v>
      </c>
      <c r="BD246" s="26">
        <v>42.780999999999999</v>
      </c>
      <c r="BE246" s="26">
        <v>52.923000000000002</v>
      </c>
      <c r="BF246" s="26">
        <v>67.388000000000005</v>
      </c>
      <c r="BG246" s="26">
        <v>54.473999999999997</v>
      </c>
      <c r="BH246" s="26">
        <v>23.108000000000001</v>
      </c>
      <c r="BI246" s="26">
        <v>2.7160000000000002</v>
      </c>
      <c r="BJ246" s="26">
        <v>51.844000000000001</v>
      </c>
      <c r="BK246" s="26">
        <v>38.755000000000003</v>
      </c>
      <c r="BL246" s="26">
        <v>5.0034000000000001</v>
      </c>
      <c r="BM246" s="26">
        <v>25.582000000000001</v>
      </c>
      <c r="BN246" s="26">
        <v>24.795000000000002</v>
      </c>
      <c r="BO246" s="26">
        <v>16.510000000000002</v>
      </c>
      <c r="BP246" s="26">
        <v>35.814999999999998</v>
      </c>
      <c r="BQ246" s="26">
        <v>35.228000000000002</v>
      </c>
      <c r="BR246" s="26">
        <v>30.774999999999999</v>
      </c>
      <c r="BS246" s="26">
        <v>17.655999999999999</v>
      </c>
      <c r="BT246" s="26">
        <v>44.088999999999999</v>
      </c>
      <c r="BU246" s="26">
        <v>6.1193999999999997</v>
      </c>
      <c r="BV246" s="26">
        <v>69.822999999999993</v>
      </c>
      <c r="BW246" s="26">
        <v>26.501999999999999</v>
      </c>
      <c r="BX246" s="26">
        <v>4.9099000000000004</v>
      </c>
      <c r="BY246" s="26">
        <v>49.194000000000003</v>
      </c>
      <c r="BZ246" s="26">
        <v>47.213999999999999</v>
      </c>
      <c r="CA246" s="26">
        <v>26.154</v>
      </c>
      <c r="CB246" s="26">
        <v>24.17</v>
      </c>
      <c r="CC246" s="26">
        <v>24.425999999999998</v>
      </c>
      <c r="CD246" s="26">
        <v>15.416</v>
      </c>
      <c r="CE246" s="26">
        <v>1.4745999999999999</v>
      </c>
      <c r="CF246" s="26">
        <v>72.010000000000005</v>
      </c>
      <c r="CG246" s="26">
        <v>47.097000000000001</v>
      </c>
      <c r="CH246" s="26">
        <v>29.22</v>
      </c>
      <c r="CI246" s="26">
        <v>18.317</v>
      </c>
      <c r="CJ246" s="26">
        <v>41.148000000000003</v>
      </c>
      <c r="CK246" s="26">
        <v>1.0650999999999999</v>
      </c>
      <c r="CL246" s="26">
        <v>42.674999999999997</v>
      </c>
      <c r="CM246" s="26">
        <v>48.075000000000003</v>
      </c>
      <c r="CN246" s="26">
        <v>1.1198999999999999</v>
      </c>
      <c r="CO246" s="26">
        <v>10.983000000000001</v>
      </c>
      <c r="CP246" s="26">
        <v>23.933</v>
      </c>
      <c r="CQ246" s="26">
        <v>43.115000000000002</v>
      </c>
      <c r="CR246" s="26">
        <v>51.543999999999997</v>
      </c>
      <c r="CS246" s="26">
        <v>30.047999999999998</v>
      </c>
      <c r="CT246" s="26">
        <v>2.0123000000000002</v>
      </c>
      <c r="CU246" s="26">
        <v>44.423000000000002</v>
      </c>
      <c r="CV246" s="26">
        <v>37.591999999999999</v>
      </c>
      <c r="CW246" s="26">
        <v>64.930000000000007</v>
      </c>
      <c r="CX246" s="26">
        <v>45.42</v>
      </c>
      <c r="CY246" s="61"/>
      <c r="CZ246" s="537"/>
      <c r="DA246" s="61"/>
    </row>
    <row r="247" spans="1:16384">
      <c r="A247" s="279">
        <v>45139</v>
      </c>
      <c r="B247" s="26">
        <v>8.7042000000000002</v>
      </c>
      <c r="C247" s="26">
        <v>48.956000000000003</v>
      </c>
      <c r="D247" s="26">
        <v>23.678999999999998</v>
      </c>
      <c r="E247" s="26">
        <v>51.201000000000001</v>
      </c>
      <c r="F247" s="26">
        <v>17.882999999999999</v>
      </c>
      <c r="G247" s="26">
        <v>23.791</v>
      </c>
      <c r="H247" s="26">
        <v>23.562000000000001</v>
      </c>
      <c r="I247" s="26">
        <v>65.253</v>
      </c>
      <c r="J247" s="26">
        <v>71.5</v>
      </c>
      <c r="K247" s="26">
        <v>38.271000000000001</v>
      </c>
      <c r="L247" s="26">
        <v>46.015999999999998</v>
      </c>
      <c r="M247" s="26">
        <v>40.957000000000001</v>
      </c>
      <c r="N247" s="26">
        <v>7.1177000000000001</v>
      </c>
      <c r="O247" s="26">
        <v>48.186999999999998</v>
      </c>
      <c r="P247" s="26">
        <v>24.597999999999999</v>
      </c>
      <c r="Q247" s="26">
        <v>42.765000000000001</v>
      </c>
      <c r="R247" s="26">
        <v>2.444</v>
      </c>
      <c r="S247" s="26">
        <v>43.633000000000003</v>
      </c>
      <c r="T247" s="26">
        <v>34.073</v>
      </c>
      <c r="U247" s="26">
        <v>57.844999999999999</v>
      </c>
      <c r="V247" s="26">
        <v>26.061</v>
      </c>
      <c r="W247" s="26">
        <v>17.600000000000001</v>
      </c>
      <c r="X247" s="26">
        <v>1.0326</v>
      </c>
      <c r="Y247" s="26">
        <v>21.603999999999999</v>
      </c>
      <c r="Z247" s="26">
        <v>28.39</v>
      </c>
      <c r="AA247" s="26">
        <v>22.736000000000001</v>
      </c>
      <c r="AB247" s="26">
        <v>37.293999999999997</v>
      </c>
      <c r="AC247" s="26">
        <v>66.245000000000005</v>
      </c>
      <c r="AD247" s="26">
        <v>3.6505000000000001</v>
      </c>
      <c r="AE247" s="26">
        <v>3.7581000000000002</v>
      </c>
      <c r="AF247" s="26">
        <v>42.377000000000002</v>
      </c>
      <c r="AG247" s="26">
        <v>47.338000000000001</v>
      </c>
      <c r="AH247" s="26">
        <v>47.351999999999997</v>
      </c>
      <c r="AI247" s="26">
        <v>16.097000000000001</v>
      </c>
      <c r="AJ247" s="26">
        <v>46.63</v>
      </c>
      <c r="AK247" s="26">
        <v>23.702000000000002</v>
      </c>
      <c r="AL247" s="26">
        <v>24.405999999999999</v>
      </c>
      <c r="AM247" s="26">
        <v>24.199000000000002</v>
      </c>
      <c r="AN247" s="26">
        <v>46.095999999999997</v>
      </c>
      <c r="AO247" s="26">
        <v>73.210999999999999</v>
      </c>
      <c r="AP247" s="26">
        <v>77.569000000000003</v>
      </c>
      <c r="AQ247" s="26">
        <v>37.923000000000002</v>
      </c>
      <c r="AR247" s="26">
        <v>8.5451999999999995</v>
      </c>
      <c r="AS247" s="26">
        <v>47.485999999999997</v>
      </c>
      <c r="AT247" s="26">
        <v>35.793999999999997</v>
      </c>
      <c r="AU247" s="26">
        <v>47.707999999999998</v>
      </c>
      <c r="AV247" s="26">
        <v>1.0326</v>
      </c>
      <c r="AW247" s="26">
        <v>47.322000000000003</v>
      </c>
      <c r="AX247" s="26">
        <v>36.14</v>
      </c>
      <c r="AY247" s="26">
        <v>48.539000000000001</v>
      </c>
      <c r="AZ247" s="26">
        <v>40.817999999999998</v>
      </c>
      <c r="BA247" s="26">
        <v>28.431999999999999</v>
      </c>
      <c r="BB247" s="26">
        <v>61.103000000000002</v>
      </c>
      <c r="BC247" s="26">
        <v>12.59</v>
      </c>
      <c r="BD247" s="26">
        <v>33.055</v>
      </c>
      <c r="BE247" s="26">
        <v>46.137999999999998</v>
      </c>
      <c r="BF247" s="26">
        <v>53.514000000000003</v>
      </c>
      <c r="BG247" s="26">
        <v>65.263000000000005</v>
      </c>
      <c r="BH247" s="26">
        <v>12.401999999999999</v>
      </c>
      <c r="BI247" s="26">
        <v>1.2697000000000001</v>
      </c>
      <c r="BJ247" s="26">
        <v>61.372999999999998</v>
      </c>
      <c r="BK247" s="26">
        <v>43.893000000000001</v>
      </c>
      <c r="BL247" s="26">
        <v>11.776999999999999</v>
      </c>
      <c r="BM247" s="26">
        <v>42.679000000000002</v>
      </c>
      <c r="BN247" s="26">
        <v>24.344000000000001</v>
      </c>
      <c r="BO247" s="26">
        <v>31.38</v>
      </c>
      <c r="BP247" s="26">
        <v>56.658000000000001</v>
      </c>
      <c r="BQ247" s="26">
        <v>36.335999999999999</v>
      </c>
      <c r="BR247" s="26">
        <v>51.860999999999997</v>
      </c>
      <c r="BS247" s="26">
        <v>2.9470999999999998</v>
      </c>
      <c r="BT247" s="26">
        <v>27.885000000000002</v>
      </c>
      <c r="BU247" s="26">
        <v>12.849</v>
      </c>
      <c r="BV247" s="26">
        <v>84.700999999999993</v>
      </c>
      <c r="BW247" s="26">
        <v>25.788</v>
      </c>
      <c r="BX247" s="26">
        <v>2.4199000000000002</v>
      </c>
      <c r="BY247" s="26">
        <v>56.402999999999999</v>
      </c>
      <c r="BZ247" s="26">
        <v>40.79</v>
      </c>
      <c r="CA247" s="26">
        <v>42.685000000000002</v>
      </c>
      <c r="CB247" s="26">
        <v>7.0095000000000001</v>
      </c>
      <c r="CC247" s="26">
        <v>33.963000000000001</v>
      </c>
      <c r="CD247" s="26">
        <v>15.814</v>
      </c>
      <c r="CE247" s="26">
        <v>1.4585999999999999</v>
      </c>
      <c r="CF247" s="26">
        <v>56.654000000000003</v>
      </c>
      <c r="CG247" s="26">
        <v>45.399000000000001</v>
      </c>
      <c r="CH247" s="26">
        <v>42.777999999999999</v>
      </c>
      <c r="CI247" s="26">
        <v>24.21</v>
      </c>
      <c r="CJ247" s="26">
        <v>42.023000000000003</v>
      </c>
      <c r="CK247" s="26">
        <v>0.97472000000000003</v>
      </c>
      <c r="CL247" s="26">
        <v>48.750999999999998</v>
      </c>
      <c r="CM247" s="26">
        <v>42.924999999999997</v>
      </c>
      <c r="CN247" s="26">
        <v>1.0326</v>
      </c>
      <c r="CO247" s="26">
        <v>7.0732999999999997</v>
      </c>
      <c r="CP247" s="26">
        <v>12.467000000000001</v>
      </c>
      <c r="CQ247" s="26">
        <v>46.796999999999997</v>
      </c>
      <c r="CR247" s="26">
        <v>39.112000000000002</v>
      </c>
      <c r="CS247" s="26">
        <v>45.491999999999997</v>
      </c>
      <c r="CT247" s="26">
        <v>1.0043</v>
      </c>
      <c r="CU247" s="26">
        <v>42.682000000000002</v>
      </c>
      <c r="CV247" s="26">
        <v>35.520000000000003</v>
      </c>
      <c r="CW247" s="26">
        <v>84.700999999999993</v>
      </c>
      <c r="CX247" s="26">
        <v>47.390999999999998</v>
      </c>
      <c r="CY247" s="61"/>
      <c r="CZ247" s="537"/>
      <c r="DA247" s="61"/>
    </row>
    <row r="248" spans="1:16384">
      <c r="A248" s="279">
        <v>45170</v>
      </c>
      <c r="B248" s="26">
        <v>21.74</v>
      </c>
      <c r="C248" s="26">
        <v>64.477999999999994</v>
      </c>
      <c r="D248" s="26">
        <v>20.773</v>
      </c>
      <c r="E248" s="26">
        <v>61.42</v>
      </c>
      <c r="F248" s="26">
        <v>7.9980000000000002</v>
      </c>
      <c r="G248" s="26">
        <v>24.094000000000001</v>
      </c>
      <c r="H248" s="26">
        <v>32.307000000000002</v>
      </c>
      <c r="I248" s="26">
        <v>85.626000000000005</v>
      </c>
      <c r="J248" s="26">
        <v>80.423000000000002</v>
      </c>
      <c r="K248" s="26">
        <v>47.302</v>
      </c>
      <c r="L248" s="26">
        <v>43.546999999999997</v>
      </c>
      <c r="M248" s="26">
        <v>44.308</v>
      </c>
      <c r="N248" s="26">
        <v>21.148</v>
      </c>
      <c r="O248" s="26">
        <v>62.430999999999997</v>
      </c>
      <c r="P248" s="26">
        <v>23.986999999999998</v>
      </c>
      <c r="Q248" s="26">
        <v>43.612000000000002</v>
      </c>
      <c r="R248" s="26">
        <v>7.9725000000000001</v>
      </c>
      <c r="S248" s="26">
        <v>43.427</v>
      </c>
      <c r="T248" s="26">
        <v>42.856999999999999</v>
      </c>
      <c r="U248" s="26">
        <v>31.739000000000001</v>
      </c>
      <c r="V248" s="26">
        <v>1.2303999999999999</v>
      </c>
      <c r="W248" s="26">
        <v>3.7837999999999998</v>
      </c>
      <c r="X248" s="26">
        <v>1.0586</v>
      </c>
      <c r="Y248" s="26">
        <v>7.8411</v>
      </c>
      <c r="Z248" s="26">
        <v>39.908999999999999</v>
      </c>
      <c r="AA248" s="26">
        <v>40.811999999999998</v>
      </c>
      <c r="AB248" s="26">
        <v>42.283000000000001</v>
      </c>
      <c r="AC248" s="26">
        <v>72.55</v>
      </c>
      <c r="AD248" s="26">
        <v>11.207000000000001</v>
      </c>
      <c r="AE248" s="26">
        <v>2.6032999999999999</v>
      </c>
      <c r="AF248" s="26">
        <v>50.642000000000003</v>
      </c>
      <c r="AG248" s="26">
        <v>71.861999999999995</v>
      </c>
      <c r="AH248" s="26">
        <v>68.834999999999994</v>
      </c>
      <c r="AI248" s="26">
        <v>13.037000000000001</v>
      </c>
      <c r="AJ248" s="26">
        <v>54.627000000000002</v>
      </c>
      <c r="AK248" s="26">
        <v>42.825000000000003</v>
      </c>
      <c r="AL248" s="26">
        <v>36.512999999999998</v>
      </c>
      <c r="AM248" s="26">
        <v>2.7856000000000001</v>
      </c>
      <c r="AN248" s="26">
        <v>53.706000000000003</v>
      </c>
      <c r="AO248" s="26">
        <v>72.55</v>
      </c>
      <c r="AP248" s="26">
        <v>85.626000000000005</v>
      </c>
      <c r="AQ248" s="26">
        <v>44.639000000000003</v>
      </c>
      <c r="AR248" s="26">
        <v>38.003</v>
      </c>
      <c r="AS248" s="26">
        <v>48.515000000000001</v>
      </c>
      <c r="AT248" s="26">
        <v>27.744</v>
      </c>
      <c r="AU248" s="26">
        <v>63.622</v>
      </c>
      <c r="AV248" s="26">
        <v>1.0834999999999999</v>
      </c>
      <c r="AW248" s="26">
        <v>54.866999999999997</v>
      </c>
      <c r="AX248" s="26">
        <v>43.027000000000001</v>
      </c>
      <c r="AY248" s="26">
        <v>56.387</v>
      </c>
      <c r="AZ248" s="26">
        <v>64.334000000000003</v>
      </c>
      <c r="BA248" s="26">
        <v>13.33</v>
      </c>
      <c r="BB248" s="26">
        <v>62.271999999999998</v>
      </c>
      <c r="BC248" s="26">
        <v>16.896999999999998</v>
      </c>
      <c r="BD248" s="26">
        <v>39.125</v>
      </c>
      <c r="BE248" s="26">
        <v>47.186</v>
      </c>
      <c r="BF248" s="26">
        <v>43.496000000000002</v>
      </c>
      <c r="BG248" s="26">
        <v>65.528000000000006</v>
      </c>
      <c r="BH248" s="26">
        <v>13.345000000000001</v>
      </c>
      <c r="BI248" s="26">
        <v>7.5838000000000001</v>
      </c>
      <c r="BJ248" s="26">
        <v>64.233000000000004</v>
      </c>
      <c r="BK248" s="26">
        <v>44.646000000000001</v>
      </c>
      <c r="BL248" s="26">
        <v>7.8837999999999999</v>
      </c>
      <c r="BM248" s="26">
        <v>46.481000000000002</v>
      </c>
      <c r="BN248" s="26">
        <v>26.036999999999999</v>
      </c>
      <c r="BO248" s="26">
        <v>25.341000000000001</v>
      </c>
      <c r="BP248" s="26">
        <v>64.611000000000004</v>
      </c>
      <c r="BQ248" s="26">
        <v>39.726999999999997</v>
      </c>
      <c r="BR248" s="26">
        <v>36.795000000000002</v>
      </c>
      <c r="BS248" s="26">
        <v>2.6787999999999998</v>
      </c>
      <c r="BT248" s="26">
        <v>35.984999999999999</v>
      </c>
      <c r="BU248" s="26">
        <v>2.4910000000000001</v>
      </c>
      <c r="BV248" s="26">
        <v>85.626000000000005</v>
      </c>
      <c r="BW248" s="26">
        <v>43.332000000000001</v>
      </c>
      <c r="BX248" s="26">
        <v>2.2519999999999998</v>
      </c>
      <c r="BY248" s="26">
        <v>54.801000000000002</v>
      </c>
      <c r="BZ248" s="71">
        <v>42.722000000000001</v>
      </c>
      <c r="CA248" s="26">
        <v>59.942999999999998</v>
      </c>
      <c r="CB248" s="26">
        <v>13.845000000000001</v>
      </c>
      <c r="CC248" s="26">
        <v>33.79</v>
      </c>
      <c r="CD248" s="26">
        <v>15.369</v>
      </c>
      <c r="CE248" s="26">
        <v>1.0325</v>
      </c>
      <c r="CF248" s="26">
        <v>61.502000000000002</v>
      </c>
      <c r="CG248" s="26">
        <v>78.938000000000002</v>
      </c>
      <c r="CH248" s="26">
        <v>62.491</v>
      </c>
      <c r="CI248" s="26">
        <v>32.871000000000002</v>
      </c>
      <c r="CJ248" s="26">
        <v>41.262999999999998</v>
      </c>
      <c r="CK248" s="26">
        <v>1.43</v>
      </c>
      <c r="CL248" s="26">
        <v>56.616</v>
      </c>
      <c r="CM248" s="26">
        <v>33.411000000000001</v>
      </c>
      <c r="CN248" s="26">
        <v>1.0348999999999999</v>
      </c>
      <c r="CO248" s="26">
        <v>3.2761999999999998</v>
      </c>
      <c r="CP248" s="26">
        <v>22.73</v>
      </c>
      <c r="CQ248" s="26">
        <v>71.802000000000007</v>
      </c>
      <c r="CR248" s="26">
        <v>45.655999999999999</v>
      </c>
      <c r="CS248" s="26">
        <v>43.320999999999998</v>
      </c>
      <c r="CT248" s="26">
        <v>1.0348999999999999</v>
      </c>
      <c r="CU248" s="26">
        <v>44.6</v>
      </c>
      <c r="CV248" s="26">
        <v>44.719000000000001</v>
      </c>
      <c r="CW248" s="26">
        <v>216.95</v>
      </c>
      <c r="CX248" s="26">
        <v>60.003999999999998</v>
      </c>
      <c r="CY248" s="61"/>
      <c r="CZ248" s="537"/>
      <c r="DA248" s="61"/>
    </row>
    <row r="249" spans="1:16384">
      <c r="A249" s="279">
        <v>45200</v>
      </c>
      <c r="B249" s="26">
        <v>9.9381000000000004</v>
      </c>
      <c r="C249" s="26">
        <v>63.454000000000001</v>
      </c>
      <c r="D249" s="26">
        <v>28.212</v>
      </c>
      <c r="E249" s="26">
        <v>44.823</v>
      </c>
      <c r="F249" s="26">
        <v>13.82</v>
      </c>
      <c r="G249" s="26">
        <v>41.176000000000002</v>
      </c>
      <c r="H249" s="26">
        <v>26.132999999999999</v>
      </c>
      <c r="I249" s="26">
        <v>64.021000000000001</v>
      </c>
      <c r="J249" s="26">
        <v>71.05</v>
      </c>
      <c r="K249" s="26">
        <v>46.173000000000002</v>
      </c>
      <c r="L249" s="26">
        <v>45.747999999999998</v>
      </c>
      <c r="M249" s="26">
        <v>35.779000000000003</v>
      </c>
      <c r="N249" s="26">
        <v>25.440999999999999</v>
      </c>
      <c r="O249" s="26">
        <v>62.588999999999999</v>
      </c>
      <c r="P249" s="26">
        <v>26.984000000000002</v>
      </c>
      <c r="Q249" s="26">
        <v>46.383000000000003</v>
      </c>
      <c r="R249" s="26">
        <v>18.695</v>
      </c>
      <c r="S249" s="26">
        <v>58.534999999999997</v>
      </c>
      <c r="T249" s="26">
        <v>44.713000000000001</v>
      </c>
      <c r="U249" s="26">
        <v>32.405000000000001</v>
      </c>
      <c r="V249" s="26">
        <v>1.0502</v>
      </c>
      <c r="W249" s="26">
        <v>9.5277999999999992</v>
      </c>
      <c r="X249" s="26">
        <v>1.0348999999999999</v>
      </c>
      <c r="Y249" s="26">
        <v>1.0348999999999999</v>
      </c>
      <c r="Z249" s="26">
        <v>42.401000000000003</v>
      </c>
      <c r="AA249" s="26">
        <v>33.39</v>
      </c>
      <c r="AB249" s="26">
        <v>43.469000000000001</v>
      </c>
      <c r="AC249" s="26">
        <v>79.262</v>
      </c>
      <c r="AD249" s="26">
        <v>33.457999999999998</v>
      </c>
      <c r="AE249" s="26">
        <v>5.8905000000000003</v>
      </c>
      <c r="AF249" s="26">
        <v>54.283999999999999</v>
      </c>
      <c r="AG249" s="26">
        <v>62.072000000000003</v>
      </c>
      <c r="AH249" s="26">
        <v>45.915999999999997</v>
      </c>
      <c r="AI249" s="26">
        <v>16.375</v>
      </c>
      <c r="AJ249" s="26">
        <v>62.156999999999996</v>
      </c>
      <c r="AK249" s="26">
        <v>36.222000000000001</v>
      </c>
      <c r="AL249" s="26">
        <v>40.869</v>
      </c>
      <c r="AM249" s="26">
        <v>6.2146999999999997</v>
      </c>
      <c r="AN249" s="26">
        <v>61.780999999999999</v>
      </c>
      <c r="AO249" s="26">
        <v>77.066000000000003</v>
      </c>
      <c r="AP249" s="26">
        <v>82.587999999999994</v>
      </c>
      <c r="AQ249" s="26">
        <v>51.323999999999998</v>
      </c>
      <c r="AR249" s="26">
        <v>46.563000000000002</v>
      </c>
      <c r="AS249" s="26">
        <v>42.473999999999997</v>
      </c>
      <c r="AT249" s="26">
        <v>47.960999999999999</v>
      </c>
      <c r="AU249" s="26">
        <v>63.292000000000002</v>
      </c>
      <c r="AV249" s="26">
        <v>1.0348999999999999</v>
      </c>
      <c r="AW249" s="26">
        <v>61.188000000000002</v>
      </c>
      <c r="AX249" s="26">
        <v>46.722999999999999</v>
      </c>
      <c r="AY249" s="26">
        <v>62.555999999999997</v>
      </c>
      <c r="AZ249" s="26">
        <v>71.05</v>
      </c>
      <c r="BA249" s="26">
        <v>19.489000000000001</v>
      </c>
      <c r="BB249" s="26">
        <v>45.070999999999998</v>
      </c>
      <c r="BC249" s="26">
        <v>29.016999999999999</v>
      </c>
      <c r="BD249" s="26">
        <v>48.22</v>
      </c>
      <c r="BE249" s="26">
        <v>50.796999999999997</v>
      </c>
      <c r="BF249" s="26">
        <v>41.814</v>
      </c>
      <c r="BG249" s="26">
        <v>80.296000000000006</v>
      </c>
      <c r="BH249" s="26">
        <v>15.805</v>
      </c>
      <c r="BI249" s="26">
        <v>1.3792</v>
      </c>
      <c r="BJ249" s="26">
        <v>71.861000000000004</v>
      </c>
      <c r="BK249" s="26">
        <v>28.678000000000001</v>
      </c>
      <c r="BL249" s="26">
        <v>16.768999999999998</v>
      </c>
      <c r="BM249" s="26">
        <v>60.631999999999998</v>
      </c>
      <c r="BN249" s="26">
        <v>42.997999999999998</v>
      </c>
      <c r="BO249" s="26">
        <v>43.384</v>
      </c>
      <c r="BP249" s="26">
        <v>60.975999999999999</v>
      </c>
      <c r="BQ249" s="26">
        <v>41.506999999999998</v>
      </c>
      <c r="BR249" s="26">
        <v>38.023000000000003</v>
      </c>
      <c r="BS249" s="26">
        <v>2.1644999999999999</v>
      </c>
      <c r="BT249" s="26">
        <v>53.113</v>
      </c>
      <c r="BU249" s="26">
        <v>5.8750999999999998</v>
      </c>
      <c r="BV249" s="26">
        <v>79.262</v>
      </c>
      <c r="BW249" s="26">
        <v>43.837000000000003</v>
      </c>
      <c r="BX249" s="26">
        <v>5.9745999999999997</v>
      </c>
      <c r="BY249" s="26">
        <v>50.579000000000001</v>
      </c>
      <c r="BZ249" s="71">
        <v>51.197000000000003</v>
      </c>
      <c r="CA249" s="26">
        <v>68.733000000000004</v>
      </c>
      <c r="CB249" s="26">
        <v>8.3498999999999999</v>
      </c>
      <c r="CC249" s="26">
        <v>25.95</v>
      </c>
      <c r="CD249" s="26">
        <v>23.170999999999999</v>
      </c>
      <c r="CE249" s="26">
        <v>1.0348999999999999</v>
      </c>
      <c r="CF249" s="26">
        <v>71.055999999999997</v>
      </c>
      <c r="CG249" s="26">
        <v>64.491</v>
      </c>
      <c r="CH249" s="26">
        <v>57.164000000000001</v>
      </c>
      <c r="CI249" s="26">
        <v>29.062000000000001</v>
      </c>
      <c r="CJ249" s="26">
        <v>35.878999999999998</v>
      </c>
      <c r="CK249" s="26">
        <v>1.0550999999999999</v>
      </c>
      <c r="CL249" s="26">
        <v>63.283999999999999</v>
      </c>
      <c r="CM249" s="26">
        <v>27.454000000000001</v>
      </c>
      <c r="CN249" s="26">
        <v>1.0348999999999999</v>
      </c>
      <c r="CO249" s="26">
        <v>5.0587999999999997</v>
      </c>
      <c r="CP249" s="26">
        <v>16.042000000000002</v>
      </c>
      <c r="CQ249" s="26">
        <v>64.302000000000007</v>
      </c>
      <c r="CR249" s="26">
        <v>44.03</v>
      </c>
      <c r="CS249" s="26">
        <v>29.856000000000002</v>
      </c>
      <c r="CT249" s="26">
        <v>1.0326</v>
      </c>
      <c r="CU249" s="26">
        <v>43.594999999999999</v>
      </c>
      <c r="CV249" s="26">
        <v>45.247</v>
      </c>
      <c r="CW249" s="26">
        <v>88.942999999999998</v>
      </c>
      <c r="CX249" s="26">
        <v>49.366999999999997</v>
      </c>
      <c r="CY249" s="61"/>
      <c r="CZ249" s="537"/>
      <c r="DA249" s="61"/>
    </row>
    <row r="250" spans="1:16384">
      <c r="A250" s="279">
        <v>45231</v>
      </c>
      <c r="B250" s="26">
        <v>21.027999999999999</v>
      </c>
      <c r="C250" s="26">
        <v>91.399000000000001</v>
      </c>
      <c r="D250" s="26">
        <v>7.9444999999999997</v>
      </c>
      <c r="E250" s="26">
        <v>52.396999999999998</v>
      </c>
      <c r="F250" s="26">
        <v>21.085999999999999</v>
      </c>
      <c r="G250" s="26">
        <v>32.658999999999999</v>
      </c>
      <c r="H250" s="26">
        <v>32.975000000000001</v>
      </c>
      <c r="I250" s="26">
        <v>68.897999999999996</v>
      </c>
      <c r="J250" s="26">
        <v>70.305000000000007</v>
      </c>
      <c r="K250" s="26">
        <v>61.613999999999997</v>
      </c>
      <c r="L250" s="26">
        <v>66.763000000000005</v>
      </c>
      <c r="M250" s="26">
        <v>40.151000000000003</v>
      </c>
      <c r="N250" s="26">
        <v>18.623000000000001</v>
      </c>
      <c r="O250" s="26">
        <v>70.338999999999999</v>
      </c>
      <c r="P250" s="26">
        <v>18.611999999999998</v>
      </c>
      <c r="Q250" s="26">
        <v>61.36</v>
      </c>
      <c r="R250" s="26">
        <v>16.878</v>
      </c>
      <c r="S250" s="26">
        <v>66.494</v>
      </c>
      <c r="T250" s="26">
        <v>43.46</v>
      </c>
      <c r="U250" s="26">
        <v>17.231000000000002</v>
      </c>
      <c r="V250" s="26">
        <v>4.0654000000000003</v>
      </c>
      <c r="W250" s="26">
        <v>19.946999999999999</v>
      </c>
      <c r="X250" s="26">
        <v>1.0348999999999999</v>
      </c>
      <c r="Y250" s="26">
        <v>1.3265</v>
      </c>
      <c r="Z250" s="26">
        <v>41.06</v>
      </c>
      <c r="AA250" s="26">
        <v>42.802999999999997</v>
      </c>
      <c r="AB250" s="26">
        <v>31.49</v>
      </c>
      <c r="AC250" s="26">
        <v>89.367000000000004</v>
      </c>
      <c r="AD250" s="26">
        <v>43.518999999999998</v>
      </c>
      <c r="AE250" s="26">
        <v>6.7760999999999996</v>
      </c>
      <c r="AF250" s="26">
        <v>63.591000000000001</v>
      </c>
      <c r="AG250" s="26">
        <v>78.649000000000001</v>
      </c>
      <c r="AH250" s="26">
        <v>57.433</v>
      </c>
      <c r="AI250" s="26">
        <v>7.5937999999999999</v>
      </c>
      <c r="AJ250" s="26">
        <v>77.391000000000005</v>
      </c>
      <c r="AK250" s="26">
        <v>52.853000000000002</v>
      </c>
      <c r="AL250" s="26">
        <v>42.811999999999998</v>
      </c>
      <c r="AM250" s="26">
        <v>6.0776000000000003</v>
      </c>
      <c r="AN250" s="26">
        <v>68.926000000000002</v>
      </c>
      <c r="AO250" s="26">
        <v>106.12</v>
      </c>
      <c r="AP250" s="26">
        <v>90.768000000000001</v>
      </c>
      <c r="AQ250" s="26">
        <v>67.863</v>
      </c>
      <c r="AR250" s="26">
        <v>56.676000000000002</v>
      </c>
      <c r="AS250" s="26">
        <v>42.378999999999998</v>
      </c>
      <c r="AT250" s="26">
        <v>57.753</v>
      </c>
      <c r="AU250" s="26">
        <v>69.311000000000007</v>
      </c>
      <c r="AV250" s="26">
        <v>1.0348999999999999</v>
      </c>
      <c r="AW250" s="26">
        <v>67.914000000000001</v>
      </c>
      <c r="AX250" s="26">
        <v>57.37</v>
      </c>
      <c r="AY250" s="26">
        <v>52.642000000000003</v>
      </c>
      <c r="AZ250" s="26">
        <v>83.691999999999993</v>
      </c>
      <c r="BA250" s="26">
        <v>31.565000000000001</v>
      </c>
      <c r="BB250" s="26">
        <v>58.720999999999997</v>
      </c>
      <c r="BC250" s="26">
        <v>42.709000000000003</v>
      </c>
      <c r="BD250" s="26">
        <v>59.716000000000001</v>
      </c>
      <c r="BE250" s="26">
        <v>68.772999999999996</v>
      </c>
      <c r="BF250" s="26">
        <v>62.048000000000002</v>
      </c>
      <c r="BG250" s="26">
        <v>86.234999999999999</v>
      </c>
      <c r="BH250" s="26">
        <v>31.257000000000001</v>
      </c>
      <c r="BI250" s="26">
        <v>12.057</v>
      </c>
      <c r="BJ250" s="26">
        <v>77.793999999999997</v>
      </c>
      <c r="BK250" s="26">
        <v>51.24</v>
      </c>
      <c r="BL250" s="26">
        <v>22.783000000000001</v>
      </c>
      <c r="BM250" s="26">
        <v>59.317999999999998</v>
      </c>
      <c r="BN250" s="26">
        <v>42.777999999999999</v>
      </c>
      <c r="BO250" s="26">
        <v>58.387</v>
      </c>
      <c r="BP250" s="26">
        <v>68.513000000000005</v>
      </c>
      <c r="BQ250" s="26">
        <v>46.106000000000002</v>
      </c>
      <c r="BR250" s="26">
        <v>42.673999999999999</v>
      </c>
      <c r="BS250" s="26">
        <v>1.0348999999999999</v>
      </c>
      <c r="BT250" s="26">
        <v>68.025000000000006</v>
      </c>
      <c r="BU250" s="26">
        <v>4.4238</v>
      </c>
      <c r="BV250" s="26">
        <v>87.283000000000001</v>
      </c>
      <c r="BW250" s="26">
        <v>41.789000000000001</v>
      </c>
      <c r="BX250" s="26">
        <v>19.760999999999999</v>
      </c>
      <c r="BY250" s="26">
        <v>52.487000000000002</v>
      </c>
      <c r="BZ250" s="71">
        <v>20.943999999999999</v>
      </c>
      <c r="CA250" s="26">
        <v>54.58</v>
      </c>
      <c r="CB250" s="26">
        <v>12.539</v>
      </c>
      <c r="CC250" s="26">
        <v>32.225000000000001</v>
      </c>
      <c r="CD250" s="26">
        <v>43.716999999999999</v>
      </c>
      <c r="CE250" s="26">
        <v>5.5311000000000003</v>
      </c>
      <c r="CF250" s="26">
        <v>65.790000000000006</v>
      </c>
      <c r="CG250" s="26">
        <v>89.370999999999995</v>
      </c>
      <c r="CH250" s="26">
        <v>57.231999999999999</v>
      </c>
      <c r="CI250" s="26">
        <v>21.013000000000002</v>
      </c>
      <c r="CJ250" s="26">
        <v>42.820999999999998</v>
      </c>
      <c r="CK250" s="26">
        <v>1.8036000000000001</v>
      </c>
      <c r="CL250" s="26">
        <v>56.616</v>
      </c>
      <c r="CM250" s="26">
        <v>52.430999999999997</v>
      </c>
      <c r="CN250" s="26">
        <v>4.0510999999999999</v>
      </c>
      <c r="CO250" s="26">
        <v>7.6757999999999997</v>
      </c>
      <c r="CP250" s="26">
        <v>22.588000000000001</v>
      </c>
      <c r="CQ250" s="26">
        <v>69.92</v>
      </c>
      <c r="CR250" s="26">
        <v>66.688000000000002</v>
      </c>
      <c r="CS250" s="26">
        <v>14.041</v>
      </c>
      <c r="CT250" s="26">
        <v>1.0348999999999999</v>
      </c>
      <c r="CU250" s="26">
        <v>42.819000000000003</v>
      </c>
      <c r="CV250" s="26">
        <v>43.491</v>
      </c>
      <c r="CW250" s="26">
        <v>107.38</v>
      </c>
      <c r="CX250" s="26">
        <v>52.601999999999997</v>
      </c>
      <c r="CY250" s="61"/>
      <c r="CZ250" s="537"/>
      <c r="DA250" s="61"/>
    </row>
    <row r="251" spans="1:16384">
      <c r="A251" s="279">
        <v>45261</v>
      </c>
      <c r="B251" s="26">
        <v>20.992999999999999</v>
      </c>
      <c r="C251" s="26">
        <v>116.66</v>
      </c>
      <c r="D251" s="26">
        <v>3.2136999999999998</v>
      </c>
      <c r="E251" s="26">
        <v>57.86</v>
      </c>
      <c r="F251" s="26">
        <v>35.023000000000003</v>
      </c>
      <c r="G251" s="26">
        <v>2.8252000000000002</v>
      </c>
      <c r="H251" s="26">
        <v>14.643000000000001</v>
      </c>
      <c r="I251" s="26">
        <v>79.649000000000001</v>
      </c>
      <c r="J251" s="26">
        <v>63.89</v>
      </c>
      <c r="K251" s="26">
        <v>60.764000000000003</v>
      </c>
      <c r="L251" s="26">
        <v>62.445</v>
      </c>
      <c r="M251" s="26">
        <v>42.668999999999997</v>
      </c>
      <c r="N251" s="26">
        <v>20.58</v>
      </c>
      <c r="O251" s="26">
        <v>79.649000000000001</v>
      </c>
      <c r="P251" s="26">
        <v>45.929000000000002</v>
      </c>
      <c r="Q251" s="26">
        <v>73.983999999999995</v>
      </c>
      <c r="R251" s="26">
        <v>19.183</v>
      </c>
      <c r="S251" s="26">
        <v>74.203999999999994</v>
      </c>
      <c r="T251" s="26">
        <v>57.423999999999999</v>
      </c>
      <c r="U251" s="26">
        <v>47.805999999999997</v>
      </c>
      <c r="V251" s="26">
        <v>1.0348999999999999</v>
      </c>
      <c r="W251" s="26">
        <v>12.305999999999999</v>
      </c>
      <c r="X251" s="26">
        <v>6.6322000000000001</v>
      </c>
      <c r="Y251" s="26">
        <v>1.0348999999999999</v>
      </c>
      <c r="Z251" s="26">
        <v>36.566000000000003</v>
      </c>
      <c r="AA251" s="26">
        <v>55.567999999999998</v>
      </c>
      <c r="AB251" s="26">
        <v>36.156999999999996</v>
      </c>
      <c r="AC251" s="26">
        <v>84.801000000000002</v>
      </c>
      <c r="AD251" s="26">
        <v>73.947000000000003</v>
      </c>
      <c r="AE251" s="26">
        <v>2.8690000000000002</v>
      </c>
      <c r="AF251" s="26">
        <v>71.554000000000002</v>
      </c>
      <c r="AG251" s="26">
        <v>73.191999999999993</v>
      </c>
      <c r="AH251" s="26">
        <v>71.5</v>
      </c>
      <c r="AI251" s="26">
        <v>2.8496999999999999</v>
      </c>
      <c r="AJ251" s="26">
        <v>119.17</v>
      </c>
      <c r="AK251" s="26">
        <v>42.685000000000002</v>
      </c>
      <c r="AL251" s="26">
        <v>56.088000000000001</v>
      </c>
      <c r="AM251" s="26">
        <v>5.5945</v>
      </c>
      <c r="AN251" s="26">
        <v>72.784000000000006</v>
      </c>
      <c r="AO251" s="26">
        <v>224.17</v>
      </c>
      <c r="AP251" s="26">
        <v>156.03</v>
      </c>
      <c r="AQ251" s="26">
        <v>76.305999999999997</v>
      </c>
      <c r="AR251" s="26">
        <v>79.594999999999999</v>
      </c>
      <c r="AS251" s="26">
        <v>33.353000000000002</v>
      </c>
      <c r="AT251" s="26">
        <v>42.777000000000001</v>
      </c>
      <c r="AU251" s="26">
        <v>55.475000000000001</v>
      </c>
      <c r="AV251" s="26">
        <v>1.0348999999999999</v>
      </c>
      <c r="AW251" s="26">
        <v>59.917000000000002</v>
      </c>
      <c r="AX251" s="26">
        <v>62.396999999999998</v>
      </c>
      <c r="AY251" s="26">
        <v>49.691000000000003</v>
      </c>
      <c r="AZ251" s="26">
        <v>76.843000000000004</v>
      </c>
      <c r="BA251" s="26">
        <v>33.954999999999998</v>
      </c>
      <c r="BB251" s="26">
        <v>30.314</v>
      </c>
      <c r="BC251" s="26">
        <v>58.951000000000001</v>
      </c>
      <c r="BD251" s="26">
        <v>72.739999999999995</v>
      </c>
      <c r="BE251" s="26">
        <v>59.761000000000003</v>
      </c>
      <c r="BF251" s="26">
        <v>73.384</v>
      </c>
      <c r="BG251" s="26">
        <v>113.32</v>
      </c>
      <c r="BH251" s="26">
        <v>19.102</v>
      </c>
      <c r="BI251" s="26">
        <v>9.2039000000000009</v>
      </c>
      <c r="BJ251" s="26">
        <v>104.11</v>
      </c>
      <c r="BK251" s="26">
        <v>55.893999999999998</v>
      </c>
      <c r="BL251" s="26">
        <v>13.516999999999999</v>
      </c>
      <c r="BM251" s="26">
        <v>55.478000000000002</v>
      </c>
      <c r="BN251" s="26">
        <v>32.834000000000003</v>
      </c>
      <c r="BO251" s="26">
        <v>58.219000000000001</v>
      </c>
      <c r="BP251" s="26">
        <v>80.363</v>
      </c>
      <c r="BQ251" s="26">
        <v>31.231999999999999</v>
      </c>
      <c r="BR251" s="26">
        <v>42.685000000000002</v>
      </c>
      <c r="BS251" s="26">
        <v>2.6234000000000002</v>
      </c>
      <c r="BT251" s="26">
        <v>76.882000000000005</v>
      </c>
      <c r="BU251" s="26">
        <v>2.8033999999999999</v>
      </c>
      <c r="BV251" s="26">
        <v>84.784999999999997</v>
      </c>
      <c r="BW251" s="26">
        <v>58.683999999999997</v>
      </c>
      <c r="BX251" s="26">
        <v>22.260999999999999</v>
      </c>
      <c r="BY251" s="26">
        <v>61.453000000000003</v>
      </c>
      <c r="BZ251" s="71">
        <v>43.472999999999999</v>
      </c>
      <c r="CA251" s="26">
        <v>48.375999999999998</v>
      </c>
      <c r="CB251" s="26">
        <v>21.984999999999999</v>
      </c>
      <c r="CC251" s="26">
        <v>43.429000000000002</v>
      </c>
      <c r="CD251" s="26">
        <v>63.286000000000001</v>
      </c>
      <c r="CE251" s="26">
        <v>6.6322000000000001</v>
      </c>
      <c r="CF251" s="26">
        <v>72.775999999999996</v>
      </c>
      <c r="CG251" s="26">
        <v>84.784999999999997</v>
      </c>
      <c r="CH251" s="26">
        <v>71.5</v>
      </c>
      <c r="CI251" s="26">
        <v>30.928999999999998</v>
      </c>
      <c r="CJ251" s="26">
        <v>59.628999999999998</v>
      </c>
      <c r="CK251" s="26">
        <v>1.3928</v>
      </c>
      <c r="CL251" s="26">
        <v>79.569999999999993</v>
      </c>
      <c r="CM251" s="26">
        <v>45.307000000000002</v>
      </c>
      <c r="CN251" s="26">
        <v>5.6440999999999999</v>
      </c>
      <c r="CO251" s="26">
        <v>8.1309000000000005</v>
      </c>
      <c r="CP251" s="26">
        <v>46.036000000000001</v>
      </c>
      <c r="CQ251" s="26">
        <v>75.962000000000003</v>
      </c>
      <c r="CR251" s="26">
        <v>77.394000000000005</v>
      </c>
      <c r="CS251" s="26">
        <v>22.805</v>
      </c>
      <c r="CT251" s="26">
        <v>5.6102999999999996</v>
      </c>
      <c r="CU251" s="26">
        <v>55.106999999999999</v>
      </c>
      <c r="CV251" s="26">
        <v>53.929000000000002</v>
      </c>
      <c r="CW251" s="26">
        <v>77.634</v>
      </c>
      <c r="CX251" s="26">
        <v>56.201999999999998</v>
      </c>
      <c r="CY251" s="61"/>
      <c r="CZ251" s="537"/>
      <c r="DA251" s="61"/>
    </row>
    <row r="252" spans="1:16384" s="540" customFormat="1">
      <c r="A252" s="538" t="s">
        <v>126</v>
      </c>
      <c r="B252" s="539">
        <f t="shared" ref="B252:AG252" si="34">AVERAGE(B240:B251)</f>
        <v>15.671008333333331</v>
      </c>
      <c r="C252" s="539">
        <f t="shared" si="34"/>
        <v>64.671000000000006</v>
      </c>
      <c r="D252" s="539">
        <f t="shared" si="34"/>
        <v>39.232266666666668</v>
      </c>
      <c r="E252" s="539">
        <f t="shared" si="34"/>
        <v>64.162333333333336</v>
      </c>
      <c r="F252" s="539">
        <f t="shared" si="34"/>
        <v>22.066400000000002</v>
      </c>
      <c r="G252" s="539">
        <f t="shared" si="34"/>
        <v>34.50268333333333</v>
      </c>
      <c r="H252" s="539">
        <f t="shared" si="34"/>
        <v>28.451583333333332</v>
      </c>
      <c r="I252" s="539">
        <f t="shared" si="34"/>
        <v>61.04</v>
      </c>
      <c r="J252" s="539">
        <f t="shared" si="34"/>
        <v>70.581499999999991</v>
      </c>
      <c r="K252" s="539">
        <f t="shared" si="34"/>
        <v>43.9315</v>
      </c>
      <c r="L252" s="539">
        <f t="shared" si="34"/>
        <v>52.693000000000005</v>
      </c>
      <c r="M252" s="539">
        <f t="shared" si="34"/>
        <v>42.986416666666678</v>
      </c>
      <c r="N252" s="539">
        <f t="shared" si="34"/>
        <v>28.297391666666666</v>
      </c>
      <c r="O252" s="539">
        <f t="shared" si="34"/>
        <v>58.599666666666671</v>
      </c>
      <c r="P252" s="539">
        <f t="shared" si="34"/>
        <v>26.628166666666669</v>
      </c>
      <c r="Q252" s="539">
        <f t="shared" si="34"/>
        <v>34.104025</v>
      </c>
      <c r="R252" s="539">
        <f t="shared" si="34"/>
        <v>13.725091666666666</v>
      </c>
      <c r="S252" s="539">
        <f t="shared" si="34"/>
        <v>55.99666666666667</v>
      </c>
      <c r="T252" s="539">
        <f t="shared" si="34"/>
        <v>40.257249999999999</v>
      </c>
      <c r="U252" s="539">
        <f t="shared" si="34"/>
        <v>53.718499999999999</v>
      </c>
      <c r="V252" s="539">
        <f t="shared" si="34"/>
        <v>8.8103750000000005</v>
      </c>
      <c r="W252" s="539">
        <f t="shared" si="34"/>
        <v>15.890158333333334</v>
      </c>
      <c r="X252" s="539">
        <f t="shared" si="34"/>
        <v>2.6775391666666661</v>
      </c>
      <c r="Y252" s="539">
        <f t="shared" si="34"/>
        <v>22.042616666666664</v>
      </c>
      <c r="Z252" s="539">
        <f t="shared" si="34"/>
        <v>24.51155833333333</v>
      </c>
      <c r="AA252" s="539">
        <f t="shared" si="34"/>
        <v>28.700249999999997</v>
      </c>
      <c r="AB252" s="539">
        <f t="shared" si="34"/>
        <v>42.379999999999995</v>
      </c>
      <c r="AC252" s="539">
        <f t="shared" si="34"/>
        <v>66.84075</v>
      </c>
      <c r="AD252" s="539">
        <f t="shared" si="34"/>
        <v>22.928208333333334</v>
      </c>
      <c r="AE252" s="539">
        <f t="shared" si="34"/>
        <v>11.875041666666663</v>
      </c>
      <c r="AF252" s="539">
        <f t="shared" si="34"/>
        <v>57.353416666666668</v>
      </c>
      <c r="AG252" s="539">
        <f t="shared" si="34"/>
        <v>61.169583333333328</v>
      </c>
      <c r="AH252" s="539">
        <f t="shared" ref="AH252:BM252" si="35">AVERAGE(AH240:AH251)</f>
        <v>51.326166666666666</v>
      </c>
      <c r="AI252" s="539">
        <f t="shared" si="35"/>
        <v>27.931541666666661</v>
      </c>
      <c r="AJ252" s="539">
        <f t="shared" si="35"/>
        <v>59.575749999999999</v>
      </c>
      <c r="AK252" s="539">
        <f t="shared" si="35"/>
        <v>34.466533333333338</v>
      </c>
      <c r="AL252" s="539">
        <f t="shared" si="35"/>
        <v>37.356249999999996</v>
      </c>
      <c r="AM252" s="539">
        <f t="shared" si="35"/>
        <v>24.398366666666664</v>
      </c>
      <c r="AN252" s="539">
        <f t="shared" si="35"/>
        <v>52.215499999999999</v>
      </c>
      <c r="AO252" s="539">
        <f t="shared" si="35"/>
        <v>81.655250000000009</v>
      </c>
      <c r="AP252" s="539">
        <f t="shared" si="35"/>
        <v>66.214666666666673</v>
      </c>
      <c r="AQ252" s="539">
        <f t="shared" si="35"/>
        <v>47.80308333333334</v>
      </c>
      <c r="AR252" s="539">
        <f t="shared" si="35"/>
        <v>26.12425</v>
      </c>
      <c r="AS252" s="539">
        <f t="shared" si="35"/>
        <v>45.528083333333321</v>
      </c>
      <c r="AT252" s="539">
        <f t="shared" si="35"/>
        <v>50.733583333333343</v>
      </c>
      <c r="AU252" s="539">
        <f t="shared" si="35"/>
        <v>48.048499999999997</v>
      </c>
      <c r="AV252" s="539">
        <f t="shared" si="35"/>
        <v>18.949666666666666</v>
      </c>
      <c r="AW252" s="539">
        <f t="shared" si="35"/>
        <v>55.723166666666664</v>
      </c>
      <c r="AX252" s="539">
        <f t="shared" si="35"/>
        <v>39.715833333333329</v>
      </c>
      <c r="AY252" s="539">
        <f t="shared" si="35"/>
        <v>56.514083333333339</v>
      </c>
      <c r="AZ252" s="539">
        <f t="shared" si="35"/>
        <v>63.881583333333317</v>
      </c>
      <c r="BA252" s="539">
        <f t="shared" si="35"/>
        <v>36.003416666666659</v>
      </c>
      <c r="BB252" s="539">
        <f t="shared" si="35"/>
        <v>55.438333333333333</v>
      </c>
      <c r="BC252" s="539">
        <f t="shared" si="35"/>
        <v>31.021583333333339</v>
      </c>
      <c r="BD252" s="539">
        <f t="shared" si="35"/>
        <v>40.573749999999997</v>
      </c>
      <c r="BE252" s="539">
        <f t="shared" si="35"/>
        <v>51.41899999999999</v>
      </c>
      <c r="BF252" s="539">
        <f t="shared" si="35"/>
        <v>63.990583333333326</v>
      </c>
      <c r="BG252" s="539">
        <f t="shared" si="35"/>
        <v>72.650083333333328</v>
      </c>
      <c r="BH252" s="539">
        <f t="shared" si="35"/>
        <v>31.039583333333336</v>
      </c>
      <c r="BI252" s="539">
        <f t="shared" si="35"/>
        <v>11.985049999999999</v>
      </c>
      <c r="BJ252" s="539">
        <f t="shared" si="35"/>
        <v>58.017666666666663</v>
      </c>
      <c r="BK252" s="539">
        <f t="shared" si="35"/>
        <v>68.135583333333344</v>
      </c>
      <c r="BL252" s="539">
        <f t="shared" si="35"/>
        <v>11.597183333333334</v>
      </c>
      <c r="BM252" s="539">
        <f t="shared" si="35"/>
        <v>37.044000000000004</v>
      </c>
      <c r="BN252" s="539">
        <f t="shared" ref="BN252:CS252" si="36">AVERAGE(BN240:BN251)</f>
        <v>38.500999999999998</v>
      </c>
      <c r="BO252" s="539">
        <f t="shared" si="36"/>
        <v>22.908258333333333</v>
      </c>
      <c r="BP252" s="539">
        <f t="shared" si="36"/>
        <v>57.78991666666667</v>
      </c>
      <c r="BQ252" s="539">
        <f t="shared" si="36"/>
        <v>39.732333333333337</v>
      </c>
      <c r="BR252" s="539">
        <f t="shared" si="36"/>
        <v>50.264999999999986</v>
      </c>
      <c r="BS252" s="539">
        <f t="shared" si="36"/>
        <v>13.963141666666671</v>
      </c>
      <c r="BT252" s="539">
        <f t="shared" si="36"/>
        <v>54.774416666666674</v>
      </c>
      <c r="BU252" s="539">
        <f t="shared" si="36"/>
        <v>11.052016666666669</v>
      </c>
      <c r="BV252" s="539">
        <f t="shared" si="36"/>
        <v>74.976833333333332</v>
      </c>
      <c r="BW252" s="539">
        <f t="shared" si="36"/>
        <v>29.370833333333337</v>
      </c>
      <c r="BX252" s="539">
        <f t="shared" si="36"/>
        <v>9.3569249999999986</v>
      </c>
      <c r="BY252" s="539">
        <f t="shared" si="36"/>
        <v>51.783749999999998</v>
      </c>
      <c r="BZ252" s="539">
        <f t="shared" si="36"/>
        <v>51.653333333333329</v>
      </c>
      <c r="CA252" s="539">
        <f t="shared" si="36"/>
        <v>49.264249999999997</v>
      </c>
      <c r="CB252" s="539">
        <f t="shared" si="36"/>
        <v>30.862449999999999</v>
      </c>
      <c r="CC252" s="539">
        <f t="shared" si="36"/>
        <v>37.968833333333343</v>
      </c>
      <c r="CD252" s="539">
        <f t="shared" si="36"/>
        <v>27.479916666666668</v>
      </c>
      <c r="CE252" s="539">
        <f t="shared" si="36"/>
        <v>4.0771583333333332</v>
      </c>
      <c r="CF252" s="539">
        <f t="shared" si="36"/>
        <v>59.965833333333329</v>
      </c>
      <c r="CG252" s="539">
        <f t="shared" si="36"/>
        <v>49.910999999999994</v>
      </c>
      <c r="CH252" s="539">
        <f t="shared" si="36"/>
        <v>44.758749999999999</v>
      </c>
      <c r="CI252" s="539">
        <f t="shared" si="36"/>
        <v>24.41695</v>
      </c>
      <c r="CJ252" s="539">
        <f t="shared" si="36"/>
        <v>59.317250000000008</v>
      </c>
      <c r="CK252" s="539">
        <f t="shared" si="36"/>
        <v>10.967126666666667</v>
      </c>
      <c r="CL252" s="539">
        <f t="shared" si="36"/>
        <v>48.155583333333333</v>
      </c>
      <c r="CM252" s="539">
        <f t="shared" si="36"/>
        <v>40.134666666666668</v>
      </c>
      <c r="CN252" s="539">
        <f t="shared" si="36"/>
        <v>1.6641975000000002</v>
      </c>
      <c r="CO252" s="539">
        <f t="shared" si="36"/>
        <v>8.4055583333333335</v>
      </c>
      <c r="CP252" s="539">
        <f t="shared" si="36"/>
        <v>35.748416666666664</v>
      </c>
      <c r="CQ252" s="539">
        <f t="shared" si="36"/>
        <v>57.706833333333329</v>
      </c>
      <c r="CR252" s="539">
        <f t="shared" si="36"/>
        <v>49.387</v>
      </c>
      <c r="CS252" s="539">
        <f t="shared" si="36"/>
        <v>43.178416666666671</v>
      </c>
      <c r="CT252" s="539">
        <f>AVERAGE(CT240:CT251)</f>
        <v>6.6701499999999987</v>
      </c>
      <c r="CU252" s="539">
        <f>AVERAGE(CU240:CU251)</f>
        <v>44.94883333333334</v>
      </c>
      <c r="CV252" s="539">
        <f>AVERAGE(CV240:CV251)</f>
        <v>53.563249999999989</v>
      </c>
      <c r="CW252" s="539">
        <f>AVERAGE(CW240:CW251)</f>
        <v>86.099166666666648</v>
      </c>
      <c r="CX252" s="539">
        <f>AVERAGE(CX240:CX251)</f>
        <v>51.032916666666672</v>
      </c>
      <c r="CY252" s="61"/>
      <c r="CZ252" s="537"/>
      <c r="DA252" s="537"/>
      <c r="DB252" s="537"/>
      <c r="DC252" s="537"/>
      <c r="DD252" s="537"/>
      <c r="DE252" s="537"/>
      <c r="DF252" s="537"/>
      <c r="DG252" s="537"/>
      <c r="DH252" s="537"/>
      <c r="DI252" s="537"/>
      <c r="DJ252" s="537"/>
      <c r="DK252" s="537"/>
      <c r="DL252" s="537"/>
      <c r="DM252" s="537"/>
      <c r="DN252" s="537"/>
      <c r="DO252" s="537"/>
      <c r="DP252" s="537"/>
      <c r="DQ252" s="537"/>
      <c r="DR252" s="537"/>
      <c r="DS252" s="537"/>
      <c r="DT252" s="537"/>
      <c r="DU252" s="537"/>
      <c r="DV252" s="537"/>
      <c r="DW252" s="537"/>
      <c r="DX252" s="537"/>
      <c r="DY252" s="537"/>
      <c r="DZ252" s="537"/>
      <c r="EA252" s="537"/>
      <c r="EB252" s="537"/>
      <c r="EC252" s="537"/>
      <c r="ED252" s="537"/>
      <c r="EE252" s="537"/>
      <c r="EF252" s="537"/>
      <c r="EG252" s="537"/>
      <c r="EH252" s="537"/>
      <c r="EI252" s="537"/>
      <c r="EJ252" s="537"/>
      <c r="EK252" s="537"/>
      <c r="EL252" s="537"/>
      <c r="EM252" s="537"/>
      <c r="EN252" s="537"/>
      <c r="EO252" s="537"/>
      <c r="EP252" s="537"/>
      <c r="EQ252" s="537"/>
      <c r="ER252" s="537"/>
      <c r="ES252" s="537"/>
      <c r="ET252" s="537"/>
      <c r="EU252" s="537"/>
      <c r="EV252" s="537"/>
      <c r="EW252" s="537"/>
      <c r="EX252" s="537"/>
      <c r="EY252" s="537"/>
      <c r="EZ252" s="537"/>
      <c r="FA252" s="537"/>
      <c r="FB252" s="537"/>
      <c r="FC252" s="537"/>
      <c r="FD252" s="537"/>
      <c r="FE252" s="537"/>
      <c r="FF252" s="537"/>
      <c r="FG252" s="537"/>
      <c r="FH252" s="537"/>
      <c r="FI252" s="537"/>
      <c r="FJ252" s="537"/>
      <c r="FK252" s="537"/>
      <c r="FL252" s="537"/>
      <c r="FM252" s="537"/>
      <c r="FN252" s="537"/>
      <c r="FO252" s="537"/>
      <c r="FP252" s="537"/>
      <c r="FQ252" s="537"/>
      <c r="FR252" s="537"/>
      <c r="FS252" s="537"/>
      <c r="FT252" s="537"/>
      <c r="FU252" s="537"/>
      <c r="FV252" s="537"/>
      <c r="FW252" s="537"/>
      <c r="FX252" s="537"/>
      <c r="FY252" s="537"/>
      <c r="FZ252" s="537"/>
      <c r="GA252" s="537"/>
      <c r="GB252" s="537"/>
      <c r="GC252" s="537"/>
      <c r="GD252" s="537"/>
      <c r="GE252" s="537"/>
      <c r="GF252" s="537"/>
      <c r="GG252" s="537"/>
      <c r="GH252" s="537"/>
      <c r="GI252" s="537"/>
      <c r="GJ252" s="537"/>
      <c r="GK252" s="537"/>
      <c r="GL252" s="537"/>
      <c r="GM252" s="537"/>
      <c r="GN252" s="537"/>
      <c r="GO252" s="537"/>
      <c r="GP252" s="537"/>
      <c r="GQ252" s="537"/>
      <c r="GR252" s="537"/>
      <c r="GS252" s="537"/>
      <c r="GT252" s="537"/>
      <c r="GU252" s="537"/>
      <c r="GV252" s="537"/>
      <c r="GW252" s="537"/>
      <c r="GX252" s="537"/>
      <c r="GY252" s="537"/>
      <c r="GZ252" s="537"/>
      <c r="HA252" s="537"/>
      <c r="HB252" s="537"/>
      <c r="HC252" s="537"/>
      <c r="HD252" s="537"/>
      <c r="HE252" s="537"/>
      <c r="HF252" s="537"/>
      <c r="HG252" s="537"/>
      <c r="HH252" s="537"/>
      <c r="HI252" s="537"/>
      <c r="HJ252" s="537"/>
      <c r="HK252" s="537"/>
      <c r="HL252" s="537"/>
      <c r="HM252" s="537"/>
      <c r="HN252" s="537"/>
      <c r="HO252" s="537"/>
      <c r="HP252" s="537"/>
      <c r="HQ252" s="537"/>
      <c r="HR252" s="537"/>
      <c r="HS252" s="537"/>
      <c r="HT252" s="537"/>
      <c r="HU252" s="537"/>
      <c r="HV252" s="537"/>
      <c r="HW252" s="537"/>
      <c r="HX252" s="537"/>
      <c r="HY252" s="537"/>
      <c r="HZ252" s="537"/>
      <c r="IA252" s="537"/>
      <c r="IB252" s="537"/>
      <c r="IC252" s="537"/>
      <c r="ID252" s="537"/>
      <c r="IE252" s="537"/>
      <c r="IF252" s="537"/>
      <c r="IG252" s="537"/>
      <c r="IH252" s="537"/>
      <c r="II252" s="537"/>
      <c r="IJ252" s="537"/>
      <c r="IK252" s="537"/>
      <c r="IL252" s="537"/>
      <c r="IM252" s="537"/>
      <c r="IN252" s="537"/>
      <c r="IO252" s="537"/>
      <c r="IP252" s="537"/>
      <c r="IQ252" s="537"/>
      <c r="IR252" s="537"/>
      <c r="IS252" s="537"/>
      <c r="IT252" s="537"/>
      <c r="IU252" s="537"/>
      <c r="IV252" s="537"/>
      <c r="IW252" s="537"/>
      <c r="IX252" s="537"/>
      <c r="IY252" s="537"/>
      <c r="IZ252" s="537"/>
      <c r="JA252" s="537"/>
      <c r="JB252" s="537"/>
      <c r="JC252" s="537"/>
      <c r="JD252" s="537"/>
      <c r="JE252" s="537"/>
      <c r="JF252" s="537"/>
      <c r="JG252" s="537"/>
      <c r="JH252" s="537"/>
      <c r="JI252" s="537"/>
      <c r="JJ252" s="537"/>
      <c r="JK252" s="537"/>
      <c r="JL252" s="537"/>
      <c r="JM252" s="537"/>
      <c r="JN252" s="537"/>
      <c r="JO252" s="537"/>
      <c r="JP252" s="537"/>
      <c r="JQ252" s="537"/>
      <c r="JR252" s="537"/>
      <c r="JS252" s="537"/>
      <c r="JT252" s="537"/>
      <c r="JU252" s="537"/>
      <c r="JV252" s="537"/>
      <c r="JW252" s="537"/>
      <c r="JX252" s="537"/>
      <c r="JY252" s="537"/>
      <c r="JZ252" s="537"/>
      <c r="KA252" s="537"/>
      <c r="KB252" s="537"/>
      <c r="KC252" s="537"/>
      <c r="KD252" s="537"/>
      <c r="KE252" s="537"/>
      <c r="KF252" s="537"/>
      <c r="KG252" s="537"/>
      <c r="KH252" s="537"/>
      <c r="KI252" s="537"/>
      <c r="KJ252" s="537"/>
      <c r="KK252" s="537"/>
      <c r="KL252" s="537"/>
      <c r="KM252" s="537"/>
      <c r="KN252" s="537"/>
      <c r="KO252" s="537"/>
      <c r="KP252" s="537"/>
      <c r="KQ252" s="537"/>
      <c r="KR252" s="537"/>
      <c r="KS252" s="537"/>
      <c r="KT252" s="537"/>
      <c r="KU252" s="537"/>
      <c r="KV252" s="537"/>
      <c r="KW252" s="537"/>
      <c r="KX252" s="537"/>
      <c r="KY252" s="537"/>
      <c r="KZ252" s="537"/>
      <c r="LA252" s="537"/>
      <c r="LB252" s="537"/>
      <c r="LC252" s="537"/>
      <c r="LD252" s="537"/>
      <c r="LE252" s="537"/>
      <c r="LF252" s="537"/>
      <c r="LG252" s="537"/>
      <c r="LH252" s="537"/>
      <c r="LI252" s="537"/>
      <c r="LJ252" s="537"/>
      <c r="LK252" s="537"/>
      <c r="LL252" s="537"/>
      <c r="LM252" s="537"/>
      <c r="LN252" s="537"/>
      <c r="LO252" s="537"/>
      <c r="LP252" s="537"/>
      <c r="LQ252" s="537"/>
      <c r="LR252" s="537"/>
      <c r="LS252" s="537"/>
      <c r="LT252" s="537"/>
      <c r="LU252" s="537"/>
      <c r="LV252" s="537"/>
      <c r="LW252" s="537"/>
      <c r="LX252" s="537"/>
      <c r="LY252" s="537"/>
      <c r="LZ252" s="537"/>
      <c r="MA252" s="537"/>
      <c r="MB252" s="537"/>
      <c r="MC252" s="537"/>
      <c r="MD252" s="537"/>
      <c r="ME252" s="537"/>
      <c r="MF252" s="537"/>
      <c r="MG252" s="537"/>
      <c r="MH252" s="537"/>
      <c r="MI252" s="537"/>
      <c r="MJ252" s="537"/>
      <c r="MK252" s="537"/>
      <c r="ML252" s="537"/>
      <c r="MM252" s="537"/>
      <c r="MN252" s="537"/>
      <c r="MO252" s="537"/>
      <c r="MP252" s="537"/>
      <c r="MQ252" s="537"/>
      <c r="MR252" s="537"/>
      <c r="MS252" s="537"/>
      <c r="MT252" s="537"/>
      <c r="MU252" s="537"/>
      <c r="MV252" s="537"/>
      <c r="MW252" s="537"/>
      <c r="MX252" s="537"/>
      <c r="MY252" s="537"/>
      <c r="MZ252" s="537"/>
      <c r="NA252" s="537"/>
      <c r="NB252" s="537"/>
      <c r="NC252" s="537"/>
      <c r="ND252" s="537"/>
      <c r="NE252" s="537"/>
      <c r="NF252" s="537"/>
      <c r="NG252" s="537"/>
      <c r="NH252" s="537"/>
      <c r="NI252" s="537"/>
      <c r="NJ252" s="537"/>
      <c r="NK252" s="537"/>
      <c r="NL252" s="537"/>
      <c r="NM252" s="537"/>
      <c r="NN252" s="537"/>
      <c r="NO252" s="537"/>
      <c r="NP252" s="537"/>
      <c r="NQ252" s="537"/>
      <c r="NR252" s="537"/>
      <c r="NS252" s="537"/>
      <c r="NT252" s="537"/>
      <c r="NU252" s="537"/>
      <c r="NV252" s="537"/>
      <c r="NW252" s="537"/>
      <c r="NX252" s="537"/>
      <c r="NY252" s="537"/>
      <c r="NZ252" s="537"/>
      <c r="OA252" s="537"/>
      <c r="OB252" s="537"/>
      <c r="OC252" s="537"/>
      <c r="OD252" s="537"/>
      <c r="OE252" s="537"/>
      <c r="OF252" s="537"/>
      <c r="OG252" s="537"/>
      <c r="OH252" s="537"/>
      <c r="OI252" s="537"/>
      <c r="OJ252" s="537"/>
      <c r="OK252" s="537"/>
      <c r="OL252" s="537"/>
      <c r="OM252" s="537"/>
      <c r="ON252" s="537"/>
      <c r="OO252" s="537"/>
      <c r="OP252" s="537"/>
      <c r="OQ252" s="537"/>
      <c r="OR252" s="537"/>
      <c r="OS252" s="537"/>
      <c r="OT252" s="537"/>
      <c r="OU252" s="537"/>
      <c r="OV252" s="537"/>
      <c r="OW252" s="537"/>
      <c r="OX252" s="537"/>
      <c r="OY252" s="537"/>
      <c r="OZ252" s="537"/>
      <c r="PA252" s="537"/>
      <c r="PB252" s="537"/>
      <c r="PC252" s="537"/>
      <c r="PD252" s="537"/>
      <c r="PE252" s="537"/>
      <c r="PF252" s="537"/>
      <c r="PG252" s="537"/>
      <c r="PH252" s="537"/>
      <c r="PI252" s="537"/>
      <c r="PJ252" s="537"/>
      <c r="PK252" s="537"/>
      <c r="PL252" s="537"/>
      <c r="PM252" s="537"/>
      <c r="PN252" s="537"/>
      <c r="PO252" s="537"/>
      <c r="PP252" s="537"/>
      <c r="PQ252" s="537"/>
      <c r="PR252" s="537"/>
      <c r="PS252" s="537"/>
      <c r="PT252" s="537"/>
      <c r="PU252" s="537"/>
      <c r="PV252" s="537"/>
      <c r="PW252" s="537"/>
      <c r="PX252" s="537"/>
      <c r="PY252" s="537"/>
      <c r="PZ252" s="537"/>
      <c r="QA252" s="537"/>
      <c r="QB252" s="537"/>
      <c r="QC252" s="537"/>
      <c r="QD252" s="537"/>
      <c r="QE252" s="537"/>
      <c r="QF252" s="537"/>
      <c r="QG252" s="537"/>
      <c r="QH252" s="537"/>
      <c r="QI252" s="537"/>
      <c r="QJ252" s="537"/>
      <c r="QK252" s="537"/>
      <c r="QL252" s="537"/>
      <c r="QM252" s="537"/>
      <c r="QN252" s="537"/>
      <c r="QO252" s="537"/>
      <c r="QP252" s="537"/>
      <c r="QQ252" s="537"/>
      <c r="QR252" s="537"/>
      <c r="QS252" s="537"/>
      <c r="QT252" s="537"/>
      <c r="QU252" s="537"/>
      <c r="QV252" s="537"/>
      <c r="QW252" s="537"/>
      <c r="QX252" s="537"/>
      <c r="QY252" s="537"/>
      <c r="QZ252" s="537"/>
      <c r="RA252" s="537"/>
      <c r="RB252" s="537"/>
      <c r="RC252" s="537"/>
      <c r="RD252" s="537"/>
      <c r="RE252" s="537"/>
      <c r="RF252" s="537"/>
      <c r="RG252" s="537"/>
      <c r="RH252" s="537"/>
      <c r="RI252" s="537"/>
      <c r="RJ252" s="537"/>
      <c r="RK252" s="537"/>
      <c r="RL252" s="537"/>
      <c r="RM252" s="537"/>
      <c r="RN252" s="537"/>
      <c r="RO252" s="537"/>
      <c r="RP252" s="537"/>
      <c r="RQ252" s="537"/>
      <c r="RR252" s="537"/>
      <c r="RS252" s="537"/>
      <c r="RT252" s="537"/>
      <c r="RU252" s="537"/>
      <c r="RV252" s="537"/>
      <c r="RW252" s="537"/>
      <c r="RX252" s="537"/>
      <c r="RY252" s="537"/>
      <c r="RZ252" s="537"/>
      <c r="SA252" s="537"/>
      <c r="SB252" s="537"/>
      <c r="SC252" s="537"/>
      <c r="SD252" s="537"/>
      <c r="SE252" s="537"/>
      <c r="SF252" s="537"/>
      <c r="SG252" s="537"/>
      <c r="SH252" s="537"/>
      <c r="SI252" s="537"/>
      <c r="SJ252" s="537"/>
      <c r="SK252" s="537"/>
      <c r="SL252" s="537"/>
      <c r="SM252" s="537"/>
      <c r="SN252" s="537"/>
      <c r="SO252" s="537"/>
      <c r="SP252" s="537"/>
      <c r="SQ252" s="537"/>
      <c r="SR252" s="537"/>
      <c r="SS252" s="537"/>
      <c r="ST252" s="537"/>
      <c r="SU252" s="537"/>
      <c r="SV252" s="537"/>
      <c r="SW252" s="537"/>
      <c r="SX252" s="537"/>
      <c r="SY252" s="537"/>
      <c r="SZ252" s="537"/>
      <c r="TA252" s="537"/>
      <c r="TB252" s="537"/>
      <c r="TC252" s="537"/>
      <c r="TD252" s="537"/>
      <c r="TE252" s="537"/>
      <c r="TF252" s="537"/>
      <c r="TG252" s="537"/>
      <c r="TH252" s="537"/>
      <c r="TI252" s="537"/>
      <c r="TJ252" s="537"/>
      <c r="TK252" s="537"/>
      <c r="TL252" s="537"/>
      <c r="TM252" s="537"/>
      <c r="TN252" s="537"/>
      <c r="TO252" s="537"/>
      <c r="TP252" s="537"/>
      <c r="TQ252" s="537"/>
      <c r="TR252" s="537"/>
      <c r="TS252" s="537"/>
      <c r="TT252" s="537"/>
      <c r="TU252" s="537"/>
      <c r="TV252" s="537"/>
      <c r="TW252" s="537"/>
      <c r="TX252" s="537"/>
      <c r="TY252" s="537"/>
      <c r="TZ252" s="537"/>
      <c r="UA252" s="537"/>
      <c r="UB252" s="537"/>
      <c r="UC252" s="537"/>
      <c r="UD252" s="537"/>
      <c r="UE252" s="537"/>
      <c r="UF252" s="537"/>
      <c r="UG252" s="537"/>
      <c r="UH252" s="537"/>
      <c r="UI252" s="537"/>
      <c r="UJ252" s="537"/>
      <c r="UK252" s="537"/>
      <c r="UL252" s="537"/>
      <c r="UM252" s="537"/>
      <c r="UN252" s="537"/>
      <c r="UO252" s="537"/>
      <c r="UP252" s="537"/>
      <c r="UQ252" s="537"/>
      <c r="UR252" s="537"/>
      <c r="US252" s="537"/>
      <c r="UT252" s="537"/>
      <c r="UU252" s="537"/>
      <c r="UV252" s="537"/>
      <c r="UW252" s="537"/>
      <c r="UX252" s="537"/>
      <c r="UY252" s="537"/>
      <c r="UZ252" s="537"/>
      <c r="VA252" s="537"/>
      <c r="VB252" s="537"/>
      <c r="VC252" s="537"/>
      <c r="VD252" s="537"/>
      <c r="VE252" s="537"/>
      <c r="VF252" s="537"/>
      <c r="VG252" s="537"/>
      <c r="VH252" s="537"/>
      <c r="VI252" s="537"/>
      <c r="VJ252" s="537"/>
      <c r="VK252" s="537"/>
      <c r="VL252" s="537"/>
      <c r="VM252" s="537"/>
      <c r="VN252" s="537"/>
      <c r="VO252" s="537"/>
      <c r="VP252" s="537"/>
      <c r="VQ252" s="537"/>
      <c r="VR252" s="537"/>
      <c r="VS252" s="537"/>
      <c r="VT252" s="537"/>
      <c r="VU252" s="537"/>
      <c r="VV252" s="537"/>
      <c r="VW252" s="537"/>
      <c r="VX252" s="537"/>
      <c r="VY252" s="537"/>
      <c r="VZ252" s="537"/>
      <c r="WA252" s="537"/>
      <c r="WB252" s="537"/>
      <c r="WC252" s="537"/>
      <c r="WD252" s="537"/>
      <c r="WE252" s="537"/>
      <c r="WF252" s="537"/>
      <c r="WG252" s="537"/>
      <c r="WH252" s="537"/>
      <c r="WI252" s="537"/>
      <c r="WJ252" s="537"/>
      <c r="WK252" s="537"/>
      <c r="WL252" s="537"/>
      <c r="WM252" s="537"/>
      <c r="WN252" s="537"/>
      <c r="WO252" s="537"/>
      <c r="WP252" s="537"/>
      <c r="WQ252" s="537"/>
      <c r="WR252" s="537"/>
      <c r="WS252" s="537"/>
      <c r="WT252" s="537"/>
      <c r="WU252" s="537"/>
      <c r="WV252" s="537"/>
      <c r="WW252" s="537"/>
      <c r="WX252" s="537"/>
      <c r="WY252" s="537"/>
      <c r="WZ252" s="537"/>
      <c r="XA252" s="537"/>
      <c r="XB252" s="537"/>
      <c r="XC252" s="537"/>
      <c r="XD252" s="537"/>
      <c r="XE252" s="537"/>
      <c r="XF252" s="537"/>
      <c r="XG252" s="537"/>
      <c r="XH252" s="537"/>
      <c r="XI252" s="537"/>
      <c r="XJ252" s="537"/>
      <c r="XK252" s="537"/>
      <c r="XL252" s="537"/>
      <c r="XM252" s="537"/>
      <c r="XN252" s="537"/>
      <c r="XO252" s="537"/>
      <c r="XP252" s="537"/>
      <c r="XQ252" s="537"/>
      <c r="XR252" s="537"/>
      <c r="XS252" s="537"/>
      <c r="XT252" s="537"/>
      <c r="XU252" s="537"/>
      <c r="XV252" s="537"/>
      <c r="XW252" s="537"/>
      <c r="XX252" s="537"/>
      <c r="XY252" s="537"/>
      <c r="XZ252" s="537"/>
      <c r="YA252" s="537"/>
      <c r="YB252" s="537"/>
      <c r="YC252" s="537"/>
      <c r="YD252" s="537"/>
      <c r="YE252" s="537"/>
      <c r="YF252" s="537"/>
      <c r="YG252" s="537"/>
      <c r="YH252" s="537"/>
      <c r="YI252" s="537"/>
      <c r="YJ252" s="537"/>
      <c r="YK252" s="537"/>
      <c r="YL252" s="537"/>
      <c r="YM252" s="537"/>
      <c r="YN252" s="537"/>
      <c r="YO252" s="537"/>
      <c r="YP252" s="537"/>
      <c r="YQ252" s="537"/>
      <c r="YR252" s="537"/>
      <c r="YS252" s="537"/>
      <c r="YT252" s="537"/>
      <c r="YU252" s="537"/>
      <c r="YV252" s="537"/>
      <c r="YW252" s="537"/>
      <c r="YX252" s="537"/>
      <c r="YY252" s="537"/>
      <c r="YZ252" s="537"/>
      <c r="ZA252" s="537"/>
      <c r="ZB252" s="537"/>
      <c r="ZC252" s="537"/>
      <c r="ZD252" s="537"/>
      <c r="ZE252" s="537"/>
      <c r="ZF252" s="537"/>
      <c r="ZG252" s="537"/>
      <c r="ZH252" s="537"/>
      <c r="ZI252" s="537"/>
      <c r="ZJ252" s="537"/>
      <c r="ZK252" s="537"/>
      <c r="ZL252" s="537"/>
      <c r="ZM252" s="537"/>
      <c r="ZN252" s="537"/>
      <c r="ZO252" s="537"/>
      <c r="ZP252" s="537"/>
      <c r="ZQ252" s="537"/>
      <c r="ZR252" s="537"/>
      <c r="ZS252" s="537"/>
      <c r="ZT252" s="537"/>
      <c r="ZU252" s="537"/>
      <c r="ZV252" s="537"/>
      <c r="ZW252" s="537"/>
      <c r="ZX252" s="537"/>
      <c r="ZY252" s="537"/>
      <c r="ZZ252" s="537"/>
      <c r="AAA252" s="537"/>
      <c r="AAB252" s="537"/>
      <c r="AAC252" s="537"/>
      <c r="AAD252" s="537"/>
      <c r="AAE252" s="537"/>
      <c r="AAF252" s="537"/>
      <c r="AAG252" s="537"/>
      <c r="AAH252" s="537"/>
      <c r="AAI252" s="537"/>
      <c r="AAJ252" s="537"/>
      <c r="AAK252" s="537"/>
      <c r="AAL252" s="537"/>
      <c r="AAM252" s="537"/>
      <c r="AAN252" s="537"/>
      <c r="AAO252" s="537"/>
      <c r="AAP252" s="537"/>
      <c r="AAQ252" s="537"/>
      <c r="AAR252" s="537"/>
      <c r="AAS252" s="537"/>
      <c r="AAT252" s="537"/>
      <c r="AAU252" s="537"/>
      <c r="AAV252" s="537"/>
      <c r="AAW252" s="537"/>
      <c r="AAX252" s="537"/>
      <c r="AAY252" s="537"/>
      <c r="AAZ252" s="537"/>
      <c r="ABA252" s="537"/>
      <c r="ABB252" s="537"/>
      <c r="ABC252" s="537"/>
      <c r="ABD252" s="537"/>
      <c r="ABE252" s="537"/>
      <c r="ABF252" s="537"/>
      <c r="ABG252" s="537"/>
      <c r="ABH252" s="537"/>
      <c r="ABI252" s="537"/>
      <c r="ABJ252" s="537"/>
      <c r="ABK252" s="537"/>
      <c r="ABL252" s="537"/>
      <c r="ABM252" s="537"/>
      <c r="ABN252" s="537"/>
      <c r="ABO252" s="537"/>
      <c r="ABP252" s="537"/>
      <c r="ABQ252" s="537"/>
      <c r="ABR252" s="537"/>
      <c r="ABS252" s="537"/>
      <c r="ABT252" s="537"/>
      <c r="ABU252" s="537"/>
      <c r="ABV252" s="537"/>
      <c r="ABW252" s="537"/>
      <c r="ABX252" s="537"/>
      <c r="ABY252" s="537"/>
      <c r="ABZ252" s="537"/>
      <c r="ACA252" s="537"/>
      <c r="ACB252" s="537"/>
      <c r="ACC252" s="537"/>
      <c r="ACD252" s="537"/>
      <c r="ACE252" s="537"/>
      <c r="ACF252" s="537"/>
      <c r="ACG252" s="537"/>
      <c r="ACH252" s="537"/>
      <c r="ACI252" s="537"/>
      <c r="ACJ252" s="537"/>
      <c r="ACK252" s="537"/>
      <c r="ACL252" s="537"/>
      <c r="ACM252" s="537"/>
      <c r="ACN252" s="537"/>
      <c r="ACO252" s="537"/>
      <c r="ACP252" s="537"/>
      <c r="ACQ252" s="537"/>
      <c r="ACR252" s="537"/>
      <c r="ACS252" s="537"/>
      <c r="ACT252" s="537"/>
      <c r="ACU252" s="537"/>
      <c r="ACV252" s="537"/>
      <c r="ACW252" s="537"/>
      <c r="ACX252" s="537"/>
      <c r="ACY252" s="537"/>
      <c r="ACZ252" s="537"/>
      <c r="ADA252" s="537"/>
      <c r="ADB252" s="537"/>
      <c r="ADC252" s="537"/>
      <c r="ADD252" s="537"/>
      <c r="ADE252" s="537"/>
      <c r="ADF252" s="537"/>
      <c r="ADG252" s="537"/>
      <c r="ADH252" s="537"/>
      <c r="ADI252" s="537"/>
      <c r="ADJ252" s="537"/>
      <c r="ADK252" s="537"/>
      <c r="ADL252" s="537"/>
      <c r="ADM252" s="537"/>
      <c r="ADN252" s="537"/>
      <c r="ADO252" s="537"/>
      <c r="ADP252" s="537"/>
      <c r="ADQ252" s="537"/>
      <c r="ADR252" s="537"/>
      <c r="ADS252" s="537"/>
      <c r="ADT252" s="537"/>
      <c r="ADU252" s="537"/>
      <c r="ADV252" s="537"/>
      <c r="ADW252" s="537"/>
      <c r="ADX252" s="537"/>
      <c r="ADY252" s="537"/>
      <c r="ADZ252" s="537"/>
      <c r="AEA252" s="537"/>
      <c r="AEB252" s="537"/>
      <c r="AEC252" s="537"/>
      <c r="AED252" s="537"/>
      <c r="AEE252" s="537"/>
      <c r="AEF252" s="537"/>
      <c r="AEG252" s="537"/>
      <c r="AEH252" s="537"/>
      <c r="AEI252" s="537"/>
      <c r="AEJ252" s="537"/>
      <c r="AEK252" s="537"/>
      <c r="AEL252" s="537"/>
      <c r="AEM252" s="537"/>
      <c r="AEN252" s="537"/>
      <c r="AEO252" s="537"/>
      <c r="AEP252" s="537"/>
      <c r="AEQ252" s="537"/>
      <c r="AER252" s="537"/>
      <c r="AES252" s="537"/>
      <c r="AET252" s="537"/>
      <c r="AEU252" s="537"/>
      <c r="AEV252" s="537"/>
      <c r="AEW252" s="537"/>
      <c r="AEX252" s="537"/>
      <c r="AEY252" s="537"/>
      <c r="AEZ252" s="537"/>
      <c r="AFA252" s="537"/>
      <c r="AFB252" s="537"/>
      <c r="AFC252" s="537"/>
      <c r="AFD252" s="537"/>
      <c r="AFE252" s="537"/>
      <c r="AFF252" s="537"/>
      <c r="AFG252" s="537"/>
      <c r="AFH252" s="537"/>
      <c r="AFI252" s="537"/>
      <c r="AFJ252" s="537"/>
      <c r="AFK252" s="537"/>
      <c r="AFL252" s="537"/>
      <c r="AFM252" s="537"/>
      <c r="AFN252" s="537"/>
      <c r="AFO252" s="537"/>
      <c r="AFP252" s="537"/>
      <c r="AFQ252" s="537"/>
      <c r="AFR252" s="537"/>
      <c r="AFS252" s="537"/>
      <c r="AFT252" s="537"/>
      <c r="AFU252" s="537"/>
      <c r="AFV252" s="537"/>
      <c r="AFW252" s="537"/>
      <c r="AFX252" s="537"/>
      <c r="AFY252" s="537"/>
      <c r="AFZ252" s="537"/>
      <c r="AGA252" s="537"/>
      <c r="AGB252" s="537"/>
      <c r="AGC252" s="537"/>
      <c r="AGD252" s="537"/>
      <c r="AGE252" s="537"/>
      <c r="AGF252" s="537"/>
      <c r="AGG252" s="537"/>
      <c r="AGH252" s="537"/>
      <c r="AGI252" s="537"/>
      <c r="AGJ252" s="537"/>
      <c r="AGK252" s="537"/>
      <c r="AGL252" s="537"/>
      <c r="AGM252" s="537"/>
      <c r="AGN252" s="537"/>
      <c r="AGO252" s="537"/>
      <c r="AGP252" s="537"/>
      <c r="AGQ252" s="537"/>
      <c r="AGR252" s="537"/>
      <c r="AGS252" s="537"/>
      <c r="AGT252" s="537"/>
      <c r="AGU252" s="537"/>
      <c r="AGV252" s="537"/>
      <c r="AGW252" s="537"/>
      <c r="AGX252" s="537"/>
      <c r="AGY252" s="537"/>
      <c r="AGZ252" s="537"/>
      <c r="AHA252" s="537"/>
      <c r="AHB252" s="537"/>
      <c r="AHC252" s="537"/>
      <c r="AHD252" s="537"/>
      <c r="AHE252" s="537"/>
      <c r="AHF252" s="537"/>
      <c r="AHG252" s="537"/>
      <c r="AHH252" s="537"/>
      <c r="AHI252" s="537"/>
      <c r="AHJ252" s="537"/>
      <c r="AHK252" s="537"/>
      <c r="AHL252" s="537"/>
      <c r="AHM252" s="537"/>
      <c r="AHN252" s="537"/>
      <c r="AHO252" s="537"/>
      <c r="AHP252" s="537"/>
      <c r="AHQ252" s="537"/>
      <c r="AHR252" s="537"/>
      <c r="AHS252" s="537"/>
      <c r="AHT252" s="537"/>
      <c r="AHU252" s="537"/>
      <c r="AHV252" s="537"/>
      <c r="AHW252" s="537"/>
      <c r="AHX252" s="537"/>
      <c r="AHY252" s="537"/>
      <c r="AHZ252" s="537"/>
      <c r="AIA252" s="537"/>
      <c r="AIB252" s="537"/>
      <c r="AIC252" s="537"/>
      <c r="AID252" s="537"/>
      <c r="AIE252" s="537"/>
      <c r="AIF252" s="537"/>
      <c r="AIG252" s="537"/>
      <c r="AIH252" s="537"/>
      <c r="AII252" s="537"/>
      <c r="AIJ252" s="537"/>
      <c r="AIK252" s="537"/>
      <c r="AIL252" s="537"/>
      <c r="AIM252" s="537"/>
      <c r="AIN252" s="537"/>
      <c r="AIO252" s="537"/>
      <c r="AIP252" s="537"/>
      <c r="AIQ252" s="537"/>
      <c r="AIR252" s="537"/>
      <c r="AIS252" s="537"/>
      <c r="AIT252" s="537"/>
      <c r="AIU252" s="537"/>
      <c r="AIV252" s="537"/>
      <c r="AIW252" s="537"/>
      <c r="AIX252" s="537"/>
      <c r="AIY252" s="537"/>
      <c r="AIZ252" s="537"/>
      <c r="AJA252" s="537"/>
      <c r="AJB252" s="537"/>
      <c r="AJC252" s="537"/>
      <c r="AJD252" s="537"/>
      <c r="AJE252" s="537"/>
      <c r="AJF252" s="537"/>
      <c r="AJG252" s="537"/>
      <c r="AJH252" s="537"/>
      <c r="AJI252" s="537"/>
      <c r="AJJ252" s="537"/>
      <c r="AJK252" s="537"/>
      <c r="AJL252" s="537"/>
      <c r="AJM252" s="537"/>
      <c r="AJN252" s="537"/>
      <c r="AJO252" s="537"/>
      <c r="AJP252" s="537"/>
      <c r="AJQ252" s="537"/>
      <c r="AJR252" s="537"/>
      <c r="AJS252" s="537"/>
      <c r="AJT252" s="537"/>
      <c r="AJU252" s="537"/>
      <c r="AJV252" s="537"/>
      <c r="AJW252" s="537"/>
      <c r="AJX252" s="537"/>
      <c r="AJY252" s="537"/>
      <c r="AJZ252" s="537"/>
      <c r="AKA252" s="537"/>
      <c r="AKB252" s="537"/>
      <c r="AKC252" s="537"/>
      <c r="AKD252" s="537"/>
      <c r="AKE252" s="537"/>
      <c r="AKF252" s="537"/>
      <c r="AKG252" s="537"/>
      <c r="AKH252" s="537"/>
      <c r="AKI252" s="537"/>
      <c r="AKJ252" s="537"/>
      <c r="AKK252" s="537"/>
      <c r="AKL252" s="537"/>
      <c r="AKM252" s="537"/>
      <c r="AKN252" s="537"/>
      <c r="AKO252" s="537"/>
      <c r="AKP252" s="537"/>
      <c r="AKQ252" s="537"/>
      <c r="AKR252" s="537"/>
      <c r="AKS252" s="537"/>
      <c r="AKT252" s="537"/>
      <c r="AKU252" s="537"/>
      <c r="AKV252" s="537"/>
      <c r="AKW252" s="537"/>
      <c r="AKX252" s="537"/>
      <c r="AKY252" s="537"/>
      <c r="AKZ252" s="537"/>
      <c r="ALA252" s="537"/>
      <c r="ALB252" s="537"/>
      <c r="ALC252" s="537"/>
      <c r="ALD252" s="537"/>
      <c r="ALE252" s="537"/>
      <c r="ALF252" s="537"/>
      <c r="ALG252" s="537"/>
      <c r="ALH252" s="537"/>
      <c r="ALI252" s="537"/>
      <c r="ALJ252" s="537"/>
      <c r="ALK252" s="537"/>
      <c r="ALL252" s="537"/>
      <c r="ALM252" s="537"/>
      <c r="ALN252" s="537"/>
      <c r="ALO252" s="537"/>
      <c r="ALP252" s="537"/>
      <c r="ALQ252" s="537"/>
      <c r="ALR252" s="537"/>
      <c r="ALS252" s="537"/>
      <c r="ALT252" s="537"/>
      <c r="ALU252" s="537"/>
      <c r="ALV252" s="537"/>
      <c r="ALW252" s="537"/>
      <c r="ALX252" s="537"/>
      <c r="ALY252" s="537"/>
      <c r="ALZ252" s="537"/>
      <c r="AMA252" s="537"/>
      <c r="AMB252" s="537"/>
      <c r="AMC252" s="537"/>
      <c r="AMD252" s="537"/>
      <c r="AME252" s="537"/>
      <c r="AMF252" s="537"/>
      <c r="AMG252" s="537"/>
      <c r="AMH252" s="537"/>
      <c r="AMI252" s="537"/>
      <c r="AMJ252" s="537"/>
      <c r="AMK252" s="537"/>
      <c r="AML252" s="537"/>
      <c r="AMM252" s="537"/>
      <c r="AMN252" s="537"/>
      <c r="AMO252" s="537"/>
      <c r="AMP252" s="537"/>
      <c r="AMQ252" s="537"/>
      <c r="AMR252" s="537"/>
      <c r="AMS252" s="537"/>
      <c r="AMT252" s="537"/>
      <c r="AMU252" s="537"/>
      <c r="AMV252" s="537"/>
      <c r="AMW252" s="537"/>
      <c r="AMX252" s="537"/>
      <c r="AMY252" s="537"/>
      <c r="AMZ252" s="537"/>
      <c r="ANA252" s="537"/>
      <c r="ANB252" s="537"/>
      <c r="ANC252" s="537"/>
      <c r="AND252" s="537"/>
      <c r="ANE252" s="537"/>
      <c r="ANF252" s="537"/>
      <c r="ANG252" s="537"/>
      <c r="ANH252" s="537"/>
      <c r="ANI252" s="537"/>
      <c r="ANJ252" s="537"/>
      <c r="ANK252" s="537"/>
      <c r="ANL252" s="537"/>
      <c r="ANM252" s="537"/>
      <c r="ANN252" s="537"/>
      <c r="ANO252" s="537"/>
      <c r="ANP252" s="537"/>
      <c r="ANQ252" s="537"/>
      <c r="ANR252" s="537"/>
      <c r="ANS252" s="537"/>
      <c r="ANT252" s="537"/>
      <c r="ANU252" s="537"/>
      <c r="ANV252" s="537"/>
      <c r="ANW252" s="537"/>
      <c r="ANX252" s="537"/>
      <c r="ANY252" s="537"/>
      <c r="ANZ252" s="537"/>
      <c r="AOA252" s="537"/>
      <c r="AOB252" s="537"/>
      <c r="AOC252" s="537"/>
      <c r="AOD252" s="537"/>
      <c r="AOE252" s="537"/>
      <c r="AOF252" s="537"/>
      <c r="AOG252" s="537"/>
      <c r="AOH252" s="537"/>
      <c r="AOI252" s="537"/>
      <c r="AOJ252" s="537"/>
      <c r="AOK252" s="537"/>
      <c r="AOL252" s="537"/>
      <c r="AOM252" s="537"/>
      <c r="AON252" s="537"/>
      <c r="AOO252" s="537"/>
      <c r="AOP252" s="537"/>
      <c r="AOQ252" s="537"/>
      <c r="AOR252" s="537"/>
      <c r="AOS252" s="537"/>
      <c r="AOT252" s="537"/>
      <c r="AOU252" s="537"/>
      <c r="AOV252" s="537"/>
      <c r="AOW252" s="537"/>
      <c r="AOX252" s="537"/>
      <c r="AOY252" s="537"/>
      <c r="AOZ252" s="537"/>
      <c r="APA252" s="537"/>
      <c r="APB252" s="537"/>
      <c r="APC252" s="537"/>
      <c r="APD252" s="537"/>
      <c r="APE252" s="537"/>
      <c r="APF252" s="537"/>
      <c r="APG252" s="537"/>
      <c r="APH252" s="537"/>
      <c r="API252" s="537"/>
      <c r="APJ252" s="537"/>
      <c r="APK252" s="537"/>
      <c r="APL252" s="537"/>
      <c r="APM252" s="537"/>
      <c r="APN252" s="537"/>
      <c r="APO252" s="537"/>
      <c r="APP252" s="537"/>
      <c r="APQ252" s="537"/>
      <c r="APR252" s="537"/>
      <c r="APS252" s="537"/>
      <c r="APT252" s="537"/>
      <c r="APU252" s="537"/>
      <c r="APV252" s="537"/>
      <c r="APW252" s="537"/>
      <c r="APX252" s="537"/>
      <c r="APY252" s="537"/>
      <c r="APZ252" s="537"/>
      <c r="AQA252" s="537"/>
      <c r="AQB252" s="537"/>
      <c r="AQC252" s="537"/>
      <c r="AQD252" s="537"/>
      <c r="AQE252" s="537"/>
      <c r="AQF252" s="537"/>
      <c r="AQG252" s="537"/>
      <c r="AQH252" s="537"/>
      <c r="AQI252" s="537"/>
      <c r="AQJ252" s="537"/>
      <c r="AQK252" s="537"/>
      <c r="AQL252" s="537"/>
      <c r="AQM252" s="537"/>
      <c r="AQN252" s="537"/>
      <c r="AQO252" s="537"/>
      <c r="AQP252" s="537"/>
      <c r="AQQ252" s="537"/>
      <c r="AQR252" s="537"/>
      <c r="AQS252" s="537"/>
      <c r="AQT252" s="537"/>
      <c r="AQU252" s="537"/>
      <c r="AQV252" s="537"/>
      <c r="AQW252" s="537"/>
      <c r="AQX252" s="537"/>
      <c r="AQY252" s="537"/>
      <c r="AQZ252" s="537"/>
      <c r="ARA252" s="537"/>
      <c r="ARB252" s="537"/>
      <c r="ARC252" s="537"/>
      <c r="ARD252" s="537"/>
      <c r="ARE252" s="537"/>
      <c r="ARF252" s="537"/>
      <c r="ARG252" s="537"/>
      <c r="ARH252" s="537"/>
      <c r="ARI252" s="537"/>
      <c r="ARJ252" s="537"/>
      <c r="ARK252" s="537"/>
      <c r="ARL252" s="537"/>
      <c r="ARM252" s="537"/>
      <c r="ARN252" s="537"/>
      <c r="ARO252" s="537"/>
      <c r="ARP252" s="537"/>
      <c r="ARQ252" s="537"/>
      <c r="ARR252" s="537"/>
      <c r="ARS252" s="537"/>
      <c r="ART252" s="537"/>
      <c r="ARU252" s="537"/>
      <c r="ARV252" s="537"/>
      <c r="ARW252" s="537"/>
      <c r="ARX252" s="537"/>
      <c r="ARY252" s="537"/>
      <c r="ARZ252" s="537"/>
      <c r="ASA252" s="537"/>
      <c r="ASB252" s="537"/>
      <c r="ASC252" s="537"/>
      <c r="ASD252" s="537"/>
      <c r="ASE252" s="537"/>
      <c r="ASF252" s="537"/>
      <c r="ASG252" s="537"/>
      <c r="ASH252" s="537"/>
      <c r="ASI252" s="537"/>
      <c r="ASJ252" s="537"/>
      <c r="ASK252" s="537"/>
      <c r="ASL252" s="537"/>
      <c r="ASM252" s="537"/>
      <c r="ASN252" s="537"/>
      <c r="ASO252" s="537"/>
      <c r="ASP252" s="537"/>
      <c r="ASQ252" s="537"/>
      <c r="ASR252" s="537"/>
      <c r="ASS252" s="537"/>
      <c r="AST252" s="537"/>
      <c r="ASU252" s="537"/>
      <c r="ASV252" s="537"/>
      <c r="ASW252" s="537"/>
      <c r="ASX252" s="537"/>
      <c r="ASY252" s="537"/>
      <c r="ASZ252" s="537"/>
      <c r="ATA252" s="537"/>
      <c r="ATB252" s="537"/>
      <c r="ATC252" s="537"/>
      <c r="ATD252" s="537"/>
      <c r="ATE252" s="537"/>
      <c r="ATF252" s="537"/>
      <c r="ATG252" s="537"/>
      <c r="ATH252" s="537"/>
      <c r="ATI252" s="537"/>
      <c r="ATJ252" s="537"/>
      <c r="ATK252" s="537"/>
      <c r="ATL252" s="537"/>
      <c r="ATM252" s="537"/>
      <c r="ATN252" s="537"/>
      <c r="ATO252" s="537"/>
      <c r="ATP252" s="537"/>
      <c r="ATQ252" s="537"/>
      <c r="ATR252" s="537"/>
      <c r="ATS252" s="537"/>
      <c r="ATT252" s="537"/>
      <c r="ATU252" s="537"/>
      <c r="ATV252" s="537"/>
      <c r="ATW252" s="537"/>
      <c r="ATX252" s="537"/>
      <c r="ATY252" s="537"/>
      <c r="ATZ252" s="537"/>
      <c r="AUA252" s="537"/>
      <c r="AUB252" s="537"/>
      <c r="AUC252" s="537"/>
      <c r="AUD252" s="537"/>
      <c r="AUE252" s="537"/>
      <c r="AUF252" s="537"/>
      <c r="AUG252" s="537"/>
      <c r="AUH252" s="537"/>
      <c r="AUI252" s="537"/>
      <c r="AUJ252" s="537"/>
      <c r="AUK252" s="537"/>
      <c r="AUL252" s="537"/>
      <c r="AUM252" s="537"/>
      <c r="AUN252" s="537"/>
      <c r="AUO252" s="537"/>
      <c r="AUP252" s="537"/>
      <c r="AUQ252" s="537"/>
      <c r="AUR252" s="537"/>
      <c r="AUS252" s="537"/>
      <c r="AUT252" s="537"/>
      <c r="AUU252" s="537"/>
      <c r="AUV252" s="537"/>
      <c r="AUW252" s="537"/>
      <c r="AUX252" s="537"/>
      <c r="AUY252" s="537"/>
      <c r="AUZ252" s="537"/>
      <c r="AVA252" s="537"/>
      <c r="AVB252" s="537"/>
      <c r="AVC252" s="537"/>
      <c r="AVD252" s="537"/>
      <c r="AVE252" s="537"/>
      <c r="AVF252" s="537"/>
      <c r="AVG252" s="537"/>
      <c r="AVH252" s="537"/>
      <c r="AVI252" s="537"/>
      <c r="AVJ252" s="537"/>
      <c r="AVK252" s="537"/>
      <c r="AVL252" s="537"/>
      <c r="AVM252" s="537"/>
      <c r="AVN252" s="537"/>
      <c r="AVO252" s="537"/>
      <c r="AVP252" s="537"/>
      <c r="AVQ252" s="537"/>
      <c r="AVR252" s="537"/>
      <c r="AVS252" s="537"/>
      <c r="AVT252" s="537"/>
      <c r="AVU252" s="537"/>
      <c r="AVV252" s="537"/>
      <c r="AVW252" s="537"/>
      <c r="AVX252" s="537"/>
      <c r="AVY252" s="537"/>
      <c r="AVZ252" s="537"/>
      <c r="AWA252" s="537"/>
      <c r="AWB252" s="537"/>
      <c r="AWC252" s="537"/>
      <c r="AWD252" s="537"/>
      <c r="AWE252" s="537"/>
      <c r="AWF252" s="537"/>
      <c r="AWG252" s="537"/>
      <c r="AWH252" s="537"/>
      <c r="AWI252" s="537"/>
      <c r="AWJ252" s="537"/>
      <c r="AWK252" s="537"/>
      <c r="AWL252" s="537"/>
      <c r="AWM252" s="537"/>
      <c r="AWN252" s="537"/>
      <c r="AWO252" s="537"/>
      <c r="AWP252" s="537"/>
      <c r="AWQ252" s="537"/>
      <c r="AWR252" s="537"/>
      <c r="AWS252" s="537"/>
      <c r="AWT252" s="537"/>
      <c r="AWU252" s="537"/>
      <c r="AWV252" s="537"/>
      <c r="AWW252" s="537"/>
      <c r="AWX252" s="537"/>
      <c r="AWY252" s="537"/>
      <c r="AWZ252" s="537"/>
      <c r="AXA252" s="537"/>
      <c r="AXB252" s="537"/>
      <c r="AXC252" s="537"/>
      <c r="AXD252" s="537"/>
      <c r="AXE252" s="537"/>
      <c r="AXF252" s="537"/>
      <c r="AXG252" s="537"/>
      <c r="AXH252" s="537"/>
      <c r="AXI252" s="537"/>
      <c r="AXJ252" s="537"/>
      <c r="AXK252" s="537"/>
      <c r="AXL252" s="537"/>
      <c r="AXM252" s="537"/>
      <c r="AXN252" s="537"/>
      <c r="AXO252" s="537"/>
      <c r="AXP252" s="537"/>
      <c r="AXQ252" s="537"/>
      <c r="AXR252" s="537"/>
      <c r="AXS252" s="537"/>
      <c r="AXT252" s="537"/>
      <c r="AXU252" s="537"/>
      <c r="AXV252" s="537"/>
      <c r="AXW252" s="537"/>
      <c r="AXX252" s="537"/>
      <c r="AXY252" s="537"/>
      <c r="AXZ252" s="537"/>
      <c r="AYA252" s="537"/>
      <c r="AYB252" s="537"/>
      <c r="AYC252" s="537"/>
      <c r="AYD252" s="537"/>
      <c r="AYE252" s="537"/>
      <c r="AYF252" s="537"/>
      <c r="AYG252" s="537"/>
      <c r="AYH252" s="537"/>
      <c r="AYI252" s="537"/>
      <c r="AYJ252" s="537"/>
      <c r="AYK252" s="537"/>
      <c r="AYL252" s="537"/>
      <c r="AYM252" s="537"/>
      <c r="AYN252" s="537"/>
      <c r="AYO252" s="537"/>
      <c r="AYP252" s="537"/>
      <c r="AYQ252" s="537"/>
      <c r="AYR252" s="537"/>
      <c r="AYS252" s="537"/>
      <c r="AYT252" s="537"/>
      <c r="AYU252" s="537"/>
      <c r="AYV252" s="537"/>
      <c r="AYW252" s="537"/>
      <c r="AYX252" s="537"/>
      <c r="AYY252" s="537"/>
      <c r="AYZ252" s="537"/>
      <c r="AZA252" s="537"/>
      <c r="AZB252" s="537"/>
      <c r="AZC252" s="537"/>
      <c r="AZD252" s="537"/>
      <c r="AZE252" s="537"/>
      <c r="AZF252" s="537"/>
      <c r="AZG252" s="537"/>
      <c r="AZH252" s="537"/>
      <c r="AZI252" s="537"/>
      <c r="AZJ252" s="537"/>
      <c r="AZK252" s="537"/>
      <c r="AZL252" s="537"/>
      <c r="AZM252" s="537"/>
      <c r="AZN252" s="537"/>
      <c r="AZO252" s="537"/>
      <c r="AZP252" s="537"/>
      <c r="AZQ252" s="537"/>
      <c r="AZR252" s="537"/>
      <c r="AZS252" s="537"/>
      <c r="AZT252" s="537"/>
      <c r="AZU252" s="537"/>
      <c r="AZV252" s="537"/>
      <c r="AZW252" s="537"/>
      <c r="AZX252" s="537"/>
      <c r="AZY252" s="537"/>
      <c r="AZZ252" s="537"/>
      <c r="BAA252" s="537"/>
      <c r="BAB252" s="537"/>
      <c r="BAC252" s="537"/>
      <c r="BAD252" s="537"/>
      <c r="BAE252" s="537"/>
      <c r="BAF252" s="537"/>
      <c r="BAG252" s="537"/>
      <c r="BAH252" s="537"/>
      <c r="BAI252" s="537"/>
      <c r="BAJ252" s="537"/>
      <c r="BAK252" s="537"/>
      <c r="BAL252" s="537"/>
      <c r="BAM252" s="537"/>
      <c r="BAN252" s="537"/>
      <c r="BAO252" s="537"/>
      <c r="BAP252" s="537"/>
      <c r="BAQ252" s="537"/>
      <c r="BAR252" s="537"/>
      <c r="BAS252" s="537"/>
      <c r="BAT252" s="537"/>
      <c r="BAU252" s="537"/>
      <c r="BAV252" s="537"/>
      <c r="BAW252" s="537"/>
      <c r="BAX252" s="537"/>
      <c r="BAY252" s="537"/>
      <c r="BAZ252" s="537"/>
      <c r="BBA252" s="537"/>
      <c r="BBB252" s="537"/>
      <c r="BBC252" s="537"/>
      <c r="BBD252" s="537"/>
      <c r="BBE252" s="537"/>
      <c r="BBF252" s="537"/>
      <c r="BBG252" s="537"/>
      <c r="BBH252" s="537"/>
      <c r="BBI252" s="537"/>
      <c r="BBJ252" s="537"/>
      <c r="BBK252" s="537"/>
      <c r="BBL252" s="537"/>
      <c r="BBM252" s="537"/>
      <c r="BBN252" s="537"/>
      <c r="BBO252" s="537"/>
      <c r="BBP252" s="537"/>
      <c r="BBQ252" s="537"/>
      <c r="BBR252" s="537"/>
      <c r="BBS252" s="537"/>
      <c r="BBT252" s="537"/>
      <c r="BBU252" s="537"/>
      <c r="BBV252" s="537"/>
      <c r="BBW252" s="537"/>
      <c r="BBX252" s="537"/>
      <c r="BBY252" s="537"/>
      <c r="BBZ252" s="537"/>
      <c r="BCA252" s="537"/>
      <c r="BCB252" s="537"/>
      <c r="BCC252" s="537"/>
      <c r="BCD252" s="537"/>
      <c r="BCE252" s="537"/>
      <c r="BCF252" s="537"/>
      <c r="BCG252" s="537"/>
      <c r="BCH252" s="537"/>
      <c r="BCI252" s="537"/>
      <c r="BCJ252" s="537"/>
      <c r="BCK252" s="537"/>
      <c r="BCL252" s="537"/>
      <c r="BCM252" s="537"/>
      <c r="BCN252" s="537"/>
      <c r="BCO252" s="537"/>
      <c r="BCP252" s="537"/>
      <c r="BCQ252" s="537"/>
      <c r="BCR252" s="537"/>
      <c r="BCS252" s="537"/>
      <c r="BCT252" s="537"/>
      <c r="BCU252" s="537"/>
      <c r="BCV252" s="537"/>
      <c r="BCW252" s="537"/>
      <c r="BCX252" s="537"/>
      <c r="BCY252" s="537"/>
      <c r="BCZ252" s="537"/>
      <c r="BDA252" s="537"/>
      <c r="BDB252" s="537"/>
      <c r="BDC252" s="537"/>
      <c r="BDD252" s="537"/>
      <c r="BDE252" s="537"/>
      <c r="BDF252" s="537"/>
      <c r="BDG252" s="537"/>
      <c r="BDH252" s="537"/>
      <c r="BDI252" s="537"/>
      <c r="BDJ252" s="537"/>
      <c r="BDK252" s="537"/>
      <c r="BDL252" s="537"/>
      <c r="BDM252" s="537"/>
      <c r="BDN252" s="537"/>
      <c r="BDO252" s="537"/>
      <c r="BDP252" s="537"/>
      <c r="BDQ252" s="537"/>
      <c r="BDR252" s="537"/>
      <c r="BDS252" s="537"/>
      <c r="BDT252" s="537"/>
      <c r="BDU252" s="537"/>
      <c r="BDV252" s="537"/>
      <c r="BDW252" s="537"/>
      <c r="BDX252" s="537"/>
      <c r="BDY252" s="537"/>
      <c r="BDZ252" s="537"/>
      <c r="BEA252" s="537"/>
      <c r="BEB252" s="537"/>
      <c r="BEC252" s="537"/>
      <c r="BED252" s="537"/>
      <c r="BEE252" s="537"/>
      <c r="BEF252" s="537"/>
      <c r="BEG252" s="537"/>
      <c r="BEH252" s="537"/>
      <c r="BEI252" s="537"/>
      <c r="BEJ252" s="537"/>
      <c r="BEK252" s="537"/>
      <c r="BEL252" s="537"/>
      <c r="BEM252" s="537"/>
      <c r="BEN252" s="537"/>
      <c r="BEO252" s="537"/>
      <c r="BEP252" s="537"/>
      <c r="BEQ252" s="537"/>
      <c r="BER252" s="537"/>
      <c r="BES252" s="537"/>
      <c r="BET252" s="537"/>
      <c r="BEU252" s="537"/>
      <c r="BEV252" s="537"/>
      <c r="BEW252" s="537"/>
      <c r="BEX252" s="537"/>
      <c r="BEY252" s="537"/>
      <c r="BEZ252" s="537"/>
      <c r="BFA252" s="537"/>
      <c r="BFB252" s="537"/>
      <c r="BFC252" s="537"/>
      <c r="BFD252" s="537"/>
      <c r="BFE252" s="537"/>
      <c r="BFF252" s="537"/>
      <c r="BFG252" s="537"/>
      <c r="BFH252" s="537"/>
      <c r="BFI252" s="537"/>
      <c r="BFJ252" s="537"/>
      <c r="BFK252" s="537"/>
      <c r="BFL252" s="537"/>
      <c r="BFM252" s="537"/>
      <c r="BFN252" s="537"/>
      <c r="BFO252" s="537"/>
      <c r="BFP252" s="537"/>
      <c r="BFQ252" s="537"/>
      <c r="BFR252" s="537"/>
      <c r="BFS252" s="537"/>
      <c r="BFT252" s="537"/>
      <c r="BFU252" s="537"/>
      <c r="BFV252" s="537"/>
      <c r="BFW252" s="537"/>
      <c r="BFX252" s="537"/>
      <c r="BFY252" s="537"/>
      <c r="BFZ252" s="537"/>
      <c r="BGA252" s="537"/>
      <c r="BGB252" s="537"/>
      <c r="BGC252" s="537"/>
      <c r="BGD252" s="537"/>
      <c r="BGE252" s="537"/>
      <c r="BGF252" s="537"/>
      <c r="BGG252" s="537"/>
      <c r="BGH252" s="537"/>
      <c r="BGI252" s="537"/>
      <c r="BGJ252" s="537"/>
      <c r="BGK252" s="537"/>
      <c r="BGL252" s="537"/>
      <c r="BGM252" s="537"/>
      <c r="BGN252" s="537"/>
      <c r="BGO252" s="537"/>
      <c r="BGP252" s="537"/>
      <c r="BGQ252" s="537"/>
      <c r="BGR252" s="537"/>
      <c r="BGS252" s="537"/>
      <c r="BGT252" s="537"/>
      <c r="BGU252" s="537"/>
      <c r="BGV252" s="537"/>
      <c r="BGW252" s="537"/>
      <c r="BGX252" s="537"/>
      <c r="BGY252" s="537"/>
      <c r="BGZ252" s="537"/>
      <c r="BHA252" s="537"/>
      <c r="BHB252" s="537"/>
      <c r="BHC252" s="537"/>
      <c r="BHD252" s="537"/>
      <c r="BHE252" s="537"/>
      <c r="BHF252" s="537"/>
      <c r="BHG252" s="537"/>
      <c r="BHH252" s="537"/>
      <c r="BHI252" s="537"/>
      <c r="BHJ252" s="537"/>
      <c r="BHK252" s="537"/>
      <c r="BHL252" s="537"/>
      <c r="BHM252" s="537"/>
      <c r="BHN252" s="537"/>
      <c r="BHO252" s="537"/>
      <c r="BHP252" s="537"/>
      <c r="BHQ252" s="537"/>
      <c r="BHR252" s="537"/>
      <c r="BHS252" s="537"/>
      <c r="BHT252" s="537"/>
      <c r="BHU252" s="537"/>
      <c r="BHV252" s="537"/>
      <c r="BHW252" s="537"/>
      <c r="BHX252" s="537"/>
      <c r="BHY252" s="537"/>
      <c r="BHZ252" s="537"/>
      <c r="BIA252" s="537"/>
      <c r="BIB252" s="537"/>
      <c r="BIC252" s="537"/>
      <c r="BID252" s="537"/>
      <c r="BIE252" s="537"/>
      <c r="BIF252" s="537"/>
      <c r="BIG252" s="537"/>
      <c r="BIH252" s="537"/>
      <c r="BII252" s="537"/>
      <c r="BIJ252" s="537"/>
      <c r="BIK252" s="537"/>
      <c r="BIL252" s="537"/>
      <c r="BIM252" s="537"/>
      <c r="BIN252" s="537"/>
      <c r="BIO252" s="537"/>
      <c r="BIP252" s="537"/>
      <c r="BIQ252" s="537"/>
      <c r="BIR252" s="537"/>
      <c r="BIS252" s="537"/>
      <c r="BIT252" s="537"/>
      <c r="BIU252" s="537"/>
      <c r="BIV252" s="537"/>
      <c r="BIW252" s="537"/>
      <c r="BIX252" s="537"/>
      <c r="BIY252" s="537"/>
      <c r="BIZ252" s="537"/>
      <c r="BJA252" s="537"/>
      <c r="BJB252" s="537"/>
      <c r="BJC252" s="537"/>
      <c r="BJD252" s="537"/>
      <c r="BJE252" s="537"/>
      <c r="BJF252" s="537"/>
      <c r="BJG252" s="537"/>
      <c r="BJH252" s="537"/>
      <c r="BJI252" s="537"/>
      <c r="BJJ252" s="537"/>
      <c r="BJK252" s="537"/>
      <c r="BJL252" s="537"/>
      <c r="BJM252" s="537"/>
      <c r="BJN252" s="537"/>
      <c r="BJO252" s="537"/>
      <c r="BJP252" s="537"/>
      <c r="BJQ252" s="537"/>
      <c r="BJR252" s="537"/>
      <c r="BJS252" s="537"/>
      <c r="BJT252" s="537"/>
      <c r="BJU252" s="537"/>
      <c r="BJV252" s="537"/>
      <c r="BJW252" s="537"/>
      <c r="BJX252" s="537"/>
      <c r="BJY252" s="537"/>
      <c r="BJZ252" s="537"/>
      <c r="BKA252" s="537"/>
      <c r="BKB252" s="537"/>
      <c r="BKC252" s="537"/>
      <c r="BKD252" s="537"/>
      <c r="BKE252" s="537"/>
      <c r="BKF252" s="537"/>
      <c r="BKG252" s="537"/>
      <c r="BKH252" s="537"/>
      <c r="BKI252" s="537"/>
      <c r="BKJ252" s="537"/>
      <c r="BKK252" s="537"/>
      <c r="BKL252" s="537"/>
      <c r="BKM252" s="537"/>
      <c r="BKN252" s="537"/>
      <c r="BKO252" s="537"/>
      <c r="BKP252" s="537"/>
      <c r="BKQ252" s="537"/>
      <c r="BKR252" s="537"/>
      <c r="BKS252" s="537"/>
      <c r="BKT252" s="537"/>
      <c r="BKU252" s="537"/>
      <c r="BKV252" s="537"/>
      <c r="BKW252" s="537"/>
      <c r="BKX252" s="537"/>
      <c r="BKY252" s="537"/>
      <c r="BKZ252" s="537"/>
      <c r="BLA252" s="537"/>
      <c r="BLB252" s="537"/>
      <c r="BLC252" s="537"/>
      <c r="BLD252" s="537"/>
      <c r="BLE252" s="537"/>
      <c r="BLF252" s="537"/>
      <c r="BLG252" s="537"/>
      <c r="BLH252" s="537"/>
      <c r="BLI252" s="537"/>
      <c r="BLJ252" s="537"/>
      <c r="BLK252" s="537"/>
      <c r="BLL252" s="537"/>
      <c r="BLM252" s="537"/>
      <c r="BLN252" s="537"/>
      <c r="BLO252" s="537"/>
      <c r="BLP252" s="537"/>
      <c r="BLQ252" s="537"/>
      <c r="BLR252" s="537"/>
      <c r="BLS252" s="537"/>
      <c r="BLT252" s="537"/>
      <c r="BLU252" s="537"/>
      <c r="BLV252" s="537"/>
      <c r="BLW252" s="537"/>
      <c r="BLX252" s="537"/>
      <c r="BLY252" s="537"/>
      <c r="BLZ252" s="537"/>
      <c r="BMA252" s="537"/>
      <c r="BMB252" s="537"/>
      <c r="BMC252" s="537"/>
      <c r="BMD252" s="537"/>
      <c r="BME252" s="537"/>
      <c r="BMF252" s="537"/>
      <c r="BMG252" s="537"/>
      <c r="BMH252" s="537"/>
      <c r="BMI252" s="537"/>
      <c r="BMJ252" s="537"/>
      <c r="BMK252" s="537"/>
      <c r="BML252" s="537"/>
      <c r="BMM252" s="537"/>
      <c r="BMN252" s="537"/>
      <c r="BMO252" s="537"/>
      <c r="BMP252" s="537"/>
      <c r="BMQ252" s="537"/>
      <c r="BMR252" s="537"/>
      <c r="BMS252" s="537"/>
      <c r="BMT252" s="537"/>
      <c r="BMU252" s="537"/>
      <c r="BMV252" s="537"/>
      <c r="BMW252" s="537"/>
      <c r="BMX252" s="537"/>
      <c r="BMY252" s="537"/>
      <c r="BMZ252" s="537"/>
      <c r="BNA252" s="537"/>
      <c r="BNB252" s="537"/>
      <c r="BNC252" s="537"/>
      <c r="BND252" s="537"/>
      <c r="BNE252" s="537"/>
      <c r="BNF252" s="537"/>
      <c r="BNG252" s="537"/>
      <c r="BNH252" s="537"/>
      <c r="BNI252" s="537"/>
      <c r="BNJ252" s="537"/>
      <c r="BNK252" s="537"/>
      <c r="BNL252" s="537"/>
      <c r="BNM252" s="537"/>
      <c r="BNN252" s="537"/>
      <c r="BNO252" s="537"/>
      <c r="BNP252" s="537"/>
      <c r="BNQ252" s="537"/>
      <c r="BNR252" s="537"/>
      <c r="BNS252" s="537"/>
      <c r="BNT252" s="537"/>
      <c r="BNU252" s="537"/>
      <c r="BNV252" s="537"/>
      <c r="BNW252" s="537"/>
      <c r="BNX252" s="537"/>
      <c r="BNY252" s="537"/>
      <c r="BNZ252" s="537"/>
      <c r="BOA252" s="537"/>
      <c r="BOB252" s="537"/>
      <c r="BOC252" s="537"/>
      <c r="BOD252" s="537"/>
      <c r="BOE252" s="537"/>
      <c r="BOF252" s="537"/>
      <c r="BOG252" s="537"/>
      <c r="BOH252" s="537"/>
      <c r="BOI252" s="537"/>
      <c r="BOJ252" s="537"/>
      <c r="BOK252" s="537"/>
      <c r="BOL252" s="537"/>
      <c r="BOM252" s="537"/>
      <c r="BON252" s="537"/>
      <c r="BOO252" s="537"/>
      <c r="BOP252" s="537"/>
      <c r="BOQ252" s="537"/>
      <c r="BOR252" s="537"/>
      <c r="BOS252" s="537"/>
      <c r="BOT252" s="537"/>
      <c r="BOU252" s="537"/>
      <c r="BOV252" s="537"/>
      <c r="BOW252" s="537"/>
      <c r="BOX252" s="537"/>
      <c r="BOY252" s="537"/>
      <c r="BOZ252" s="537"/>
      <c r="BPA252" s="537"/>
      <c r="BPB252" s="537"/>
      <c r="BPC252" s="537"/>
      <c r="BPD252" s="537"/>
      <c r="BPE252" s="537"/>
      <c r="BPF252" s="537"/>
      <c r="BPG252" s="537"/>
      <c r="BPH252" s="537"/>
      <c r="BPI252" s="537"/>
      <c r="BPJ252" s="537"/>
      <c r="BPK252" s="537"/>
      <c r="BPL252" s="537"/>
      <c r="BPM252" s="537"/>
      <c r="BPN252" s="537"/>
      <c r="BPO252" s="537"/>
      <c r="BPP252" s="537"/>
      <c r="BPQ252" s="537"/>
      <c r="BPR252" s="537"/>
      <c r="BPS252" s="537"/>
      <c r="BPT252" s="537"/>
      <c r="BPU252" s="537"/>
      <c r="BPV252" s="537"/>
      <c r="BPW252" s="537"/>
      <c r="BPX252" s="537"/>
      <c r="BPY252" s="537"/>
      <c r="BPZ252" s="537"/>
      <c r="BQA252" s="537"/>
      <c r="BQB252" s="537"/>
      <c r="BQC252" s="537"/>
      <c r="BQD252" s="537"/>
      <c r="BQE252" s="537"/>
      <c r="BQF252" s="537"/>
      <c r="BQG252" s="537"/>
      <c r="BQH252" s="537"/>
      <c r="BQI252" s="537"/>
      <c r="BQJ252" s="537"/>
      <c r="BQK252" s="537"/>
      <c r="BQL252" s="537"/>
      <c r="BQM252" s="537"/>
      <c r="BQN252" s="537"/>
      <c r="BQO252" s="537"/>
      <c r="BQP252" s="537"/>
      <c r="BQQ252" s="537"/>
      <c r="BQR252" s="537"/>
      <c r="BQS252" s="537"/>
      <c r="BQT252" s="537"/>
      <c r="BQU252" s="537"/>
      <c r="BQV252" s="537"/>
      <c r="BQW252" s="537"/>
      <c r="BQX252" s="537"/>
      <c r="BQY252" s="537"/>
      <c r="BQZ252" s="537"/>
      <c r="BRA252" s="537"/>
      <c r="BRB252" s="537"/>
      <c r="BRC252" s="537"/>
      <c r="BRD252" s="537"/>
      <c r="BRE252" s="537"/>
      <c r="BRF252" s="537"/>
      <c r="BRG252" s="537"/>
      <c r="BRH252" s="537"/>
      <c r="BRI252" s="537"/>
      <c r="BRJ252" s="537"/>
      <c r="BRK252" s="537"/>
      <c r="BRL252" s="537"/>
      <c r="BRM252" s="537"/>
      <c r="BRN252" s="537"/>
      <c r="BRO252" s="537"/>
      <c r="BRP252" s="537"/>
      <c r="BRQ252" s="537"/>
      <c r="BRR252" s="537"/>
      <c r="BRS252" s="537"/>
      <c r="BRT252" s="537"/>
      <c r="BRU252" s="537"/>
      <c r="BRV252" s="537"/>
      <c r="BRW252" s="537"/>
      <c r="BRX252" s="537"/>
      <c r="BRY252" s="537"/>
      <c r="BRZ252" s="537"/>
      <c r="BSA252" s="537"/>
      <c r="BSB252" s="537"/>
      <c r="BSC252" s="537"/>
      <c r="BSD252" s="537"/>
      <c r="BSE252" s="537"/>
      <c r="BSF252" s="537"/>
      <c r="BSG252" s="537"/>
      <c r="BSH252" s="537"/>
      <c r="BSI252" s="537"/>
      <c r="BSJ252" s="537"/>
      <c r="BSK252" s="537"/>
      <c r="BSL252" s="537"/>
      <c r="BSM252" s="537"/>
      <c r="BSN252" s="537"/>
      <c r="BSO252" s="537"/>
      <c r="BSP252" s="537"/>
      <c r="BSQ252" s="537"/>
      <c r="BSR252" s="537"/>
      <c r="BSS252" s="537"/>
      <c r="BST252" s="537"/>
      <c r="BSU252" s="537"/>
      <c r="BSV252" s="537"/>
      <c r="BSW252" s="537"/>
      <c r="BSX252" s="537"/>
      <c r="BSY252" s="537"/>
      <c r="BSZ252" s="537"/>
      <c r="BTA252" s="537"/>
      <c r="BTB252" s="537"/>
      <c r="BTC252" s="537"/>
      <c r="BTD252" s="537"/>
      <c r="BTE252" s="537"/>
      <c r="BTF252" s="537"/>
      <c r="BTG252" s="537"/>
      <c r="BTH252" s="537"/>
      <c r="BTI252" s="537"/>
      <c r="BTJ252" s="537"/>
      <c r="BTK252" s="537"/>
      <c r="BTL252" s="537"/>
      <c r="BTM252" s="537"/>
      <c r="BTN252" s="537"/>
      <c r="BTO252" s="537"/>
      <c r="BTP252" s="537"/>
      <c r="BTQ252" s="537"/>
      <c r="BTR252" s="537"/>
      <c r="BTS252" s="537"/>
      <c r="BTT252" s="537"/>
      <c r="BTU252" s="537"/>
      <c r="BTV252" s="537"/>
      <c r="BTW252" s="537"/>
      <c r="BTX252" s="537"/>
      <c r="BTY252" s="537"/>
      <c r="BTZ252" s="537"/>
      <c r="BUA252" s="537"/>
      <c r="BUB252" s="537"/>
      <c r="BUC252" s="537"/>
      <c r="BUD252" s="537"/>
      <c r="BUE252" s="537"/>
      <c r="BUF252" s="537"/>
      <c r="BUG252" s="537"/>
      <c r="BUH252" s="537"/>
      <c r="BUI252" s="537"/>
      <c r="BUJ252" s="537"/>
      <c r="BUK252" s="537"/>
      <c r="BUL252" s="537"/>
      <c r="BUM252" s="537"/>
      <c r="BUN252" s="537"/>
      <c r="BUO252" s="537"/>
      <c r="BUP252" s="537"/>
      <c r="BUQ252" s="537"/>
      <c r="BUR252" s="537"/>
      <c r="BUS252" s="537"/>
      <c r="BUT252" s="537"/>
      <c r="BUU252" s="537"/>
      <c r="BUV252" s="537"/>
      <c r="BUW252" s="537"/>
      <c r="BUX252" s="537"/>
      <c r="BUY252" s="537"/>
      <c r="BUZ252" s="537"/>
      <c r="BVA252" s="537"/>
      <c r="BVB252" s="537"/>
      <c r="BVC252" s="537"/>
      <c r="BVD252" s="537"/>
      <c r="BVE252" s="537"/>
      <c r="BVF252" s="537"/>
      <c r="BVG252" s="537"/>
      <c r="BVH252" s="537"/>
      <c r="BVI252" s="537"/>
      <c r="BVJ252" s="537"/>
      <c r="BVK252" s="537"/>
      <c r="BVL252" s="537"/>
      <c r="BVM252" s="537"/>
      <c r="BVN252" s="537"/>
      <c r="BVO252" s="537"/>
      <c r="BVP252" s="537"/>
      <c r="BVQ252" s="537"/>
      <c r="BVR252" s="537"/>
      <c r="BVS252" s="537"/>
      <c r="BVT252" s="537"/>
      <c r="BVU252" s="537"/>
      <c r="BVV252" s="537"/>
      <c r="BVW252" s="537"/>
      <c r="BVX252" s="537"/>
      <c r="BVY252" s="537"/>
      <c r="BVZ252" s="537"/>
      <c r="BWA252" s="537"/>
      <c r="BWB252" s="537"/>
      <c r="BWC252" s="537"/>
      <c r="BWD252" s="537"/>
      <c r="BWE252" s="537"/>
      <c r="BWF252" s="537"/>
      <c r="BWG252" s="537"/>
      <c r="BWH252" s="537"/>
      <c r="BWI252" s="537"/>
      <c r="BWJ252" s="537"/>
      <c r="BWK252" s="537"/>
      <c r="BWL252" s="537"/>
      <c r="BWM252" s="537"/>
      <c r="BWN252" s="537"/>
      <c r="BWO252" s="537"/>
      <c r="BWP252" s="537"/>
      <c r="BWQ252" s="537"/>
      <c r="BWR252" s="537"/>
      <c r="BWS252" s="537"/>
      <c r="BWT252" s="537"/>
      <c r="BWU252" s="537"/>
      <c r="BWV252" s="537"/>
      <c r="BWW252" s="537"/>
      <c r="BWX252" s="537"/>
      <c r="BWY252" s="537"/>
      <c r="BWZ252" s="537"/>
      <c r="BXA252" s="537"/>
      <c r="BXB252" s="537"/>
      <c r="BXC252" s="537"/>
      <c r="BXD252" s="537"/>
      <c r="BXE252" s="537"/>
      <c r="BXF252" s="537"/>
      <c r="BXG252" s="537"/>
      <c r="BXH252" s="537"/>
      <c r="BXI252" s="537"/>
      <c r="BXJ252" s="537"/>
      <c r="BXK252" s="537"/>
      <c r="BXL252" s="537"/>
      <c r="BXM252" s="537"/>
      <c r="BXN252" s="537"/>
      <c r="BXO252" s="537"/>
      <c r="BXP252" s="537"/>
      <c r="BXQ252" s="537"/>
      <c r="BXR252" s="537"/>
      <c r="BXS252" s="537"/>
      <c r="BXT252" s="537"/>
      <c r="BXU252" s="537"/>
      <c r="BXV252" s="537"/>
      <c r="BXW252" s="537"/>
      <c r="BXX252" s="537"/>
      <c r="BXY252" s="537"/>
      <c r="BXZ252" s="537"/>
      <c r="BYA252" s="537"/>
      <c r="BYB252" s="537"/>
      <c r="BYC252" s="537"/>
      <c r="BYD252" s="537"/>
      <c r="BYE252" s="537"/>
      <c r="BYF252" s="537"/>
      <c r="BYG252" s="537"/>
      <c r="BYH252" s="537"/>
      <c r="BYI252" s="537"/>
      <c r="BYJ252" s="537"/>
      <c r="BYK252" s="537"/>
      <c r="BYL252" s="537"/>
      <c r="BYM252" s="537"/>
      <c r="BYN252" s="537"/>
      <c r="BYO252" s="537"/>
      <c r="BYP252" s="537"/>
      <c r="BYQ252" s="537"/>
      <c r="BYR252" s="537"/>
      <c r="BYS252" s="537"/>
      <c r="BYT252" s="537"/>
      <c r="BYU252" s="537"/>
      <c r="BYV252" s="537"/>
      <c r="BYW252" s="537"/>
      <c r="BYX252" s="537"/>
      <c r="BYY252" s="537"/>
      <c r="BYZ252" s="537"/>
      <c r="BZA252" s="537"/>
      <c r="BZB252" s="537"/>
      <c r="BZC252" s="537"/>
      <c r="BZD252" s="537"/>
      <c r="BZE252" s="537"/>
      <c r="BZF252" s="537"/>
      <c r="BZG252" s="537"/>
      <c r="BZH252" s="537"/>
      <c r="BZI252" s="537"/>
      <c r="BZJ252" s="537"/>
      <c r="BZK252" s="537"/>
      <c r="BZL252" s="537"/>
      <c r="BZM252" s="537"/>
      <c r="BZN252" s="537"/>
      <c r="BZO252" s="537"/>
      <c r="BZP252" s="537"/>
      <c r="BZQ252" s="537"/>
      <c r="BZR252" s="537"/>
      <c r="BZS252" s="537"/>
      <c r="BZT252" s="537"/>
      <c r="BZU252" s="537"/>
      <c r="BZV252" s="537"/>
      <c r="BZW252" s="537"/>
      <c r="BZX252" s="537"/>
      <c r="BZY252" s="537"/>
      <c r="BZZ252" s="537"/>
      <c r="CAA252" s="537"/>
      <c r="CAB252" s="537"/>
      <c r="CAC252" s="537"/>
      <c r="CAD252" s="537"/>
      <c r="CAE252" s="537"/>
      <c r="CAF252" s="537"/>
      <c r="CAG252" s="537"/>
      <c r="CAH252" s="537"/>
      <c r="CAI252" s="537"/>
      <c r="CAJ252" s="537"/>
      <c r="CAK252" s="537"/>
      <c r="CAL252" s="537"/>
      <c r="CAM252" s="537"/>
      <c r="CAN252" s="537"/>
      <c r="CAO252" s="537"/>
      <c r="CAP252" s="537"/>
      <c r="CAQ252" s="537"/>
      <c r="CAR252" s="537"/>
      <c r="CAS252" s="537"/>
      <c r="CAT252" s="537"/>
      <c r="CAU252" s="537"/>
      <c r="CAV252" s="537"/>
      <c r="CAW252" s="537"/>
      <c r="CAX252" s="537"/>
      <c r="CAY252" s="537"/>
      <c r="CAZ252" s="537"/>
      <c r="CBA252" s="537"/>
      <c r="CBB252" s="537"/>
      <c r="CBC252" s="537"/>
      <c r="CBD252" s="537"/>
      <c r="CBE252" s="537"/>
      <c r="CBF252" s="537"/>
      <c r="CBG252" s="537"/>
      <c r="CBH252" s="537"/>
      <c r="CBI252" s="537"/>
      <c r="CBJ252" s="537"/>
      <c r="CBK252" s="537"/>
      <c r="CBL252" s="537"/>
      <c r="CBM252" s="537"/>
      <c r="CBN252" s="537"/>
      <c r="CBO252" s="537"/>
      <c r="CBP252" s="537"/>
      <c r="CBQ252" s="537"/>
      <c r="CBR252" s="537"/>
      <c r="CBS252" s="537"/>
      <c r="CBT252" s="537"/>
      <c r="CBU252" s="537"/>
      <c r="CBV252" s="537"/>
      <c r="CBW252" s="537"/>
      <c r="CBX252" s="537"/>
      <c r="CBY252" s="537"/>
      <c r="CBZ252" s="537"/>
      <c r="CCA252" s="537"/>
      <c r="CCB252" s="537"/>
      <c r="CCC252" s="537"/>
      <c r="CCD252" s="537"/>
      <c r="CCE252" s="537"/>
      <c r="CCF252" s="537"/>
      <c r="CCG252" s="537"/>
      <c r="CCH252" s="537"/>
      <c r="CCI252" s="537"/>
      <c r="CCJ252" s="537"/>
      <c r="CCK252" s="537"/>
      <c r="CCL252" s="537"/>
      <c r="CCM252" s="537"/>
      <c r="CCN252" s="537"/>
      <c r="CCO252" s="537"/>
      <c r="CCP252" s="537"/>
      <c r="CCQ252" s="537"/>
      <c r="CCR252" s="537"/>
      <c r="CCS252" s="537"/>
      <c r="CCT252" s="537"/>
      <c r="CCU252" s="537"/>
      <c r="CCV252" s="537"/>
      <c r="CCW252" s="537"/>
      <c r="CCX252" s="537"/>
      <c r="CCY252" s="537"/>
      <c r="CCZ252" s="537"/>
      <c r="CDA252" s="537"/>
      <c r="CDB252" s="537"/>
      <c r="CDC252" s="537"/>
      <c r="CDD252" s="537"/>
      <c r="CDE252" s="537"/>
      <c r="CDF252" s="537"/>
      <c r="CDG252" s="537"/>
      <c r="CDH252" s="537"/>
      <c r="CDI252" s="537"/>
      <c r="CDJ252" s="537"/>
      <c r="CDK252" s="537"/>
      <c r="CDL252" s="537"/>
      <c r="CDM252" s="537"/>
      <c r="CDN252" s="537"/>
      <c r="CDO252" s="537"/>
      <c r="CDP252" s="537"/>
      <c r="CDQ252" s="537"/>
      <c r="CDR252" s="537"/>
      <c r="CDS252" s="537"/>
      <c r="CDT252" s="537"/>
      <c r="CDU252" s="537"/>
      <c r="CDV252" s="537"/>
      <c r="CDW252" s="537"/>
      <c r="CDX252" s="537"/>
      <c r="CDY252" s="537"/>
      <c r="CDZ252" s="537"/>
      <c r="CEA252" s="537"/>
      <c r="CEB252" s="537"/>
      <c r="CEC252" s="537"/>
      <c r="CED252" s="537"/>
      <c r="CEE252" s="537"/>
      <c r="CEF252" s="537"/>
      <c r="CEG252" s="537"/>
      <c r="CEH252" s="537"/>
      <c r="CEI252" s="537"/>
      <c r="CEJ252" s="537"/>
      <c r="CEK252" s="537"/>
      <c r="CEL252" s="537"/>
      <c r="CEM252" s="537"/>
      <c r="CEN252" s="537"/>
      <c r="CEO252" s="537"/>
      <c r="CEP252" s="537"/>
      <c r="CEQ252" s="537"/>
      <c r="CER252" s="537"/>
      <c r="CES252" s="537"/>
      <c r="CET252" s="537"/>
      <c r="CEU252" s="537"/>
      <c r="CEV252" s="537"/>
      <c r="CEW252" s="537"/>
      <c r="CEX252" s="537"/>
      <c r="CEY252" s="537"/>
      <c r="CEZ252" s="537"/>
      <c r="CFA252" s="537"/>
      <c r="CFB252" s="537"/>
      <c r="CFC252" s="537"/>
      <c r="CFD252" s="537"/>
      <c r="CFE252" s="537"/>
      <c r="CFF252" s="537"/>
      <c r="CFG252" s="537"/>
      <c r="CFH252" s="537"/>
      <c r="CFI252" s="537"/>
      <c r="CFJ252" s="537"/>
      <c r="CFK252" s="537"/>
      <c r="CFL252" s="537"/>
      <c r="CFM252" s="537"/>
      <c r="CFN252" s="537"/>
      <c r="CFO252" s="537"/>
      <c r="CFP252" s="537"/>
      <c r="CFQ252" s="537"/>
      <c r="CFR252" s="537"/>
      <c r="CFS252" s="537"/>
      <c r="CFT252" s="537"/>
      <c r="CFU252" s="537"/>
      <c r="CFV252" s="537"/>
      <c r="CFW252" s="537"/>
      <c r="CFX252" s="537"/>
      <c r="CFY252" s="537"/>
      <c r="CFZ252" s="537"/>
      <c r="CGA252" s="537"/>
      <c r="CGB252" s="537"/>
      <c r="CGC252" s="537"/>
      <c r="CGD252" s="537"/>
      <c r="CGE252" s="537"/>
      <c r="CGF252" s="537"/>
      <c r="CGG252" s="537"/>
      <c r="CGH252" s="537"/>
      <c r="CGI252" s="537"/>
      <c r="CGJ252" s="537"/>
      <c r="CGK252" s="537"/>
      <c r="CGL252" s="537"/>
      <c r="CGM252" s="537"/>
      <c r="CGN252" s="537"/>
      <c r="CGO252" s="537"/>
      <c r="CGP252" s="537"/>
      <c r="CGQ252" s="537"/>
      <c r="CGR252" s="537"/>
      <c r="CGS252" s="537"/>
      <c r="CGT252" s="537"/>
      <c r="CGU252" s="537"/>
      <c r="CGV252" s="537"/>
      <c r="CGW252" s="537"/>
      <c r="CGX252" s="537"/>
      <c r="CGY252" s="537"/>
      <c r="CGZ252" s="537"/>
      <c r="CHA252" s="537"/>
      <c r="CHB252" s="537"/>
      <c r="CHC252" s="537"/>
      <c r="CHD252" s="537"/>
      <c r="CHE252" s="537"/>
      <c r="CHF252" s="537"/>
      <c r="CHG252" s="537"/>
      <c r="CHH252" s="537"/>
      <c r="CHI252" s="537"/>
      <c r="CHJ252" s="537"/>
      <c r="CHK252" s="537"/>
      <c r="CHL252" s="537"/>
      <c r="CHM252" s="537"/>
      <c r="CHN252" s="537"/>
      <c r="CHO252" s="537"/>
      <c r="CHP252" s="537"/>
      <c r="CHQ252" s="537"/>
      <c r="CHR252" s="537"/>
      <c r="CHS252" s="537"/>
      <c r="CHT252" s="537"/>
      <c r="CHU252" s="537"/>
      <c r="CHV252" s="537"/>
      <c r="CHW252" s="537"/>
      <c r="CHX252" s="537"/>
      <c r="CHY252" s="537"/>
      <c r="CHZ252" s="537"/>
      <c r="CIA252" s="537"/>
      <c r="CIB252" s="537"/>
      <c r="CIC252" s="537"/>
      <c r="CID252" s="537"/>
      <c r="CIE252" s="537"/>
      <c r="CIF252" s="537"/>
      <c r="CIG252" s="537"/>
      <c r="CIH252" s="537"/>
      <c r="CII252" s="537"/>
      <c r="CIJ252" s="537"/>
      <c r="CIK252" s="537"/>
      <c r="CIL252" s="537"/>
      <c r="CIM252" s="537"/>
      <c r="CIN252" s="537"/>
      <c r="CIO252" s="537"/>
      <c r="CIP252" s="537"/>
      <c r="CIQ252" s="537"/>
      <c r="CIR252" s="537"/>
      <c r="CIS252" s="537"/>
      <c r="CIT252" s="537"/>
      <c r="CIU252" s="537"/>
      <c r="CIV252" s="537"/>
      <c r="CIW252" s="537"/>
      <c r="CIX252" s="537"/>
      <c r="CIY252" s="537"/>
      <c r="CIZ252" s="537"/>
      <c r="CJA252" s="537"/>
      <c r="CJB252" s="537"/>
      <c r="CJC252" s="537"/>
      <c r="CJD252" s="537"/>
      <c r="CJE252" s="537"/>
      <c r="CJF252" s="537"/>
      <c r="CJG252" s="537"/>
      <c r="CJH252" s="537"/>
      <c r="CJI252" s="537"/>
      <c r="CJJ252" s="537"/>
      <c r="CJK252" s="537"/>
      <c r="CJL252" s="537"/>
      <c r="CJM252" s="537"/>
      <c r="CJN252" s="537"/>
      <c r="CJO252" s="537"/>
      <c r="CJP252" s="537"/>
      <c r="CJQ252" s="537"/>
      <c r="CJR252" s="537"/>
      <c r="CJS252" s="537"/>
      <c r="CJT252" s="537"/>
      <c r="CJU252" s="537"/>
      <c r="CJV252" s="537"/>
      <c r="CJW252" s="537"/>
      <c r="CJX252" s="537"/>
      <c r="CJY252" s="537"/>
      <c r="CJZ252" s="537"/>
      <c r="CKA252" s="537"/>
      <c r="CKB252" s="537"/>
      <c r="CKC252" s="537"/>
      <c r="CKD252" s="537"/>
      <c r="CKE252" s="537"/>
      <c r="CKF252" s="537"/>
      <c r="CKG252" s="537"/>
      <c r="CKH252" s="537"/>
      <c r="CKI252" s="537"/>
      <c r="CKJ252" s="537"/>
      <c r="CKK252" s="537"/>
      <c r="CKL252" s="537"/>
      <c r="CKM252" s="537"/>
      <c r="CKN252" s="537"/>
      <c r="CKO252" s="537"/>
      <c r="CKP252" s="537"/>
      <c r="CKQ252" s="537"/>
      <c r="CKR252" s="537"/>
      <c r="CKS252" s="537"/>
      <c r="CKT252" s="537"/>
      <c r="CKU252" s="537"/>
      <c r="CKV252" s="537"/>
      <c r="CKW252" s="537"/>
      <c r="CKX252" s="537"/>
      <c r="CKY252" s="537"/>
      <c r="CKZ252" s="537"/>
      <c r="CLA252" s="537"/>
      <c r="CLB252" s="537"/>
      <c r="CLC252" s="537"/>
      <c r="CLD252" s="537"/>
      <c r="CLE252" s="537"/>
      <c r="CLF252" s="537"/>
      <c r="CLG252" s="537"/>
      <c r="CLH252" s="537"/>
      <c r="CLI252" s="537"/>
      <c r="CLJ252" s="537"/>
      <c r="CLK252" s="537"/>
      <c r="CLL252" s="537"/>
      <c r="CLM252" s="537"/>
      <c r="CLN252" s="537"/>
      <c r="CLO252" s="537"/>
      <c r="CLP252" s="537"/>
      <c r="CLQ252" s="537"/>
      <c r="CLR252" s="537"/>
      <c r="CLS252" s="537"/>
      <c r="CLT252" s="537"/>
      <c r="CLU252" s="537"/>
      <c r="CLV252" s="537"/>
      <c r="CLW252" s="537"/>
      <c r="CLX252" s="537"/>
      <c r="CLY252" s="537"/>
      <c r="CLZ252" s="537"/>
      <c r="CMA252" s="537"/>
      <c r="CMB252" s="537"/>
      <c r="CMC252" s="537"/>
      <c r="CMD252" s="537"/>
      <c r="CME252" s="537"/>
      <c r="CMF252" s="537"/>
      <c r="CMG252" s="537"/>
      <c r="CMH252" s="537"/>
      <c r="CMI252" s="537"/>
      <c r="CMJ252" s="537"/>
      <c r="CMK252" s="537"/>
      <c r="CML252" s="537"/>
      <c r="CMM252" s="537"/>
      <c r="CMN252" s="537"/>
      <c r="CMO252" s="537"/>
      <c r="CMP252" s="537"/>
      <c r="CMQ252" s="537"/>
      <c r="CMR252" s="537"/>
      <c r="CMS252" s="537"/>
      <c r="CMT252" s="537"/>
      <c r="CMU252" s="537"/>
      <c r="CMV252" s="537"/>
      <c r="CMW252" s="537"/>
      <c r="CMX252" s="537"/>
      <c r="CMY252" s="537"/>
      <c r="CMZ252" s="537"/>
      <c r="CNA252" s="537"/>
      <c r="CNB252" s="537"/>
      <c r="CNC252" s="537"/>
      <c r="CND252" s="537"/>
      <c r="CNE252" s="537"/>
      <c r="CNF252" s="537"/>
      <c r="CNG252" s="537"/>
      <c r="CNH252" s="537"/>
      <c r="CNI252" s="537"/>
      <c r="CNJ252" s="537"/>
      <c r="CNK252" s="537"/>
      <c r="CNL252" s="537"/>
      <c r="CNM252" s="537"/>
      <c r="CNN252" s="537"/>
      <c r="CNO252" s="537"/>
      <c r="CNP252" s="537"/>
      <c r="CNQ252" s="537"/>
      <c r="CNR252" s="537"/>
      <c r="CNS252" s="537"/>
      <c r="CNT252" s="537"/>
      <c r="CNU252" s="537"/>
      <c r="CNV252" s="537"/>
      <c r="CNW252" s="537"/>
      <c r="CNX252" s="537"/>
      <c r="CNY252" s="537"/>
      <c r="CNZ252" s="537"/>
      <c r="COA252" s="537"/>
      <c r="COB252" s="537"/>
      <c r="COC252" s="537"/>
      <c r="COD252" s="537"/>
      <c r="COE252" s="537"/>
      <c r="COF252" s="537"/>
      <c r="COG252" s="537"/>
      <c r="COH252" s="537"/>
      <c r="COI252" s="537"/>
      <c r="COJ252" s="537"/>
      <c r="COK252" s="537"/>
      <c r="COL252" s="537"/>
      <c r="COM252" s="537"/>
      <c r="CON252" s="537"/>
      <c r="COO252" s="537"/>
      <c r="COP252" s="537"/>
      <c r="COQ252" s="537"/>
      <c r="COR252" s="537"/>
      <c r="COS252" s="537"/>
      <c r="COT252" s="537"/>
      <c r="COU252" s="537"/>
      <c r="COV252" s="537"/>
      <c r="COW252" s="537"/>
      <c r="COX252" s="537"/>
      <c r="COY252" s="537"/>
      <c r="COZ252" s="537"/>
      <c r="CPA252" s="537"/>
      <c r="CPB252" s="537"/>
      <c r="CPC252" s="537"/>
      <c r="CPD252" s="537"/>
      <c r="CPE252" s="537"/>
      <c r="CPF252" s="537"/>
      <c r="CPG252" s="537"/>
      <c r="CPH252" s="537"/>
      <c r="CPI252" s="537"/>
      <c r="CPJ252" s="537"/>
      <c r="CPK252" s="537"/>
      <c r="CPL252" s="537"/>
      <c r="CPM252" s="537"/>
      <c r="CPN252" s="537"/>
      <c r="CPO252" s="537"/>
      <c r="CPP252" s="537"/>
      <c r="CPQ252" s="537"/>
      <c r="CPR252" s="537"/>
      <c r="CPS252" s="537"/>
      <c r="CPT252" s="537"/>
      <c r="CPU252" s="537"/>
      <c r="CPV252" s="537"/>
      <c r="CPW252" s="537"/>
      <c r="CPX252" s="537"/>
      <c r="CPY252" s="537"/>
      <c r="CPZ252" s="537"/>
      <c r="CQA252" s="537"/>
      <c r="CQB252" s="537"/>
      <c r="CQC252" s="537"/>
      <c r="CQD252" s="537"/>
      <c r="CQE252" s="537"/>
      <c r="CQF252" s="537"/>
      <c r="CQG252" s="537"/>
      <c r="CQH252" s="537"/>
      <c r="CQI252" s="537"/>
      <c r="CQJ252" s="537"/>
      <c r="CQK252" s="537"/>
      <c r="CQL252" s="537"/>
      <c r="CQM252" s="537"/>
      <c r="CQN252" s="537"/>
      <c r="CQO252" s="537"/>
      <c r="CQP252" s="537"/>
      <c r="CQQ252" s="537"/>
      <c r="CQR252" s="537"/>
      <c r="CQS252" s="537"/>
      <c r="CQT252" s="537"/>
      <c r="CQU252" s="537"/>
      <c r="CQV252" s="537"/>
      <c r="CQW252" s="537"/>
      <c r="CQX252" s="537"/>
      <c r="CQY252" s="537"/>
      <c r="CQZ252" s="537"/>
      <c r="CRA252" s="537"/>
      <c r="CRB252" s="537"/>
      <c r="CRC252" s="537"/>
      <c r="CRD252" s="537"/>
      <c r="CRE252" s="537"/>
      <c r="CRF252" s="537"/>
      <c r="CRG252" s="537"/>
      <c r="CRH252" s="537"/>
      <c r="CRI252" s="537"/>
      <c r="CRJ252" s="537"/>
      <c r="CRK252" s="537"/>
      <c r="CRL252" s="537"/>
      <c r="CRM252" s="537"/>
      <c r="CRN252" s="537"/>
      <c r="CRO252" s="537"/>
      <c r="CRP252" s="537"/>
      <c r="CRQ252" s="537"/>
      <c r="CRR252" s="537"/>
      <c r="CRS252" s="537"/>
      <c r="CRT252" s="537"/>
      <c r="CRU252" s="537"/>
      <c r="CRV252" s="537"/>
      <c r="CRW252" s="537"/>
      <c r="CRX252" s="537"/>
      <c r="CRY252" s="537"/>
      <c r="CRZ252" s="537"/>
      <c r="CSA252" s="537"/>
      <c r="CSB252" s="537"/>
      <c r="CSC252" s="537"/>
      <c r="CSD252" s="537"/>
      <c r="CSE252" s="537"/>
      <c r="CSF252" s="537"/>
      <c r="CSG252" s="537"/>
      <c r="CSH252" s="537"/>
      <c r="CSI252" s="537"/>
      <c r="CSJ252" s="537"/>
      <c r="CSK252" s="537"/>
      <c r="CSL252" s="537"/>
      <c r="CSM252" s="537"/>
      <c r="CSN252" s="537"/>
      <c r="CSO252" s="537"/>
      <c r="CSP252" s="537"/>
      <c r="CSQ252" s="537"/>
      <c r="CSR252" s="537"/>
      <c r="CSS252" s="537"/>
      <c r="CST252" s="537"/>
      <c r="CSU252" s="537"/>
      <c r="CSV252" s="537"/>
      <c r="CSW252" s="537"/>
      <c r="CSX252" s="537"/>
      <c r="CSY252" s="537"/>
      <c r="CSZ252" s="537"/>
      <c r="CTA252" s="537"/>
      <c r="CTB252" s="537"/>
      <c r="CTC252" s="537"/>
      <c r="CTD252" s="537"/>
      <c r="CTE252" s="537"/>
      <c r="CTF252" s="537"/>
      <c r="CTG252" s="537"/>
      <c r="CTH252" s="537"/>
      <c r="CTI252" s="537"/>
      <c r="CTJ252" s="537"/>
      <c r="CTK252" s="537"/>
      <c r="CTL252" s="537"/>
      <c r="CTM252" s="537"/>
      <c r="CTN252" s="537"/>
      <c r="CTO252" s="537"/>
      <c r="CTP252" s="537"/>
      <c r="CTQ252" s="537"/>
      <c r="CTR252" s="537"/>
      <c r="CTS252" s="537"/>
      <c r="CTT252" s="537"/>
      <c r="CTU252" s="537"/>
      <c r="CTV252" s="537"/>
      <c r="CTW252" s="537"/>
      <c r="CTX252" s="537"/>
      <c r="CTY252" s="537"/>
      <c r="CTZ252" s="537"/>
      <c r="CUA252" s="537"/>
      <c r="CUB252" s="537"/>
      <c r="CUC252" s="537"/>
      <c r="CUD252" s="537"/>
      <c r="CUE252" s="537"/>
      <c r="CUF252" s="537"/>
      <c r="CUG252" s="537"/>
      <c r="CUH252" s="537"/>
      <c r="CUI252" s="537"/>
      <c r="CUJ252" s="537"/>
      <c r="CUK252" s="537"/>
      <c r="CUL252" s="537"/>
      <c r="CUM252" s="537"/>
      <c r="CUN252" s="537"/>
      <c r="CUO252" s="537"/>
      <c r="CUP252" s="537"/>
      <c r="CUQ252" s="537"/>
      <c r="CUR252" s="537"/>
      <c r="CUS252" s="537"/>
      <c r="CUT252" s="537"/>
      <c r="CUU252" s="537"/>
      <c r="CUV252" s="537"/>
      <c r="CUW252" s="537"/>
      <c r="CUX252" s="537"/>
      <c r="CUY252" s="537"/>
      <c r="CUZ252" s="537"/>
      <c r="CVA252" s="537"/>
      <c r="CVB252" s="537"/>
      <c r="CVC252" s="537"/>
      <c r="CVD252" s="537"/>
      <c r="CVE252" s="537"/>
      <c r="CVF252" s="537"/>
      <c r="CVG252" s="537"/>
      <c r="CVH252" s="537"/>
      <c r="CVI252" s="537"/>
      <c r="CVJ252" s="537"/>
      <c r="CVK252" s="537"/>
      <c r="CVL252" s="537"/>
      <c r="CVM252" s="537"/>
      <c r="CVN252" s="537"/>
      <c r="CVO252" s="537"/>
      <c r="CVP252" s="537"/>
      <c r="CVQ252" s="537"/>
      <c r="CVR252" s="537"/>
      <c r="CVS252" s="537"/>
      <c r="CVT252" s="537"/>
      <c r="CVU252" s="537"/>
      <c r="CVV252" s="537"/>
      <c r="CVW252" s="537"/>
      <c r="CVX252" s="537"/>
      <c r="CVY252" s="537"/>
      <c r="CVZ252" s="537"/>
      <c r="CWA252" s="537"/>
      <c r="CWB252" s="537"/>
      <c r="CWC252" s="537"/>
      <c r="CWD252" s="537"/>
      <c r="CWE252" s="537"/>
      <c r="CWF252" s="537"/>
      <c r="CWG252" s="537"/>
      <c r="CWH252" s="537"/>
      <c r="CWI252" s="537"/>
      <c r="CWJ252" s="537"/>
      <c r="CWK252" s="537"/>
      <c r="CWL252" s="537"/>
      <c r="CWM252" s="537"/>
      <c r="CWN252" s="537"/>
      <c r="CWO252" s="537"/>
      <c r="CWP252" s="537"/>
      <c r="CWQ252" s="537"/>
      <c r="CWR252" s="537"/>
      <c r="CWS252" s="537"/>
      <c r="CWT252" s="537"/>
      <c r="CWU252" s="537"/>
      <c r="CWV252" s="537"/>
      <c r="CWW252" s="537"/>
      <c r="CWX252" s="537"/>
      <c r="CWY252" s="537"/>
      <c r="CWZ252" s="537"/>
      <c r="CXA252" s="537"/>
      <c r="CXB252" s="537"/>
      <c r="CXC252" s="537"/>
      <c r="CXD252" s="537"/>
      <c r="CXE252" s="537"/>
      <c r="CXF252" s="537"/>
      <c r="CXG252" s="537"/>
      <c r="CXH252" s="537"/>
      <c r="CXI252" s="537"/>
      <c r="CXJ252" s="537"/>
      <c r="CXK252" s="537"/>
      <c r="CXL252" s="537"/>
      <c r="CXM252" s="537"/>
      <c r="CXN252" s="537"/>
      <c r="CXO252" s="537"/>
      <c r="CXP252" s="537"/>
      <c r="CXQ252" s="537"/>
      <c r="CXR252" s="537"/>
      <c r="CXS252" s="537"/>
      <c r="CXT252" s="537"/>
      <c r="CXU252" s="537"/>
      <c r="CXV252" s="537"/>
      <c r="CXW252" s="537"/>
      <c r="CXX252" s="537"/>
      <c r="CXY252" s="537"/>
      <c r="CXZ252" s="537"/>
      <c r="CYA252" s="537"/>
      <c r="CYB252" s="537"/>
      <c r="CYC252" s="537"/>
      <c r="CYD252" s="537"/>
      <c r="CYE252" s="537"/>
      <c r="CYF252" s="537"/>
      <c r="CYG252" s="537"/>
      <c r="CYH252" s="537"/>
      <c r="CYI252" s="537"/>
      <c r="CYJ252" s="537"/>
      <c r="CYK252" s="537"/>
      <c r="CYL252" s="537"/>
      <c r="CYM252" s="537"/>
      <c r="CYN252" s="537"/>
      <c r="CYO252" s="537"/>
      <c r="CYP252" s="537"/>
      <c r="CYQ252" s="537"/>
      <c r="CYR252" s="537"/>
      <c r="CYS252" s="537"/>
      <c r="CYT252" s="537"/>
      <c r="CYU252" s="537"/>
      <c r="CYV252" s="537"/>
      <c r="CYW252" s="537"/>
      <c r="CYX252" s="537"/>
      <c r="CYY252" s="537"/>
      <c r="CYZ252" s="537"/>
      <c r="CZA252" s="537"/>
      <c r="CZB252" s="537"/>
      <c r="CZC252" s="537"/>
      <c r="CZD252" s="537"/>
      <c r="CZE252" s="537"/>
      <c r="CZF252" s="537"/>
      <c r="CZG252" s="537"/>
      <c r="CZH252" s="537"/>
      <c r="CZI252" s="537"/>
      <c r="CZJ252" s="537"/>
      <c r="CZK252" s="537"/>
      <c r="CZL252" s="537"/>
      <c r="CZM252" s="537"/>
      <c r="CZN252" s="537"/>
      <c r="CZO252" s="537"/>
      <c r="CZP252" s="537"/>
      <c r="CZQ252" s="537"/>
      <c r="CZR252" s="537"/>
      <c r="CZS252" s="537"/>
      <c r="CZT252" s="537"/>
      <c r="CZU252" s="537"/>
      <c r="CZV252" s="537"/>
      <c r="CZW252" s="537"/>
      <c r="CZX252" s="537"/>
      <c r="CZY252" s="537"/>
      <c r="CZZ252" s="537"/>
      <c r="DAA252" s="537"/>
      <c r="DAB252" s="537"/>
      <c r="DAC252" s="537"/>
      <c r="DAD252" s="537"/>
      <c r="DAE252" s="537"/>
      <c r="DAF252" s="537"/>
      <c r="DAG252" s="537"/>
      <c r="DAH252" s="537"/>
      <c r="DAI252" s="537"/>
      <c r="DAJ252" s="537"/>
      <c r="DAK252" s="537"/>
      <c r="DAL252" s="537"/>
      <c r="DAM252" s="537"/>
      <c r="DAN252" s="537"/>
      <c r="DAO252" s="537"/>
      <c r="DAP252" s="537"/>
      <c r="DAQ252" s="537"/>
      <c r="DAR252" s="537"/>
      <c r="DAS252" s="537"/>
      <c r="DAT252" s="537"/>
      <c r="DAU252" s="537"/>
      <c r="DAV252" s="537"/>
      <c r="DAW252" s="537"/>
      <c r="DAX252" s="537"/>
      <c r="DAY252" s="537"/>
      <c r="DAZ252" s="537"/>
      <c r="DBA252" s="537"/>
      <c r="DBB252" s="537"/>
      <c r="DBC252" s="537"/>
      <c r="DBD252" s="537"/>
      <c r="DBE252" s="537"/>
      <c r="DBF252" s="537"/>
      <c r="DBG252" s="537"/>
      <c r="DBH252" s="537"/>
      <c r="DBI252" s="537"/>
      <c r="DBJ252" s="537"/>
      <c r="DBK252" s="537"/>
      <c r="DBL252" s="537"/>
      <c r="DBM252" s="537"/>
      <c r="DBN252" s="537"/>
      <c r="DBO252" s="537"/>
      <c r="DBP252" s="537"/>
      <c r="DBQ252" s="537"/>
      <c r="DBR252" s="537"/>
      <c r="DBS252" s="537"/>
      <c r="DBT252" s="537"/>
      <c r="DBU252" s="537"/>
      <c r="DBV252" s="537"/>
      <c r="DBW252" s="537"/>
      <c r="DBX252" s="537"/>
      <c r="DBY252" s="537"/>
      <c r="DBZ252" s="537"/>
      <c r="DCA252" s="537"/>
      <c r="DCB252" s="537"/>
      <c r="DCC252" s="537"/>
      <c r="DCD252" s="537"/>
      <c r="DCE252" s="537"/>
      <c r="DCF252" s="537"/>
      <c r="DCG252" s="537"/>
      <c r="DCH252" s="537"/>
      <c r="DCI252" s="537"/>
      <c r="DCJ252" s="537"/>
      <c r="DCK252" s="537"/>
      <c r="DCL252" s="537"/>
      <c r="DCM252" s="537"/>
      <c r="DCN252" s="537"/>
      <c r="DCO252" s="537"/>
      <c r="DCP252" s="537"/>
      <c r="DCQ252" s="537"/>
      <c r="DCR252" s="537"/>
      <c r="DCS252" s="537"/>
      <c r="DCT252" s="537"/>
      <c r="DCU252" s="537"/>
      <c r="DCV252" s="537"/>
      <c r="DCW252" s="537"/>
      <c r="DCX252" s="537"/>
      <c r="DCY252" s="537"/>
      <c r="DCZ252" s="537"/>
      <c r="DDA252" s="537"/>
      <c r="DDB252" s="537"/>
      <c r="DDC252" s="537"/>
      <c r="DDD252" s="537"/>
      <c r="DDE252" s="537"/>
      <c r="DDF252" s="537"/>
      <c r="DDG252" s="537"/>
      <c r="DDH252" s="537"/>
      <c r="DDI252" s="537"/>
      <c r="DDJ252" s="537"/>
      <c r="DDK252" s="537"/>
      <c r="DDL252" s="537"/>
      <c r="DDM252" s="537"/>
      <c r="DDN252" s="537"/>
      <c r="DDO252" s="537"/>
      <c r="DDP252" s="537"/>
      <c r="DDQ252" s="537"/>
      <c r="DDR252" s="537"/>
      <c r="DDS252" s="537"/>
      <c r="DDT252" s="537"/>
      <c r="DDU252" s="537"/>
      <c r="DDV252" s="537"/>
      <c r="DDW252" s="537"/>
      <c r="DDX252" s="537"/>
      <c r="DDY252" s="537"/>
      <c r="DDZ252" s="537"/>
      <c r="DEA252" s="537"/>
      <c r="DEB252" s="537"/>
      <c r="DEC252" s="537"/>
      <c r="DED252" s="537"/>
      <c r="DEE252" s="537"/>
      <c r="DEF252" s="537"/>
      <c r="DEG252" s="537"/>
      <c r="DEH252" s="537"/>
      <c r="DEI252" s="537"/>
      <c r="DEJ252" s="537"/>
      <c r="DEK252" s="537"/>
      <c r="DEL252" s="537"/>
      <c r="DEM252" s="537"/>
      <c r="DEN252" s="537"/>
      <c r="DEO252" s="537"/>
      <c r="DEP252" s="537"/>
      <c r="DEQ252" s="537"/>
      <c r="DER252" s="537"/>
      <c r="DES252" s="537"/>
      <c r="DET252" s="537"/>
      <c r="DEU252" s="537"/>
      <c r="DEV252" s="537"/>
      <c r="DEW252" s="537"/>
      <c r="DEX252" s="537"/>
      <c r="DEY252" s="537"/>
      <c r="DEZ252" s="537"/>
      <c r="DFA252" s="537"/>
      <c r="DFB252" s="537"/>
      <c r="DFC252" s="537"/>
      <c r="DFD252" s="537"/>
      <c r="DFE252" s="537"/>
      <c r="DFF252" s="537"/>
      <c r="DFG252" s="537"/>
      <c r="DFH252" s="537"/>
      <c r="DFI252" s="537"/>
      <c r="DFJ252" s="537"/>
      <c r="DFK252" s="537"/>
      <c r="DFL252" s="537"/>
      <c r="DFM252" s="537"/>
      <c r="DFN252" s="537"/>
      <c r="DFO252" s="537"/>
      <c r="DFP252" s="537"/>
      <c r="DFQ252" s="537"/>
      <c r="DFR252" s="537"/>
      <c r="DFS252" s="537"/>
      <c r="DFT252" s="537"/>
      <c r="DFU252" s="537"/>
      <c r="DFV252" s="537"/>
      <c r="DFW252" s="537"/>
      <c r="DFX252" s="537"/>
      <c r="DFY252" s="537"/>
      <c r="DFZ252" s="537"/>
      <c r="DGA252" s="537"/>
      <c r="DGB252" s="537"/>
      <c r="DGC252" s="537"/>
      <c r="DGD252" s="537"/>
      <c r="DGE252" s="537"/>
      <c r="DGF252" s="537"/>
      <c r="DGG252" s="537"/>
      <c r="DGH252" s="537"/>
      <c r="DGI252" s="537"/>
      <c r="DGJ252" s="537"/>
      <c r="DGK252" s="537"/>
      <c r="DGL252" s="537"/>
      <c r="DGM252" s="537"/>
      <c r="DGN252" s="537"/>
      <c r="DGO252" s="537"/>
      <c r="DGP252" s="537"/>
      <c r="DGQ252" s="537"/>
      <c r="DGR252" s="537"/>
      <c r="DGS252" s="537"/>
      <c r="DGT252" s="537"/>
      <c r="DGU252" s="537"/>
      <c r="DGV252" s="537"/>
      <c r="DGW252" s="537"/>
      <c r="DGX252" s="537"/>
      <c r="DGY252" s="537"/>
      <c r="DGZ252" s="537"/>
      <c r="DHA252" s="537"/>
      <c r="DHB252" s="537"/>
      <c r="DHC252" s="537"/>
      <c r="DHD252" s="537"/>
      <c r="DHE252" s="537"/>
      <c r="DHF252" s="537"/>
      <c r="DHG252" s="537"/>
      <c r="DHH252" s="537"/>
      <c r="DHI252" s="537"/>
      <c r="DHJ252" s="537"/>
      <c r="DHK252" s="537"/>
      <c r="DHL252" s="537"/>
      <c r="DHM252" s="537"/>
      <c r="DHN252" s="537"/>
      <c r="DHO252" s="537"/>
      <c r="DHP252" s="537"/>
      <c r="DHQ252" s="537"/>
      <c r="DHR252" s="537"/>
      <c r="DHS252" s="537"/>
      <c r="DHT252" s="537"/>
      <c r="DHU252" s="537"/>
      <c r="DHV252" s="537"/>
      <c r="DHW252" s="537"/>
      <c r="DHX252" s="537"/>
      <c r="DHY252" s="537"/>
      <c r="DHZ252" s="537"/>
      <c r="DIA252" s="537"/>
      <c r="DIB252" s="537"/>
      <c r="DIC252" s="537"/>
      <c r="DID252" s="537"/>
      <c r="DIE252" s="537"/>
      <c r="DIF252" s="537"/>
      <c r="DIG252" s="537"/>
      <c r="DIH252" s="537"/>
      <c r="DII252" s="537"/>
      <c r="DIJ252" s="537"/>
      <c r="DIK252" s="537"/>
      <c r="DIL252" s="537"/>
      <c r="DIM252" s="537"/>
      <c r="DIN252" s="537"/>
      <c r="DIO252" s="537"/>
      <c r="DIP252" s="537"/>
      <c r="DIQ252" s="537"/>
      <c r="DIR252" s="537"/>
      <c r="DIS252" s="537"/>
      <c r="DIT252" s="537"/>
      <c r="DIU252" s="537"/>
      <c r="DIV252" s="537"/>
      <c r="DIW252" s="537"/>
      <c r="DIX252" s="537"/>
      <c r="DIY252" s="537"/>
      <c r="DIZ252" s="537"/>
      <c r="DJA252" s="537"/>
      <c r="DJB252" s="537"/>
      <c r="DJC252" s="537"/>
      <c r="DJD252" s="537"/>
      <c r="DJE252" s="537"/>
      <c r="DJF252" s="537"/>
      <c r="DJG252" s="537"/>
      <c r="DJH252" s="537"/>
      <c r="DJI252" s="537"/>
      <c r="DJJ252" s="537"/>
      <c r="DJK252" s="537"/>
      <c r="DJL252" s="537"/>
      <c r="DJM252" s="537"/>
      <c r="DJN252" s="537"/>
      <c r="DJO252" s="537"/>
      <c r="DJP252" s="537"/>
      <c r="DJQ252" s="537"/>
      <c r="DJR252" s="537"/>
      <c r="DJS252" s="537"/>
      <c r="DJT252" s="537"/>
      <c r="DJU252" s="537"/>
      <c r="DJV252" s="537"/>
      <c r="DJW252" s="537"/>
      <c r="DJX252" s="537"/>
      <c r="DJY252" s="537"/>
      <c r="DJZ252" s="537"/>
      <c r="DKA252" s="537"/>
      <c r="DKB252" s="537"/>
      <c r="DKC252" s="537"/>
      <c r="DKD252" s="537"/>
      <c r="DKE252" s="537"/>
      <c r="DKF252" s="537"/>
      <c r="DKG252" s="537"/>
      <c r="DKH252" s="537"/>
      <c r="DKI252" s="537"/>
      <c r="DKJ252" s="537"/>
      <c r="DKK252" s="537"/>
      <c r="DKL252" s="537"/>
      <c r="DKM252" s="537"/>
      <c r="DKN252" s="537"/>
      <c r="DKO252" s="537"/>
      <c r="DKP252" s="537"/>
      <c r="DKQ252" s="537"/>
      <c r="DKR252" s="537"/>
      <c r="DKS252" s="537"/>
      <c r="DKT252" s="537"/>
      <c r="DKU252" s="537"/>
      <c r="DKV252" s="537"/>
      <c r="DKW252" s="537"/>
      <c r="DKX252" s="537"/>
      <c r="DKY252" s="537"/>
      <c r="DKZ252" s="537"/>
      <c r="DLA252" s="537"/>
      <c r="DLB252" s="537"/>
      <c r="DLC252" s="537"/>
      <c r="DLD252" s="537"/>
      <c r="DLE252" s="537"/>
      <c r="DLF252" s="537"/>
      <c r="DLG252" s="537"/>
      <c r="DLH252" s="537"/>
      <c r="DLI252" s="537"/>
      <c r="DLJ252" s="537"/>
      <c r="DLK252" s="537"/>
      <c r="DLL252" s="537"/>
      <c r="DLM252" s="537"/>
      <c r="DLN252" s="537"/>
      <c r="DLO252" s="537"/>
      <c r="DLP252" s="537"/>
      <c r="DLQ252" s="537"/>
      <c r="DLR252" s="537"/>
      <c r="DLS252" s="537"/>
      <c r="DLT252" s="537"/>
      <c r="DLU252" s="537"/>
      <c r="DLV252" s="537"/>
      <c r="DLW252" s="537"/>
      <c r="DLX252" s="537"/>
      <c r="DLY252" s="537"/>
      <c r="DLZ252" s="537"/>
      <c r="DMA252" s="537"/>
      <c r="DMB252" s="537"/>
      <c r="DMC252" s="537"/>
      <c r="DMD252" s="537"/>
      <c r="DME252" s="537"/>
      <c r="DMF252" s="537"/>
      <c r="DMG252" s="537"/>
      <c r="DMH252" s="537"/>
      <c r="DMI252" s="537"/>
      <c r="DMJ252" s="537"/>
      <c r="DMK252" s="537"/>
      <c r="DML252" s="537"/>
      <c r="DMM252" s="537"/>
      <c r="DMN252" s="537"/>
      <c r="DMO252" s="537"/>
      <c r="DMP252" s="537"/>
      <c r="DMQ252" s="537"/>
      <c r="DMR252" s="537"/>
      <c r="DMS252" s="537"/>
      <c r="DMT252" s="537"/>
      <c r="DMU252" s="537"/>
      <c r="DMV252" s="537"/>
      <c r="DMW252" s="537"/>
      <c r="DMX252" s="537"/>
      <c r="DMY252" s="537"/>
      <c r="DMZ252" s="537"/>
      <c r="DNA252" s="537"/>
      <c r="DNB252" s="537"/>
      <c r="DNC252" s="537"/>
      <c r="DND252" s="537"/>
      <c r="DNE252" s="537"/>
      <c r="DNF252" s="537"/>
      <c r="DNG252" s="537"/>
      <c r="DNH252" s="537"/>
      <c r="DNI252" s="537"/>
      <c r="DNJ252" s="537"/>
      <c r="DNK252" s="537"/>
      <c r="DNL252" s="537"/>
      <c r="DNM252" s="537"/>
      <c r="DNN252" s="537"/>
      <c r="DNO252" s="537"/>
      <c r="DNP252" s="537"/>
      <c r="DNQ252" s="537"/>
      <c r="DNR252" s="537"/>
      <c r="DNS252" s="537"/>
      <c r="DNT252" s="537"/>
      <c r="DNU252" s="537"/>
      <c r="DNV252" s="537"/>
      <c r="DNW252" s="537"/>
      <c r="DNX252" s="537"/>
      <c r="DNY252" s="537"/>
      <c r="DNZ252" s="537"/>
      <c r="DOA252" s="537"/>
      <c r="DOB252" s="537"/>
      <c r="DOC252" s="537"/>
      <c r="DOD252" s="537"/>
      <c r="DOE252" s="537"/>
      <c r="DOF252" s="537"/>
      <c r="DOG252" s="537"/>
      <c r="DOH252" s="537"/>
      <c r="DOI252" s="537"/>
      <c r="DOJ252" s="537"/>
      <c r="DOK252" s="537"/>
      <c r="DOL252" s="537"/>
      <c r="DOM252" s="537"/>
      <c r="DON252" s="537"/>
      <c r="DOO252" s="537"/>
      <c r="DOP252" s="537"/>
      <c r="DOQ252" s="537"/>
      <c r="DOR252" s="537"/>
      <c r="DOS252" s="537"/>
      <c r="DOT252" s="537"/>
      <c r="DOU252" s="537"/>
      <c r="DOV252" s="537"/>
      <c r="DOW252" s="537"/>
      <c r="DOX252" s="537"/>
      <c r="DOY252" s="537"/>
      <c r="DOZ252" s="537"/>
      <c r="DPA252" s="537"/>
      <c r="DPB252" s="537"/>
      <c r="DPC252" s="537"/>
      <c r="DPD252" s="537"/>
      <c r="DPE252" s="537"/>
      <c r="DPF252" s="537"/>
      <c r="DPG252" s="537"/>
      <c r="DPH252" s="537"/>
      <c r="DPI252" s="537"/>
      <c r="DPJ252" s="537"/>
      <c r="DPK252" s="537"/>
      <c r="DPL252" s="537"/>
      <c r="DPM252" s="537"/>
      <c r="DPN252" s="537"/>
      <c r="DPO252" s="537"/>
      <c r="DPP252" s="537"/>
      <c r="DPQ252" s="537"/>
      <c r="DPR252" s="537"/>
      <c r="DPS252" s="537"/>
      <c r="DPT252" s="537"/>
      <c r="DPU252" s="537"/>
      <c r="DPV252" s="537"/>
      <c r="DPW252" s="537"/>
      <c r="DPX252" s="537"/>
      <c r="DPY252" s="537"/>
      <c r="DPZ252" s="537"/>
      <c r="DQA252" s="537"/>
      <c r="DQB252" s="537"/>
      <c r="DQC252" s="537"/>
      <c r="DQD252" s="537"/>
      <c r="DQE252" s="537"/>
      <c r="DQF252" s="537"/>
      <c r="DQG252" s="537"/>
      <c r="DQH252" s="537"/>
      <c r="DQI252" s="537"/>
      <c r="DQJ252" s="537"/>
      <c r="DQK252" s="537"/>
      <c r="DQL252" s="537"/>
      <c r="DQM252" s="537"/>
      <c r="DQN252" s="537"/>
      <c r="DQO252" s="537"/>
      <c r="DQP252" s="537"/>
      <c r="DQQ252" s="537"/>
      <c r="DQR252" s="537"/>
      <c r="DQS252" s="537"/>
      <c r="DQT252" s="537"/>
      <c r="DQU252" s="537"/>
      <c r="DQV252" s="537"/>
      <c r="DQW252" s="537"/>
      <c r="DQX252" s="537"/>
      <c r="DQY252" s="537"/>
      <c r="DQZ252" s="537"/>
      <c r="DRA252" s="537"/>
      <c r="DRB252" s="537"/>
      <c r="DRC252" s="537"/>
      <c r="DRD252" s="537"/>
      <c r="DRE252" s="537"/>
      <c r="DRF252" s="537"/>
      <c r="DRG252" s="537"/>
      <c r="DRH252" s="537"/>
      <c r="DRI252" s="537"/>
      <c r="DRJ252" s="537"/>
      <c r="DRK252" s="537"/>
      <c r="DRL252" s="537"/>
      <c r="DRM252" s="537"/>
      <c r="DRN252" s="537"/>
      <c r="DRO252" s="537"/>
      <c r="DRP252" s="537"/>
      <c r="DRQ252" s="537"/>
      <c r="DRR252" s="537"/>
      <c r="DRS252" s="537"/>
      <c r="DRT252" s="537"/>
      <c r="DRU252" s="537"/>
      <c r="DRV252" s="537"/>
      <c r="DRW252" s="537"/>
      <c r="DRX252" s="537"/>
      <c r="DRY252" s="537"/>
      <c r="DRZ252" s="537"/>
      <c r="DSA252" s="537"/>
      <c r="DSB252" s="537"/>
      <c r="DSC252" s="537"/>
      <c r="DSD252" s="537"/>
      <c r="DSE252" s="537"/>
      <c r="DSF252" s="537"/>
      <c r="DSG252" s="537"/>
      <c r="DSH252" s="537"/>
      <c r="DSI252" s="537"/>
      <c r="DSJ252" s="537"/>
      <c r="DSK252" s="537"/>
      <c r="DSL252" s="537"/>
      <c r="DSM252" s="537"/>
      <c r="DSN252" s="537"/>
      <c r="DSO252" s="537"/>
      <c r="DSP252" s="537"/>
      <c r="DSQ252" s="537"/>
      <c r="DSR252" s="537"/>
      <c r="DSS252" s="537"/>
      <c r="DST252" s="537"/>
      <c r="DSU252" s="537"/>
      <c r="DSV252" s="537"/>
      <c r="DSW252" s="537"/>
      <c r="DSX252" s="537"/>
      <c r="DSY252" s="537"/>
      <c r="DSZ252" s="537"/>
      <c r="DTA252" s="537"/>
      <c r="DTB252" s="537"/>
      <c r="DTC252" s="537"/>
      <c r="DTD252" s="537"/>
      <c r="DTE252" s="537"/>
      <c r="DTF252" s="537"/>
      <c r="DTG252" s="537"/>
      <c r="DTH252" s="537"/>
      <c r="DTI252" s="537"/>
      <c r="DTJ252" s="537"/>
      <c r="DTK252" s="537"/>
      <c r="DTL252" s="537"/>
      <c r="DTM252" s="537"/>
      <c r="DTN252" s="537"/>
      <c r="DTO252" s="537"/>
      <c r="DTP252" s="537"/>
      <c r="DTQ252" s="537"/>
      <c r="DTR252" s="537"/>
      <c r="DTS252" s="537"/>
      <c r="DTT252" s="537"/>
      <c r="DTU252" s="537"/>
      <c r="DTV252" s="537"/>
      <c r="DTW252" s="537"/>
      <c r="DTX252" s="537"/>
      <c r="DTY252" s="537"/>
      <c r="DTZ252" s="537"/>
      <c r="DUA252" s="537"/>
      <c r="DUB252" s="537"/>
      <c r="DUC252" s="537"/>
      <c r="DUD252" s="537"/>
      <c r="DUE252" s="537"/>
      <c r="DUF252" s="537"/>
      <c r="DUG252" s="537"/>
      <c r="DUH252" s="537"/>
      <c r="DUI252" s="537"/>
      <c r="DUJ252" s="537"/>
      <c r="DUK252" s="537"/>
      <c r="DUL252" s="537"/>
      <c r="DUM252" s="537"/>
      <c r="DUN252" s="537"/>
      <c r="DUO252" s="537"/>
      <c r="DUP252" s="537"/>
      <c r="DUQ252" s="537"/>
      <c r="DUR252" s="537"/>
      <c r="DUS252" s="537"/>
      <c r="DUT252" s="537"/>
      <c r="DUU252" s="537"/>
      <c r="DUV252" s="537"/>
      <c r="DUW252" s="537"/>
      <c r="DUX252" s="537"/>
      <c r="DUY252" s="537"/>
      <c r="DUZ252" s="537"/>
      <c r="DVA252" s="537"/>
      <c r="DVB252" s="537"/>
      <c r="DVC252" s="537"/>
      <c r="DVD252" s="537"/>
      <c r="DVE252" s="537"/>
      <c r="DVF252" s="537"/>
      <c r="DVG252" s="537"/>
      <c r="DVH252" s="537"/>
      <c r="DVI252" s="537"/>
      <c r="DVJ252" s="537"/>
      <c r="DVK252" s="537"/>
      <c r="DVL252" s="537"/>
      <c r="DVM252" s="537"/>
      <c r="DVN252" s="537"/>
      <c r="DVO252" s="537"/>
      <c r="DVP252" s="537"/>
      <c r="DVQ252" s="537"/>
      <c r="DVR252" s="537"/>
      <c r="DVS252" s="537"/>
      <c r="DVT252" s="537"/>
      <c r="DVU252" s="537"/>
      <c r="DVV252" s="537"/>
      <c r="DVW252" s="537"/>
      <c r="DVX252" s="537"/>
      <c r="DVY252" s="537"/>
      <c r="DVZ252" s="537"/>
      <c r="DWA252" s="537"/>
      <c r="DWB252" s="537"/>
      <c r="DWC252" s="537"/>
      <c r="DWD252" s="537"/>
      <c r="DWE252" s="537"/>
      <c r="DWF252" s="537"/>
      <c r="DWG252" s="537"/>
      <c r="DWH252" s="537"/>
      <c r="DWI252" s="537"/>
      <c r="DWJ252" s="537"/>
      <c r="DWK252" s="537"/>
      <c r="DWL252" s="537"/>
      <c r="DWM252" s="537"/>
      <c r="DWN252" s="537"/>
      <c r="DWO252" s="537"/>
      <c r="DWP252" s="537"/>
      <c r="DWQ252" s="537"/>
      <c r="DWR252" s="537"/>
      <c r="DWS252" s="537"/>
      <c r="DWT252" s="537"/>
      <c r="DWU252" s="537"/>
      <c r="DWV252" s="537"/>
      <c r="DWW252" s="537"/>
      <c r="DWX252" s="537"/>
      <c r="DWY252" s="537"/>
      <c r="DWZ252" s="537"/>
      <c r="DXA252" s="537"/>
      <c r="DXB252" s="537"/>
      <c r="DXC252" s="537"/>
      <c r="DXD252" s="537"/>
      <c r="DXE252" s="537"/>
      <c r="DXF252" s="537"/>
      <c r="DXG252" s="537"/>
      <c r="DXH252" s="537"/>
      <c r="DXI252" s="537"/>
      <c r="DXJ252" s="537"/>
      <c r="DXK252" s="537"/>
      <c r="DXL252" s="537"/>
      <c r="DXM252" s="537"/>
      <c r="DXN252" s="537"/>
      <c r="DXO252" s="537"/>
      <c r="DXP252" s="537"/>
      <c r="DXQ252" s="537"/>
      <c r="DXR252" s="537"/>
      <c r="DXS252" s="537"/>
      <c r="DXT252" s="537"/>
      <c r="DXU252" s="537"/>
      <c r="DXV252" s="537"/>
      <c r="DXW252" s="537"/>
      <c r="DXX252" s="537"/>
      <c r="DXY252" s="537"/>
      <c r="DXZ252" s="537"/>
      <c r="DYA252" s="537"/>
      <c r="DYB252" s="537"/>
      <c r="DYC252" s="537"/>
      <c r="DYD252" s="537"/>
      <c r="DYE252" s="537"/>
      <c r="DYF252" s="537"/>
      <c r="DYG252" s="537"/>
      <c r="DYH252" s="537"/>
      <c r="DYI252" s="537"/>
      <c r="DYJ252" s="537"/>
      <c r="DYK252" s="537"/>
      <c r="DYL252" s="537"/>
      <c r="DYM252" s="537"/>
      <c r="DYN252" s="537"/>
      <c r="DYO252" s="537"/>
      <c r="DYP252" s="537"/>
      <c r="DYQ252" s="537"/>
      <c r="DYR252" s="537"/>
      <c r="DYS252" s="537"/>
      <c r="DYT252" s="537"/>
      <c r="DYU252" s="537"/>
      <c r="DYV252" s="537"/>
      <c r="DYW252" s="537"/>
      <c r="DYX252" s="537"/>
      <c r="DYY252" s="537"/>
      <c r="DYZ252" s="537"/>
      <c r="DZA252" s="537"/>
      <c r="DZB252" s="537"/>
      <c r="DZC252" s="537"/>
      <c r="DZD252" s="537"/>
      <c r="DZE252" s="537"/>
      <c r="DZF252" s="537"/>
      <c r="DZG252" s="537"/>
      <c r="DZH252" s="537"/>
      <c r="DZI252" s="537"/>
      <c r="DZJ252" s="537"/>
      <c r="DZK252" s="537"/>
      <c r="DZL252" s="537"/>
      <c r="DZM252" s="537"/>
      <c r="DZN252" s="537"/>
      <c r="DZO252" s="537"/>
      <c r="DZP252" s="537"/>
      <c r="DZQ252" s="537"/>
      <c r="DZR252" s="537"/>
      <c r="DZS252" s="537"/>
      <c r="DZT252" s="537"/>
      <c r="DZU252" s="537"/>
      <c r="DZV252" s="537"/>
      <c r="DZW252" s="537"/>
      <c r="DZX252" s="537"/>
      <c r="DZY252" s="537"/>
      <c r="DZZ252" s="537"/>
      <c r="EAA252" s="537"/>
      <c r="EAB252" s="537"/>
      <c r="EAC252" s="537"/>
      <c r="EAD252" s="537"/>
      <c r="EAE252" s="537"/>
      <c r="EAF252" s="537"/>
      <c r="EAG252" s="537"/>
      <c r="EAH252" s="537"/>
      <c r="EAI252" s="537"/>
      <c r="EAJ252" s="537"/>
      <c r="EAK252" s="537"/>
      <c r="EAL252" s="537"/>
      <c r="EAM252" s="537"/>
      <c r="EAN252" s="537"/>
      <c r="EAO252" s="537"/>
      <c r="EAP252" s="537"/>
      <c r="EAQ252" s="537"/>
      <c r="EAR252" s="537"/>
      <c r="EAS252" s="537"/>
      <c r="EAT252" s="537"/>
      <c r="EAU252" s="537"/>
      <c r="EAV252" s="537"/>
      <c r="EAW252" s="537"/>
      <c r="EAX252" s="537"/>
      <c r="EAY252" s="537"/>
      <c r="EAZ252" s="537"/>
      <c r="EBA252" s="537"/>
      <c r="EBB252" s="537"/>
      <c r="EBC252" s="537"/>
      <c r="EBD252" s="537"/>
      <c r="EBE252" s="537"/>
      <c r="EBF252" s="537"/>
      <c r="EBG252" s="537"/>
      <c r="EBH252" s="537"/>
      <c r="EBI252" s="537"/>
      <c r="EBJ252" s="537"/>
      <c r="EBK252" s="537"/>
      <c r="EBL252" s="537"/>
      <c r="EBM252" s="537"/>
      <c r="EBN252" s="537"/>
      <c r="EBO252" s="537"/>
      <c r="EBP252" s="537"/>
      <c r="EBQ252" s="537"/>
      <c r="EBR252" s="537"/>
      <c r="EBS252" s="537"/>
      <c r="EBT252" s="537"/>
      <c r="EBU252" s="537"/>
      <c r="EBV252" s="537"/>
      <c r="EBW252" s="537"/>
      <c r="EBX252" s="537"/>
      <c r="EBY252" s="537"/>
      <c r="EBZ252" s="537"/>
      <c r="ECA252" s="537"/>
      <c r="ECB252" s="537"/>
      <c r="ECC252" s="537"/>
      <c r="ECD252" s="537"/>
      <c r="ECE252" s="537"/>
      <c r="ECF252" s="537"/>
      <c r="ECG252" s="537"/>
      <c r="ECH252" s="537"/>
      <c r="ECI252" s="537"/>
      <c r="ECJ252" s="537"/>
      <c r="ECK252" s="537"/>
      <c r="ECL252" s="537"/>
      <c r="ECM252" s="537"/>
      <c r="ECN252" s="537"/>
      <c r="ECO252" s="537"/>
      <c r="ECP252" s="537"/>
      <c r="ECQ252" s="537"/>
      <c r="ECR252" s="537"/>
      <c r="ECS252" s="537"/>
      <c r="ECT252" s="537"/>
      <c r="ECU252" s="537"/>
      <c r="ECV252" s="537"/>
      <c r="ECW252" s="537"/>
      <c r="ECX252" s="537"/>
      <c r="ECY252" s="537"/>
      <c r="ECZ252" s="537"/>
      <c r="EDA252" s="537"/>
      <c r="EDB252" s="537"/>
      <c r="EDC252" s="537"/>
      <c r="EDD252" s="537"/>
      <c r="EDE252" s="537"/>
      <c r="EDF252" s="537"/>
      <c r="EDG252" s="537"/>
      <c r="EDH252" s="537"/>
      <c r="EDI252" s="537"/>
      <c r="EDJ252" s="537"/>
      <c r="EDK252" s="537"/>
      <c r="EDL252" s="537"/>
      <c r="EDM252" s="537"/>
      <c r="EDN252" s="537"/>
      <c r="EDO252" s="537"/>
      <c r="EDP252" s="537"/>
      <c r="EDQ252" s="537"/>
      <c r="EDR252" s="537"/>
      <c r="EDS252" s="537"/>
      <c r="EDT252" s="537"/>
      <c r="EDU252" s="537"/>
      <c r="EDV252" s="537"/>
      <c r="EDW252" s="537"/>
      <c r="EDX252" s="537"/>
      <c r="EDY252" s="537"/>
      <c r="EDZ252" s="537"/>
      <c r="EEA252" s="537"/>
      <c r="EEB252" s="537"/>
      <c r="EEC252" s="537"/>
      <c r="EED252" s="537"/>
      <c r="EEE252" s="537"/>
      <c r="EEF252" s="537"/>
      <c r="EEG252" s="537"/>
      <c r="EEH252" s="537"/>
      <c r="EEI252" s="537"/>
      <c r="EEJ252" s="537"/>
      <c r="EEK252" s="537"/>
      <c r="EEL252" s="537"/>
      <c r="EEM252" s="537"/>
      <c r="EEN252" s="537"/>
      <c r="EEO252" s="537"/>
      <c r="EEP252" s="537"/>
      <c r="EEQ252" s="537"/>
      <c r="EER252" s="537"/>
      <c r="EES252" s="537"/>
      <c r="EET252" s="537"/>
      <c r="EEU252" s="537"/>
      <c r="EEV252" s="537"/>
      <c r="EEW252" s="537"/>
      <c r="EEX252" s="537"/>
      <c r="EEY252" s="537"/>
      <c r="EEZ252" s="537"/>
      <c r="EFA252" s="537"/>
      <c r="EFB252" s="537"/>
      <c r="EFC252" s="537"/>
      <c r="EFD252" s="537"/>
      <c r="EFE252" s="537"/>
      <c r="EFF252" s="537"/>
      <c r="EFG252" s="537"/>
      <c r="EFH252" s="537"/>
      <c r="EFI252" s="537"/>
      <c r="EFJ252" s="537"/>
      <c r="EFK252" s="537"/>
      <c r="EFL252" s="537"/>
      <c r="EFM252" s="537"/>
      <c r="EFN252" s="537"/>
      <c r="EFO252" s="537"/>
      <c r="EFP252" s="537"/>
      <c r="EFQ252" s="537"/>
      <c r="EFR252" s="537"/>
      <c r="EFS252" s="537"/>
      <c r="EFT252" s="537"/>
      <c r="EFU252" s="537"/>
      <c r="EFV252" s="537"/>
      <c r="EFW252" s="537"/>
      <c r="EFX252" s="537"/>
      <c r="EFY252" s="537"/>
      <c r="EFZ252" s="537"/>
      <c r="EGA252" s="537"/>
      <c r="EGB252" s="537"/>
      <c r="EGC252" s="537"/>
      <c r="EGD252" s="537"/>
      <c r="EGE252" s="537"/>
      <c r="EGF252" s="537"/>
      <c r="EGG252" s="537"/>
      <c r="EGH252" s="537"/>
      <c r="EGI252" s="537"/>
      <c r="EGJ252" s="537"/>
      <c r="EGK252" s="537"/>
      <c r="EGL252" s="537"/>
      <c r="EGM252" s="537"/>
      <c r="EGN252" s="537"/>
      <c r="EGO252" s="537"/>
      <c r="EGP252" s="537"/>
      <c r="EGQ252" s="537"/>
      <c r="EGR252" s="537"/>
      <c r="EGS252" s="537"/>
      <c r="EGT252" s="537"/>
      <c r="EGU252" s="537"/>
      <c r="EGV252" s="537"/>
      <c r="EGW252" s="537"/>
      <c r="EGX252" s="537"/>
      <c r="EGY252" s="537"/>
      <c r="EGZ252" s="537"/>
      <c r="EHA252" s="537"/>
      <c r="EHB252" s="537"/>
      <c r="EHC252" s="537"/>
      <c r="EHD252" s="537"/>
      <c r="EHE252" s="537"/>
      <c r="EHF252" s="537"/>
      <c r="EHG252" s="537"/>
      <c r="EHH252" s="537"/>
      <c r="EHI252" s="537"/>
      <c r="EHJ252" s="537"/>
      <c r="EHK252" s="537"/>
      <c r="EHL252" s="537"/>
      <c r="EHM252" s="537"/>
      <c r="EHN252" s="537"/>
      <c r="EHO252" s="537"/>
      <c r="EHP252" s="537"/>
      <c r="EHQ252" s="537"/>
      <c r="EHR252" s="537"/>
      <c r="EHS252" s="537"/>
      <c r="EHT252" s="537"/>
      <c r="EHU252" s="537"/>
      <c r="EHV252" s="537"/>
      <c r="EHW252" s="537"/>
      <c r="EHX252" s="537"/>
      <c r="EHY252" s="537"/>
      <c r="EHZ252" s="537"/>
      <c r="EIA252" s="537"/>
      <c r="EIB252" s="537"/>
      <c r="EIC252" s="537"/>
      <c r="EID252" s="537"/>
      <c r="EIE252" s="537"/>
      <c r="EIF252" s="537"/>
      <c r="EIG252" s="537"/>
      <c r="EIH252" s="537"/>
      <c r="EII252" s="537"/>
      <c r="EIJ252" s="537"/>
      <c r="EIK252" s="537"/>
      <c r="EIL252" s="537"/>
      <c r="EIM252" s="537"/>
      <c r="EIN252" s="537"/>
      <c r="EIO252" s="537"/>
      <c r="EIP252" s="537"/>
      <c r="EIQ252" s="537"/>
      <c r="EIR252" s="537"/>
      <c r="EIS252" s="537"/>
      <c r="EIT252" s="537"/>
      <c r="EIU252" s="537"/>
      <c r="EIV252" s="537"/>
      <c r="EIW252" s="537"/>
      <c r="EIX252" s="537"/>
      <c r="EIY252" s="537"/>
      <c r="EIZ252" s="537"/>
      <c r="EJA252" s="537"/>
      <c r="EJB252" s="537"/>
      <c r="EJC252" s="537"/>
      <c r="EJD252" s="537"/>
      <c r="EJE252" s="537"/>
      <c r="EJF252" s="537"/>
      <c r="EJG252" s="537"/>
      <c r="EJH252" s="537"/>
      <c r="EJI252" s="537"/>
      <c r="EJJ252" s="537"/>
      <c r="EJK252" s="537"/>
      <c r="EJL252" s="537"/>
      <c r="EJM252" s="537"/>
      <c r="EJN252" s="537"/>
      <c r="EJO252" s="537"/>
      <c r="EJP252" s="537"/>
      <c r="EJQ252" s="537"/>
      <c r="EJR252" s="537"/>
      <c r="EJS252" s="537"/>
      <c r="EJT252" s="537"/>
      <c r="EJU252" s="537"/>
      <c r="EJV252" s="537"/>
      <c r="EJW252" s="537"/>
      <c r="EJX252" s="537"/>
      <c r="EJY252" s="537"/>
      <c r="EJZ252" s="537"/>
      <c r="EKA252" s="537"/>
      <c r="EKB252" s="537"/>
      <c r="EKC252" s="537"/>
      <c r="EKD252" s="537"/>
      <c r="EKE252" s="537"/>
      <c r="EKF252" s="537"/>
      <c r="EKG252" s="537"/>
      <c r="EKH252" s="537"/>
      <c r="EKI252" s="537"/>
      <c r="EKJ252" s="537"/>
      <c r="EKK252" s="537"/>
      <c r="EKL252" s="537"/>
      <c r="EKM252" s="537"/>
      <c r="EKN252" s="537"/>
      <c r="EKO252" s="537"/>
      <c r="EKP252" s="537"/>
      <c r="EKQ252" s="537"/>
      <c r="EKR252" s="537"/>
      <c r="EKS252" s="537"/>
      <c r="EKT252" s="537"/>
      <c r="EKU252" s="537"/>
      <c r="EKV252" s="537"/>
      <c r="EKW252" s="537"/>
      <c r="EKX252" s="537"/>
      <c r="EKY252" s="537"/>
      <c r="EKZ252" s="537"/>
      <c r="ELA252" s="537"/>
      <c r="ELB252" s="537"/>
      <c r="ELC252" s="537"/>
      <c r="ELD252" s="537"/>
      <c r="ELE252" s="537"/>
      <c r="ELF252" s="537"/>
      <c r="ELG252" s="537"/>
      <c r="ELH252" s="537"/>
      <c r="ELI252" s="537"/>
      <c r="ELJ252" s="537"/>
      <c r="ELK252" s="537"/>
      <c r="ELL252" s="537"/>
      <c r="ELM252" s="537"/>
      <c r="ELN252" s="537"/>
      <c r="ELO252" s="537"/>
      <c r="ELP252" s="537"/>
      <c r="ELQ252" s="537"/>
      <c r="ELR252" s="537"/>
      <c r="ELS252" s="537"/>
      <c r="ELT252" s="537"/>
      <c r="ELU252" s="537"/>
      <c r="ELV252" s="537"/>
      <c r="ELW252" s="537"/>
      <c r="ELX252" s="537"/>
      <c r="ELY252" s="537"/>
      <c r="ELZ252" s="537"/>
      <c r="EMA252" s="537"/>
      <c r="EMB252" s="537"/>
      <c r="EMC252" s="537"/>
      <c r="EMD252" s="537"/>
      <c r="EME252" s="537"/>
      <c r="EMF252" s="537"/>
      <c r="EMG252" s="537"/>
      <c r="EMH252" s="537"/>
      <c r="EMI252" s="537"/>
      <c r="EMJ252" s="537"/>
      <c r="EMK252" s="537"/>
      <c r="EML252" s="537"/>
      <c r="EMM252" s="537"/>
      <c r="EMN252" s="537"/>
      <c r="EMO252" s="537"/>
      <c r="EMP252" s="537"/>
      <c r="EMQ252" s="537"/>
      <c r="EMR252" s="537"/>
      <c r="EMS252" s="537"/>
      <c r="EMT252" s="537"/>
      <c r="EMU252" s="537"/>
      <c r="EMV252" s="537"/>
      <c r="EMW252" s="537"/>
      <c r="EMX252" s="537"/>
      <c r="EMY252" s="537"/>
      <c r="EMZ252" s="537"/>
      <c r="ENA252" s="537"/>
      <c r="ENB252" s="537"/>
      <c r="ENC252" s="537"/>
      <c r="END252" s="537"/>
      <c r="ENE252" s="537"/>
      <c r="ENF252" s="537"/>
      <c r="ENG252" s="537"/>
      <c r="ENH252" s="537"/>
      <c r="ENI252" s="537"/>
      <c r="ENJ252" s="537"/>
      <c r="ENK252" s="537"/>
      <c r="ENL252" s="537"/>
      <c r="ENM252" s="537"/>
      <c r="ENN252" s="537"/>
      <c r="ENO252" s="537"/>
      <c r="ENP252" s="537"/>
      <c r="ENQ252" s="537"/>
      <c r="ENR252" s="537"/>
      <c r="ENS252" s="537"/>
      <c r="ENT252" s="537"/>
      <c r="ENU252" s="537"/>
      <c r="ENV252" s="537"/>
      <c r="ENW252" s="537"/>
      <c r="ENX252" s="537"/>
      <c r="ENY252" s="537"/>
      <c r="ENZ252" s="537"/>
      <c r="EOA252" s="537"/>
      <c r="EOB252" s="537"/>
      <c r="EOC252" s="537"/>
      <c r="EOD252" s="537"/>
      <c r="EOE252" s="537"/>
      <c r="EOF252" s="537"/>
      <c r="EOG252" s="537"/>
      <c r="EOH252" s="537"/>
      <c r="EOI252" s="537"/>
      <c r="EOJ252" s="537"/>
      <c r="EOK252" s="537"/>
      <c r="EOL252" s="537"/>
      <c r="EOM252" s="537"/>
      <c r="EON252" s="537"/>
      <c r="EOO252" s="537"/>
      <c r="EOP252" s="537"/>
      <c r="EOQ252" s="537"/>
      <c r="EOR252" s="537"/>
      <c r="EOS252" s="537"/>
      <c r="EOT252" s="537"/>
      <c r="EOU252" s="537"/>
      <c r="EOV252" s="537"/>
      <c r="EOW252" s="537"/>
      <c r="EOX252" s="537"/>
      <c r="EOY252" s="537"/>
      <c r="EOZ252" s="537"/>
      <c r="EPA252" s="537"/>
      <c r="EPB252" s="537"/>
      <c r="EPC252" s="537"/>
      <c r="EPD252" s="537"/>
      <c r="EPE252" s="537"/>
      <c r="EPF252" s="537"/>
      <c r="EPG252" s="537"/>
      <c r="EPH252" s="537"/>
      <c r="EPI252" s="537"/>
      <c r="EPJ252" s="537"/>
      <c r="EPK252" s="537"/>
      <c r="EPL252" s="537"/>
      <c r="EPM252" s="537"/>
      <c r="EPN252" s="537"/>
      <c r="EPO252" s="537"/>
      <c r="EPP252" s="537"/>
      <c r="EPQ252" s="537"/>
      <c r="EPR252" s="537"/>
      <c r="EPS252" s="537"/>
      <c r="EPT252" s="537"/>
      <c r="EPU252" s="537"/>
      <c r="EPV252" s="537"/>
      <c r="EPW252" s="537"/>
      <c r="EPX252" s="537"/>
      <c r="EPY252" s="537"/>
      <c r="EPZ252" s="537"/>
      <c r="EQA252" s="537"/>
      <c r="EQB252" s="537"/>
      <c r="EQC252" s="537"/>
      <c r="EQD252" s="537"/>
      <c r="EQE252" s="537"/>
      <c r="EQF252" s="537"/>
      <c r="EQG252" s="537"/>
      <c r="EQH252" s="537"/>
      <c r="EQI252" s="537"/>
      <c r="EQJ252" s="537"/>
      <c r="EQK252" s="537"/>
      <c r="EQL252" s="537"/>
      <c r="EQM252" s="537"/>
      <c r="EQN252" s="537"/>
      <c r="EQO252" s="537"/>
      <c r="EQP252" s="537"/>
      <c r="EQQ252" s="537"/>
      <c r="EQR252" s="537"/>
      <c r="EQS252" s="537"/>
      <c r="EQT252" s="537"/>
      <c r="EQU252" s="537"/>
      <c r="EQV252" s="537"/>
      <c r="EQW252" s="537"/>
      <c r="EQX252" s="537"/>
      <c r="EQY252" s="537"/>
      <c r="EQZ252" s="537"/>
      <c r="ERA252" s="537"/>
      <c r="ERB252" s="537"/>
      <c r="ERC252" s="537"/>
      <c r="ERD252" s="537"/>
      <c r="ERE252" s="537"/>
      <c r="ERF252" s="537"/>
      <c r="ERG252" s="537"/>
      <c r="ERH252" s="537"/>
      <c r="ERI252" s="537"/>
      <c r="ERJ252" s="537"/>
      <c r="ERK252" s="537"/>
      <c r="ERL252" s="537"/>
      <c r="ERM252" s="537"/>
      <c r="ERN252" s="537"/>
      <c r="ERO252" s="537"/>
      <c r="ERP252" s="537"/>
      <c r="ERQ252" s="537"/>
      <c r="ERR252" s="537"/>
      <c r="ERS252" s="537"/>
      <c r="ERT252" s="537"/>
      <c r="ERU252" s="537"/>
      <c r="ERV252" s="537"/>
      <c r="ERW252" s="537"/>
      <c r="ERX252" s="537"/>
      <c r="ERY252" s="537"/>
      <c r="ERZ252" s="537"/>
      <c r="ESA252" s="537"/>
      <c r="ESB252" s="537"/>
      <c r="ESC252" s="537"/>
      <c r="ESD252" s="537"/>
      <c r="ESE252" s="537"/>
      <c r="ESF252" s="537"/>
      <c r="ESG252" s="537"/>
      <c r="ESH252" s="537"/>
      <c r="ESI252" s="537"/>
      <c r="ESJ252" s="537"/>
      <c r="ESK252" s="537"/>
      <c r="ESL252" s="537"/>
      <c r="ESM252" s="537"/>
      <c r="ESN252" s="537"/>
      <c r="ESO252" s="537"/>
      <c r="ESP252" s="537"/>
      <c r="ESQ252" s="537"/>
      <c r="ESR252" s="537"/>
      <c r="ESS252" s="537"/>
      <c r="EST252" s="537"/>
      <c r="ESU252" s="537"/>
      <c r="ESV252" s="537"/>
      <c r="ESW252" s="537"/>
      <c r="ESX252" s="537"/>
      <c r="ESY252" s="537"/>
      <c r="ESZ252" s="537"/>
      <c r="ETA252" s="537"/>
      <c r="ETB252" s="537"/>
      <c r="ETC252" s="537"/>
      <c r="ETD252" s="537"/>
      <c r="ETE252" s="537"/>
      <c r="ETF252" s="537"/>
      <c r="ETG252" s="537"/>
      <c r="ETH252" s="537"/>
      <c r="ETI252" s="537"/>
      <c r="ETJ252" s="537"/>
      <c r="ETK252" s="537"/>
      <c r="ETL252" s="537"/>
      <c r="ETM252" s="537"/>
      <c r="ETN252" s="537"/>
      <c r="ETO252" s="537"/>
      <c r="ETP252" s="537"/>
      <c r="ETQ252" s="537"/>
      <c r="ETR252" s="537"/>
      <c r="ETS252" s="537"/>
      <c r="ETT252" s="537"/>
      <c r="ETU252" s="537"/>
      <c r="ETV252" s="537"/>
      <c r="ETW252" s="537"/>
      <c r="ETX252" s="537"/>
      <c r="ETY252" s="537"/>
      <c r="ETZ252" s="537"/>
      <c r="EUA252" s="537"/>
      <c r="EUB252" s="537"/>
      <c r="EUC252" s="537"/>
      <c r="EUD252" s="537"/>
      <c r="EUE252" s="537"/>
      <c r="EUF252" s="537"/>
      <c r="EUG252" s="537"/>
      <c r="EUH252" s="537"/>
      <c r="EUI252" s="537"/>
      <c r="EUJ252" s="537"/>
      <c r="EUK252" s="537"/>
      <c r="EUL252" s="537"/>
      <c r="EUM252" s="537"/>
      <c r="EUN252" s="537"/>
      <c r="EUO252" s="537"/>
      <c r="EUP252" s="537"/>
      <c r="EUQ252" s="537"/>
      <c r="EUR252" s="537"/>
      <c r="EUS252" s="537"/>
      <c r="EUT252" s="537"/>
      <c r="EUU252" s="537"/>
      <c r="EUV252" s="537"/>
      <c r="EUW252" s="537"/>
      <c r="EUX252" s="537"/>
      <c r="EUY252" s="537"/>
      <c r="EUZ252" s="537"/>
      <c r="EVA252" s="537"/>
      <c r="EVB252" s="537"/>
      <c r="EVC252" s="537"/>
      <c r="EVD252" s="537"/>
      <c r="EVE252" s="537"/>
      <c r="EVF252" s="537"/>
      <c r="EVG252" s="537"/>
      <c r="EVH252" s="537"/>
      <c r="EVI252" s="537"/>
      <c r="EVJ252" s="537"/>
      <c r="EVK252" s="537"/>
      <c r="EVL252" s="537"/>
      <c r="EVM252" s="537"/>
      <c r="EVN252" s="537"/>
      <c r="EVO252" s="537"/>
      <c r="EVP252" s="537"/>
      <c r="EVQ252" s="537"/>
      <c r="EVR252" s="537"/>
      <c r="EVS252" s="537"/>
      <c r="EVT252" s="537"/>
      <c r="EVU252" s="537"/>
      <c r="EVV252" s="537"/>
      <c r="EVW252" s="537"/>
      <c r="EVX252" s="537"/>
      <c r="EVY252" s="537"/>
      <c r="EVZ252" s="537"/>
      <c r="EWA252" s="537"/>
      <c r="EWB252" s="537"/>
      <c r="EWC252" s="537"/>
      <c r="EWD252" s="537"/>
      <c r="EWE252" s="537"/>
      <c r="EWF252" s="537"/>
      <c r="EWG252" s="537"/>
      <c r="EWH252" s="537"/>
      <c r="EWI252" s="537"/>
      <c r="EWJ252" s="537"/>
      <c r="EWK252" s="537"/>
      <c r="EWL252" s="537"/>
      <c r="EWM252" s="537"/>
      <c r="EWN252" s="537"/>
      <c r="EWO252" s="537"/>
      <c r="EWP252" s="537"/>
      <c r="EWQ252" s="537"/>
      <c r="EWR252" s="537"/>
      <c r="EWS252" s="537"/>
      <c r="EWT252" s="537"/>
      <c r="EWU252" s="537"/>
      <c r="EWV252" s="537"/>
      <c r="EWW252" s="537"/>
      <c r="EWX252" s="537"/>
      <c r="EWY252" s="537"/>
      <c r="EWZ252" s="537"/>
      <c r="EXA252" s="537"/>
      <c r="EXB252" s="537"/>
      <c r="EXC252" s="537"/>
      <c r="EXD252" s="537"/>
      <c r="EXE252" s="537"/>
      <c r="EXF252" s="537"/>
      <c r="EXG252" s="537"/>
      <c r="EXH252" s="537"/>
      <c r="EXI252" s="537"/>
      <c r="EXJ252" s="537"/>
      <c r="EXK252" s="537"/>
      <c r="EXL252" s="537"/>
      <c r="EXM252" s="537"/>
      <c r="EXN252" s="537"/>
      <c r="EXO252" s="537"/>
      <c r="EXP252" s="537"/>
      <c r="EXQ252" s="537"/>
      <c r="EXR252" s="537"/>
      <c r="EXS252" s="537"/>
      <c r="EXT252" s="537"/>
      <c r="EXU252" s="537"/>
      <c r="EXV252" s="537"/>
      <c r="EXW252" s="537"/>
      <c r="EXX252" s="537"/>
      <c r="EXY252" s="537"/>
      <c r="EXZ252" s="537"/>
      <c r="EYA252" s="537"/>
      <c r="EYB252" s="537"/>
      <c r="EYC252" s="537"/>
      <c r="EYD252" s="537"/>
      <c r="EYE252" s="537"/>
      <c r="EYF252" s="537"/>
      <c r="EYG252" s="537"/>
      <c r="EYH252" s="537"/>
      <c r="EYI252" s="537"/>
      <c r="EYJ252" s="537"/>
      <c r="EYK252" s="537"/>
      <c r="EYL252" s="537"/>
      <c r="EYM252" s="537"/>
      <c r="EYN252" s="537"/>
      <c r="EYO252" s="537"/>
      <c r="EYP252" s="537"/>
      <c r="EYQ252" s="537"/>
      <c r="EYR252" s="537"/>
      <c r="EYS252" s="537"/>
      <c r="EYT252" s="537"/>
      <c r="EYU252" s="537"/>
      <c r="EYV252" s="537"/>
      <c r="EYW252" s="537"/>
      <c r="EYX252" s="537"/>
      <c r="EYY252" s="537"/>
      <c r="EYZ252" s="537"/>
      <c r="EZA252" s="537"/>
      <c r="EZB252" s="537"/>
      <c r="EZC252" s="537"/>
      <c r="EZD252" s="537"/>
      <c r="EZE252" s="537"/>
      <c r="EZF252" s="537"/>
      <c r="EZG252" s="537"/>
      <c r="EZH252" s="537"/>
      <c r="EZI252" s="537"/>
      <c r="EZJ252" s="537"/>
      <c r="EZK252" s="537"/>
      <c r="EZL252" s="537"/>
      <c r="EZM252" s="537"/>
      <c r="EZN252" s="537"/>
      <c r="EZO252" s="537"/>
      <c r="EZP252" s="537"/>
      <c r="EZQ252" s="537"/>
      <c r="EZR252" s="537"/>
      <c r="EZS252" s="537"/>
      <c r="EZT252" s="537"/>
      <c r="EZU252" s="537"/>
      <c r="EZV252" s="537"/>
      <c r="EZW252" s="537"/>
      <c r="EZX252" s="537"/>
      <c r="EZY252" s="537"/>
      <c r="EZZ252" s="537"/>
      <c r="FAA252" s="537"/>
      <c r="FAB252" s="537"/>
      <c r="FAC252" s="537"/>
      <c r="FAD252" s="537"/>
      <c r="FAE252" s="537"/>
      <c r="FAF252" s="537"/>
      <c r="FAG252" s="537"/>
      <c r="FAH252" s="537"/>
      <c r="FAI252" s="537"/>
      <c r="FAJ252" s="537"/>
      <c r="FAK252" s="537"/>
      <c r="FAL252" s="537"/>
      <c r="FAM252" s="537"/>
      <c r="FAN252" s="537"/>
      <c r="FAO252" s="537"/>
      <c r="FAP252" s="537"/>
      <c r="FAQ252" s="537"/>
      <c r="FAR252" s="537"/>
      <c r="FAS252" s="537"/>
      <c r="FAT252" s="537"/>
      <c r="FAU252" s="537"/>
      <c r="FAV252" s="537"/>
      <c r="FAW252" s="537"/>
      <c r="FAX252" s="537"/>
      <c r="FAY252" s="537"/>
      <c r="FAZ252" s="537"/>
      <c r="FBA252" s="537"/>
      <c r="FBB252" s="537"/>
      <c r="FBC252" s="537"/>
      <c r="FBD252" s="537"/>
      <c r="FBE252" s="537"/>
      <c r="FBF252" s="537"/>
      <c r="FBG252" s="537"/>
      <c r="FBH252" s="537"/>
      <c r="FBI252" s="537"/>
      <c r="FBJ252" s="537"/>
      <c r="FBK252" s="537"/>
      <c r="FBL252" s="537"/>
      <c r="FBM252" s="537"/>
      <c r="FBN252" s="537"/>
      <c r="FBO252" s="537"/>
      <c r="FBP252" s="537"/>
      <c r="FBQ252" s="537"/>
      <c r="FBR252" s="537"/>
      <c r="FBS252" s="537"/>
      <c r="FBT252" s="537"/>
      <c r="FBU252" s="537"/>
      <c r="FBV252" s="537"/>
      <c r="FBW252" s="537"/>
      <c r="FBX252" s="537"/>
      <c r="FBY252" s="537"/>
      <c r="FBZ252" s="537"/>
      <c r="FCA252" s="537"/>
      <c r="FCB252" s="537"/>
      <c r="FCC252" s="537"/>
      <c r="FCD252" s="537"/>
      <c r="FCE252" s="537"/>
      <c r="FCF252" s="537"/>
      <c r="FCG252" s="537"/>
      <c r="FCH252" s="537"/>
      <c r="FCI252" s="537"/>
      <c r="FCJ252" s="537"/>
      <c r="FCK252" s="537"/>
      <c r="FCL252" s="537"/>
      <c r="FCM252" s="537"/>
      <c r="FCN252" s="537"/>
      <c r="FCO252" s="537"/>
      <c r="FCP252" s="537"/>
      <c r="FCQ252" s="537"/>
      <c r="FCR252" s="537"/>
      <c r="FCS252" s="537"/>
      <c r="FCT252" s="537"/>
      <c r="FCU252" s="537"/>
      <c r="FCV252" s="537"/>
      <c r="FCW252" s="537"/>
      <c r="FCX252" s="537"/>
      <c r="FCY252" s="537"/>
      <c r="FCZ252" s="537"/>
      <c r="FDA252" s="537"/>
      <c r="FDB252" s="537"/>
      <c r="FDC252" s="537"/>
      <c r="FDD252" s="537"/>
      <c r="FDE252" s="537"/>
      <c r="FDF252" s="537"/>
      <c r="FDG252" s="537"/>
      <c r="FDH252" s="537"/>
      <c r="FDI252" s="537"/>
      <c r="FDJ252" s="537"/>
      <c r="FDK252" s="537"/>
      <c r="FDL252" s="537"/>
      <c r="FDM252" s="537"/>
      <c r="FDN252" s="537"/>
      <c r="FDO252" s="537"/>
      <c r="FDP252" s="537"/>
      <c r="FDQ252" s="537"/>
      <c r="FDR252" s="537"/>
      <c r="FDS252" s="537"/>
      <c r="FDT252" s="537"/>
      <c r="FDU252" s="537"/>
      <c r="FDV252" s="537"/>
      <c r="FDW252" s="537"/>
      <c r="FDX252" s="537"/>
      <c r="FDY252" s="537"/>
      <c r="FDZ252" s="537"/>
      <c r="FEA252" s="537"/>
      <c r="FEB252" s="537"/>
      <c r="FEC252" s="537"/>
      <c r="FED252" s="537"/>
      <c r="FEE252" s="537"/>
      <c r="FEF252" s="537"/>
      <c r="FEG252" s="537"/>
      <c r="FEH252" s="537"/>
      <c r="FEI252" s="537"/>
      <c r="FEJ252" s="537"/>
      <c r="FEK252" s="537"/>
      <c r="FEL252" s="537"/>
      <c r="FEM252" s="537"/>
      <c r="FEN252" s="537"/>
      <c r="FEO252" s="537"/>
      <c r="FEP252" s="537"/>
      <c r="FEQ252" s="537"/>
      <c r="FER252" s="537"/>
      <c r="FES252" s="537"/>
      <c r="FET252" s="537"/>
      <c r="FEU252" s="537"/>
      <c r="FEV252" s="537"/>
      <c r="FEW252" s="537"/>
      <c r="FEX252" s="537"/>
      <c r="FEY252" s="537"/>
      <c r="FEZ252" s="537"/>
      <c r="FFA252" s="537"/>
      <c r="FFB252" s="537"/>
      <c r="FFC252" s="537"/>
      <c r="FFD252" s="537"/>
      <c r="FFE252" s="537"/>
      <c r="FFF252" s="537"/>
      <c r="FFG252" s="537"/>
      <c r="FFH252" s="537"/>
      <c r="FFI252" s="537"/>
      <c r="FFJ252" s="537"/>
      <c r="FFK252" s="537"/>
      <c r="FFL252" s="537"/>
      <c r="FFM252" s="537"/>
      <c r="FFN252" s="537"/>
      <c r="FFO252" s="537"/>
      <c r="FFP252" s="537"/>
      <c r="FFQ252" s="537"/>
      <c r="FFR252" s="537"/>
      <c r="FFS252" s="537"/>
      <c r="FFT252" s="537"/>
      <c r="FFU252" s="537"/>
      <c r="FFV252" s="537"/>
      <c r="FFW252" s="537"/>
      <c r="FFX252" s="537"/>
      <c r="FFY252" s="537"/>
      <c r="FFZ252" s="537"/>
      <c r="FGA252" s="537"/>
      <c r="FGB252" s="537"/>
      <c r="FGC252" s="537"/>
      <c r="FGD252" s="537"/>
      <c r="FGE252" s="537"/>
      <c r="FGF252" s="537"/>
      <c r="FGG252" s="537"/>
      <c r="FGH252" s="537"/>
      <c r="FGI252" s="537"/>
      <c r="FGJ252" s="537"/>
      <c r="FGK252" s="537"/>
      <c r="FGL252" s="537"/>
      <c r="FGM252" s="537"/>
      <c r="FGN252" s="537"/>
      <c r="FGO252" s="537"/>
      <c r="FGP252" s="537"/>
      <c r="FGQ252" s="537"/>
      <c r="FGR252" s="537"/>
      <c r="FGS252" s="537"/>
      <c r="FGT252" s="537"/>
      <c r="FGU252" s="537"/>
      <c r="FGV252" s="537"/>
      <c r="FGW252" s="537"/>
      <c r="FGX252" s="537"/>
      <c r="FGY252" s="537"/>
      <c r="FGZ252" s="537"/>
      <c r="FHA252" s="537"/>
      <c r="FHB252" s="537"/>
      <c r="FHC252" s="537"/>
      <c r="FHD252" s="537"/>
      <c r="FHE252" s="537"/>
      <c r="FHF252" s="537"/>
      <c r="FHG252" s="537"/>
      <c r="FHH252" s="537"/>
      <c r="FHI252" s="537"/>
      <c r="FHJ252" s="537"/>
      <c r="FHK252" s="537"/>
      <c r="FHL252" s="537"/>
      <c r="FHM252" s="537"/>
      <c r="FHN252" s="537"/>
      <c r="FHO252" s="537"/>
      <c r="FHP252" s="537"/>
      <c r="FHQ252" s="537"/>
      <c r="FHR252" s="537"/>
      <c r="FHS252" s="537"/>
      <c r="FHT252" s="537"/>
      <c r="FHU252" s="537"/>
      <c r="FHV252" s="537"/>
      <c r="FHW252" s="537"/>
      <c r="FHX252" s="537"/>
      <c r="FHY252" s="537"/>
      <c r="FHZ252" s="537"/>
      <c r="FIA252" s="537"/>
      <c r="FIB252" s="537"/>
      <c r="FIC252" s="537"/>
      <c r="FID252" s="537"/>
      <c r="FIE252" s="537"/>
      <c r="FIF252" s="537"/>
      <c r="FIG252" s="537"/>
      <c r="FIH252" s="537"/>
      <c r="FII252" s="537"/>
      <c r="FIJ252" s="537"/>
      <c r="FIK252" s="537"/>
      <c r="FIL252" s="537"/>
      <c r="FIM252" s="537"/>
      <c r="FIN252" s="537"/>
      <c r="FIO252" s="537"/>
      <c r="FIP252" s="537"/>
      <c r="FIQ252" s="537"/>
      <c r="FIR252" s="537"/>
      <c r="FIS252" s="537"/>
      <c r="FIT252" s="537"/>
      <c r="FIU252" s="537"/>
      <c r="FIV252" s="537"/>
      <c r="FIW252" s="537"/>
      <c r="FIX252" s="537"/>
      <c r="FIY252" s="537"/>
      <c r="FIZ252" s="537"/>
      <c r="FJA252" s="537"/>
      <c r="FJB252" s="537"/>
      <c r="FJC252" s="537"/>
      <c r="FJD252" s="537"/>
      <c r="FJE252" s="537"/>
      <c r="FJF252" s="537"/>
      <c r="FJG252" s="537"/>
      <c r="FJH252" s="537"/>
      <c r="FJI252" s="537"/>
      <c r="FJJ252" s="537"/>
      <c r="FJK252" s="537"/>
      <c r="FJL252" s="537"/>
      <c r="FJM252" s="537"/>
      <c r="FJN252" s="537"/>
      <c r="FJO252" s="537"/>
      <c r="FJP252" s="537"/>
      <c r="FJQ252" s="537"/>
      <c r="FJR252" s="537"/>
      <c r="FJS252" s="537"/>
      <c r="FJT252" s="537"/>
      <c r="FJU252" s="537"/>
      <c r="FJV252" s="537"/>
      <c r="FJW252" s="537"/>
      <c r="FJX252" s="537"/>
      <c r="FJY252" s="537"/>
      <c r="FJZ252" s="537"/>
      <c r="FKA252" s="537"/>
      <c r="FKB252" s="537"/>
      <c r="FKC252" s="537"/>
      <c r="FKD252" s="537"/>
      <c r="FKE252" s="537"/>
      <c r="FKF252" s="537"/>
      <c r="FKG252" s="537"/>
      <c r="FKH252" s="537"/>
      <c r="FKI252" s="537"/>
      <c r="FKJ252" s="537"/>
      <c r="FKK252" s="537"/>
      <c r="FKL252" s="537"/>
      <c r="FKM252" s="537"/>
      <c r="FKN252" s="537"/>
      <c r="FKO252" s="537"/>
      <c r="FKP252" s="537"/>
      <c r="FKQ252" s="537"/>
      <c r="FKR252" s="537"/>
      <c r="FKS252" s="537"/>
      <c r="FKT252" s="537"/>
      <c r="FKU252" s="537"/>
      <c r="FKV252" s="537"/>
      <c r="FKW252" s="537"/>
      <c r="FKX252" s="537"/>
      <c r="FKY252" s="537"/>
      <c r="FKZ252" s="537"/>
      <c r="FLA252" s="537"/>
      <c r="FLB252" s="537"/>
      <c r="FLC252" s="537"/>
      <c r="FLD252" s="537"/>
      <c r="FLE252" s="537"/>
      <c r="FLF252" s="537"/>
      <c r="FLG252" s="537"/>
      <c r="FLH252" s="537"/>
      <c r="FLI252" s="537"/>
      <c r="FLJ252" s="537"/>
      <c r="FLK252" s="537"/>
      <c r="FLL252" s="537"/>
      <c r="FLM252" s="537"/>
      <c r="FLN252" s="537"/>
      <c r="FLO252" s="537"/>
      <c r="FLP252" s="537"/>
      <c r="FLQ252" s="537"/>
      <c r="FLR252" s="537"/>
      <c r="FLS252" s="537"/>
      <c r="FLT252" s="537"/>
      <c r="FLU252" s="537"/>
      <c r="FLV252" s="537"/>
      <c r="FLW252" s="537"/>
      <c r="FLX252" s="537"/>
      <c r="FLY252" s="537"/>
      <c r="FLZ252" s="537"/>
      <c r="FMA252" s="537"/>
      <c r="FMB252" s="537"/>
      <c r="FMC252" s="537"/>
      <c r="FMD252" s="537"/>
      <c r="FME252" s="537"/>
      <c r="FMF252" s="537"/>
      <c r="FMG252" s="537"/>
      <c r="FMH252" s="537"/>
      <c r="FMI252" s="537"/>
      <c r="FMJ252" s="537"/>
      <c r="FMK252" s="537"/>
      <c r="FML252" s="537"/>
      <c r="FMM252" s="537"/>
      <c r="FMN252" s="537"/>
      <c r="FMO252" s="537"/>
      <c r="FMP252" s="537"/>
      <c r="FMQ252" s="537"/>
      <c r="FMR252" s="537"/>
      <c r="FMS252" s="537"/>
      <c r="FMT252" s="537"/>
      <c r="FMU252" s="537"/>
      <c r="FMV252" s="537"/>
      <c r="FMW252" s="537"/>
      <c r="FMX252" s="537"/>
      <c r="FMY252" s="537"/>
      <c r="FMZ252" s="537"/>
      <c r="FNA252" s="537"/>
      <c r="FNB252" s="537"/>
      <c r="FNC252" s="537"/>
      <c r="FND252" s="537"/>
      <c r="FNE252" s="537"/>
      <c r="FNF252" s="537"/>
      <c r="FNG252" s="537"/>
      <c r="FNH252" s="537"/>
      <c r="FNI252" s="537"/>
      <c r="FNJ252" s="537"/>
      <c r="FNK252" s="537"/>
      <c r="FNL252" s="537"/>
      <c r="FNM252" s="537"/>
      <c r="FNN252" s="537"/>
      <c r="FNO252" s="537"/>
      <c r="FNP252" s="537"/>
      <c r="FNQ252" s="537"/>
      <c r="FNR252" s="537"/>
      <c r="FNS252" s="537"/>
      <c r="FNT252" s="537"/>
      <c r="FNU252" s="537"/>
      <c r="FNV252" s="537"/>
      <c r="FNW252" s="537"/>
      <c r="FNX252" s="537"/>
      <c r="FNY252" s="537"/>
      <c r="FNZ252" s="537"/>
      <c r="FOA252" s="537"/>
      <c r="FOB252" s="537"/>
      <c r="FOC252" s="537"/>
      <c r="FOD252" s="537"/>
      <c r="FOE252" s="537"/>
      <c r="FOF252" s="537"/>
      <c r="FOG252" s="537"/>
      <c r="FOH252" s="537"/>
      <c r="FOI252" s="537"/>
      <c r="FOJ252" s="537"/>
      <c r="FOK252" s="537"/>
      <c r="FOL252" s="537"/>
      <c r="FOM252" s="537"/>
      <c r="FON252" s="537"/>
      <c r="FOO252" s="537"/>
      <c r="FOP252" s="537"/>
      <c r="FOQ252" s="537"/>
      <c r="FOR252" s="537"/>
      <c r="FOS252" s="537"/>
      <c r="FOT252" s="537"/>
      <c r="FOU252" s="537"/>
      <c r="FOV252" s="537"/>
      <c r="FOW252" s="537"/>
      <c r="FOX252" s="537"/>
      <c r="FOY252" s="537"/>
      <c r="FOZ252" s="537"/>
      <c r="FPA252" s="537"/>
      <c r="FPB252" s="537"/>
      <c r="FPC252" s="537"/>
      <c r="FPD252" s="537"/>
      <c r="FPE252" s="537"/>
      <c r="FPF252" s="537"/>
      <c r="FPG252" s="537"/>
      <c r="FPH252" s="537"/>
      <c r="FPI252" s="537"/>
      <c r="FPJ252" s="537"/>
      <c r="FPK252" s="537"/>
      <c r="FPL252" s="537"/>
      <c r="FPM252" s="537"/>
      <c r="FPN252" s="537"/>
      <c r="FPO252" s="537"/>
      <c r="FPP252" s="537"/>
      <c r="FPQ252" s="537"/>
      <c r="FPR252" s="537"/>
      <c r="FPS252" s="537"/>
      <c r="FPT252" s="537"/>
      <c r="FPU252" s="537"/>
      <c r="FPV252" s="537"/>
      <c r="FPW252" s="537"/>
      <c r="FPX252" s="537"/>
      <c r="FPY252" s="537"/>
      <c r="FPZ252" s="537"/>
      <c r="FQA252" s="537"/>
      <c r="FQB252" s="537"/>
      <c r="FQC252" s="537"/>
      <c r="FQD252" s="537"/>
      <c r="FQE252" s="537"/>
      <c r="FQF252" s="537"/>
      <c r="FQG252" s="537"/>
      <c r="FQH252" s="537"/>
      <c r="FQI252" s="537"/>
      <c r="FQJ252" s="537"/>
      <c r="FQK252" s="537"/>
      <c r="FQL252" s="537"/>
      <c r="FQM252" s="537"/>
      <c r="FQN252" s="537"/>
      <c r="FQO252" s="537"/>
      <c r="FQP252" s="537"/>
      <c r="FQQ252" s="537"/>
      <c r="FQR252" s="537"/>
      <c r="FQS252" s="537"/>
      <c r="FQT252" s="537"/>
      <c r="FQU252" s="537"/>
      <c r="FQV252" s="537"/>
      <c r="FQW252" s="537"/>
      <c r="FQX252" s="537"/>
      <c r="FQY252" s="537"/>
      <c r="FQZ252" s="537"/>
      <c r="FRA252" s="537"/>
      <c r="FRB252" s="537"/>
      <c r="FRC252" s="537"/>
      <c r="FRD252" s="537"/>
      <c r="FRE252" s="537"/>
      <c r="FRF252" s="537"/>
      <c r="FRG252" s="537"/>
      <c r="FRH252" s="537"/>
      <c r="FRI252" s="537"/>
      <c r="FRJ252" s="537"/>
      <c r="FRK252" s="537"/>
      <c r="FRL252" s="537"/>
      <c r="FRM252" s="537"/>
      <c r="FRN252" s="537"/>
      <c r="FRO252" s="537"/>
      <c r="FRP252" s="537"/>
      <c r="FRQ252" s="537"/>
      <c r="FRR252" s="537"/>
      <c r="FRS252" s="537"/>
      <c r="FRT252" s="537"/>
      <c r="FRU252" s="537"/>
      <c r="FRV252" s="537"/>
      <c r="FRW252" s="537"/>
      <c r="FRX252" s="537"/>
      <c r="FRY252" s="537"/>
      <c r="FRZ252" s="537"/>
      <c r="FSA252" s="537"/>
      <c r="FSB252" s="537"/>
      <c r="FSC252" s="537"/>
      <c r="FSD252" s="537"/>
      <c r="FSE252" s="537"/>
      <c r="FSF252" s="537"/>
      <c r="FSG252" s="537"/>
      <c r="FSH252" s="537"/>
      <c r="FSI252" s="537"/>
      <c r="FSJ252" s="537"/>
      <c r="FSK252" s="537"/>
      <c r="FSL252" s="537"/>
      <c r="FSM252" s="537"/>
      <c r="FSN252" s="537"/>
      <c r="FSO252" s="537"/>
      <c r="FSP252" s="537"/>
      <c r="FSQ252" s="537"/>
      <c r="FSR252" s="537"/>
      <c r="FSS252" s="537"/>
      <c r="FST252" s="537"/>
      <c r="FSU252" s="537"/>
      <c r="FSV252" s="537"/>
      <c r="FSW252" s="537"/>
      <c r="FSX252" s="537"/>
      <c r="FSY252" s="537"/>
      <c r="FSZ252" s="537"/>
      <c r="FTA252" s="537"/>
      <c r="FTB252" s="537"/>
      <c r="FTC252" s="537"/>
      <c r="FTD252" s="537"/>
      <c r="FTE252" s="537"/>
      <c r="FTF252" s="537"/>
      <c r="FTG252" s="537"/>
      <c r="FTH252" s="537"/>
      <c r="FTI252" s="537"/>
      <c r="FTJ252" s="537"/>
      <c r="FTK252" s="537"/>
      <c r="FTL252" s="537"/>
      <c r="FTM252" s="537"/>
      <c r="FTN252" s="537"/>
      <c r="FTO252" s="537"/>
      <c r="FTP252" s="537"/>
      <c r="FTQ252" s="537"/>
      <c r="FTR252" s="537"/>
      <c r="FTS252" s="537"/>
      <c r="FTT252" s="537"/>
      <c r="FTU252" s="537"/>
      <c r="FTV252" s="537"/>
      <c r="FTW252" s="537"/>
      <c r="FTX252" s="537"/>
      <c r="FTY252" s="537"/>
      <c r="FTZ252" s="537"/>
      <c r="FUA252" s="537"/>
      <c r="FUB252" s="537"/>
      <c r="FUC252" s="537"/>
      <c r="FUD252" s="537"/>
      <c r="FUE252" s="537"/>
      <c r="FUF252" s="537"/>
      <c r="FUG252" s="537"/>
      <c r="FUH252" s="537"/>
      <c r="FUI252" s="537"/>
      <c r="FUJ252" s="537"/>
      <c r="FUK252" s="537"/>
      <c r="FUL252" s="537"/>
      <c r="FUM252" s="537"/>
      <c r="FUN252" s="537"/>
      <c r="FUO252" s="537"/>
      <c r="FUP252" s="537"/>
      <c r="FUQ252" s="537"/>
      <c r="FUR252" s="537"/>
      <c r="FUS252" s="537"/>
      <c r="FUT252" s="537"/>
      <c r="FUU252" s="537"/>
      <c r="FUV252" s="537"/>
      <c r="FUW252" s="537"/>
      <c r="FUX252" s="537"/>
      <c r="FUY252" s="537"/>
      <c r="FUZ252" s="537"/>
      <c r="FVA252" s="537"/>
      <c r="FVB252" s="537"/>
      <c r="FVC252" s="537"/>
      <c r="FVD252" s="537"/>
      <c r="FVE252" s="537"/>
      <c r="FVF252" s="537"/>
      <c r="FVG252" s="537"/>
      <c r="FVH252" s="537"/>
      <c r="FVI252" s="537"/>
      <c r="FVJ252" s="537"/>
      <c r="FVK252" s="537"/>
      <c r="FVL252" s="537"/>
      <c r="FVM252" s="537"/>
      <c r="FVN252" s="537"/>
      <c r="FVO252" s="537"/>
      <c r="FVP252" s="537"/>
      <c r="FVQ252" s="537"/>
      <c r="FVR252" s="537"/>
      <c r="FVS252" s="537"/>
      <c r="FVT252" s="537"/>
      <c r="FVU252" s="537"/>
      <c r="FVV252" s="537"/>
      <c r="FVW252" s="537"/>
      <c r="FVX252" s="537"/>
      <c r="FVY252" s="537"/>
      <c r="FVZ252" s="537"/>
      <c r="FWA252" s="537"/>
      <c r="FWB252" s="537"/>
      <c r="FWC252" s="537"/>
      <c r="FWD252" s="537"/>
      <c r="FWE252" s="537"/>
      <c r="FWF252" s="537"/>
      <c r="FWG252" s="537"/>
      <c r="FWH252" s="537"/>
      <c r="FWI252" s="537"/>
      <c r="FWJ252" s="537"/>
      <c r="FWK252" s="537"/>
      <c r="FWL252" s="537"/>
      <c r="FWM252" s="537"/>
      <c r="FWN252" s="537"/>
      <c r="FWO252" s="537"/>
      <c r="FWP252" s="537"/>
      <c r="FWQ252" s="537"/>
      <c r="FWR252" s="537"/>
      <c r="FWS252" s="537"/>
      <c r="FWT252" s="537"/>
      <c r="FWU252" s="537"/>
      <c r="FWV252" s="537"/>
      <c r="FWW252" s="537"/>
      <c r="FWX252" s="537"/>
      <c r="FWY252" s="537"/>
      <c r="FWZ252" s="537"/>
      <c r="FXA252" s="537"/>
      <c r="FXB252" s="537"/>
      <c r="FXC252" s="537"/>
      <c r="FXD252" s="537"/>
      <c r="FXE252" s="537"/>
      <c r="FXF252" s="537"/>
      <c r="FXG252" s="537"/>
      <c r="FXH252" s="537"/>
      <c r="FXI252" s="537"/>
      <c r="FXJ252" s="537"/>
      <c r="FXK252" s="537"/>
      <c r="FXL252" s="537"/>
      <c r="FXM252" s="537"/>
      <c r="FXN252" s="537"/>
      <c r="FXO252" s="537"/>
      <c r="FXP252" s="537"/>
      <c r="FXQ252" s="537"/>
      <c r="FXR252" s="537"/>
      <c r="FXS252" s="537"/>
      <c r="FXT252" s="537"/>
      <c r="FXU252" s="537"/>
      <c r="FXV252" s="537"/>
      <c r="FXW252" s="537"/>
      <c r="FXX252" s="537"/>
      <c r="FXY252" s="537"/>
      <c r="FXZ252" s="537"/>
      <c r="FYA252" s="537"/>
      <c r="FYB252" s="537"/>
      <c r="FYC252" s="537"/>
      <c r="FYD252" s="537"/>
      <c r="FYE252" s="537"/>
      <c r="FYF252" s="537"/>
      <c r="FYG252" s="537"/>
      <c r="FYH252" s="537"/>
      <c r="FYI252" s="537"/>
      <c r="FYJ252" s="537"/>
      <c r="FYK252" s="537"/>
      <c r="FYL252" s="537"/>
      <c r="FYM252" s="537"/>
      <c r="FYN252" s="537"/>
      <c r="FYO252" s="537"/>
      <c r="FYP252" s="537"/>
      <c r="FYQ252" s="537"/>
      <c r="FYR252" s="537"/>
      <c r="FYS252" s="537"/>
      <c r="FYT252" s="537"/>
      <c r="FYU252" s="537"/>
      <c r="FYV252" s="537"/>
      <c r="FYW252" s="537"/>
      <c r="FYX252" s="537"/>
      <c r="FYY252" s="537"/>
      <c r="FYZ252" s="537"/>
      <c r="FZA252" s="537"/>
      <c r="FZB252" s="537"/>
      <c r="FZC252" s="537"/>
      <c r="FZD252" s="537"/>
      <c r="FZE252" s="537"/>
      <c r="FZF252" s="537"/>
      <c r="FZG252" s="537"/>
      <c r="FZH252" s="537"/>
      <c r="FZI252" s="537"/>
      <c r="FZJ252" s="537"/>
      <c r="FZK252" s="537"/>
      <c r="FZL252" s="537"/>
      <c r="FZM252" s="537"/>
      <c r="FZN252" s="537"/>
      <c r="FZO252" s="537"/>
      <c r="FZP252" s="537"/>
      <c r="FZQ252" s="537"/>
      <c r="FZR252" s="537"/>
      <c r="FZS252" s="537"/>
      <c r="FZT252" s="537"/>
      <c r="FZU252" s="537"/>
      <c r="FZV252" s="537"/>
      <c r="FZW252" s="537"/>
      <c r="FZX252" s="537"/>
      <c r="FZY252" s="537"/>
      <c r="FZZ252" s="537"/>
      <c r="GAA252" s="537"/>
      <c r="GAB252" s="537"/>
      <c r="GAC252" s="537"/>
      <c r="GAD252" s="537"/>
      <c r="GAE252" s="537"/>
      <c r="GAF252" s="537"/>
      <c r="GAG252" s="537"/>
      <c r="GAH252" s="537"/>
      <c r="GAI252" s="537"/>
      <c r="GAJ252" s="537"/>
      <c r="GAK252" s="537"/>
      <c r="GAL252" s="537"/>
      <c r="GAM252" s="537"/>
      <c r="GAN252" s="537"/>
      <c r="GAO252" s="537"/>
      <c r="GAP252" s="537"/>
      <c r="GAQ252" s="537"/>
      <c r="GAR252" s="537"/>
      <c r="GAS252" s="537"/>
      <c r="GAT252" s="537"/>
      <c r="GAU252" s="537"/>
      <c r="GAV252" s="537"/>
      <c r="GAW252" s="537"/>
      <c r="GAX252" s="537"/>
      <c r="GAY252" s="537"/>
      <c r="GAZ252" s="537"/>
      <c r="GBA252" s="537"/>
      <c r="GBB252" s="537"/>
      <c r="GBC252" s="537"/>
      <c r="GBD252" s="537"/>
      <c r="GBE252" s="537"/>
      <c r="GBF252" s="537"/>
      <c r="GBG252" s="537"/>
      <c r="GBH252" s="537"/>
      <c r="GBI252" s="537"/>
      <c r="GBJ252" s="537"/>
      <c r="GBK252" s="537"/>
      <c r="GBL252" s="537"/>
      <c r="GBM252" s="537"/>
      <c r="GBN252" s="537"/>
      <c r="GBO252" s="537"/>
      <c r="GBP252" s="537"/>
      <c r="GBQ252" s="537"/>
      <c r="GBR252" s="537"/>
      <c r="GBS252" s="537"/>
      <c r="GBT252" s="537"/>
      <c r="GBU252" s="537"/>
      <c r="GBV252" s="537"/>
      <c r="GBW252" s="537"/>
      <c r="GBX252" s="537"/>
      <c r="GBY252" s="537"/>
      <c r="GBZ252" s="537"/>
      <c r="GCA252" s="537"/>
      <c r="GCB252" s="537"/>
      <c r="GCC252" s="537"/>
      <c r="GCD252" s="537"/>
      <c r="GCE252" s="537"/>
      <c r="GCF252" s="537"/>
      <c r="GCG252" s="537"/>
      <c r="GCH252" s="537"/>
      <c r="GCI252" s="537"/>
      <c r="GCJ252" s="537"/>
      <c r="GCK252" s="537"/>
      <c r="GCL252" s="537"/>
      <c r="GCM252" s="537"/>
      <c r="GCN252" s="537"/>
      <c r="GCO252" s="537"/>
      <c r="GCP252" s="537"/>
      <c r="GCQ252" s="537"/>
      <c r="GCR252" s="537"/>
      <c r="GCS252" s="537"/>
      <c r="GCT252" s="537"/>
      <c r="GCU252" s="537"/>
      <c r="GCV252" s="537"/>
      <c r="GCW252" s="537"/>
      <c r="GCX252" s="537"/>
      <c r="GCY252" s="537"/>
      <c r="GCZ252" s="537"/>
      <c r="GDA252" s="537"/>
      <c r="GDB252" s="537"/>
      <c r="GDC252" s="537"/>
      <c r="GDD252" s="537"/>
      <c r="GDE252" s="537"/>
      <c r="GDF252" s="537"/>
      <c r="GDG252" s="537"/>
      <c r="GDH252" s="537"/>
      <c r="GDI252" s="537"/>
      <c r="GDJ252" s="537"/>
      <c r="GDK252" s="537"/>
      <c r="GDL252" s="537"/>
      <c r="GDM252" s="537"/>
      <c r="GDN252" s="537"/>
      <c r="GDO252" s="537"/>
      <c r="GDP252" s="537"/>
      <c r="GDQ252" s="537"/>
      <c r="GDR252" s="537"/>
      <c r="GDS252" s="537"/>
      <c r="GDT252" s="537"/>
      <c r="GDU252" s="537"/>
      <c r="GDV252" s="537"/>
      <c r="GDW252" s="537"/>
      <c r="GDX252" s="537"/>
      <c r="GDY252" s="537"/>
      <c r="GDZ252" s="537"/>
      <c r="GEA252" s="537"/>
      <c r="GEB252" s="537"/>
      <c r="GEC252" s="537"/>
      <c r="GED252" s="537"/>
      <c r="GEE252" s="537"/>
      <c r="GEF252" s="537"/>
      <c r="GEG252" s="537"/>
      <c r="GEH252" s="537"/>
      <c r="GEI252" s="537"/>
      <c r="GEJ252" s="537"/>
      <c r="GEK252" s="537"/>
      <c r="GEL252" s="537"/>
      <c r="GEM252" s="537"/>
      <c r="GEN252" s="537"/>
      <c r="GEO252" s="537"/>
      <c r="GEP252" s="537"/>
      <c r="GEQ252" s="537"/>
      <c r="GER252" s="537"/>
      <c r="GES252" s="537"/>
      <c r="GET252" s="537"/>
      <c r="GEU252" s="537"/>
      <c r="GEV252" s="537"/>
      <c r="GEW252" s="537"/>
      <c r="GEX252" s="537"/>
      <c r="GEY252" s="537"/>
      <c r="GEZ252" s="537"/>
      <c r="GFA252" s="537"/>
      <c r="GFB252" s="537"/>
      <c r="GFC252" s="537"/>
      <c r="GFD252" s="537"/>
      <c r="GFE252" s="537"/>
      <c r="GFF252" s="537"/>
      <c r="GFG252" s="537"/>
      <c r="GFH252" s="537"/>
      <c r="GFI252" s="537"/>
      <c r="GFJ252" s="537"/>
      <c r="GFK252" s="537"/>
      <c r="GFL252" s="537"/>
      <c r="GFM252" s="537"/>
      <c r="GFN252" s="537"/>
      <c r="GFO252" s="537"/>
      <c r="GFP252" s="537"/>
      <c r="GFQ252" s="537"/>
      <c r="GFR252" s="537"/>
      <c r="GFS252" s="537"/>
      <c r="GFT252" s="537"/>
      <c r="GFU252" s="537"/>
      <c r="GFV252" s="537"/>
      <c r="GFW252" s="537"/>
      <c r="GFX252" s="537"/>
      <c r="GFY252" s="537"/>
      <c r="GFZ252" s="537"/>
      <c r="GGA252" s="537"/>
      <c r="GGB252" s="537"/>
      <c r="GGC252" s="537"/>
      <c r="GGD252" s="537"/>
      <c r="GGE252" s="537"/>
      <c r="GGF252" s="537"/>
      <c r="GGG252" s="537"/>
      <c r="GGH252" s="537"/>
      <c r="GGI252" s="537"/>
      <c r="GGJ252" s="537"/>
      <c r="GGK252" s="537"/>
      <c r="GGL252" s="537"/>
      <c r="GGM252" s="537"/>
      <c r="GGN252" s="537"/>
      <c r="GGO252" s="537"/>
      <c r="GGP252" s="537"/>
      <c r="GGQ252" s="537"/>
      <c r="GGR252" s="537"/>
      <c r="GGS252" s="537"/>
      <c r="GGT252" s="537"/>
      <c r="GGU252" s="537"/>
      <c r="GGV252" s="537"/>
      <c r="GGW252" s="537"/>
      <c r="GGX252" s="537"/>
      <c r="GGY252" s="537"/>
      <c r="GGZ252" s="537"/>
      <c r="GHA252" s="537"/>
      <c r="GHB252" s="537"/>
      <c r="GHC252" s="537"/>
      <c r="GHD252" s="537"/>
      <c r="GHE252" s="537"/>
      <c r="GHF252" s="537"/>
      <c r="GHG252" s="537"/>
      <c r="GHH252" s="537"/>
      <c r="GHI252" s="537"/>
      <c r="GHJ252" s="537"/>
      <c r="GHK252" s="537"/>
      <c r="GHL252" s="537"/>
      <c r="GHM252" s="537"/>
      <c r="GHN252" s="537"/>
      <c r="GHO252" s="537"/>
      <c r="GHP252" s="537"/>
      <c r="GHQ252" s="537"/>
      <c r="GHR252" s="537"/>
      <c r="GHS252" s="537"/>
      <c r="GHT252" s="537"/>
      <c r="GHU252" s="537"/>
      <c r="GHV252" s="537"/>
      <c r="GHW252" s="537"/>
      <c r="GHX252" s="537"/>
      <c r="GHY252" s="537"/>
      <c r="GHZ252" s="537"/>
      <c r="GIA252" s="537"/>
      <c r="GIB252" s="537"/>
      <c r="GIC252" s="537"/>
      <c r="GID252" s="537"/>
      <c r="GIE252" s="537"/>
      <c r="GIF252" s="537"/>
      <c r="GIG252" s="537"/>
      <c r="GIH252" s="537"/>
      <c r="GII252" s="537"/>
      <c r="GIJ252" s="537"/>
      <c r="GIK252" s="537"/>
      <c r="GIL252" s="537"/>
      <c r="GIM252" s="537"/>
      <c r="GIN252" s="537"/>
      <c r="GIO252" s="537"/>
      <c r="GIP252" s="537"/>
      <c r="GIQ252" s="537"/>
      <c r="GIR252" s="537"/>
      <c r="GIS252" s="537"/>
      <c r="GIT252" s="537"/>
      <c r="GIU252" s="537"/>
      <c r="GIV252" s="537"/>
      <c r="GIW252" s="537"/>
      <c r="GIX252" s="537"/>
      <c r="GIY252" s="537"/>
      <c r="GIZ252" s="537"/>
      <c r="GJA252" s="537"/>
      <c r="GJB252" s="537"/>
      <c r="GJC252" s="537"/>
      <c r="GJD252" s="537"/>
      <c r="GJE252" s="537"/>
      <c r="GJF252" s="537"/>
      <c r="GJG252" s="537"/>
      <c r="GJH252" s="537"/>
      <c r="GJI252" s="537"/>
      <c r="GJJ252" s="537"/>
      <c r="GJK252" s="537"/>
      <c r="GJL252" s="537"/>
      <c r="GJM252" s="537"/>
      <c r="GJN252" s="537"/>
      <c r="GJO252" s="537"/>
      <c r="GJP252" s="537"/>
      <c r="GJQ252" s="537"/>
      <c r="GJR252" s="537"/>
      <c r="GJS252" s="537"/>
      <c r="GJT252" s="537"/>
      <c r="GJU252" s="537"/>
      <c r="GJV252" s="537"/>
      <c r="GJW252" s="537"/>
      <c r="GJX252" s="537"/>
      <c r="GJY252" s="537"/>
      <c r="GJZ252" s="537"/>
      <c r="GKA252" s="537"/>
      <c r="GKB252" s="537"/>
      <c r="GKC252" s="537"/>
      <c r="GKD252" s="537"/>
      <c r="GKE252" s="537"/>
      <c r="GKF252" s="537"/>
      <c r="GKG252" s="537"/>
      <c r="GKH252" s="537"/>
      <c r="GKI252" s="537"/>
      <c r="GKJ252" s="537"/>
      <c r="GKK252" s="537"/>
      <c r="GKL252" s="537"/>
      <c r="GKM252" s="537"/>
      <c r="GKN252" s="537"/>
      <c r="GKO252" s="537"/>
      <c r="GKP252" s="537"/>
      <c r="GKQ252" s="537"/>
      <c r="GKR252" s="537"/>
      <c r="GKS252" s="537"/>
      <c r="GKT252" s="537"/>
      <c r="GKU252" s="537"/>
      <c r="GKV252" s="537"/>
      <c r="GKW252" s="537"/>
      <c r="GKX252" s="537"/>
      <c r="GKY252" s="537"/>
      <c r="GKZ252" s="537"/>
      <c r="GLA252" s="537"/>
      <c r="GLB252" s="537"/>
      <c r="GLC252" s="537"/>
      <c r="GLD252" s="537"/>
      <c r="GLE252" s="537"/>
      <c r="GLF252" s="537"/>
      <c r="GLG252" s="537"/>
      <c r="GLH252" s="537"/>
      <c r="GLI252" s="537"/>
      <c r="GLJ252" s="537"/>
      <c r="GLK252" s="537"/>
      <c r="GLL252" s="537"/>
      <c r="GLM252" s="537"/>
      <c r="GLN252" s="537"/>
      <c r="GLO252" s="537"/>
      <c r="GLP252" s="537"/>
      <c r="GLQ252" s="537"/>
      <c r="GLR252" s="537"/>
      <c r="GLS252" s="537"/>
      <c r="GLT252" s="537"/>
      <c r="GLU252" s="537"/>
      <c r="GLV252" s="537"/>
      <c r="GLW252" s="537"/>
      <c r="GLX252" s="537"/>
      <c r="GLY252" s="537"/>
      <c r="GLZ252" s="537"/>
      <c r="GMA252" s="537"/>
      <c r="GMB252" s="537"/>
      <c r="GMC252" s="537"/>
      <c r="GMD252" s="537"/>
      <c r="GME252" s="537"/>
      <c r="GMF252" s="537"/>
      <c r="GMG252" s="537"/>
      <c r="GMH252" s="537"/>
      <c r="GMI252" s="537"/>
      <c r="GMJ252" s="537"/>
      <c r="GMK252" s="537"/>
      <c r="GML252" s="537"/>
      <c r="GMM252" s="537"/>
      <c r="GMN252" s="537"/>
      <c r="GMO252" s="537"/>
      <c r="GMP252" s="537"/>
      <c r="GMQ252" s="537"/>
      <c r="GMR252" s="537"/>
      <c r="GMS252" s="537"/>
      <c r="GMT252" s="537"/>
      <c r="GMU252" s="537"/>
      <c r="GMV252" s="537"/>
      <c r="GMW252" s="537"/>
      <c r="GMX252" s="537"/>
      <c r="GMY252" s="537"/>
      <c r="GMZ252" s="537"/>
      <c r="GNA252" s="537"/>
      <c r="GNB252" s="537"/>
      <c r="GNC252" s="537"/>
      <c r="GND252" s="537"/>
      <c r="GNE252" s="537"/>
      <c r="GNF252" s="537"/>
      <c r="GNG252" s="537"/>
      <c r="GNH252" s="537"/>
      <c r="GNI252" s="537"/>
      <c r="GNJ252" s="537"/>
      <c r="GNK252" s="537"/>
      <c r="GNL252" s="537"/>
      <c r="GNM252" s="537"/>
      <c r="GNN252" s="537"/>
      <c r="GNO252" s="537"/>
      <c r="GNP252" s="537"/>
      <c r="GNQ252" s="537"/>
      <c r="GNR252" s="537"/>
      <c r="GNS252" s="537"/>
      <c r="GNT252" s="537"/>
      <c r="GNU252" s="537"/>
      <c r="GNV252" s="537"/>
      <c r="GNW252" s="537"/>
      <c r="GNX252" s="537"/>
      <c r="GNY252" s="537"/>
      <c r="GNZ252" s="537"/>
      <c r="GOA252" s="537"/>
      <c r="GOB252" s="537"/>
      <c r="GOC252" s="537"/>
      <c r="GOD252" s="537"/>
      <c r="GOE252" s="537"/>
      <c r="GOF252" s="537"/>
      <c r="GOG252" s="537"/>
      <c r="GOH252" s="537"/>
      <c r="GOI252" s="537"/>
      <c r="GOJ252" s="537"/>
      <c r="GOK252" s="537"/>
      <c r="GOL252" s="537"/>
      <c r="GOM252" s="537"/>
      <c r="GON252" s="537"/>
      <c r="GOO252" s="537"/>
      <c r="GOP252" s="537"/>
      <c r="GOQ252" s="537"/>
      <c r="GOR252" s="537"/>
      <c r="GOS252" s="537"/>
      <c r="GOT252" s="537"/>
      <c r="GOU252" s="537"/>
      <c r="GOV252" s="537"/>
      <c r="GOW252" s="537"/>
      <c r="GOX252" s="537"/>
      <c r="GOY252" s="537"/>
      <c r="GOZ252" s="537"/>
      <c r="GPA252" s="537"/>
      <c r="GPB252" s="537"/>
      <c r="GPC252" s="537"/>
      <c r="GPD252" s="537"/>
      <c r="GPE252" s="537"/>
      <c r="GPF252" s="537"/>
      <c r="GPG252" s="537"/>
      <c r="GPH252" s="537"/>
      <c r="GPI252" s="537"/>
      <c r="GPJ252" s="537"/>
      <c r="GPK252" s="537"/>
      <c r="GPL252" s="537"/>
      <c r="GPM252" s="537"/>
      <c r="GPN252" s="537"/>
      <c r="GPO252" s="537"/>
      <c r="GPP252" s="537"/>
      <c r="GPQ252" s="537"/>
      <c r="GPR252" s="537"/>
      <c r="GPS252" s="537"/>
      <c r="GPT252" s="537"/>
      <c r="GPU252" s="537"/>
      <c r="GPV252" s="537"/>
      <c r="GPW252" s="537"/>
      <c r="GPX252" s="537"/>
      <c r="GPY252" s="537"/>
      <c r="GPZ252" s="537"/>
      <c r="GQA252" s="537"/>
      <c r="GQB252" s="537"/>
      <c r="GQC252" s="537"/>
      <c r="GQD252" s="537"/>
      <c r="GQE252" s="537"/>
      <c r="GQF252" s="537"/>
      <c r="GQG252" s="537"/>
      <c r="GQH252" s="537"/>
      <c r="GQI252" s="537"/>
      <c r="GQJ252" s="537"/>
      <c r="GQK252" s="537"/>
      <c r="GQL252" s="537"/>
      <c r="GQM252" s="537"/>
      <c r="GQN252" s="537"/>
      <c r="GQO252" s="537"/>
      <c r="GQP252" s="537"/>
      <c r="GQQ252" s="537"/>
      <c r="GQR252" s="537"/>
      <c r="GQS252" s="537"/>
      <c r="GQT252" s="537"/>
      <c r="GQU252" s="537"/>
      <c r="GQV252" s="537"/>
      <c r="GQW252" s="537"/>
      <c r="GQX252" s="537"/>
      <c r="GQY252" s="537"/>
      <c r="GQZ252" s="537"/>
      <c r="GRA252" s="537"/>
      <c r="GRB252" s="537"/>
      <c r="GRC252" s="537"/>
      <c r="GRD252" s="537"/>
      <c r="GRE252" s="537"/>
      <c r="GRF252" s="537"/>
      <c r="GRG252" s="537"/>
      <c r="GRH252" s="537"/>
      <c r="GRI252" s="537"/>
      <c r="GRJ252" s="537"/>
      <c r="GRK252" s="537"/>
      <c r="GRL252" s="537"/>
      <c r="GRM252" s="537"/>
      <c r="GRN252" s="537"/>
      <c r="GRO252" s="537"/>
      <c r="GRP252" s="537"/>
      <c r="GRQ252" s="537"/>
      <c r="GRR252" s="537"/>
      <c r="GRS252" s="537"/>
      <c r="GRT252" s="537"/>
      <c r="GRU252" s="537"/>
      <c r="GRV252" s="537"/>
      <c r="GRW252" s="537"/>
      <c r="GRX252" s="537"/>
      <c r="GRY252" s="537"/>
      <c r="GRZ252" s="537"/>
      <c r="GSA252" s="537"/>
      <c r="GSB252" s="537"/>
      <c r="GSC252" s="537"/>
      <c r="GSD252" s="537"/>
      <c r="GSE252" s="537"/>
      <c r="GSF252" s="537"/>
      <c r="GSG252" s="537"/>
      <c r="GSH252" s="537"/>
      <c r="GSI252" s="537"/>
      <c r="GSJ252" s="537"/>
      <c r="GSK252" s="537"/>
      <c r="GSL252" s="537"/>
      <c r="GSM252" s="537"/>
      <c r="GSN252" s="537"/>
      <c r="GSO252" s="537"/>
      <c r="GSP252" s="537"/>
      <c r="GSQ252" s="537"/>
      <c r="GSR252" s="537"/>
      <c r="GSS252" s="537"/>
      <c r="GST252" s="537"/>
      <c r="GSU252" s="537"/>
      <c r="GSV252" s="537"/>
      <c r="GSW252" s="537"/>
      <c r="GSX252" s="537"/>
      <c r="GSY252" s="537"/>
      <c r="GSZ252" s="537"/>
      <c r="GTA252" s="537"/>
      <c r="GTB252" s="537"/>
      <c r="GTC252" s="537"/>
      <c r="GTD252" s="537"/>
      <c r="GTE252" s="537"/>
      <c r="GTF252" s="537"/>
      <c r="GTG252" s="537"/>
      <c r="GTH252" s="537"/>
      <c r="GTI252" s="537"/>
      <c r="GTJ252" s="537"/>
      <c r="GTK252" s="537"/>
      <c r="GTL252" s="537"/>
      <c r="GTM252" s="537"/>
      <c r="GTN252" s="537"/>
      <c r="GTO252" s="537"/>
      <c r="GTP252" s="537"/>
      <c r="GTQ252" s="537"/>
      <c r="GTR252" s="537"/>
      <c r="GTS252" s="537"/>
      <c r="GTT252" s="537"/>
      <c r="GTU252" s="537"/>
      <c r="GTV252" s="537"/>
      <c r="GTW252" s="537"/>
      <c r="GTX252" s="537"/>
      <c r="GTY252" s="537"/>
      <c r="GTZ252" s="537"/>
      <c r="GUA252" s="537"/>
      <c r="GUB252" s="537"/>
      <c r="GUC252" s="537"/>
      <c r="GUD252" s="537"/>
      <c r="GUE252" s="537"/>
      <c r="GUF252" s="537"/>
      <c r="GUG252" s="537"/>
      <c r="GUH252" s="537"/>
      <c r="GUI252" s="537"/>
      <c r="GUJ252" s="537"/>
      <c r="GUK252" s="537"/>
      <c r="GUL252" s="537"/>
      <c r="GUM252" s="537"/>
      <c r="GUN252" s="537"/>
      <c r="GUO252" s="537"/>
      <c r="GUP252" s="537"/>
      <c r="GUQ252" s="537"/>
      <c r="GUR252" s="537"/>
      <c r="GUS252" s="537"/>
      <c r="GUT252" s="537"/>
      <c r="GUU252" s="537"/>
      <c r="GUV252" s="537"/>
      <c r="GUW252" s="537"/>
      <c r="GUX252" s="537"/>
      <c r="GUY252" s="537"/>
      <c r="GUZ252" s="537"/>
      <c r="GVA252" s="537"/>
      <c r="GVB252" s="537"/>
      <c r="GVC252" s="537"/>
      <c r="GVD252" s="537"/>
      <c r="GVE252" s="537"/>
      <c r="GVF252" s="537"/>
      <c r="GVG252" s="537"/>
      <c r="GVH252" s="537"/>
      <c r="GVI252" s="537"/>
      <c r="GVJ252" s="537"/>
      <c r="GVK252" s="537"/>
      <c r="GVL252" s="537"/>
      <c r="GVM252" s="537"/>
      <c r="GVN252" s="537"/>
      <c r="GVO252" s="537"/>
      <c r="GVP252" s="537"/>
      <c r="GVQ252" s="537"/>
      <c r="GVR252" s="537"/>
      <c r="GVS252" s="537"/>
      <c r="GVT252" s="537"/>
      <c r="GVU252" s="537"/>
      <c r="GVV252" s="537"/>
      <c r="GVW252" s="537"/>
      <c r="GVX252" s="537"/>
      <c r="GVY252" s="537"/>
      <c r="GVZ252" s="537"/>
      <c r="GWA252" s="537"/>
      <c r="GWB252" s="537"/>
      <c r="GWC252" s="537"/>
      <c r="GWD252" s="537"/>
      <c r="GWE252" s="537"/>
      <c r="GWF252" s="537"/>
      <c r="GWG252" s="537"/>
      <c r="GWH252" s="537"/>
      <c r="GWI252" s="537"/>
      <c r="GWJ252" s="537"/>
      <c r="GWK252" s="537"/>
      <c r="GWL252" s="537"/>
      <c r="GWM252" s="537"/>
      <c r="GWN252" s="537"/>
      <c r="GWO252" s="537"/>
      <c r="GWP252" s="537"/>
      <c r="GWQ252" s="537"/>
      <c r="GWR252" s="537"/>
      <c r="GWS252" s="537"/>
      <c r="GWT252" s="537"/>
      <c r="GWU252" s="537"/>
      <c r="GWV252" s="537"/>
      <c r="GWW252" s="537"/>
      <c r="GWX252" s="537"/>
      <c r="GWY252" s="537"/>
      <c r="GWZ252" s="537"/>
      <c r="GXA252" s="537"/>
      <c r="GXB252" s="537"/>
      <c r="GXC252" s="537"/>
      <c r="GXD252" s="537"/>
      <c r="GXE252" s="537"/>
      <c r="GXF252" s="537"/>
      <c r="GXG252" s="537"/>
      <c r="GXH252" s="537"/>
      <c r="GXI252" s="537"/>
      <c r="GXJ252" s="537"/>
      <c r="GXK252" s="537"/>
      <c r="GXL252" s="537"/>
      <c r="GXM252" s="537"/>
      <c r="GXN252" s="537"/>
      <c r="GXO252" s="537"/>
      <c r="GXP252" s="537"/>
      <c r="GXQ252" s="537"/>
      <c r="GXR252" s="537"/>
      <c r="GXS252" s="537"/>
      <c r="GXT252" s="537"/>
      <c r="GXU252" s="537"/>
      <c r="GXV252" s="537"/>
      <c r="GXW252" s="537"/>
      <c r="GXX252" s="537"/>
      <c r="GXY252" s="537"/>
      <c r="GXZ252" s="537"/>
      <c r="GYA252" s="537"/>
      <c r="GYB252" s="537"/>
      <c r="GYC252" s="537"/>
      <c r="GYD252" s="537"/>
      <c r="GYE252" s="537"/>
      <c r="GYF252" s="537"/>
      <c r="GYG252" s="537"/>
      <c r="GYH252" s="537"/>
      <c r="GYI252" s="537"/>
      <c r="GYJ252" s="537"/>
      <c r="GYK252" s="537"/>
      <c r="GYL252" s="537"/>
      <c r="GYM252" s="537"/>
      <c r="GYN252" s="537"/>
      <c r="GYO252" s="537"/>
      <c r="GYP252" s="537"/>
      <c r="GYQ252" s="537"/>
      <c r="GYR252" s="537"/>
      <c r="GYS252" s="537"/>
      <c r="GYT252" s="537"/>
      <c r="GYU252" s="537"/>
      <c r="GYV252" s="537"/>
      <c r="GYW252" s="537"/>
      <c r="GYX252" s="537"/>
      <c r="GYY252" s="537"/>
      <c r="GYZ252" s="537"/>
      <c r="GZA252" s="537"/>
      <c r="GZB252" s="537"/>
      <c r="GZC252" s="537"/>
      <c r="GZD252" s="537"/>
      <c r="GZE252" s="537"/>
      <c r="GZF252" s="537"/>
      <c r="GZG252" s="537"/>
      <c r="GZH252" s="537"/>
      <c r="GZI252" s="537"/>
      <c r="GZJ252" s="537"/>
      <c r="GZK252" s="537"/>
      <c r="GZL252" s="537"/>
      <c r="GZM252" s="537"/>
      <c r="GZN252" s="537"/>
      <c r="GZO252" s="537"/>
      <c r="GZP252" s="537"/>
      <c r="GZQ252" s="537"/>
      <c r="GZR252" s="537"/>
      <c r="GZS252" s="537"/>
      <c r="GZT252" s="537"/>
      <c r="GZU252" s="537"/>
      <c r="GZV252" s="537"/>
      <c r="GZW252" s="537"/>
      <c r="GZX252" s="537"/>
      <c r="GZY252" s="537"/>
      <c r="GZZ252" s="537"/>
      <c r="HAA252" s="537"/>
      <c r="HAB252" s="537"/>
      <c r="HAC252" s="537"/>
      <c r="HAD252" s="537"/>
      <c r="HAE252" s="537"/>
      <c r="HAF252" s="537"/>
      <c r="HAG252" s="537"/>
      <c r="HAH252" s="537"/>
      <c r="HAI252" s="537"/>
      <c r="HAJ252" s="537"/>
      <c r="HAK252" s="537"/>
      <c r="HAL252" s="537"/>
      <c r="HAM252" s="537"/>
      <c r="HAN252" s="537"/>
      <c r="HAO252" s="537"/>
      <c r="HAP252" s="537"/>
      <c r="HAQ252" s="537"/>
      <c r="HAR252" s="537"/>
      <c r="HAS252" s="537"/>
      <c r="HAT252" s="537"/>
      <c r="HAU252" s="537"/>
      <c r="HAV252" s="537"/>
      <c r="HAW252" s="537"/>
      <c r="HAX252" s="537"/>
      <c r="HAY252" s="537"/>
      <c r="HAZ252" s="537"/>
      <c r="HBA252" s="537"/>
      <c r="HBB252" s="537"/>
      <c r="HBC252" s="537"/>
      <c r="HBD252" s="537"/>
      <c r="HBE252" s="537"/>
      <c r="HBF252" s="537"/>
      <c r="HBG252" s="537"/>
      <c r="HBH252" s="537"/>
      <c r="HBI252" s="537"/>
      <c r="HBJ252" s="537"/>
      <c r="HBK252" s="537"/>
      <c r="HBL252" s="537"/>
      <c r="HBM252" s="537"/>
      <c r="HBN252" s="537"/>
      <c r="HBO252" s="537"/>
      <c r="HBP252" s="537"/>
      <c r="HBQ252" s="537"/>
      <c r="HBR252" s="537"/>
      <c r="HBS252" s="537"/>
      <c r="HBT252" s="537"/>
      <c r="HBU252" s="537"/>
      <c r="HBV252" s="537"/>
      <c r="HBW252" s="537"/>
      <c r="HBX252" s="537"/>
      <c r="HBY252" s="537"/>
      <c r="HBZ252" s="537"/>
      <c r="HCA252" s="537"/>
      <c r="HCB252" s="537"/>
      <c r="HCC252" s="537"/>
      <c r="HCD252" s="537"/>
      <c r="HCE252" s="537"/>
      <c r="HCF252" s="537"/>
      <c r="HCG252" s="537"/>
      <c r="HCH252" s="537"/>
      <c r="HCI252" s="537"/>
      <c r="HCJ252" s="537"/>
      <c r="HCK252" s="537"/>
      <c r="HCL252" s="537"/>
      <c r="HCM252" s="537"/>
      <c r="HCN252" s="537"/>
      <c r="HCO252" s="537"/>
      <c r="HCP252" s="537"/>
      <c r="HCQ252" s="537"/>
      <c r="HCR252" s="537"/>
      <c r="HCS252" s="537"/>
      <c r="HCT252" s="537"/>
      <c r="HCU252" s="537"/>
      <c r="HCV252" s="537"/>
      <c r="HCW252" s="537"/>
      <c r="HCX252" s="537"/>
      <c r="HCY252" s="537"/>
      <c r="HCZ252" s="537"/>
      <c r="HDA252" s="537"/>
      <c r="HDB252" s="537"/>
      <c r="HDC252" s="537"/>
      <c r="HDD252" s="537"/>
      <c r="HDE252" s="537"/>
      <c r="HDF252" s="537"/>
      <c r="HDG252" s="537"/>
      <c r="HDH252" s="537"/>
      <c r="HDI252" s="537"/>
      <c r="HDJ252" s="537"/>
      <c r="HDK252" s="537"/>
      <c r="HDL252" s="537"/>
      <c r="HDM252" s="537"/>
      <c r="HDN252" s="537"/>
      <c r="HDO252" s="537"/>
      <c r="HDP252" s="537"/>
      <c r="HDQ252" s="537"/>
      <c r="HDR252" s="537"/>
      <c r="HDS252" s="537"/>
      <c r="HDT252" s="537"/>
      <c r="HDU252" s="537"/>
      <c r="HDV252" s="537"/>
      <c r="HDW252" s="537"/>
      <c r="HDX252" s="537"/>
      <c r="HDY252" s="537"/>
      <c r="HDZ252" s="537"/>
      <c r="HEA252" s="537"/>
      <c r="HEB252" s="537"/>
      <c r="HEC252" s="537"/>
      <c r="HED252" s="537"/>
      <c r="HEE252" s="537"/>
      <c r="HEF252" s="537"/>
      <c r="HEG252" s="537"/>
      <c r="HEH252" s="537"/>
      <c r="HEI252" s="537"/>
      <c r="HEJ252" s="537"/>
      <c r="HEK252" s="537"/>
      <c r="HEL252" s="537"/>
      <c r="HEM252" s="537"/>
      <c r="HEN252" s="537"/>
      <c r="HEO252" s="537"/>
      <c r="HEP252" s="537"/>
      <c r="HEQ252" s="537"/>
      <c r="HER252" s="537"/>
      <c r="HES252" s="537"/>
      <c r="HET252" s="537"/>
      <c r="HEU252" s="537"/>
      <c r="HEV252" s="537"/>
      <c r="HEW252" s="537"/>
      <c r="HEX252" s="537"/>
      <c r="HEY252" s="537"/>
      <c r="HEZ252" s="537"/>
      <c r="HFA252" s="537"/>
      <c r="HFB252" s="537"/>
      <c r="HFC252" s="537"/>
      <c r="HFD252" s="537"/>
      <c r="HFE252" s="537"/>
      <c r="HFF252" s="537"/>
      <c r="HFG252" s="537"/>
      <c r="HFH252" s="537"/>
      <c r="HFI252" s="537"/>
      <c r="HFJ252" s="537"/>
      <c r="HFK252" s="537"/>
      <c r="HFL252" s="537"/>
      <c r="HFM252" s="537"/>
      <c r="HFN252" s="537"/>
      <c r="HFO252" s="537"/>
      <c r="HFP252" s="537"/>
      <c r="HFQ252" s="537"/>
      <c r="HFR252" s="537"/>
      <c r="HFS252" s="537"/>
      <c r="HFT252" s="537"/>
      <c r="HFU252" s="537"/>
      <c r="HFV252" s="537"/>
      <c r="HFW252" s="537"/>
      <c r="HFX252" s="537"/>
      <c r="HFY252" s="537"/>
      <c r="HFZ252" s="537"/>
      <c r="HGA252" s="537"/>
      <c r="HGB252" s="537"/>
      <c r="HGC252" s="537"/>
      <c r="HGD252" s="537"/>
      <c r="HGE252" s="537"/>
      <c r="HGF252" s="537"/>
      <c r="HGG252" s="537"/>
      <c r="HGH252" s="537"/>
      <c r="HGI252" s="537"/>
      <c r="HGJ252" s="537"/>
      <c r="HGK252" s="537"/>
      <c r="HGL252" s="537"/>
      <c r="HGM252" s="537"/>
      <c r="HGN252" s="537"/>
      <c r="HGO252" s="537"/>
      <c r="HGP252" s="537"/>
      <c r="HGQ252" s="537"/>
      <c r="HGR252" s="537"/>
      <c r="HGS252" s="537"/>
      <c r="HGT252" s="537"/>
      <c r="HGU252" s="537"/>
      <c r="HGV252" s="537"/>
      <c r="HGW252" s="537"/>
      <c r="HGX252" s="537"/>
      <c r="HGY252" s="537"/>
      <c r="HGZ252" s="537"/>
      <c r="HHA252" s="537"/>
      <c r="HHB252" s="537"/>
      <c r="HHC252" s="537"/>
      <c r="HHD252" s="537"/>
      <c r="HHE252" s="537"/>
      <c r="HHF252" s="537"/>
      <c r="HHG252" s="537"/>
      <c r="HHH252" s="537"/>
      <c r="HHI252" s="537"/>
      <c r="HHJ252" s="537"/>
      <c r="HHK252" s="537"/>
      <c r="HHL252" s="537"/>
      <c r="HHM252" s="537"/>
      <c r="HHN252" s="537"/>
      <c r="HHO252" s="537"/>
      <c r="HHP252" s="537"/>
      <c r="HHQ252" s="537"/>
      <c r="HHR252" s="537"/>
      <c r="HHS252" s="537"/>
      <c r="HHT252" s="537"/>
      <c r="HHU252" s="537"/>
      <c r="HHV252" s="537"/>
      <c r="HHW252" s="537"/>
      <c r="HHX252" s="537"/>
      <c r="HHY252" s="537"/>
      <c r="HHZ252" s="537"/>
      <c r="HIA252" s="537"/>
      <c r="HIB252" s="537"/>
      <c r="HIC252" s="537"/>
      <c r="HID252" s="537"/>
      <c r="HIE252" s="537"/>
      <c r="HIF252" s="537"/>
      <c r="HIG252" s="537"/>
      <c r="HIH252" s="537"/>
      <c r="HII252" s="537"/>
      <c r="HIJ252" s="537"/>
      <c r="HIK252" s="537"/>
      <c r="HIL252" s="537"/>
      <c r="HIM252" s="537"/>
      <c r="HIN252" s="537"/>
      <c r="HIO252" s="537"/>
      <c r="HIP252" s="537"/>
      <c r="HIQ252" s="537"/>
      <c r="HIR252" s="537"/>
      <c r="HIS252" s="537"/>
      <c r="HIT252" s="537"/>
      <c r="HIU252" s="537"/>
      <c r="HIV252" s="537"/>
      <c r="HIW252" s="537"/>
      <c r="HIX252" s="537"/>
      <c r="HIY252" s="537"/>
      <c r="HIZ252" s="537"/>
      <c r="HJA252" s="537"/>
      <c r="HJB252" s="537"/>
      <c r="HJC252" s="537"/>
      <c r="HJD252" s="537"/>
      <c r="HJE252" s="537"/>
      <c r="HJF252" s="537"/>
      <c r="HJG252" s="537"/>
      <c r="HJH252" s="537"/>
      <c r="HJI252" s="537"/>
      <c r="HJJ252" s="537"/>
      <c r="HJK252" s="537"/>
      <c r="HJL252" s="537"/>
      <c r="HJM252" s="537"/>
      <c r="HJN252" s="537"/>
      <c r="HJO252" s="537"/>
      <c r="HJP252" s="537"/>
      <c r="HJQ252" s="537"/>
      <c r="HJR252" s="537"/>
      <c r="HJS252" s="537"/>
      <c r="HJT252" s="537"/>
      <c r="HJU252" s="537"/>
      <c r="HJV252" s="537"/>
      <c r="HJW252" s="537"/>
      <c r="HJX252" s="537"/>
      <c r="HJY252" s="537"/>
      <c r="HJZ252" s="537"/>
      <c r="HKA252" s="537"/>
      <c r="HKB252" s="537"/>
      <c r="HKC252" s="537"/>
      <c r="HKD252" s="537"/>
      <c r="HKE252" s="537"/>
      <c r="HKF252" s="537"/>
      <c r="HKG252" s="537"/>
      <c r="HKH252" s="537"/>
      <c r="HKI252" s="537"/>
      <c r="HKJ252" s="537"/>
      <c r="HKK252" s="537"/>
      <c r="HKL252" s="537"/>
      <c r="HKM252" s="537"/>
      <c r="HKN252" s="537"/>
      <c r="HKO252" s="537"/>
      <c r="HKP252" s="537"/>
      <c r="HKQ252" s="537"/>
      <c r="HKR252" s="537"/>
      <c r="HKS252" s="537"/>
      <c r="HKT252" s="537"/>
      <c r="HKU252" s="537"/>
      <c r="HKV252" s="537"/>
      <c r="HKW252" s="537"/>
      <c r="HKX252" s="537"/>
      <c r="HKY252" s="537"/>
      <c r="HKZ252" s="537"/>
      <c r="HLA252" s="537"/>
      <c r="HLB252" s="537"/>
      <c r="HLC252" s="537"/>
      <c r="HLD252" s="537"/>
      <c r="HLE252" s="537"/>
      <c r="HLF252" s="537"/>
      <c r="HLG252" s="537"/>
      <c r="HLH252" s="537"/>
      <c r="HLI252" s="537"/>
      <c r="HLJ252" s="537"/>
      <c r="HLK252" s="537"/>
      <c r="HLL252" s="537"/>
      <c r="HLM252" s="537"/>
      <c r="HLN252" s="537"/>
      <c r="HLO252" s="537"/>
      <c r="HLP252" s="537"/>
      <c r="HLQ252" s="537"/>
      <c r="HLR252" s="537"/>
      <c r="HLS252" s="537"/>
      <c r="HLT252" s="537"/>
      <c r="HLU252" s="537"/>
      <c r="HLV252" s="537"/>
      <c r="HLW252" s="537"/>
      <c r="HLX252" s="537"/>
      <c r="HLY252" s="537"/>
      <c r="HLZ252" s="537"/>
      <c r="HMA252" s="537"/>
      <c r="HMB252" s="537"/>
      <c r="HMC252" s="537"/>
      <c r="HMD252" s="537"/>
      <c r="HME252" s="537"/>
      <c r="HMF252" s="537"/>
      <c r="HMG252" s="537"/>
      <c r="HMH252" s="537"/>
      <c r="HMI252" s="537"/>
      <c r="HMJ252" s="537"/>
      <c r="HMK252" s="537"/>
      <c r="HML252" s="537"/>
      <c r="HMM252" s="537"/>
      <c r="HMN252" s="537"/>
      <c r="HMO252" s="537"/>
      <c r="HMP252" s="537"/>
      <c r="HMQ252" s="537"/>
      <c r="HMR252" s="537"/>
      <c r="HMS252" s="537"/>
      <c r="HMT252" s="537"/>
      <c r="HMU252" s="537"/>
      <c r="HMV252" s="537"/>
      <c r="HMW252" s="537"/>
      <c r="HMX252" s="537"/>
      <c r="HMY252" s="537"/>
      <c r="HMZ252" s="537"/>
      <c r="HNA252" s="537"/>
      <c r="HNB252" s="537"/>
      <c r="HNC252" s="537"/>
      <c r="HND252" s="537"/>
      <c r="HNE252" s="537"/>
      <c r="HNF252" s="537"/>
      <c r="HNG252" s="537"/>
      <c r="HNH252" s="537"/>
      <c r="HNI252" s="537"/>
      <c r="HNJ252" s="537"/>
      <c r="HNK252" s="537"/>
      <c r="HNL252" s="537"/>
      <c r="HNM252" s="537"/>
      <c r="HNN252" s="537"/>
      <c r="HNO252" s="537"/>
      <c r="HNP252" s="537"/>
      <c r="HNQ252" s="537"/>
      <c r="HNR252" s="537"/>
      <c r="HNS252" s="537"/>
      <c r="HNT252" s="537"/>
      <c r="HNU252" s="537"/>
      <c r="HNV252" s="537"/>
      <c r="HNW252" s="537"/>
      <c r="HNX252" s="537"/>
      <c r="HNY252" s="537"/>
      <c r="HNZ252" s="537"/>
      <c r="HOA252" s="537"/>
      <c r="HOB252" s="537"/>
      <c r="HOC252" s="537"/>
      <c r="HOD252" s="537"/>
      <c r="HOE252" s="537"/>
      <c r="HOF252" s="537"/>
      <c r="HOG252" s="537"/>
      <c r="HOH252" s="537"/>
      <c r="HOI252" s="537"/>
      <c r="HOJ252" s="537"/>
      <c r="HOK252" s="537"/>
      <c r="HOL252" s="537"/>
      <c r="HOM252" s="537"/>
      <c r="HON252" s="537"/>
      <c r="HOO252" s="537"/>
      <c r="HOP252" s="537"/>
      <c r="HOQ252" s="537"/>
      <c r="HOR252" s="537"/>
      <c r="HOS252" s="537"/>
      <c r="HOT252" s="537"/>
      <c r="HOU252" s="537"/>
      <c r="HOV252" s="537"/>
      <c r="HOW252" s="537"/>
      <c r="HOX252" s="537"/>
      <c r="HOY252" s="537"/>
      <c r="HOZ252" s="537"/>
      <c r="HPA252" s="537"/>
      <c r="HPB252" s="537"/>
      <c r="HPC252" s="537"/>
      <c r="HPD252" s="537"/>
      <c r="HPE252" s="537"/>
      <c r="HPF252" s="537"/>
      <c r="HPG252" s="537"/>
      <c r="HPH252" s="537"/>
      <c r="HPI252" s="537"/>
      <c r="HPJ252" s="537"/>
      <c r="HPK252" s="537"/>
      <c r="HPL252" s="537"/>
      <c r="HPM252" s="537"/>
      <c r="HPN252" s="537"/>
      <c r="HPO252" s="537"/>
      <c r="HPP252" s="537"/>
      <c r="HPQ252" s="537"/>
      <c r="HPR252" s="537"/>
      <c r="HPS252" s="537"/>
      <c r="HPT252" s="537"/>
      <c r="HPU252" s="537"/>
      <c r="HPV252" s="537"/>
      <c r="HPW252" s="537"/>
      <c r="HPX252" s="537"/>
      <c r="HPY252" s="537"/>
      <c r="HPZ252" s="537"/>
      <c r="HQA252" s="537"/>
      <c r="HQB252" s="537"/>
      <c r="HQC252" s="537"/>
      <c r="HQD252" s="537"/>
      <c r="HQE252" s="537"/>
      <c r="HQF252" s="537"/>
      <c r="HQG252" s="537"/>
      <c r="HQH252" s="537"/>
      <c r="HQI252" s="537"/>
      <c r="HQJ252" s="537"/>
      <c r="HQK252" s="537"/>
      <c r="HQL252" s="537"/>
      <c r="HQM252" s="537"/>
      <c r="HQN252" s="537"/>
      <c r="HQO252" s="537"/>
      <c r="HQP252" s="537"/>
      <c r="HQQ252" s="537"/>
      <c r="HQR252" s="537"/>
      <c r="HQS252" s="537"/>
      <c r="HQT252" s="537"/>
      <c r="HQU252" s="537"/>
      <c r="HQV252" s="537"/>
      <c r="HQW252" s="537"/>
      <c r="HQX252" s="537"/>
      <c r="HQY252" s="537"/>
      <c r="HQZ252" s="537"/>
      <c r="HRA252" s="537"/>
      <c r="HRB252" s="537"/>
      <c r="HRC252" s="537"/>
      <c r="HRD252" s="537"/>
      <c r="HRE252" s="537"/>
      <c r="HRF252" s="537"/>
      <c r="HRG252" s="537"/>
      <c r="HRH252" s="537"/>
      <c r="HRI252" s="537"/>
      <c r="HRJ252" s="537"/>
      <c r="HRK252" s="537"/>
      <c r="HRL252" s="537"/>
      <c r="HRM252" s="537"/>
      <c r="HRN252" s="537"/>
      <c r="HRO252" s="537"/>
      <c r="HRP252" s="537"/>
      <c r="HRQ252" s="537"/>
      <c r="HRR252" s="537"/>
      <c r="HRS252" s="537"/>
      <c r="HRT252" s="537"/>
      <c r="HRU252" s="537"/>
      <c r="HRV252" s="537"/>
      <c r="HRW252" s="537"/>
      <c r="HRX252" s="537"/>
      <c r="HRY252" s="537"/>
      <c r="HRZ252" s="537"/>
      <c r="HSA252" s="537"/>
      <c r="HSB252" s="537"/>
      <c r="HSC252" s="537"/>
      <c r="HSD252" s="537"/>
      <c r="HSE252" s="537"/>
      <c r="HSF252" s="537"/>
      <c r="HSG252" s="537"/>
      <c r="HSH252" s="537"/>
      <c r="HSI252" s="537"/>
      <c r="HSJ252" s="537"/>
      <c r="HSK252" s="537"/>
      <c r="HSL252" s="537"/>
      <c r="HSM252" s="537"/>
      <c r="HSN252" s="537"/>
      <c r="HSO252" s="537"/>
      <c r="HSP252" s="537"/>
      <c r="HSQ252" s="537"/>
      <c r="HSR252" s="537"/>
      <c r="HSS252" s="537"/>
      <c r="HST252" s="537"/>
      <c r="HSU252" s="537"/>
      <c r="HSV252" s="537"/>
      <c r="HSW252" s="537"/>
      <c r="HSX252" s="537"/>
      <c r="HSY252" s="537"/>
      <c r="HSZ252" s="537"/>
      <c r="HTA252" s="537"/>
      <c r="HTB252" s="537"/>
      <c r="HTC252" s="537"/>
      <c r="HTD252" s="537"/>
      <c r="HTE252" s="537"/>
      <c r="HTF252" s="537"/>
      <c r="HTG252" s="537"/>
      <c r="HTH252" s="537"/>
      <c r="HTI252" s="537"/>
      <c r="HTJ252" s="537"/>
      <c r="HTK252" s="537"/>
      <c r="HTL252" s="537"/>
      <c r="HTM252" s="537"/>
      <c r="HTN252" s="537"/>
      <c r="HTO252" s="537"/>
      <c r="HTP252" s="537"/>
      <c r="HTQ252" s="537"/>
      <c r="HTR252" s="537"/>
      <c r="HTS252" s="537"/>
      <c r="HTT252" s="537"/>
      <c r="HTU252" s="537"/>
      <c r="HTV252" s="537"/>
      <c r="HTW252" s="537"/>
      <c r="HTX252" s="537"/>
      <c r="HTY252" s="537"/>
      <c r="HTZ252" s="537"/>
      <c r="HUA252" s="537"/>
      <c r="HUB252" s="537"/>
      <c r="HUC252" s="537"/>
      <c r="HUD252" s="537"/>
      <c r="HUE252" s="537"/>
      <c r="HUF252" s="537"/>
      <c r="HUG252" s="537"/>
      <c r="HUH252" s="537"/>
      <c r="HUI252" s="537"/>
      <c r="HUJ252" s="537"/>
      <c r="HUK252" s="537"/>
      <c r="HUL252" s="537"/>
      <c r="HUM252" s="537"/>
      <c r="HUN252" s="537"/>
      <c r="HUO252" s="537"/>
      <c r="HUP252" s="537"/>
      <c r="HUQ252" s="537"/>
      <c r="HUR252" s="537"/>
      <c r="HUS252" s="537"/>
      <c r="HUT252" s="537"/>
      <c r="HUU252" s="537"/>
      <c r="HUV252" s="537"/>
      <c r="HUW252" s="537"/>
      <c r="HUX252" s="537"/>
      <c r="HUY252" s="537"/>
      <c r="HUZ252" s="537"/>
      <c r="HVA252" s="537"/>
      <c r="HVB252" s="537"/>
      <c r="HVC252" s="537"/>
      <c r="HVD252" s="537"/>
      <c r="HVE252" s="537"/>
      <c r="HVF252" s="537"/>
      <c r="HVG252" s="537"/>
      <c r="HVH252" s="537"/>
      <c r="HVI252" s="537"/>
      <c r="HVJ252" s="537"/>
      <c r="HVK252" s="537"/>
      <c r="HVL252" s="537"/>
      <c r="HVM252" s="537"/>
      <c r="HVN252" s="537"/>
      <c r="HVO252" s="537"/>
      <c r="HVP252" s="537"/>
      <c r="HVQ252" s="537"/>
      <c r="HVR252" s="537"/>
      <c r="HVS252" s="537"/>
      <c r="HVT252" s="537"/>
      <c r="HVU252" s="537"/>
      <c r="HVV252" s="537"/>
      <c r="HVW252" s="537"/>
      <c r="HVX252" s="537"/>
      <c r="HVY252" s="537"/>
      <c r="HVZ252" s="537"/>
      <c r="HWA252" s="537"/>
      <c r="HWB252" s="537"/>
      <c r="HWC252" s="537"/>
      <c r="HWD252" s="537"/>
      <c r="HWE252" s="537"/>
      <c r="HWF252" s="537"/>
      <c r="HWG252" s="537"/>
      <c r="HWH252" s="537"/>
      <c r="HWI252" s="537"/>
      <c r="HWJ252" s="537"/>
      <c r="HWK252" s="537"/>
      <c r="HWL252" s="537"/>
      <c r="HWM252" s="537"/>
      <c r="HWN252" s="537"/>
      <c r="HWO252" s="537"/>
      <c r="HWP252" s="537"/>
      <c r="HWQ252" s="537"/>
      <c r="HWR252" s="537"/>
      <c r="HWS252" s="537"/>
      <c r="HWT252" s="537"/>
      <c r="HWU252" s="537"/>
      <c r="HWV252" s="537"/>
      <c r="HWW252" s="537"/>
      <c r="HWX252" s="537"/>
      <c r="HWY252" s="537"/>
      <c r="HWZ252" s="537"/>
      <c r="HXA252" s="537"/>
      <c r="HXB252" s="537"/>
      <c r="HXC252" s="537"/>
      <c r="HXD252" s="537"/>
      <c r="HXE252" s="537"/>
      <c r="HXF252" s="537"/>
      <c r="HXG252" s="537"/>
      <c r="HXH252" s="537"/>
      <c r="HXI252" s="537"/>
      <c r="HXJ252" s="537"/>
      <c r="HXK252" s="537"/>
      <c r="HXL252" s="537"/>
      <c r="HXM252" s="537"/>
      <c r="HXN252" s="537"/>
      <c r="HXO252" s="537"/>
      <c r="HXP252" s="537"/>
      <c r="HXQ252" s="537"/>
      <c r="HXR252" s="537"/>
      <c r="HXS252" s="537"/>
      <c r="HXT252" s="537"/>
      <c r="HXU252" s="537"/>
      <c r="HXV252" s="537"/>
      <c r="HXW252" s="537"/>
      <c r="HXX252" s="537"/>
      <c r="HXY252" s="537"/>
      <c r="HXZ252" s="537"/>
      <c r="HYA252" s="537"/>
      <c r="HYB252" s="537"/>
      <c r="HYC252" s="537"/>
      <c r="HYD252" s="537"/>
      <c r="HYE252" s="537"/>
      <c r="HYF252" s="537"/>
      <c r="HYG252" s="537"/>
      <c r="HYH252" s="537"/>
      <c r="HYI252" s="537"/>
      <c r="HYJ252" s="537"/>
      <c r="HYK252" s="537"/>
      <c r="HYL252" s="537"/>
      <c r="HYM252" s="537"/>
      <c r="HYN252" s="537"/>
      <c r="HYO252" s="537"/>
      <c r="HYP252" s="537"/>
      <c r="HYQ252" s="537"/>
      <c r="HYR252" s="537"/>
      <c r="HYS252" s="537"/>
      <c r="HYT252" s="537"/>
      <c r="HYU252" s="537"/>
      <c r="HYV252" s="537"/>
      <c r="HYW252" s="537"/>
      <c r="HYX252" s="537"/>
      <c r="HYY252" s="537"/>
      <c r="HYZ252" s="537"/>
      <c r="HZA252" s="537"/>
      <c r="HZB252" s="537"/>
      <c r="HZC252" s="537"/>
      <c r="HZD252" s="537"/>
      <c r="HZE252" s="537"/>
      <c r="HZF252" s="537"/>
      <c r="HZG252" s="537"/>
      <c r="HZH252" s="537"/>
      <c r="HZI252" s="537"/>
      <c r="HZJ252" s="537"/>
      <c r="HZK252" s="537"/>
      <c r="HZL252" s="537"/>
      <c r="HZM252" s="537"/>
      <c r="HZN252" s="537"/>
      <c r="HZO252" s="537"/>
      <c r="HZP252" s="537"/>
      <c r="HZQ252" s="537"/>
      <c r="HZR252" s="537"/>
      <c r="HZS252" s="537"/>
      <c r="HZT252" s="537"/>
      <c r="HZU252" s="537"/>
      <c r="HZV252" s="537"/>
      <c r="HZW252" s="537"/>
      <c r="HZX252" s="537"/>
      <c r="HZY252" s="537"/>
      <c r="HZZ252" s="537"/>
      <c r="IAA252" s="537"/>
      <c r="IAB252" s="537"/>
      <c r="IAC252" s="537"/>
      <c r="IAD252" s="537"/>
      <c r="IAE252" s="537"/>
      <c r="IAF252" s="537"/>
      <c r="IAG252" s="537"/>
      <c r="IAH252" s="537"/>
      <c r="IAI252" s="537"/>
      <c r="IAJ252" s="537"/>
      <c r="IAK252" s="537"/>
      <c r="IAL252" s="537"/>
      <c r="IAM252" s="537"/>
      <c r="IAN252" s="537"/>
      <c r="IAO252" s="537"/>
      <c r="IAP252" s="537"/>
      <c r="IAQ252" s="537"/>
      <c r="IAR252" s="537"/>
      <c r="IAS252" s="537"/>
      <c r="IAT252" s="537"/>
      <c r="IAU252" s="537"/>
      <c r="IAV252" s="537"/>
      <c r="IAW252" s="537"/>
      <c r="IAX252" s="537"/>
      <c r="IAY252" s="537"/>
      <c r="IAZ252" s="537"/>
      <c r="IBA252" s="537"/>
      <c r="IBB252" s="537"/>
      <c r="IBC252" s="537"/>
      <c r="IBD252" s="537"/>
      <c r="IBE252" s="537"/>
      <c r="IBF252" s="537"/>
      <c r="IBG252" s="537"/>
      <c r="IBH252" s="537"/>
      <c r="IBI252" s="537"/>
      <c r="IBJ252" s="537"/>
      <c r="IBK252" s="537"/>
      <c r="IBL252" s="537"/>
      <c r="IBM252" s="537"/>
      <c r="IBN252" s="537"/>
      <c r="IBO252" s="537"/>
      <c r="IBP252" s="537"/>
      <c r="IBQ252" s="537"/>
      <c r="IBR252" s="537"/>
      <c r="IBS252" s="537"/>
      <c r="IBT252" s="537"/>
      <c r="IBU252" s="537"/>
      <c r="IBV252" s="537"/>
      <c r="IBW252" s="537"/>
      <c r="IBX252" s="537"/>
      <c r="IBY252" s="537"/>
      <c r="IBZ252" s="537"/>
      <c r="ICA252" s="537"/>
      <c r="ICB252" s="537"/>
      <c r="ICC252" s="537"/>
      <c r="ICD252" s="537"/>
      <c r="ICE252" s="537"/>
      <c r="ICF252" s="537"/>
      <c r="ICG252" s="537"/>
      <c r="ICH252" s="537"/>
      <c r="ICI252" s="537"/>
      <c r="ICJ252" s="537"/>
      <c r="ICK252" s="537"/>
      <c r="ICL252" s="537"/>
      <c r="ICM252" s="537"/>
      <c r="ICN252" s="537"/>
      <c r="ICO252" s="537"/>
      <c r="ICP252" s="537"/>
      <c r="ICQ252" s="537"/>
      <c r="ICR252" s="537"/>
      <c r="ICS252" s="537"/>
      <c r="ICT252" s="537"/>
      <c r="ICU252" s="537"/>
      <c r="ICV252" s="537"/>
      <c r="ICW252" s="537"/>
      <c r="ICX252" s="537"/>
      <c r="ICY252" s="537"/>
      <c r="ICZ252" s="537"/>
      <c r="IDA252" s="537"/>
      <c r="IDB252" s="537"/>
      <c r="IDC252" s="537"/>
      <c r="IDD252" s="537"/>
      <c r="IDE252" s="537"/>
      <c r="IDF252" s="537"/>
      <c r="IDG252" s="537"/>
      <c r="IDH252" s="537"/>
      <c r="IDI252" s="537"/>
      <c r="IDJ252" s="537"/>
      <c r="IDK252" s="537"/>
      <c r="IDL252" s="537"/>
      <c r="IDM252" s="537"/>
      <c r="IDN252" s="537"/>
      <c r="IDO252" s="537"/>
      <c r="IDP252" s="537"/>
      <c r="IDQ252" s="537"/>
      <c r="IDR252" s="537"/>
      <c r="IDS252" s="537"/>
      <c r="IDT252" s="537"/>
      <c r="IDU252" s="537"/>
      <c r="IDV252" s="537"/>
      <c r="IDW252" s="537"/>
      <c r="IDX252" s="537"/>
      <c r="IDY252" s="537"/>
      <c r="IDZ252" s="537"/>
      <c r="IEA252" s="537"/>
      <c r="IEB252" s="537"/>
      <c r="IEC252" s="537"/>
      <c r="IED252" s="537"/>
      <c r="IEE252" s="537"/>
      <c r="IEF252" s="537"/>
      <c r="IEG252" s="537"/>
      <c r="IEH252" s="537"/>
      <c r="IEI252" s="537"/>
      <c r="IEJ252" s="537"/>
      <c r="IEK252" s="537"/>
      <c r="IEL252" s="537"/>
      <c r="IEM252" s="537"/>
      <c r="IEN252" s="537"/>
      <c r="IEO252" s="537"/>
      <c r="IEP252" s="537"/>
      <c r="IEQ252" s="537"/>
      <c r="IER252" s="537"/>
      <c r="IES252" s="537"/>
      <c r="IET252" s="537"/>
      <c r="IEU252" s="537"/>
      <c r="IEV252" s="537"/>
      <c r="IEW252" s="537"/>
      <c r="IEX252" s="537"/>
      <c r="IEY252" s="537"/>
      <c r="IEZ252" s="537"/>
      <c r="IFA252" s="537"/>
      <c r="IFB252" s="537"/>
      <c r="IFC252" s="537"/>
      <c r="IFD252" s="537"/>
      <c r="IFE252" s="537"/>
      <c r="IFF252" s="537"/>
      <c r="IFG252" s="537"/>
      <c r="IFH252" s="537"/>
      <c r="IFI252" s="537"/>
      <c r="IFJ252" s="537"/>
      <c r="IFK252" s="537"/>
      <c r="IFL252" s="537"/>
      <c r="IFM252" s="537"/>
      <c r="IFN252" s="537"/>
      <c r="IFO252" s="537"/>
      <c r="IFP252" s="537"/>
      <c r="IFQ252" s="537"/>
      <c r="IFR252" s="537"/>
      <c r="IFS252" s="537"/>
      <c r="IFT252" s="537"/>
      <c r="IFU252" s="537"/>
      <c r="IFV252" s="537"/>
      <c r="IFW252" s="537"/>
      <c r="IFX252" s="537"/>
      <c r="IFY252" s="537"/>
      <c r="IFZ252" s="537"/>
      <c r="IGA252" s="537"/>
      <c r="IGB252" s="537"/>
      <c r="IGC252" s="537"/>
      <c r="IGD252" s="537"/>
      <c r="IGE252" s="537"/>
      <c r="IGF252" s="537"/>
      <c r="IGG252" s="537"/>
      <c r="IGH252" s="537"/>
      <c r="IGI252" s="537"/>
      <c r="IGJ252" s="537"/>
      <c r="IGK252" s="537"/>
      <c r="IGL252" s="537"/>
      <c r="IGM252" s="537"/>
      <c r="IGN252" s="537"/>
      <c r="IGO252" s="537"/>
      <c r="IGP252" s="537"/>
      <c r="IGQ252" s="537"/>
      <c r="IGR252" s="537"/>
      <c r="IGS252" s="537"/>
      <c r="IGT252" s="537"/>
      <c r="IGU252" s="537"/>
      <c r="IGV252" s="537"/>
      <c r="IGW252" s="537"/>
      <c r="IGX252" s="537"/>
      <c r="IGY252" s="537"/>
      <c r="IGZ252" s="537"/>
      <c r="IHA252" s="537"/>
      <c r="IHB252" s="537"/>
      <c r="IHC252" s="537"/>
      <c r="IHD252" s="537"/>
      <c r="IHE252" s="537"/>
      <c r="IHF252" s="537"/>
      <c r="IHG252" s="537"/>
      <c r="IHH252" s="537"/>
      <c r="IHI252" s="537"/>
      <c r="IHJ252" s="537"/>
      <c r="IHK252" s="537"/>
      <c r="IHL252" s="537"/>
      <c r="IHM252" s="537"/>
      <c r="IHN252" s="537"/>
      <c r="IHO252" s="537"/>
      <c r="IHP252" s="537"/>
      <c r="IHQ252" s="537"/>
      <c r="IHR252" s="537"/>
      <c r="IHS252" s="537"/>
      <c r="IHT252" s="537"/>
      <c r="IHU252" s="537"/>
      <c r="IHV252" s="537"/>
      <c r="IHW252" s="537"/>
      <c r="IHX252" s="537"/>
      <c r="IHY252" s="537"/>
      <c r="IHZ252" s="537"/>
      <c r="IIA252" s="537"/>
      <c r="IIB252" s="537"/>
      <c r="IIC252" s="537"/>
      <c r="IID252" s="537"/>
      <c r="IIE252" s="537"/>
      <c r="IIF252" s="537"/>
      <c r="IIG252" s="537"/>
      <c r="IIH252" s="537"/>
      <c r="III252" s="537"/>
      <c r="IIJ252" s="537"/>
      <c r="IIK252" s="537"/>
      <c r="IIL252" s="537"/>
      <c r="IIM252" s="537"/>
      <c r="IIN252" s="537"/>
      <c r="IIO252" s="537"/>
      <c r="IIP252" s="537"/>
      <c r="IIQ252" s="537"/>
      <c r="IIR252" s="537"/>
      <c r="IIS252" s="537"/>
      <c r="IIT252" s="537"/>
      <c r="IIU252" s="537"/>
      <c r="IIV252" s="537"/>
      <c r="IIW252" s="537"/>
      <c r="IIX252" s="537"/>
      <c r="IIY252" s="537"/>
      <c r="IIZ252" s="537"/>
      <c r="IJA252" s="537"/>
      <c r="IJB252" s="537"/>
      <c r="IJC252" s="537"/>
      <c r="IJD252" s="537"/>
      <c r="IJE252" s="537"/>
      <c r="IJF252" s="537"/>
      <c r="IJG252" s="537"/>
      <c r="IJH252" s="537"/>
      <c r="IJI252" s="537"/>
      <c r="IJJ252" s="537"/>
      <c r="IJK252" s="537"/>
      <c r="IJL252" s="537"/>
      <c r="IJM252" s="537"/>
      <c r="IJN252" s="537"/>
      <c r="IJO252" s="537"/>
      <c r="IJP252" s="537"/>
      <c r="IJQ252" s="537"/>
      <c r="IJR252" s="537"/>
      <c r="IJS252" s="537"/>
      <c r="IJT252" s="537"/>
      <c r="IJU252" s="537"/>
      <c r="IJV252" s="537"/>
      <c r="IJW252" s="537"/>
      <c r="IJX252" s="537"/>
      <c r="IJY252" s="537"/>
      <c r="IJZ252" s="537"/>
      <c r="IKA252" s="537"/>
      <c r="IKB252" s="537"/>
      <c r="IKC252" s="537"/>
      <c r="IKD252" s="537"/>
      <c r="IKE252" s="537"/>
      <c r="IKF252" s="537"/>
      <c r="IKG252" s="537"/>
      <c r="IKH252" s="537"/>
      <c r="IKI252" s="537"/>
      <c r="IKJ252" s="537"/>
      <c r="IKK252" s="537"/>
      <c r="IKL252" s="537"/>
      <c r="IKM252" s="537"/>
      <c r="IKN252" s="537"/>
      <c r="IKO252" s="537"/>
      <c r="IKP252" s="537"/>
      <c r="IKQ252" s="537"/>
      <c r="IKR252" s="537"/>
      <c r="IKS252" s="537"/>
      <c r="IKT252" s="537"/>
      <c r="IKU252" s="537"/>
      <c r="IKV252" s="537"/>
      <c r="IKW252" s="537"/>
      <c r="IKX252" s="537"/>
      <c r="IKY252" s="537"/>
      <c r="IKZ252" s="537"/>
      <c r="ILA252" s="537"/>
      <c r="ILB252" s="537"/>
      <c r="ILC252" s="537"/>
      <c r="ILD252" s="537"/>
      <c r="ILE252" s="537"/>
      <c r="ILF252" s="537"/>
      <c r="ILG252" s="537"/>
      <c r="ILH252" s="537"/>
      <c r="ILI252" s="537"/>
      <c r="ILJ252" s="537"/>
      <c r="ILK252" s="537"/>
      <c r="ILL252" s="537"/>
      <c r="ILM252" s="537"/>
      <c r="ILN252" s="537"/>
      <c r="ILO252" s="537"/>
      <c r="ILP252" s="537"/>
      <c r="ILQ252" s="537"/>
      <c r="ILR252" s="537"/>
      <c r="ILS252" s="537"/>
      <c r="ILT252" s="537"/>
      <c r="ILU252" s="537"/>
      <c r="ILV252" s="537"/>
      <c r="ILW252" s="537"/>
      <c r="ILX252" s="537"/>
      <c r="ILY252" s="537"/>
      <c r="ILZ252" s="537"/>
      <c r="IMA252" s="537"/>
      <c r="IMB252" s="537"/>
      <c r="IMC252" s="537"/>
      <c r="IMD252" s="537"/>
      <c r="IME252" s="537"/>
      <c r="IMF252" s="537"/>
      <c r="IMG252" s="537"/>
      <c r="IMH252" s="537"/>
      <c r="IMI252" s="537"/>
      <c r="IMJ252" s="537"/>
      <c r="IMK252" s="537"/>
      <c r="IML252" s="537"/>
      <c r="IMM252" s="537"/>
      <c r="IMN252" s="537"/>
      <c r="IMO252" s="537"/>
      <c r="IMP252" s="537"/>
      <c r="IMQ252" s="537"/>
      <c r="IMR252" s="537"/>
      <c r="IMS252" s="537"/>
      <c r="IMT252" s="537"/>
      <c r="IMU252" s="537"/>
      <c r="IMV252" s="537"/>
      <c r="IMW252" s="537"/>
      <c r="IMX252" s="537"/>
      <c r="IMY252" s="537"/>
      <c r="IMZ252" s="537"/>
      <c r="INA252" s="537"/>
      <c r="INB252" s="537"/>
      <c r="INC252" s="537"/>
      <c r="IND252" s="537"/>
      <c r="INE252" s="537"/>
      <c r="INF252" s="537"/>
      <c r="ING252" s="537"/>
      <c r="INH252" s="537"/>
      <c r="INI252" s="537"/>
      <c r="INJ252" s="537"/>
      <c r="INK252" s="537"/>
      <c r="INL252" s="537"/>
      <c r="INM252" s="537"/>
      <c r="INN252" s="537"/>
      <c r="INO252" s="537"/>
      <c r="INP252" s="537"/>
      <c r="INQ252" s="537"/>
      <c r="INR252" s="537"/>
      <c r="INS252" s="537"/>
      <c r="INT252" s="537"/>
      <c r="INU252" s="537"/>
      <c r="INV252" s="537"/>
      <c r="INW252" s="537"/>
      <c r="INX252" s="537"/>
      <c r="INY252" s="537"/>
      <c r="INZ252" s="537"/>
      <c r="IOA252" s="537"/>
      <c r="IOB252" s="537"/>
      <c r="IOC252" s="537"/>
      <c r="IOD252" s="537"/>
      <c r="IOE252" s="537"/>
      <c r="IOF252" s="537"/>
      <c r="IOG252" s="537"/>
      <c r="IOH252" s="537"/>
      <c r="IOI252" s="537"/>
      <c r="IOJ252" s="537"/>
      <c r="IOK252" s="537"/>
      <c r="IOL252" s="537"/>
      <c r="IOM252" s="537"/>
      <c r="ION252" s="537"/>
      <c r="IOO252" s="537"/>
      <c r="IOP252" s="537"/>
      <c r="IOQ252" s="537"/>
      <c r="IOR252" s="537"/>
      <c r="IOS252" s="537"/>
      <c r="IOT252" s="537"/>
      <c r="IOU252" s="537"/>
      <c r="IOV252" s="537"/>
      <c r="IOW252" s="537"/>
      <c r="IOX252" s="537"/>
      <c r="IOY252" s="537"/>
      <c r="IOZ252" s="537"/>
      <c r="IPA252" s="537"/>
      <c r="IPB252" s="537"/>
      <c r="IPC252" s="537"/>
      <c r="IPD252" s="537"/>
      <c r="IPE252" s="537"/>
      <c r="IPF252" s="537"/>
      <c r="IPG252" s="537"/>
      <c r="IPH252" s="537"/>
      <c r="IPI252" s="537"/>
      <c r="IPJ252" s="537"/>
      <c r="IPK252" s="537"/>
      <c r="IPL252" s="537"/>
      <c r="IPM252" s="537"/>
      <c r="IPN252" s="537"/>
      <c r="IPO252" s="537"/>
      <c r="IPP252" s="537"/>
      <c r="IPQ252" s="537"/>
      <c r="IPR252" s="537"/>
      <c r="IPS252" s="537"/>
      <c r="IPT252" s="537"/>
      <c r="IPU252" s="537"/>
      <c r="IPV252" s="537"/>
      <c r="IPW252" s="537"/>
      <c r="IPX252" s="537"/>
      <c r="IPY252" s="537"/>
      <c r="IPZ252" s="537"/>
      <c r="IQA252" s="537"/>
      <c r="IQB252" s="537"/>
      <c r="IQC252" s="537"/>
      <c r="IQD252" s="537"/>
      <c r="IQE252" s="537"/>
      <c r="IQF252" s="537"/>
      <c r="IQG252" s="537"/>
      <c r="IQH252" s="537"/>
      <c r="IQI252" s="537"/>
      <c r="IQJ252" s="537"/>
      <c r="IQK252" s="537"/>
      <c r="IQL252" s="537"/>
      <c r="IQM252" s="537"/>
      <c r="IQN252" s="537"/>
      <c r="IQO252" s="537"/>
      <c r="IQP252" s="537"/>
      <c r="IQQ252" s="537"/>
      <c r="IQR252" s="537"/>
      <c r="IQS252" s="537"/>
      <c r="IQT252" s="537"/>
      <c r="IQU252" s="537"/>
      <c r="IQV252" s="537"/>
      <c r="IQW252" s="537"/>
      <c r="IQX252" s="537"/>
      <c r="IQY252" s="537"/>
      <c r="IQZ252" s="537"/>
      <c r="IRA252" s="537"/>
      <c r="IRB252" s="537"/>
      <c r="IRC252" s="537"/>
      <c r="IRD252" s="537"/>
      <c r="IRE252" s="537"/>
      <c r="IRF252" s="537"/>
      <c r="IRG252" s="537"/>
      <c r="IRH252" s="537"/>
      <c r="IRI252" s="537"/>
      <c r="IRJ252" s="537"/>
      <c r="IRK252" s="537"/>
      <c r="IRL252" s="537"/>
      <c r="IRM252" s="537"/>
      <c r="IRN252" s="537"/>
      <c r="IRO252" s="537"/>
      <c r="IRP252" s="537"/>
      <c r="IRQ252" s="537"/>
      <c r="IRR252" s="537"/>
      <c r="IRS252" s="537"/>
      <c r="IRT252" s="537"/>
      <c r="IRU252" s="537"/>
      <c r="IRV252" s="537"/>
      <c r="IRW252" s="537"/>
      <c r="IRX252" s="537"/>
      <c r="IRY252" s="537"/>
      <c r="IRZ252" s="537"/>
      <c r="ISA252" s="537"/>
      <c r="ISB252" s="537"/>
      <c r="ISC252" s="537"/>
      <c r="ISD252" s="537"/>
      <c r="ISE252" s="537"/>
      <c r="ISF252" s="537"/>
      <c r="ISG252" s="537"/>
      <c r="ISH252" s="537"/>
      <c r="ISI252" s="537"/>
      <c r="ISJ252" s="537"/>
      <c r="ISK252" s="537"/>
      <c r="ISL252" s="537"/>
      <c r="ISM252" s="537"/>
      <c r="ISN252" s="537"/>
      <c r="ISO252" s="537"/>
      <c r="ISP252" s="537"/>
      <c r="ISQ252" s="537"/>
      <c r="ISR252" s="537"/>
      <c r="ISS252" s="537"/>
      <c r="IST252" s="537"/>
      <c r="ISU252" s="537"/>
      <c r="ISV252" s="537"/>
      <c r="ISW252" s="537"/>
      <c r="ISX252" s="537"/>
      <c r="ISY252" s="537"/>
      <c r="ISZ252" s="537"/>
      <c r="ITA252" s="537"/>
      <c r="ITB252" s="537"/>
      <c r="ITC252" s="537"/>
      <c r="ITD252" s="537"/>
      <c r="ITE252" s="537"/>
      <c r="ITF252" s="537"/>
      <c r="ITG252" s="537"/>
      <c r="ITH252" s="537"/>
      <c r="ITI252" s="537"/>
      <c r="ITJ252" s="537"/>
      <c r="ITK252" s="537"/>
      <c r="ITL252" s="537"/>
      <c r="ITM252" s="537"/>
      <c r="ITN252" s="537"/>
      <c r="ITO252" s="537"/>
      <c r="ITP252" s="537"/>
      <c r="ITQ252" s="537"/>
      <c r="ITR252" s="537"/>
      <c r="ITS252" s="537"/>
      <c r="ITT252" s="537"/>
      <c r="ITU252" s="537"/>
      <c r="ITV252" s="537"/>
      <c r="ITW252" s="537"/>
      <c r="ITX252" s="537"/>
      <c r="ITY252" s="537"/>
      <c r="ITZ252" s="537"/>
      <c r="IUA252" s="537"/>
      <c r="IUB252" s="537"/>
      <c r="IUC252" s="537"/>
      <c r="IUD252" s="537"/>
      <c r="IUE252" s="537"/>
      <c r="IUF252" s="537"/>
      <c r="IUG252" s="537"/>
      <c r="IUH252" s="537"/>
      <c r="IUI252" s="537"/>
      <c r="IUJ252" s="537"/>
      <c r="IUK252" s="537"/>
      <c r="IUL252" s="537"/>
      <c r="IUM252" s="537"/>
      <c r="IUN252" s="537"/>
      <c r="IUO252" s="537"/>
      <c r="IUP252" s="537"/>
      <c r="IUQ252" s="537"/>
      <c r="IUR252" s="537"/>
      <c r="IUS252" s="537"/>
      <c r="IUT252" s="537"/>
      <c r="IUU252" s="537"/>
      <c r="IUV252" s="537"/>
      <c r="IUW252" s="537"/>
      <c r="IUX252" s="537"/>
      <c r="IUY252" s="537"/>
      <c r="IUZ252" s="537"/>
      <c r="IVA252" s="537"/>
      <c r="IVB252" s="537"/>
      <c r="IVC252" s="537"/>
      <c r="IVD252" s="537"/>
      <c r="IVE252" s="537"/>
      <c r="IVF252" s="537"/>
      <c r="IVG252" s="537"/>
      <c r="IVH252" s="537"/>
      <c r="IVI252" s="537"/>
      <c r="IVJ252" s="537"/>
      <c r="IVK252" s="537"/>
      <c r="IVL252" s="537"/>
      <c r="IVM252" s="537"/>
      <c r="IVN252" s="537"/>
      <c r="IVO252" s="537"/>
      <c r="IVP252" s="537"/>
      <c r="IVQ252" s="537"/>
      <c r="IVR252" s="537"/>
      <c r="IVS252" s="537"/>
      <c r="IVT252" s="537"/>
      <c r="IVU252" s="537"/>
      <c r="IVV252" s="537"/>
      <c r="IVW252" s="537"/>
      <c r="IVX252" s="537"/>
      <c r="IVY252" s="537"/>
      <c r="IVZ252" s="537"/>
      <c r="IWA252" s="537"/>
      <c r="IWB252" s="537"/>
      <c r="IWC252" s="537"/>
      <c r="IWD252" s="537"/>
      <c r="IWE252" s="537"/>
      <c r="IWF252" s="537"/>
      <c r="IWG252" s="537"/>
      <c r="IWH252" s="537"/>
      <c r="IWI252" s="537"/>
      <c r="IWJ252" s="537"/>
      <c r="IWK252" s="537"/>
      <c r="IWL252" s="537"/>
      <c r="IWM252" s="537"/>
      <c r="IWN252" s="537"/>
      <c r="IWO252" s="537"/>
      <c r="IWP252" s="537"/>
      <c r="IWQ252" s="537"/>
      <c r="IWR252" s="537"/>
      <c r="IWS252" s="537"/>
      <c r="IWT252" s="537"/>
      <c r="IWU252" s="537"/>
      <c r="IWV252" s="537"/>
      <c r="IWW252" s="537"/>
      <c r="IWX252" s="537"/>
      <c r="IWY252" s="537"/>
      <c r="IWZ252" s="537"/>
      <c r="IXA252" s="537"/>
      <c r="IXB252" s="537"/>
      <c r="IXC252" s="537"/>
      <c r="IXD252" s="537"/>
      <c r="IXE252" s="537"/>
      <c r="IXF252" s="537"/>
      <c r="IXG252" s="537"/>
      <c r="IXH252" s="537"/>
      <c r="IXI252" s="537"/>
      <c r="IXJ252" s="537"/>
      <c r="IXK252" s="537"/>
      <c r="IXL252" s="537"/>
      <c r="IXM252" s="537"/>
      <c r="IXN252" s="537"/>
      <c r="IXO252" s="537"/>
      <c r="IXP252" s="537"/>
      <c r="IXQ252" s="537"/>
      <c r="IXR252" s="537"/>
      <c r="IXS252" s="537"/>
      <c r="IXT252" s="537"/>
      <c r="IXU252" s="537"/>
      <c r="IXV252" s="537"/>
      <c r="IXW252" s="537"/>
      <c r="IXX252" s="537"/>
      <c r="IXY252" s="537"/>
      <c r="IXZ252" s="537"/>
      <c r="IYA252" s="537"/>
      <c r="IYB252" s="537"/>
      <c r="IYC252" s="537"/>
      <c r="IYD252" s="537"/>
      <c r="IYE252" s="537"/>
      <c r="IYF252" s="537"/>
      <c r="IYG252" s="537"/>
      <c r="IYH252" s="537"/>
      <c r="IYI252" s="537"/>
      <c r="IYJ252" s="537"/>
      <c r="IYK252" s="537"/>
      <c r="IYL252" s="537"/>
      <c r="IYM252" s="537"/>
      <c r="IYN252" s="537"/>
      <c r="IYO252" s="537"/>
      <c r="IYP252" s="537"/>
      <c r="IYQ252" s="537"/>
      <c r="IYR252" s="537"/>
      <c r="IYS252" s="537"/>
      <c r="IYT252" s="537"/>
      <c r="IYU252" s="537"/>
      <c r="IYV252" s="537"/>
      <c r="IYW252" s="537"/>
      <c r="IYX252" s="537"/>
      <c r="IYY252" s="537"/>
      <c r="IYZ252" s="537"/>
      <c r="IZA252" s="537"/>
      <c r="IZB252" s="537"/>
      <c r="IZC252" s="537"/>
      <c r="IZD252" s="537"/>
      <c r="IZE252" s="537"/>
      <c r="IZF252" s="537"/>
      <c r="IZG252" s="537"/>
      <c r="IZH252" s="537"/>
      <c r="IZI252" s="537"/>
      <c r="IZJ252" s="537"/>
      <c r="IZK252" s="537"/>
      <c r="IZL252" s="537"/>
      <c r="IZM252" s="537"/>
      <c r="IZN252" s="537"/>
      <c r="IZO252" s="537"/>
      <c r="IZP252" s="537"/>
      <c r="IZQ252" s="537"/>
      <c r="IZR252" s="537"/>
      <c r="IZS252" s="537"/>
      <c r="IZT252" s="537"/>
      <c r="IZU252" s="537"/>
      <c r="IZV252" s="537"/>
      <c r="IZW252" s="537"/>
      <c r="IZX252" s="537"/>
      <c r="IZY252" s="537"/>
      <c r="IZZ252" s="537"/>
      <c r="JAA252" s="537"/>
      <c r="JAB252" s="537"/>
      <c r="JAC252" s="537"/>
      <c r="JAD252" s="537"/>
      <c r="JAE252" s="537"/>
      <c r="JAF252" s="537"/>
      <c r="JAG252" s="537"/>
      <c r="JAH252" s="537"/>
      <c r="JAI252" s="537"/>
      <c r="JAJ252" s="537"/>
      <c r="JAK252" s="537"/>
      <c r="JAL252" s="537"/>
      <c r="JAM252" s="537"/>
      <c r="JAN252" s="537"/>
      <c r="JAO252" s="537"/>
      <c r="JAP252" s="537"/>
      <c r="JAQ252" s="537"/>
      <c r="JAR252" s="537"/>
      <c r="JAS252" s="537"/>
      <c r="JAT252" s="537"/>
      <c r="JAU252" s="537"/>
      <c r="JAV252" s="537"/>
      <c r="JAW252" s="537"/>
      <c r="JAX252" s="537"/>
      <c r="JAY252" s="537"/>
      <c r="JAZ252" s="537"/>
      <c r="JBA252" s="537"/>
      <c r="JBB252" s="537"/>
      <c r="JBC252" s="537"/>
      <c r="JBD252" s="537"/>
      <c r="JBE252" s="537"/>
      <c r="JBF252" s="537"/>
      <c r="JBG252" s="537"/>
      <c r="JBH252" s="537"/>
      <c r="JBI252" s="537"/>
      <c r="JBJ252" s="537"/>
      <c r="JBK252" s="537"/>
      <c r="JBL252" s="537"/>
      <c r="JBM252" s="537"/>
      <c r="JBN252" s="537"/>
      <c r="JBO252" s="537"/>
      <c r="JBP252" s="537"/>
      <c r="JBQ252" s="537"/>
      <c r="JBR252" s="537"/>
      <c r="JBS252" s="537"/>
      <c r="JBT252" s="537"/>
      <c r="JBU252" s="537"/>
      <c r="JBV252" s="537"/>
      <c r="JBW252" s="537"/>
      <c r="JBX252" s="537"/>
      <c r="JBY252" s="537"/>
      <c r="JBZ252" s="537"/>
      <c r="JCA252" s="537"/>
      <c r="JCB252" s="537"/>
      <c r="JCC252" s="537"/>
      <c r="JCD252" s="537"/>
      <c r="JCE252" s="537"/>
      <c r="JCF252" s="537"/>
      <c r="JCG252" s="537"/>
      <c r="JCH252" s="537"/>
      <c r="JCI252" s="537"/>
      <c r="JCJ252" s="537"/>
      <c r="JCK252" s="537"/>
      <c r="JCL252" s="537"/>
      <c r="JCM252" s="537"/>
      <c r="JCN252" s="537"/>
      <c r="JCO252" s="537"/>
      <c r="JCP252" s="537"/>
      <c r="JCQ252" s="537"/>
      <c r="JCR252" s="537"/>
      <c r="JCS252" s="537"/>
      <c r="JCT252" s="537"/>
      <c r="JCU252" s="537"/>
      <c r="JCV252" s="537"/>
      <c r="JCW252" s="537"/>
      <c r="JCX252" s="537"/>
      <c r="JCY252" s="537"/>
      <c r="JCZ252" s="537"/>
      <c r="JDA252" s="537"/>
      <c r="JDB252" s="537"/>
      <c r="JDC252" s="537"/>
      <c r="JDD252" s="537"/>
      <c r="JDE252" s="537"/>
      <c r="JDF252" s="537"/>
      <c r="JDG252" s="537"/>
      <c r="JDH252" s="537"/>
      <c r="JDI252" s="537"/>
      <c r="JDJ252" s="537"/>
      <c r="JDK252" s="537"/>
      <c r="JDL252" s="537"/>
      <c r="JDM252" s="537"/>
      <c r="JDN252" s="537"/>
      <c r="JDO252" s="537"/>
      <c r="JDP252" s="537"/>
      <c r="JDQ252" s="537"/>
      <c r="JDR252" s="537"/>
      <c r="JDS252" s="537"/>
      <c r="JDT252" s="537"/>
      <c r="JDU252" s="537"/>
      <c r="JDV252" s="537"/>
      <c r="JDW252" s="537"/>
      <c r="JDX252" s="537"/>
      <c r="JDY252" s="537"/>
      <c r="JDZ252" s="537"/>
      <c r="JEA252" s="537"/>
      <c r="JEB252" s="537"/>
      <c r="JEC252" s="537"/>
      <c r="JED252" s="537"/>
      <c r="JEE252" s="537"/>
      <c r="JEF252" s="537"/>
      <c r="JEG252" s="537"/>
      <c r="JEH252" s="537"/>
      <c r="JEI252" s="537"/>
      <c r="JEJ252" s="537"/>
      <c r="JEK252" s="537"/>
      <c r="JEL252" s="537"/>
      <c r="JEM252" s="537"/>
      <c r="JEN252" s="537"/>
      <c r="JEO252" s="537"/>
      <c r="JEP252" s="537"/>
      <c r="JEQ252" s="537"/>
      <c r="JER252" s="537"/>
      <c r="JES252" s="537"/>
      <c r="JET252" s="537"/>
      <c r="JEU252" s="537"/>
      <c r="JEV252" s="537"/>
      <c r="JEW252" s="537"/>
      <c r="JEX252" s="537"/>
      <c r="JEY252" s="537"/>
      <c r="JEZ252" s="537"/>
      <c r="JFA252" s="537"/>
      <c r="JFB252" s="537"/>
      <c r="JFC252" s="537"/>
      <c r="JFD252" s="537"/>
      <c r="JFE252" s="537"/>
      <c r="JFF252" s="537"/>
      <c r="JFG252" s="537"/>
      <c r="JFH252" s="537"/>
      <c r="JFI252" s="537"/>
      <c r="JFJ252" s="537"/>
      <c r="JFK252" s="537"/>
      <c r="JFL252" s="537"/>
      <c r="JFM252" s="537"/>
      <c r="JFN252" s="537"/>
      <c r="JFO252" s="537"/>
      <c r="JFP252" s="537"/>
      <c r="JFQ252" s="537"/>
      <c r="JFR252" s="537"/>
      <c r="JFS252" s="537"/>
      <c r="JFT252" s="537"/>
      <c r="JFU252" s="537"/>
      <c r="JFV252" s="537"/>
      <c r="JFW252" s="537"/>
      <c r="JFX252" s="537"/>
      <c r="JFY252" s="537"/>
      <c r="JFZ252" s="537"/>
      <c r="JGA252" s="537"/>
      <c r="JGB252" s="537"/>
      <c r="JGC252" s="537"/>
      <c r="JGD252" s="537"/>
      <c r="JGE252" s="537"/>
      <c r="JGF252" s="537"/>
      <c r="JGG252" s="537"/>
      <c r="JGH252" s="537"/>
      <c r="JGI252" s="537"/>
      <c r="JGJ252" s="537"/>
      <c r="JGK252" s="537"/>
      <c r="JGL252" s="537"/>
      <c r="JGM252" s="537"/>
      <c r="JGN252" s="537"/>
      <c r="JGO252" s="537"/>
      <c r="JGP252" s="537"/>
      <c r="JGQ252" s="537"/>
      <c r="JGR252" s="537"/>
      <c r="JGS252" s="537"/>
      <c r="JGT252" s="537"/>
      <c r="JGU252" s="537"/>
      <c r="JGV252" s="537"/>
      <c r="JGW252" s="537"/>
      <c r="JGX252" s="537"/>
      <c r="JGY252" s="537"/>
      <c r="JGZ252" s="537"/>
      <c r="JHA252" s="537"/>
      <c r="JHB252" s="537"/>
      <c r="JHC252" s="537"/>
      <c r="JHD252" s="537"/>
      <c r="JHE252" s="537"/>
      <c r="JHF252" s="537"/>
      <c r="JHG252" s="537"/>
      <c r="JHH252" s="537"/>
      <c r="JHI252" s="537"/>
      <c r="JHJ252" s="537"/>
      <c r="JHK252" s="537"/>
      <c r="JHL252" s="537"/>
      <c r="JHM252" s="537"/>
      <c r="JHN252" s="537"/>
      <c r="JHO252" s="537"/>
      <c r="JHP252" s="537"/>
      <c r="JHQ252" s="537"/>
      <c r="JHR252" s="537"/>
      <c r="JHS252" s="537"/>
      <c r="JHT252" s="537"/>
      <c r="JHU252" s="537"/>
      <c r="JHV252" s="537"/>
      <c r="JHW252" s="537"/>
      <c r="JHX252" s="537"/>
      <c r="JHY252" s="537"/>
      <c r="JHZ252" s="537"/>
      <c r="JIA252" s="537"/>
      <c r="JIB252" s="537"/>
      <c r="JIC252" s="537"/>
      <c r="JID252" s="537"/>
      <c r="JIE252" s="537"/>
      <c r="JIF252" s="537"/>
      <c r="JIG252" s="537"/>
      <c r="JIH252" s="537"/>
      <c r="JII252" s="537"/>
      <c r="JIJ252" s="537"/>
      <c r="JIK252" s="537"/>
      <c r="JIL252" s="537"/>
      <c r="JIM252" s="537"/>
      <c r="JIN252" s="537"/>
      <c r="JIO252" s="537"/>
      <c r="JIP252" s="537"/>
      <c r="JIQ252" s="537"/>
      <c r="JIR252" s="537"/>
      <c r="JIS252" s="537"/>
      <c r="JIT252" s="537"/>
      <c r="JIU252" s="537"/>
      <c r="JIV252" s="537"/>
      <c r="JIW252" s="537"/>
      <c r="JIX252" s="537"/>
      <c r="JIY252" s="537"/>
      <c r="JIZ252" s="537"/>
      <c r="JJA252" s="537"/>
      <c r="JJB252" s="537"/>
      <c r="JJC252" s="537"/>
      <c r="JJD252" s="537"/>
      <c r="JJE252" s="537"/>
      <c r="JJF252" s="537"/>
      <c r="JJG252" s="537"/>
      <c r="JJH252" s="537"/>
      <c r="JJI252" s="537"/>
      <c r="JJJ252" s="537"/>
      <c r="JJK252" s="537"/>
      <c r="JJL252" s="537"/>
      <c r="JJM252" s="537"/>
      <c r="JJN252" s="537"/>
      <c r="JJO252" s="537"/>
      <c r="JJP252" s="537"/>
      <c r="JJQ252" s="537"/>
      <c r="JJR252" s="537"/>
      <c r="JJS252" s="537"/>
      <c r="JJT252" s="537"/>
      <c r="JJU252" s="537"/>
      <c r="JJV252" s="537"/>
      <c r="JJW252" s="537"/>
      <c r="JJX252" s="537"/>
      <c r="JJY252" s="537"/>
      <c r="JJZ252" s="537"/>
      <c r="JKA252" s="537"/>
      <c r="JKB252" s="537"/>
      <c r="JKC252" s="537"/>
      <c r="JKD252" s="537"/>
      <c r="JKE252" s="537"/>
      <c r="JKF252" s="537"/>
      <c r="JKG252" s="537"/>
      <c r="JKH252" s="537"/>
      <c r="JKI252" s="537"/>
      <c r="JKJ252" s="537"/>
      <c r="JKK252" s="537"/>
      <c r="JKL252" s="537"/>
      <c r="JKM252" s="537"/>
      <c r="JKN252" s="537"/>
      <c r="JKO252" s="537"/>
      <c r="JKP252" s="537"/>
      <c r="JKQ252" s="537"/>
      <c r="JKR252" s="537"/>
      <c r="JKS252" s="537"/>
      <c r="JKT252" s="537"/>
      <c r="JKU252" s="537"/>
      <c r="JKV252" s="537"/>
      <c r="JKW252" s="537"/>
      <c r="JKX252" s="537"/>
      <c r="JKY252" s="537"/>
      <c r="JKZ252" s="537"/>
      <c r="JLA252" s="537"/>
      <c r="JLB252" s="537"/>
      <c r="JLC252" s="537"/>
      <c r="JLD252" s="537"/>
      <c r="JLE252" s="537"/>
      <c r="JLF252" s="537"/>
      <c r="JLG252" s="537"/>
      <c r="JLH252" s="537"/>
      <c r="JLI252" s="537"/>
      <c r="JLJ252" s="537"/>
      <c r="JLK252" s="537"/>
      <c r="JLL252" s="537"/>
      <c r="JLM252" s="537"/>
      <c r="JLN252" s="537"/>
      <c r="JLO252" s="537"/>
      <c r="JLP252" s="537"/>
      <c r="JLQ252" s="537"/>
      <c r="JLR252" s="537"/>
      <c r="JLS252" s="537"/>
      <c r="JLT252" s="537"/>
      <c r="JLU252" s="537"/>
      <c r="JLV252" s="537"/>
      <c r="JLW252" s="537"/>
      <c r="JLX252" s="537"/>
      <c r="JLY252" s="537"/>
      <c r="JLZ252" s="537"/>
      <c r="JMA252" s="537"/>
      <c r="JMB252" s="537"/>
      <c r="JMC252" s="537"/>
      <c r="JMD252" s="537"/>
      <c r="JME252" s="537"/>
      <c r="JMF252" s="537"/>
      <c r="JMG252" s="537"/>
      <c r="JMH252" s="537"/>
      <c r="JMI252" s="537"/>
      <c r="JMJ252" s="537"/>
      <c r="JMK252" s="537"/>
      <c r="JML252" s="537"/>
      <c r="JMM252" s="537"/>
      <c r="JMN252" s="537"/>
      <c r="JMO252" s="537"/>
      <c r="JMP252" s="537"/>
      <c r="JMQ252" s="537"/>
      <c r="JMR252" s="537"/>
      <c r="JMS252" s="537"/>
      <c r="JMT252" s="537"/>
      <c r="JMU252" s="537"/>
      <c r="JMV252" s="537"/>
      <c r="JMW252" s="537"/>
      <c r="JMX252" s="537"/>
      <c r="JMY252" s="537"/>
      <c r="JMZ252" s="537"/>
      <c r="JNA252" s="537"/>
      <c r="JNB252" s="537"/>
      <c r="JNC252" s="537"/>
      <c r="JND252" s="537"/>
      <c r="JNE252" s="537"/>
      <c r="JNF252" s="537"/>
      <c r="JNG252" s="537"/>
      <c r="JNH252" s="537"/>
      <c r="JNI252" s="537"/>
      <c r="JNJ252" s="537"/>
      <c r="JNK252" s="537"/>
      <c r="JNL252" s="537"/>
      <c r="JNM252" s="537"/>
      <c r="JNN252" s="537"/>
      <c r="JNO252" s="537"/>
      <c r="JNP252" s="537"/>
      <c r="JNQ252" s="537"/>
      <c r="JNR252" s="537"/>
      <c r="JNS252" s="537"/>
      <c r="JNT252" s="537"/>
      <c r="JNU252" s="537"/>
      <c r="JNV252" s="537"/>
      <c r="JNW252" s="537"/>
      <c r="JNX252" s="537"/>
      <c r="JNY252" s="537"/>
      <c r="JNZ252" s="537"/>
      <c r="JOA252" s="537"/>
      <c r="JOB252" s="537"/>
      <c r="JOC252" s="537"/>
      <c r="JOD252" s="537"/>
      <c r="JOE252" s="537"/>
      <c r="JOF252" s="537"/>
      <c r="JOG252" s="537"/>
      <c r="JOH252" s="537"/>
      <c r="JOI252" s="537"/>
      <c r="JOJ252" s="537"/>
      <c r="JOK252" s="537"/>
      <c r="JOL252" s="537"/>
      <c r="JOM252" s="537"/>
      <c r="JON252" s="537"/>
      <c r="JOO252" s="537"/>
      <c r="JOP252" s="537"/>
      <c r="JOQ252" s="537"/>
      <c r="JOR252" s="537"/>
      <c r="JOS252" s="537"/>
      <c r="JOT252" s="537"/>
      <c r="JOU252" s="537"/>
      <c r="JOV252" s="537"/>
      <c r="JOW252" s="537"/>
      <c r="JOX252" s="537"/>
      <c r="JOY252" s="537"/>
      <c r="JOZ252" s="537"/>
      <c r="JPA252" s="537"/>
      <c r="JPB252" s="537"/>
      <c r="JPC252" s="537"/>
      <c r="JPD252" s="537"/>
      <c r="JPE252" s="537"/>
      <c r="JPF252" s="537"/>
      <c r="JPG252" s="537"/>
      <c r="JPH252" s="537"/>
      <c r="JPI252" s="537"/>
      <c r="JPJ252" s="537"/>
      <c r="JPK252" s="537"/>
      <c r="JPL252" s="537"/>
      <c r="JPM252" s="537"/>
      <c r="JPN252" s="537"/>
      <c r="JPO252" s="537"/>
      <c r="JPP252" s="537"/>
      <c r="JPQ252" s="537"/>
      <c r="JPR252" s="537"/>
      <c r="JPS252" s="537"/>
      <c r="JPT252" s="537"/>
      <c r="JPU252" s="537"/>
      <c r="JPV252" s="537"/>
      <c r="JPW252" s="537"/>
      <c r="JPX252" s="537"/>
      <c r="JPY252" s="537"/>
      <c r="JPZ252" s="537"/>
      <c r="JQA252" s="537"/>
      <c r="JQB252" s="537"/>
      <c r="JQC252" s="537"/>
      <c r="JQD252" s="537"/>
      <c r="JQE252" s="537"/>
      <c r="JQF252" s="537"/>
      <c r="JQG252" s="537"/>
      <c r="JQH252" s="537"/>
      <c r="JQI252" s="537"/>
      <c r="JQJ252" s="537"/>
      <c r="JQK252" s="537"/>
      <c r="JQL252" s="537"/>
      <c r="JQM252" s="537"/>
      <c r="JQN252" s="537"/>
      <c r="JQO252" s="537"/>
      <c r="JQP252" s="537"/>
      <c r="JQQ252" s="537"/>
      <c r="JQR252" s="537"/>
      <c r="JQS252" s="537"/>
      <c r="JQT252" s="537"/>
      <c r="JQU252" s="537"/>
      <c r="JQV252" s="537"/>
      <c r="JQW252" s="537"/>
      <c r="JQX252" s="537"/>
      <c r="JQY252" s="537"/>
      <c r="JQZ252" s="537"/>
      <c r="JRA252" s="537"/>
      <c r="JRB252" s="537"/>
      <c r="JRC252" s="537"/>
      <c r="JRD252" s="537"/>
      <c r="JRE252" s="537"/>
      <c r="JRF252" s="537"/>
      <c r="JRG252" s="537"/>
      <c r="JRH252" s="537"/>
      <c r="JRI252" s="537"/>
      <c r="JRJ252" s="537"/>
      <c r="JRK252" s="537"/>
      <c r="JRL252" s="537"/>
      <c r="JRM252" s="537"/>
      <c r="JRN252" s="537"/>
      <c r="JRO252" s="537"/>
      <c r="JRP252" s="537"/>
      <c r="JRQ252" s="537"/>
      <c r="JRR252" s="537"/>
      <c r="JRS252" s="537"/>
      <c r="JRT252" s="537"/>
      <c r="JRU252" s="537"/>
      <c r="JRV252" s="537"/>
      <c r="JRW252" s="537"/>
      <c r="JRX252" s="537"/>
      <c r="JRY252" s="537"/>
      <c r="JRZ252" s="537"/>
      <c r="JSA252" s="537"/>
      <c r="JSB252" s="537"/>
      <c r="JSC252" s="537"/>
      <c r="JSD252" s="537"/>
      <c r="JSE252" s="537"/>
      <c r="JSF252" s="537"/>
      <c r="JSG252" s="537"/>
      <c r="JSH252" s="537"/>
      <c r="JSI252" s="537"/>
      <c r="JSJ252" s="537"/>
      <c r="JSK252" s="537"/>
      <c r="JSL252" s="537"/>
      <c r="JSM252" s="537"/>
      <c r="JSN252" s="537"/>
      <c r="JSO252" s="537"/>
      <c r="JSP252" s="537"/>
      <c r="JSQ252" s="537"/>
      <c r="JSR252" s="537"/>
      <c r="JSS252" s="537"/>
      <c r="JST252" s="537"/>
      <c r="JSU252" s="537"/>
      <c r="JSV252" s="537"/>
      <c r="JSW252" s="537"/>
      <c r="JSX252" s="537"/>
      <c r="JSY252" s="537"/>
      <c r="JSZ252" s="537"/>
      <c r="JTA252" s="537"/>
      <c r="JTB252" s="537"/>
      <c r="JTC252" s="537"/>
      <c r="JTD252" s="537"/>
      <c r="JTE252" s="537"/>
      <c r="JTF252" s="537"/>
      <c r="JTG252" s="537"/>
      <c r="JTH252" s="537"/>
      <c r="JTI252" s="537"/>
      <c r="JTJ252" s="537"/>
      <c r="JTK252" s="537"/>
      <c r="JTL252" s="537"/>
      <c r="JTM252" s="537"/>
      <c r="JTN252" s="537"/>
      <c r="JTO252" s="537"/>
      <c r="JTP252" s="537"/>
      <c r="JTQ252" s="537"/>
      <c r="JTR252" s="537"/>
      <c r="JTS252" s="537"/>
      <c r="JTT252" s="537"/>
      <c r="JTU252" s="537"/>
      <c r="JTV252" s="537"/>
      <c r="JTW252" s="537"/>
      <c r="JTX252" s="537"/>
      <c r="JTY252" s="537"/>
      <c r="JTZ252" s="537"/>
      <c r="JUA252" s="537"/>
      <c r="JUB252" s="537"/>
      <c r="JUC252" s="537"/>
      <c r="JUD252" s="537"/>
      <c r="JUE252" s="537"/>
      <c r="JUF252" s="537"/>
      <c r="JUG252" s="537"/>
      <c r="JUH252" s="537"/>
      <c r="JUI252" s="537"/>
      <c r="JUJ252" s="537"/>
      <c r="JUK252" s="537"/>
      <c r="JUL252" s="537"/>
      <c r="JUM252" s="537"/>
      <c r="JUN252" s="537"/>
      <c r="JUO252" s="537"/>
      <c r="JUP252" s="537"/>
      <c r="JUQ252" s="537"/>
      <c r="JUR252" s="537"/>
      <c r="JUS252" s="537"/>
      <c r="JUT252" s="537"/>
      <c r="JUU252" s="537"/>
      <c r="JUV252" s="537"/>
      <c r="JUW252" s="537"/>
      <c r="JUX252" s="537"/>
      <c r="JUY252" s="537"/>
      <c r="JUZ252" s="537"/>
      <c r="JVA252" s="537"/>
      <c r="JVB252" s="537"/>
      <c r="JVC252" s="537"/>
      <c r="JVD252" s="537"/>
      <c r="JVE252" s="537"/>
      <c r="JVF252" s="537"/>
      <c r="JVG252" s="537"/>
      <c r="JVH252" s="537"/>
      <c r="JVI252" s="537"/>
      <c r="JVJ252" s="537"/>
      <c r="JVK252" s="537"/>
      <c r="JVL252" s="537"/>
      <c r="JVM252" s="537"/>
      <c r="JVN252" s="537"/>
      <c r="JVO252" s="537"/>
      <c r="JVP252" s="537"/>
      <c r="JVQ252" s="537"/>
      <c r="JVR252" s="537"/>
      <c r="JVS252" s="537"/>
      <c r="JVT252" s="537"/>
      <c r="JVU252" s="537"/>
      <c r="JVV252" s="537"/>
      <c r="JVW252" s="537"/>
      <c r="JVX252" s="537"/>
      <c r="JVY252" s="537"/>
      <c r="JVZ252" s="537"/>
      <c r="JWA252" s="537"/>
      <c r="JWB252" s="537"/>
      <c r="JWC252" s="537"/>
      <c r="JWD252" s="537"/>
      <c r="JWE252" s="537"/>
      <c r="JWF252" s="537"/>
      <c r="JWG252" s="537"/>
      <c r="JWH252" s="537"/>
      <c r="JWI252" s="537"/>
      <c r="JWJ252" s="537"/>
      <c r="JWK252" s="537"/>
      <c r="JWL252" s="537"/>
      <c r="JWM252" s="537"/>
      <c r="JWN252" s="537"/>
      <c r="JWO252" s="537"/>
      <c r="JWP252" s="537"/>
      <c r="JWQ252" s="537"/>
      <c r="JWR252" s="537"/>
      <c r="JWS252" s="537"/>
      <c r="JWT252" s="537"/>
      <c r="JWU252" s="537"/>
      <c r="JWV252" s="537"/>
      <c r="JWW252" s="537"/>
      <c r="JWX252" s="537"/>
      <c r="JWY252" s="537"/>
      <c r="JWZ252" s="537"/>
      <c r="JXA252" s="537"/>
      <c r="JXB252" s="537"/>
      <c r="JXC252" s="537"/>
      <c r="JXD252" s="537"/>
      <c r="JXE252" s="537"/>
      <c r="JXF252" s="537"/>
      <c r="JXG252" s="537"/>
      <c r="JXH252" s="537"/>
      <c r="JXI252" s="537"/>
      <c r="JXJ252" s="537"/>
      <c r="JXK252" s="537"/>
      <c r="JXL252" s="537"/>
      <c r="JXM252" s="537"/>
      <c r="JXN252" s="537"/>
      <c r="JXO252" s="537"/>
      <c r="JXP252" s="537"/>
      <c r="JXQ252" s="537"/>
      <c r="JXR252" s="537"/>
      <c r="JXS252" s="537"/>
      <c r="JXT252" s="537"/>
      <c r="JXU252" s="537"/>
      <c r="JXV252" s="537"/>
      <c r="JXW252" s="537"/>
      <c r="JXX252" s="537"/>
      <c r="JXY252" s="537"/>
      <c r="JXZ252" s="537"/>
      <c r="JYA252" s="537"/>
      <c r="JYB252" s="537"/>
      <c r="JYC252" s="537"/>
      <c r="JYD252" s="537"/>
      <c r="JYE252" s="537"/>
      <c r="JYF252" s="537"/>
      <c r="JYG252" s="537"/>
      <c r="JYH252" s="537"/>
      <c r="JYI252" s="537"/>
      <c r="JYJ252" s="537"/>
      <c r="JYK252" s="537"/>
      <c r="JYL252" s="537"/>
      <c r="JYM252" s="537"/>
      <c r="JYN252" s="537"/>
      <c r="JYO252" s="537"/>
      <c r="JYP252" s="537"/>
      <c r="JYQ252" s="537"/>
      <c r="JYR252" s="537"/>
      <c r="JYS252" s="537"/>
      <c r="JYT252" s="537"/>
      <c r="JYU252" s="537"/>
      <c r="JYV252" s="537"/>
      <c r="JYW252" s="537"/>
      <c r="JYX252" s="537"/>
      <c r="JYY252" s="537"/>
      <c r="JYZ252" s="537"/>
      <c r="JZA252" s="537"/>
      <c r="JZB252" s="537"/>
      <c r="JZC252" s="537"/>
      <c r="JZD252" s="537"/>
      <c r="JZE252" s="537"/>
      <c r="JZF252" s="537"/>
      <c r="JZG252" s="537"/>
      <c r="JZH252" s="537"/>
      <c r="JZI252" s="537"/>
      <c r="JZJ252" s="537"/>
      <c r="JZK252" s="537"/>
      <c r="JZL252" s="537"/>
      <c r="JZM252" s="537"/>
      <c r="JZN252" s="537"/>
      <c r="JZO252" s="537"/>
      <c r="JZP252" s="537"/>
      <c r="JZQ252" s="537"/>
      <c r="JZR252" s="537"/>
      <c r="JZS252" s="537"/>
      <c r="JZT252" s="537"/>
      <c r="JZU252" s="537"/>
      <c r="JZV252" s="537"/>
      <c r="JZW252" s="537"/>
      <c r="JZX252" s="537"/>
      <c r="JZY252" s="537"/>
      <c r="JZZ252" s="537"/>
      <c r="KAA252" s="537"/>
      <c r="KAB252" s="537"/>
      <c r="KAC252" s="537"/>
      <c r="KAD252" s="537"/>
      <c r="KAE252" s="537"/>
      <c r="KAF252" s="537"/>
      <c r="KAG252" s="537"/>
      <c r="KAH252" s="537"/>
      <c r="KAI252" s="537"/>
      <c r="KAJ252" s="537"/>
      <c r="KAK252" s="537"/>
      <c r="KAL252" s="537"/>
      <c r="KAM252" s="537"/>
      <c r="KAN252" s="537"/>
      <c r="KAO252" s="537"/>
      <c r="KAP252" s="537"/>
      <c r="KAQ252" s="537"/>
      <c r="KAR252" s="537"/>
      <c r="KAS252" s="537"/>
      <c r="KAT252" s="537"/>
      <c r="KAU252" s="537"/>
      <c r="KAV252" s="537"/>
      <c r="KAW252" s="537"/>
      <c r="KAX252" s="537"/>
      <c r="KAY252" s="537"/>
      <c r="KAZ252" s="537"/>
      <c r="KBA252" s="537"/>
      <c r="KBB252" s="537"/>
      <c r="KBC252" s="537"/>
      <c r="KBD252" s="537"/>
      <c r="KBE252" s="537"/>
      <c r="KBF252" s="537"/>
      <c r="KBG252" s="537"/>
      <c r="KBH252" s="537"/>
      <c r="KBI252" s="537"/>
      <c r="KBJ252" s="537"/>
      <c r="KBK252" s="537"/>
      <c r="KBL252" s="537"/>
      <c r="KBM252" s="537"/>
      <c r="KBN252" s="537"/>
      <c r="KBO252" s="537"/>
      <c r="KBP252" s="537"/>
      <c r="KBQ252" s="537"/>
      <c r="KBR252" s="537"/>
      <c r="KBS252" s="537"/>
      <c r="KBT252" s="537"/>
      <c r="KBU252" s="537"/>
      <c r="KBV252" s="537"/>
      <c r="KBW252" s="537"/>
      <c r="KBX252" s="537"/>
      <c r="KBY252" s="537"/>
      <c r="KBZ252" s="537"/>
      <c r="KCA252" s="537"/>
      <c r="KCB252" s="537"/>
      <c r="KCC252" s="537"/>
      <c r="KCD252" s="537"/>
      <c r="KCE252" s="537"/>
      <c r="KCF252" s="537"/>
      <c r="KCG252" s="537"/>
      <c r="KCH252" s="537"/>
      <c r="KCI252" s="537"/>
      <c r="KCJ252" s="537"/>
      <c r="KCK252" s="537"/>
      <c r="KCL252" s="537"/>
      <c r="KCM252" s="537"/>
      <c r="KCN252" s="537"/>
      <c r="KCO252" s="537"/>
      <c r="KCP252" s="537"/>
      <c r="KCQ252" s="537"/>
      <c r="KCR252" s="537"/>
      <c r="KCS252" s="537"/>
      <c r="KCT252" s="537"/>
      <c r="KCU252" s="537"/>
      <c r="KCV252" s="537"/>
      <c r="KCW252" s="537"/>
      <c r="KCX252" s="537"/>
      <c r="KCY252" s="537"/>
      <c r="KCZ252" s="537"/>
      <c r="KDA252" s="537"/>
      <c r="KDB252" s="537"/>
      <c r="KDC252" s="537"/>
      <c r="KDD252" s="537"/>
      <c r="KDE252" s="537"/>
      <c r="KDF252" s="537"/>
      <c r="KDG252" s="537"/>
      <c r="KDH252" s="537"/>
      <c r="KDI252" s="537"/>
      <c r="KDJ252" s="537"/>
      <c r="KDK252" s="537"/>
      <c r="KDL252" s="537"/>
      <c r="KDM252" s="537"/>
      <c r="KDN252" s="537"/>
      <c r="KDO252" s="537"/>
      <c r="KDP252" s="537"/>
      <c r="KDQ252" s="537"/>
      <c r="KDR252" s="537"/>
      <c r="KDS252" s="537"/>
      <c r="KDT252" s="537"/>
      <c r="KDU252" s="537"/>
      <c r="KDV252" s="537"/>
      <c r="KDW252" s="537"/>
      <c r="KDX252" s="537"/>
      <c r="KDY252" s="537"/>
      <c r="KDZ252" s="537"/>
      <c r="KEA252" s="537"/>
      <c r="KEB252" s="537"/>
      <c r="KEC252" s="537"/>
      <c r="KED252" s="537"/>
      <c r="KEE252" s="537"/>
      <c r="KEF252" s="537"/>
      <c r="KEG252" s="537"/>
      <c r="KEH252" s="537"/>
      <c r="KEI252" s="537"/>
      <c r="KEJ252" s="537"/>
      <c r="KEK252" s="537"/>
      <c r="KEL252" s="537"/>
      <c r="KEM252" s="537"/>
      <c r="KEN252" s="537"/>
      <c r="KEO252" s="537"/>
      <c r="KEP252" s="537"/>
      <c r="KEQ252" s="537"/>
      <c r="KER252" s="537"/>
      <c r="KES252" s="537"/>
      <c r="KET252" s="537"/>
      <c r="KEU252" s="537"/>
      <c r="KEV252" s="537"/>
      <c r="KEW252" s="537"/>
      <c r="KEX252" s="537"/>
      <c r="KEY252" s="537"/>
      <c r="KEZ252" s="537"/>
      <c r="KFA252" s="537"/>
      <c r="KFB252" s="537"/>
      <c r="KFC252" s="537"/>
      <c r="KFD252" s="537"/>
      <c r="KFE252" s="537"/>
      <c r="KFF252" s="537"/>
      <c r="KFG252" s="537"/>
      <c r="KFH252" s="537"/>
      <c r="KFI252" s="537"/>
      <c r="KFJ252" s="537"/>
      <c r="KFK252" s="537"/>
      <c r="KFL252" s="537"/>
      <c r="KFM252" s="537"/>
      <c r="KFN252" s="537"/>
      <c r="KFO252" s="537"/>
      <c r="KFP252" s="537"/>
      <c r="KFQ252" s="537"/>
      <c r="KFR252" s="537"/>
      <c r="KFS252" s="537"/>
      <c r="KFT252" s="537"/>
      <c r="KFU252" s="537"/>
      <c r="KFV252" s="537"/>
      <c r="KFW252" s="537"/>
      <c r="KFX252" s="537"/>
      <c r="KFY252" s="537"/>
      <c r="KFZ252" s="537"/>
      <c r="KGA252" s="537"/>
      <c r="KGB252" s="537"/>
      <c r="KGC252" s="537"/>
      <c r="KGD252" s="537"/>
      <c r="KGE252" s="537"/>
      <c r="KGF252" s="537"/>
      <c r="KGG252" s="537"/>
      <c r="KGH252" s="537"/>
      <c r="KGI252" s="537"/>
      <c r="KGJ252" s="537"/>
      <c r="KGK252" s="537"/>
      <c r="KGL252" s="537"/>
      <c r="KGM252" s="537"/>
      <c r="KGN252" s="537"/>
      <c r="KGO252" s="537"/>
      <c r="KGP252" s="537"/>
      <c r="KGQ252" s="537"/>
      <c r="KGR252" s="537"/>
      <c r="KGS252" s="537"/>
      <c r="KGT252" s="537"/>
      <c r="KGU252" s="537"/>
      <c r="KGV252" s="537"/>
      <c r="KGW252" s="537"/>
      <c r="KGX252" s="537"/>
      <c r="KGY252" s="537"/>
      <c r="KGZ252" s="537"/>
      <c r="KHA252" s="537"/>
      <c r="KHB252" s="537"/>
      <c r="KHC252" s="537"/>
      <c r="KHD252" s="537"/>
      <c r="KHE252" s="537"/>
      <c r="KHF252" s="537"/>
      <c r="KHG252" s="537"/>
      <c r="KHH252" s="537"/>
      <c r="KHI252" s="537"/>
      <c r="KHJ252" s="537"/>
      <c r="KHK252" s="537"/>
      <c r="KHL252" s="537"/>
      <c r="KHM252" s="537"/>
      <c r="KHN252" s="537"/>
      <c r="KHO252" s="537"/>
      <c r="KHP252" s="537"/>
      <c r="KHQ252" s="537"/>
      <c r="KHR252" s="537"/>
      <c r="KHS252" s="537"/>
      <c r="KHT252" s="537"/>
      <c r="KHU252" s="537"/>
      <c r="KHV252" s="537"/>
      <c r="KHW252" s="537"/>
      <c r="KHX252" s="537"/>
      <c r="KHY252" s="537"/>
      <c r="KHZ252" s="537"/>
      <c r="KIA252" s="537"/>
      <c r="KIB252" s="537"/>
      <c r="KIC252" s="537"/>
      <c r="KID252" s="537"/>
      <c r="KIE252" s="537"/>
      <c r="KIF252" s="537"/>
      <c r="KIG252" s="537"/>
      <c r="KIH252" s="537"/>
      <c r="KII252" s="537"/>
      <c r="KIJ252" s="537"/>
      <c r="KIK252" s="537"/>
      <c r="KIL252" s="537"/>
      <c r="KIM252" s="537"/>
      <c r="KIN252" s="537"/>
      <c r="KIO252" s="537"/>
      <c r="KIP252" s="537"/>
      <c r="KIQ252" s="537"/>
      <c r="KIR252" s="537"/>
      <c r="KIS252" s="537"/>
      <c r="KIT252" s="537"/>
      <c r="KIU252" s="537"/>
      <c r="KIV252" s="537"/>
      <c r="KIW252" s="537"/>
      <c r="KIX252" s="537"/>
      <c r="KIY252" s="537"/>
      <c r="KIZ252" s="537"/>
      <c r="KJA252" s="537"/>
      <c r="KJB252" s="537"/>
      <c r="KJC252" s="537"/>
      <c r="KJD252" s="537"/>
      <c r="KJE252" s="537"/>
      <c r="KJF252" s="537"/>
      <c r="KJG252" s="537"/>
      <c r="KJH252" s="537"/>
      <c r="KJI252" s="537"/>
      <c r="KJJ252" s="537"/>
      <c r="KJK252" s="537"/>
      <c r="KJL252" s="537"/>
      <c r="KJM252" s="537"/>
      <c r="KJN252" s="537"/>
      <c r="KJO252" s="537"/>
      <c r="KJP252" s="537"/>
      <c r="KJQ252" s="537"/>
      <c r="KJR252" s="537"/>
      <c r="KJS252" s="537"/>
      <c r="KJT252" s="537"/>
      <c r="KJU252" s="537"/>
      <c r="KJV252" s="537"/>
      <c r="KJW252" s="537"/>
      <c r="KJX252" s="537"/>
      <c r="KJY252" s="537"/>
      <c r="KJZ252" s="537"/>
      <c r="KKA252" s="537"/>
      <c r="KKB252" s="537"/>
      <c r="KKC252" s="537"/>
      <c r="KKD252" s="537"/>
      <c r="KKE252" s="537"/>
      <c r="KKF252" s="537"/>
      <c r="KKG252" s="537"/>
      <c r="KKH252" s="537"/>
      <c r="KKI252" s="537"/>
      <c r="KKJ252" s="537"/>
      <c r="KKK252" s="537"/>
      <c r="KKL252" s="537"/>
      <c r="KKM252" s="537"/>
      <c r="KKN252" s="537"/>
      <c r="KKO252" s="537"/>
      <c r="KKP252" s="537"/>
      <c r="KKQ252" s="537"/>
      <c r="KKR252" s="537"/>
      <c r="KKS252" s="537"/>
      <c r="KKT252" s="537"/>
      <c r="KKU252" s="537"/>
      <c r="KKV252" s="537"/>
      <c r="KKW252" s="537"/>
      <c r="KKX252" s="537"/>
      <c r="KKY252" s="537"/>
      <c r="KKZ252" s="537"/>
      <c r="KLA252" s="537"/>
      <c r="KLB252" s="537"/>
      <c r="KLC252" s="537"/>
      <c r="KLD252" s="537"/>
      <c r="KLE252" s="537"/>
      <c r="KLF252" s="537"/>
      <c r="KLG252" s="537"/>
      <c r="KLH252" s="537"/>
      <c r="KLI252" s="537"/>
      <c r="KLJ252" s="537"/>
      <c r="KLK252" s="537"/>
      <c r="KLL252" s="537"/>
      <c r="KLM252" s="537"/>
      <c r="KLN252" s="537"/>
      <c r="KLO252" s="537"/>
      <c r="KLP252" s="537"/>
      <c r="KLQ252" s="537"/>
      <c r="KLR252" s="537"/>
      <c r="KLS252" s="537"/>
      <c r="KLT252" s="537"/>
      <c r="KLU252" s="537"/>
      <c r="KLV252" s="537"/>
      <c r="KLW252" s="537"/>
      <c r="KLX252" s="537"/>
      <c r="KLY252" s="537"/>
      <c r="KLZ252" s="537"/>
      <c r="KMA252" s="537"/>
      <c r="KMB252" s="537"/>
      <c r="KMC252" s="537"/>
      <c r="KMD252" s="537"/>
      <c r="KME252" s="537"/>
      <c r="KMF252" s="537"/>
      <c r="KMG252" s="537"/>
      <c r="KMH252" s="537"/>
      <c r="KMI252" s="537"/>
      <c r="KMJ252" s="537"/>
      <c r="KMK252" s="537"/>
      <c r="KML252" s="537"/>
      <c r="KMM252" s="537"/>
      <c r="KMN252" s="537"/>
      <c r="KMO252" s="537"/>
      <c r="KMP252" s="537"/>
      <c r="KMQ252" s="537"/>
      <c r="KMR252" s="537"/>
      <c r="KMS252" s="537"/>
      <c r="KMT252" s="537"/>
      <c r="KMU252" s="537"/>
      <c r="KMV252" s="537"/>
      <c r="KMW252" s="537"/>
      <c r="KMX252" s="537"/>
      <c r="KMY252" s="537"/>
      <c r="KMZ252" s="537"/>
      <c r="KNA252" s="537"/>
      <c r="KNB252" s="537"/>
      <c r="KNC252" s="537"/>
      <c r="KND252" s="537"/>
      <c r="KNE252" s="537"/>
      <c r="KNF252" s="537"/>
      <c r="KNG252" s="537"/>
      <c r="KNH252" s="537"/>
      <c r="KNI252" s="537"/>
      <c r="KNJ252" s="537"/>
      <c r="KNK252" s="537"/>
      <c r="KNL252" s="537"/>
      <c r="KNM252" s="537"/>
      <c r="KNN252" s="537"/>
      <c r="KNO252" s="537"/>
      <c r="KNP252" s="537"/>
      <c r="KNQ252" s="537"/>
      <c r="KNR252" s="537"/>
      <c r="KNS252" s="537"/>
      <c r="KNT252" s="537"/>
      <c r="KNU252" s="537"/>
      <c r="KNV252" s="537"/>
      <c r="KNW252" s="537"/>
      <c r="KNX252" s="537"/>
      <c r="KNY252" s="537"/>
      <c r="KNZ252" s="537"/>
      <c r="KOA252" s="537"/>
      <c r="KOB252" s="537"/>
      <c r="KOC252" s="537"/>
      <c r="KOD252" s="537"/>
      <c r="KOE252" s="537"/>
      <c r="KOF252" s="537"/>
      <c r="KOG252" s="537"/>
      <c r="KOH252" s="537"/>
      <c r="KOI252" s="537"/>
      <c r="KOJ252" s="537"/>
      <c r="KOK252" s="537"/>
      <c r="KOL252" s="537"/>
      <c r="KOM252" s="537"/>
      <c r="KON252" s="537"/>
      <c r="KOO252" s="537"/>
      <c r="KOP252" s="537"/>
      <c r="KOQ252" s="537"/>
      <c r="KOR252" s="537"/>
      <c r="KOS252" s="537"/>
      <c r="KOT252" s="537"/>
      <c r="KOU252" s="537"/>
      <c r="KOV252" s="537"/>
      <c r="KOW252" s="537"/>
      <c r="KOX252" s="537"/>
      <c r="KOY252" s="537"/>
      <c r="KOZ252" s="537"/>
      <c r="KPA252" s="537"/>
      <c r="KPB252" s="537"/>
      <c r="KPC252" s="537"/>
      <c r="KPD252" s="537"/>
      <c r="KPE252" s="537"/>
      <c r="KPF252" s="537"/>
      <c r="KPG252" s="537"/>
      <c r="KPH252" s="537"/>
      <c r="KPI252" s="537"/>
      <c r="KPJ252" s="537"/>
      <c r="KPK252" s="537"/>
      <c r="KPL252" s="537"/>
      <c r="KPM252" s="537"/>
      <c r="KPN252" s="537"/>
      <c r="KPO252" s="537"/>
      <c r="KPP252" s="537"/>
      <c r="KPQ252" s="537"/>
      <c r="KPR252" s="537"/>
      <c r="KPS252" s="537"/>
      <c r="KPT252" s="537"/>
      <c r="KPU252" s="537"/>
      <c r="KPV252" s="537"/>
      <c r="KPW252" s="537"/>
      <c r="KPX252" s="537"/>
      <c r="KPY252" s="537"/>
      <c r="KPZ252" s="537"/>
      <c r="KQA252" s="537"/>
      <c r="KQB252" s="537"/>
      <c r="KQC252" s="537"/>
      <c r="KQD252" s="537"/>
      <c r="KQE252" s="537"/>
      <c r="KQF252" s="537"/>
      <c r="KQG252" s="537"/>
      <c r="KQH252" s="537"/>
      <c r="KQI252" s="537"/>
      <c r="KQJ252" s="537"/>
      <c r="KQK252" s="537"/>
      <c r="KQL252" s="537"/>
      <c r="KQM252" s="537"/>
      <c r="KQN252" s="537"/>
      <c r="KQO252" s="537"/>
      <c r="KQP252" s="537"/>
      <c r="KQQ252" s="537"/>
      <c r="KQR252" s="537"/>
      <c r="KQS252" s="537"/>
      <c r="KQT252" s="537"/>
      <c r="KQU252" s="537"/>
      <c r="KQV252" s="537"/>
      <c r="KQW252" s="537"/>
      <c r="KQX252" s="537"/>
      <c r="KQY252" s="537"/>
      <c r="KQZ252" s="537"/>
      <c r="KRA252" s="537"/>
      <c r="KRB252" s="537"/>
      <c r="KRC252" s="537"/>
      <c r="KRD252" s="537"/>
      <c r="KRE252" s="537"/>
      <c r="KRF252" s="537"/>
      <c r="KRG252" s="537"/>
      <c r="KRH252" s="537"/>
      <c r="KRI252" s="537"/>
      <c r="KRJ252" s="537"/>
      <c r="KRK252" s="537"/>
      <c r="KRL252" s="537"/>
      <c r="KRM252" s="537"/>
      <c r="KRN252" s="537"/>
      <c r="KRO252" s="537"/>
      <c r="KRP252" s="537"/>
      <c r="KRQ252" s="537"/>
      <c r="KRR252" s="537"/>
      <c r="KRS252" s="537"/>
      <c r="KRT252" s="537"/>
      <c r="KRU252" s="537"/>
      <c r="KRV252" s="537"/>
      <c r="KRW252" s="537"/>
      <c r="KRX252" s="537"/>
      <c r="KRY252" s="537"/>
      <c r="KRZ252" s="537"/>
      <c r="KSA252" s="537"/>
      <c r="KSB252" s="537"/>
      <c r="KSC252" s="537"/>
      <c r="KSD252" s="537"/>
      <c r="KSE252" s="537"/>
      <c r="KSF252" s="537"/>
      <c r="KSG252" s="537"/>
      <c r="KSH252" s="537"/>
      <c r="KSI252" s="537"/>
      <c r="KSJ252" s="537"/>
      <c r="KSK252" s="537"/>
      <c r="KSL252" s="537"/>
      <c r="KSM252" s="537"/>
      <c r="KSN252" s="537"/>
      <c r="KSO252" s="537"/>
      <c r="KSP252" s="537"/>
      <c r="KSQ252" s="537"/>
      <c r="KSR252" s="537"/>
      <c r="KSS252" s="537"/>
      <c r="KST252" s="537"/>
      <c r="KSU252" s="537"/>
      <c r="KSV252" s="537"/>
      <c r="KSW252" s="537"/>
      <c r="KSX252" s="537"/>
      <c r="KSY252" s="537"/>
      <c r="KSZ252" s="537"/>
      <c r="KTA252" s="537"/>
      <c r="KTB252" s="537"/>
      <c r="KTC252" s="537"/>
      <c r="KTD252" s="537"/>
      <c r="KTE252" s="537"/>
      <c r="KTF252" s="537"/>
      <c r="KTG252" s="537"/>
      <c r="KTH252" s="537"/>
      <c r="KTI252" s="537"/>
      <c r="KTJ252" s="537"/>
      <c r="KTK252" s="537"/>
      <c r="KTL252" s="537"/>
      <c r="KTM252" s="537"/>
      <c r="KTN252" s="537"/>
      <c r="KTO252" s="537"/>
      <c r="KTP252" s="537"/>
      <c r="KTQ252" s="537"/>
      <c r="KTR252" s="537"/>
      <c r="KTS252" s="537"/>
      <c r="KTT252" s="537"/>
      <c r="KTU252" s="537"/>
      <c r="KTV252" s="537"/>
      <c r="KTW252" s="537"/>
      <c r="KTX252" s="537"/>
      <c r="KTY252" s="537"/>
      <c r="KTZ252" s="537"/>
      <c r="KUA252" s="537"/>
      <c r="KUB252" s="537"/>
      <c r="KUC252" s="537"/>
      <c r="KUD252" s="537"/>
      <c r="KUE252" s="537"/>
      <c r="KUF252" s="537"/>
      <c r="KUG252" s="537"/>
      <c r="KUH252" s="537"/>
      <c r="KUI252" s="537"/>
      <c r="KUJ252" s="537"/>
      <c r="KUK252" s="537"/>
      <c r="KUL252" s="537"/>
      <c r="KUM252" s="537"/>
      <c r="KUN252" s="537"/>
      <c r="KUO252" s="537"/>
      <c r="KUP252" s="537"/>
      <c r="KUQ252" s="537"/>
      <c r="KUR252" s="537"/>
      <c r="KUS252" s="537"/>
      <c r="KUT252" s="537"/>
      <c r="KUU252" s="537"/>
      <c r="KUV252" s="537"/>
      <c r="KUW252" s="537"/>
      <c r="KUX252" s="537"/>
      <c r="KUY252" s="537"/>
      <c r="KUZ252" s="537"/>
      <c r="KVA252" s="537"/>
      <c r="KVB252" s="537"/>
      <c r="KVC252" s="537"/>
      <c r="KVD252" s="537"/>
      <c r="KVE252" s="537"/>
      <c r="KVF252" s="537"/>
      <c r="KVG252" s="537"/>
      <c r="KVH252" s="537"/>
      <c r="KVI252" s="537"/>
      <c r="KVJ252" s="537"/>
      <c r="KVK252" s="537"/>
      <c r="KVL252" s="537"/>
      <c r="KVM252" s="537"/>
      <c r="KVN252" s="537"/>
      <c r="KVO252" s="537"/>
      <c r="KVP252" s="537"/>
      <c r="KVQ252" s="537"/>
      <c r="KVR252" s="537"/>
      <c r="KVS252" s="537"/>
      <c r="KVT252" s="537"/>
      <c r="KVU252" s="537"/>
      <c r="KVV252" s="537"/>
      <c r="KVW252" s="537"/>
      <c r="KVX252" s="537"/>
      <c r="KVY252" s="537"/>
      <c r="KVZ252" s="537"/>
      <c r="KWA252" s="537"/>
      <c r="KWB252" s="537"/>
      <c r="KWC252" s="537"/>
      <c r="KWD252" s="537"/>
      <c r="KWE252" s="537"/>
      <c r="KWF252" s="537"/>
      <c r="KWG252" s="537"/>
      <c r="KWH252" s="537"/>
      <c r="KWI252" s="537"/>
      <c r="KWJ252" s="537"/>
      <c r="KWK252" s="537"/>
      <c r="KWL252" s="537"/>
      <c r="KWM252" s="537"/>
      <c r="KWN252" s="537"/>
      <c r="KWO252" s="537"/>
      <c r="KWP252" s="537"/>
      <c r="KWQ252" s="537"/>
      <c r="KWR252" s="537"/>
      <c r="KWS252" s="537"/>
      <c r="KWT252" s="537"/>
      <c r="KWU252" s="537"/>
      <c r="KWV252" s="537"/>
      <c r="KWW252" s="537"/>
      <c r="KWX252" s="537"/>
      <c r="KWY252" s="537"/>
      <c r="KWZ252" s="537"/>
      <c r="KXA252" s="537"/>
      <c r="KXB252" s="537"/>
      <c r="KXC252" s="537"/>
      <c r="KXD252" s="537"/>
      <c r="KXE252" s="537"/>
      <c r="KXF252" s="537"/>
      <c r="KXG252" s="537"/>
      <c r="KXH252" s="537"/>
      <c r="KXI252" s="537"/>
      <c r="KXJ252" s="537"/>
      <c r="KXK252" s="537"/>
      <c r="KXL252" s="537"/>
      <c r="KXM252" s="537"/>
      <c r="KXN252" s="537"/>
      <c r="KXO252" s="537"/>
      <c r="KXP252" s="537"/>
      <c r="KXQ252" s="537"/>
      <c r="KXR252" s="537"/>
      <c r="KXS252" s="537"/>
      <c r="KXT252" s="537"/>
      <c r="KXU252" s="537"/>
      <c r="KXV252" s="537"/>
      <c r="KXW252" s="537"/>
      <c r="KXX252" s="537"/>
      <c r="KXY252" s="537"/>
      <c r="KXZ252" s="537"/>
      <c r="KYA252" s="537"/>
      <c r="KYB252" s="537"/>
      <c r="KYC252" s="537"/>
      <c r="KYD252" s="537"/>
      <c r="KYE252" s="537"/>
      <c r="KYF252" s="537"/>
      <c r="KYG252" s="537"/>
      <c r="KYH252" s="537"/>
      <c r="KYI252" s="537"/>
      <c r="KYJ252" s="537"/>
      <c r="KYK252" s="537"/>
      <c r="KYL252" s="537"/>
      <c r="KYM252" s="537"/>
      <c r="KYN252" s="537"/>
      <c r="KYO252" s="537"/>
      <c r="KYP252" s="537"/>
      <c r="KYQ252" s="537"/>
      <c r="KYR252" s="537"/>
      <c r="KYS252" s="537"/>
      <c r="KYT252" s="537"/>
      <c r="KYU252" s="537"/>
      <c r="KYV252" s="537"/>
      <c r="KYW252" s="537"/>
      <c r="KYX252" s="537"/>
      <c r="KYY252" s="537"/>
      <c r="KYZ252" s="537"/>
      <c r="KZA252" s="537"/>
      <c r="KZB252" s="537"/>
      <c r="KZC252" s="537"/>
      <c r="KZD252" s="537"/>
      <c r="KZE252" s="537"/>
      <c r="KZF252" s="537"/>
      <c r="KZG252" s="537"/>
      <c r="KZH252" s="537"/>
      <c r="KZI252" s="537"/>
      <c r="KZJ252" s="537"/>
      <c r="KZK252" s="537"/>
      <c r="KZL252" s="537"/>
      <c r="KZM252" s="537"/>
      <c r="KZN252" s="537"/>
      <c r="KZO252" s="537"/>
      <c r="KZP252" s="537"/>
      <c r="KZQ252" s="537"/>
      <c r="KZR252" s="537"/>
      <c r="KZS252" s="537"/>
      <c r="KZT252" s="537"/>
      <c r="KZU252" s="537"/>
      <c r="KZV252" s="537"/>
      <c r="KZW252" s="537"/>
      <c r="KZX252" s="537"/>
      <c r="KZY252" s="537"/>
      <c r="KZZ252" s="537"/>
      <c r="LAA252" s="537"/>
      <c r="LAB252" s="537"/>
      <c r="LAC252" s="537"/>
      <c r="LAD252" s="537"/>
      <c r="LAE252" s="537"/>
      <c r="LAF252" s="537"/>
      <c r="LAG252" s="537"/>
      <c r="LAH252" s="537"/>
      <c r="LAI252" s="537"/>
      <c r="LAJ252" s="537"/>
      <c r="LAK252" s="537"/>
      <c r="LAL252" s="537"/>
      <c r="LAM252" s="537"/>
      <c r="LAN252" s="537"/>
      <c r="LAO252" s="537"/>
      <c r="LAP252" s="537"/>
      <c r="LAQ252" s="537"/>
      <c r="LAR252" s="537"/>
      <c r="LAS252" s="537"/>
      <c r="LAT252" s="537"/>
      <c r="LAU252" s="537"/>
      <c r="LAV252" s="537"/>
      <c r="LAW252" s="537"/>
      <c r="LAX252" s="537"/>
      <c r="LAY252" s="537"/>
      <c r="LAZ252" s="537"/>
      <c r="LBA252" s="537"/>
      <c r="LBB252" s="537"/>
      <c r="LBC252" s="537"/>
      <c r="LBD252" s="537"/>
      <c r="LBE252" s="537"/>
      <c r="LBF252" s="537"/>
      <c r="LBG252" s="537"/>
      <c r="LBH252" s="537"/>
      <c r="LBI252" s="537"/>
      <c r="LBJ252" s="537"/>
      <c r="LBK252" s="537"/>
      <c r="LBL252" s="537"/>
      <c r="LBM252" s="537"/>
      <c r="LBN252" s="537"/>
      <c r="LBO252" s="537"/>
      <c r="LBP252" s="537"/>
      <c r="LBQ252" s="537"/>
      <c r="LBR252" s="537"/>
      <c r="LBS252" s="537"/>
      <c r="LBT252" s="537"/>
      <c r="LBU252" s="537"/>
      <c r="LBV252" s="537"/>
      <c r="LBW252" s="537"/>
      <c r="LBX252" s="537"/>
      <c r="LBY252" s="537"/>
      <c r="LBZ252" s="537"/>
      <c r="LCA252" s="537"/>
      <c r="LCB252" s="537"/>
      <c r="LCC252" s="537"/>
      <c r="LCD252" s="537"/>
      <c r="LCE252" s="537"/>
      <c r="LCF252" s="537"/>
      <c r="LCG252" s="537"/>
      <c r="LCH252" s="537"/>
      <c r="LCI252" s="537"/>
      <c r="LCJ252" s="537"/>
      <c r="LCK252" s="537"/>
      <c r="LCL252" s="537"/>
      <c r="LCM252" s="537"/>
      <c r="LCN252" s="537"/>
      <c r="LCO252" s="537"/>
      <c r="LCP252" s="537"/>
      <c r="LCQ252" s="537"/>
      <c r="LCR252" s="537"/>
      <c r="LCS252" s="537"/>
      <c r="LCT252" s="537"/>
      <c r="LCU252" s="537"/>
      <c r="LCV252" s="537"/>
      <c r="LCW252" s="537"/>
      <c r="LCX252" s="537"/>
      <c r="LCY252" s="537"/>
      <c r="LCZ252" s="537"/>
      <c r="LDA252" s="537"/>
      <c r="LDB252" s="537"/>
      <c r="LDC252" s="537"/>
      <c r="LDD252" s="537"/>
      <c r="LDE252" s="537"/>
      <c r="LDF252" s="537"/>
      <c r="LDG252" s="537"/>
      <c r="LDH252" s="537"/>
      <c r="LDI252" s="537"/>
      <c r="LDJ252" s="537"/>
      <c r="LDK252" s="537"/>
      <c r="LDL252" s="537"/>
      <c r="LDM252" s="537"/>
      <c r="LDN252" s="537"/>
      <c r="LDO252" s="537"/>
      <c r="LDP252" s="537"/>
      <c r="LDQ252" s="537"/>
      <c r="LDR252" s="537"/>
      <c r="LDS252" s="537"/>
      <c r="LDT252" s="537"/>
      <c r="LDU252" s="537"/>
      <c r="LDV252" s="537"/>
      <c r="LDW252" s="537"/>
      <c r="LDX252" s="537"/>
      <c r="LDY252" s="537"/>
      <c r="LDZ252" s="537"/>
      <c r="LEA252" s="537"/>
      <c r="LEB252" s="537"/>
      <c r="LEC252" s="537"/>
      <c r="LED252" s="537"/>
      <c r="LEE252" s="537"/>
      <c r="LEF252" s="537"/>
      <c r="LEG252" s="537"/>
      <c r="LEH252" s="537"/>
      <c r="LEI252" s="537"/>
      <c r="LEJ252" s="537"/>
      <c r="LEK252" s="537"/>
      <c r="LEL252" s="537"/>
      <c r="LEM252" s="537"/>
      <c r="LEN252" s="537"/>
      <c r="LEO252" s="537"/>
      <c r="LEP252" s="537"/>
      <c r="LEQ252" s="537"/>
      <c r="LER252" s="537"/>
      <c r="LES252" s="537"/>
      <c r="LET252" s="537"/>
      <c r="LEU252" s="537"/>
      <c r="LEV252" s="537"/>
      <c r="LEW252" s="537"/>
      <c r="LEX252" s="537"/>
      <c r="LEY252" s="537"/>
      <c r="LEZ252" s="537"/>
      <c r="LFA252" s="537"/>
      <c r="LFB252" s="537"/>
      <c r="LFC252" s="537"/>
      <c r="LFD252" s="537"/>
      <c r="LFE252" s="537"/>
      <c r="LFF252" s="537"/>
      <c r="LFG252" s="537"/>
      <c r="LFH252" s="537"/>
      <c r="LFI252" s="537"/>
      <c r="LFJ252" s="537"/>
      <c r="LFK252" s="537"/>
      <c r="LFL252" s="537"/>
      <c r="LFM252" s="537"/>
      <c r="LFN252" s="537"/>
      <c r="LFO252" s="537"/>
      <c r="LFP252" s="537"/>
      <c r="LFQ252" s="537"/>
      <c r="LFR252" s="537"/>
      <c r="LFS252" s="537"/>
      <c r="LFT252" s="537"/>
      <c r="LFU252" s="537"/>
      <c r="LFV252" s="537"/>
      <c r="LFW252" s="537"/>
      <c r="LFX252" s="537"/>
      <c r="LFY252" s="537"/>
      <c r="LFZ252" s="537"/>
      <c r="LGA252" s="537"/>
      <c r="LGB252" s="537"/>
      <c r="LGC252" s="537"/>
      <c r="LGD252" s="537"/>
      <c r="LGE252" s="537"/>
      <c r="LGF252" s="537"/>
      <c r="LGG252" s="537"/>
      <c r="LGH252" s="537"/>
      <c r="LGI252" s="537"/>
      <c r="LGJ252" s="537"/>
      <c r="LGK252" s="537"/>
      <c r="LGL252" s="537"/>
      <c r="LGM252" s="537"/>
      <c r="LGN252" s="537"/>
      <c r="LGO252" s="537"/>
      <c r="LGP252" s="537"/>
      <c r="LGQ252" s="537"/>
      <c r="LGR252" s="537"/>
      <c r="LGS252" s="537"/>
      <c r="LGT252" s="537"/>
      <c r="LGU252" s="537"/>
      <c r="LGV252" s="537"/>
      <c r="LGW252" s="537"/>
      <c r="LGX252" s="537"/>
      <c r="LGY252" s="537"/>
      <c r="LGZ252" s="537"/>
      <c r="LHA252" s="537"/>
      <c r="LHB252" s="537"/>
      <c r="LHC252" s="537"/>
      <c r="LHD252" s="537"/>
      <c r="LHE252" s="537"/>
      <c r="LHF252" s="537"/>
      <c r="LHG252" s="537"/>
      <c r="LHH252" s="537"/>
      <c r="LHI252" s="537"/>
      <c r="LHJ252" s="537"/>
      <c r="LHK252" s="537"/>
      <c r="LHL252" s="537"/>
      <c r="LHM252" s="537"/>
      <c r="LHN252" s="537"/>
      <c r="LHO252" s="537"/>
      <c r="LHP252" s="537"/>
      <c r="LHQ252" s="537"/>
      <c r="LHR252" s="537"/>
      <c r="LHS252" s="537"/>
      <c r="LHT252" s="537"/>
      <c r="LHU252" s="537"/>
      <c r="LHV252" s="537"/>
      <c r="LHW252" s="537"/>
      <c r="LHX252" s="537"/>
      <c r="LHY252" s="537"/>
      <c r="LHZ252" s="537"/>
      <c r="LIA252" s="537"/>
      <c r="LIB252" s="537"/>
      <c r="LIC252" s="537"/>
      <c r="LID252" s="537"/>
      <c r="LIE252" s="537"/>
      <c r="LIF252" s="537"/>
      <c r="LIG252" s="537"/>
      <c r="LIH252" s="537"/>
      <c r="LII252" s="537"/>
      <c r="LIJ252" s="537"/>
      <c r="LIK252" s="537"/>
      <c r="LIL252" s="537"/>
      <c r="LIM252" s="537"/>
      <c r="LIN252" s="537"/>
      <c r="LIO252" s="537"/>
      <c r="LIP252" s="537"/>
      <c r="LIQ252" s="537"/>
      <c r="LIR252" s="537"/>
      <c r="LIS252" s="537"/>
      <c r="LIT252" s="537"/>
      <c r="LIU252" s="537"/>
      <c r="LIV252" s="537"/>
      <c r="LIW252" s="537"/>
      <c r="LIX252" s="537"/>
      <c r="LIY252" s="537"/>
      <c r="LIZ252" s="537"/>
      <c r="LJA252" s="537"/>
      <c r="LJB252" s="537"/>
      <c r="LJC252" s="537"/>
      <c r="LJD252" s="537"/>
      <c r="LJE252" s="537"/>
      <c r="LJF252" s="537"/>
      <c r="LJG252" s="537"/>
      <c r="LJH252" s="537"/>
      <c r="LJI252" s="537"/>
      <c r="LJJ252" s="537"/>
      <c r="LJK252" s="537"/>
      <c r="LJL252" s="537"/>
      <c r="LJM252" s="537"/>
      <c r="LJN252" s="537"/>
      <c r="LJO252" s="537"/>
      <c r="LJP252" s="537"/>
      <c r="LJQ252" s="537"/>
      <c r="LJR252" s="537"/>
      <c r="LJS252" s="537"/>
      <c r="LJT252" s="537"/>
      <c r="LJU252" s="537"/>
      <c r="LJV252" s="537"/>
      <c r="LJW252" s="537"/>
      <c r="LJX252" s="537"/>
      <c r="LJY252" s="537"/>
      <c r="LJZ252" s="537"/>
      <c r="LKA252" s="537"/>
      <c r="LKB252" s="537"/>
      <c r="LKC252" s="537"/>
      <c r="LKD252" s="537"/>
      <c r="LKE252" s="537"/>
      <c r="LKF252" s="537"/>
      <c r="LKG252" s="537"/>
      <c r="LKH252" s="537"/>
      <c r="LKI252" s="537"/>
      <c r="LKJ252" s="537"/>
      <c r="LKK252" s="537"/>
      <c r="LKL252" s="537"/>
      <c r="LKM252" s="537"/>
      <c r="LKN252" s="537"/>
      <c r="LKO252" s="537"/>
      <c r="LKP252" s="537"/>
      <c r="LKQ252" s="537"/>
      <c r="LKR252" s="537"/>
      <c r="LKS252" s="537"/>
      <c r="LKT252" s="537"/>
      <c r="LKU252" s="537"/>
      <c r="LKV252" s="537"/>
      <c r="LKW252" s="537"/>
      <c r="LKX252" s="537"/>
      <c r="LKY252" s="537"/>
      <c r="LKZ252" s="537"/>
      <c r="LLA252" s="537"/>
      <c r="LLB252" s="537"/>
      <c r="LLC252" s="537"/>
      <c r="LLD252" s="537"/>
      <c r="LLE252" s="537"/>
      <c r="LLF252" s="537"/>
      <c r="LLG252" s="537"/>
      <c r="LLH252" s="537"/>
      <c r="LLI252" s="537"/>
      <c r="LLJ252" s="537"/>
      <c r="LLK252" s="537"/>
      <c r="LLL252" s="537"/>
      <c r="LLM252" s="537"/>
      <c r="LLN252" s="537"/>
      <c r="LLO252" s="537"/>
      <c r="LLP252" s="537"/>
      <c r="LLQ252" s="537"/>
      <c r="LLR252" s="537"/>
      <c r="LLS252" s="537"/>
      <c r="LLT252" s="537"/>
      <c r="LLU252" s="537"/>
      <c r="LLV252" s="537"/>
      <c r="LLW252" s="537"/>
      <c r="LLX252" s="537"/>
      <c r="LLY252" s="537"/>
      <c r="LLZ252" s="537"/>
      <c r="LMA252" s="537"/>
      <c r="LMB252" s="537"/>
      <c r="LMC252" s="537"/>
      <c r="LMD252" s="537"/>
      <c r="LME252" s="537"/>
      <c r="LMF252" s="537"/>
      <c r="LMG252" s="537"/>
      <c r="LMH252" s="537"/>
      <c r="LMI252" s="537"/>
      <c r="LMJ252" s="537"/>
      <c r="LMK252" s="537"/>
      <c r="LML252" s="537"/>
      <c r="LMM252" s="537"/>
      <c r="LMN252" s="537"/>
      <c r="LMO252" s="537"/>
      <c r="LMP252" s="537"/>
      <c r="LMQ252" s="537"/>
      <c r="LMR252" s="537"/>
      <c r="LMS252" s="537"/>
      <c r="LMT252" s="537"/>
      <c r="LMU252" s="537"/>
      <c r="LMV252" s="537"/>
      <c r="LMW252" s="537"/>
      <c r="LMX252" s="537"/>
      <c r="LMY252" s="537"/>
      <c r="LMZ252" s="537"/>
      <c r="LNA252" s="537"/>
      <c r="LNB252" s="537"/>
      <c r="LNC252" s="537"/>
      <c r="LND252" s="537"/>
      <c r="LNE252" s="537"/>
      <c r="LNF252" s="537"/>
      <c r="LNG252" s="537"/>
      <c r="LNH252" s="537"/>
      <c r="LNI252" s="537"/>
      <c r="LNJ252" s="537"/>
      <c r="LNK252" s="537"/>
      <c r="LNL252" s="537"/>
      <c r="LNM252" s="537"/>
      <c r="LNN252" s="537"/>
      <c r="LNO252" s="537"/>
      <c r="LNP252" s="537"/>
      <c r="LNQ252" s="537"/>
      <c r="LNR252" s="537"/>
      <c r="LNS252" s="537"/>
      <c r="LNT252" s="537"/>
      <c r="LNU252" s="537"/>
      <c r="LNV252" s="537"/>
      <c r="LNW252" s="537"/>
      <c r="LNX252" s="537"/>
      <c r="LNY252" s="537"/>
      <c r="LNZ252" s="537"/>
      <c r="LOA252" s="537"/>
      <c r="LOB252" s="537"/>
      <c r="LOC252" s="537"/>
      <c r="LOD252" s="537"/>
      <c r="LOE252" s="537"/>
      <c r="LOF252" s="537"/>
      <c r="LOG252" s="537"/>
      <c r="LOH252" s="537"/>
      <c r="LOI252" s="537"/>
      <c r="LOJ252" s="537"/>
      <c r="LOK252" s="537"/>
      <c r="LOL252" s="537"/>
      <c r="LOM252" s="537"/>
      <c r="LON252" s="537"/>
      <c r="LOO252" s="537"/>
      <c r="LOP252" s="537"/>
      <c r="LOQ252" s="537"/>
      <c r="LOR252" s="537"/>
      <c r="LOS252" s="537"/>
      <c r="LOT252" s="537"/>
      <c r="LOU252" s="537"/>
      <c r="LOV252" s="537"/>
      <c r="LOW252" s="537"/>
      <c r="LOX252" s="537"/>
      <c r="LOY252" s="537"/>
      <c r="LOZ252" s="537"/>
      <c r="LPA252" s="537"/>
      <c r="LPB252" s="537"/>
      <c r="LPC252" s="537"/>
      <c r="LPD252" s="537"/>
      <c r="LPE252" s="537"/>
      <c r="LPF252" s="537"/>
      <c r="LPG252" s="537"/>
      <c r="LPH252" s="537"/>
      <c r="LPI252" s="537"/>
      <c r="LPJ252" s="537"/>
      <c r="LPK252" s="537"/>
      <c r="LPL252" s="537"/>
      <c r="LPM252" s="537"/>
      <c r="LPN252" s="537"/>
      <c r="LPO252" s="537"/>
      <c r="LPP252" s="537"/>
      <c r="LPQ252" s="537"/>
      <c r="LPR252" s="537"/>
      <c r="LPS252" s="537"/>
      <c r="LPT252" s="537"/>
      <c r="LPU252" s="537"/>
      <c r="LPV252" s="537"/>
      <c r="LPW252" s="537"/>
      <c r="LPX252" s="537"/>
      <c r="LPY252" s="537"/>
      <c r="LPZ252" s="537"/>
      <c r="LQA252" s="537"/>
      <c r="LQB252" s="537"/>
      <c r="LQC252" s="537"/>
      <c r="LQD252" s="537"/>
      <c r="LQE252" s="537"/>
      <c r="LQF252" s="537"/>
      <c r="LQG252" s="537"/>
      <c r="LQH252" s="537"/>
      <c r="LQI252" s="537"/>
      <c r="LQJ252" s="537"/>
      <c r="LQK252" s="537"/>
      <c r="LQL252" s="537"/>
      <c r="LQM252" s="537"/>
      <c r="LQN252" s="537"/>
      <c r="LQO252" s="537"/>
      <c r="LQP252" s="537"/>
      <c r="LQQ252" s="537"/>
      <c r="LQR252" s="537"/>
      <c r="LQS252" s="537"/>
      <c r="LQT252" s="537"/>
      <c r="LQU252" s="537"/>
      <c r="LQV252" s="537"/>
      <c r="LQW252" s="537"/>
      <c r="LQX252" s="537"/>
      <c r="LQY252" s="537"/>
      <c r="LQZ252" s="537"/>
      <c r="LRA252" s="537"/>
      <c r="LRB252" s="537"/>
      <c r="LRC252" s="537"/>
      <c r="LRD252" s="537"/>
      <c r="LRE252" s="537"/>
      <c r="LRF252" s="537"/>
      <c r="LRG252" s="537"/>
      <c r="LRH252" s="537"/>
      <c r="LRI252" s="537"/>
      <c r="LRJ252" s="537"/>
      <c r="LRK252" s="537"/>
      <c r="LRL252" s="537"/>
      <c r="LRM252" s="537"/>
      <c r="LRN252" s="537"/>
      <c r="LRO252" s="537"/>
      <c r="LRP252" s="537"/>
      <c r="LRQ252" s="537"/>
      <c r="LRR252" s="537"/>
      <c r="LRS252" s="537"/>
      <c r="LRT252" s="537"/>
      <c r="LRU252" s="537"/>
      <c r="LRV252" s="537"/>
      <c r="LRW252" s="537"/>
      <c r="LRX252" s="537"/>
      <c r="LRY252" s="537"/>
      <c r="LRZ252" s="537"/>
      <c r="LSA252" s="537"/>
      <c r="LSB252" s="537"/>
      <c r="LSC252" s="537"/>
      <c r="LSD252" s="537"/>
      <c r="LSE252" s="537"/>
      <c r="LSF252" s="537"/>
      <c r="LSG252" s="537"/>
      <c r="LSH252" s="537"/>
      <c r="LSI252" s="537"/>
      <c r="LSJ252" s="537"/>
      <c r="LSK252" s="537"/>
      <c r="LSL252" s="537"/>
      <c r="LSM252" s="537"/>
      <c r="LSN252" s="537"/>
      <c r="LSO252" s="537"/>
      <c r="LSP252" s="537"/>
      <c r="LSQ252" s="537"/>
      <c r="LSR252" s="537"/>
      <c r="LSS252" s="537"/>
      <c r="LST252" s="537"/>
      <c r="LSU252" s="537"/>
      <c r="LSV252" s="537"/>
      <c r="LSW252" s="537"/>
      <c r="LSX252" s="537"/>
      <c r="LSY252" s="537"/>
      <c r="LSZ252" s="537"/>
      <c r="LTA252" s="537"/>
      <c r="LTB252" s="537"/>
      <c r="LTC252" s="537"/>
      <c r="LTD252" s="537"/>
      <c r="LTE252" s="537"/>
      <c r="LTF252" s="537"/>
      <c r="LTG252" s="537"/>
      <c r="LTH252" s="537"/>
      <c r="LTI252" s="537"/>
      <c r="LTJ252" s="537"/>
      <c r="LTK252" s="537"/>
      <c r="LTL252" s="537"/>
      <c r="LTM252" s="537"/>
      <c r="LTN252" s="537"/>
      <c r="LTO252" s="537"/>
      <c r="LTP252" s="537"/>
      <c r="LTQ252" s="537"/>
      <c r="LTR252" s="537"/>
      <c r="LTS252" s="537"/>
      <c r="LTT252" s="537"/>
      <c r="LTU252" s="537"/>
      <c r="LTV252" s="537"/>
      <c r="LTW252" s="537"/>
      <c r="LTX252" s="537"/>
      <c r="LTY252" s="537"/>
      <c r="LTZ252" s="537"/>
      <c r="LUA252" s="537"/>
      <c r="LUB252" s="537"/>
      <c r="LUC252" s="537"/>
      <c r="LUD252" s="537"/>
      <c r="LUE252" s="537"/>
      <c r="LUF252" s="537"/>
      <c r="LUG252" s="537"/>
      <c r="LUH252" s="537"/>
      <c r="LUI252" s="537"/>
      <c r="LUJ252" s="537"/>
      <c r="LUK252" s="537"/>
      <c r="LUL252" s="537"/>
      <c r="LUM252" s="537"/>
      <c r="LUN252" s="537"/>
      <c r="LUO252" s="537"/>
      <c r="LUP252" s="537"/>
      <c r="LUQ252" s="537"/>
      <c r="LUR252" s="537"/>
      <c r="LUS252" s="537"/>
      <c r="LUT252" s="537"/>
      <c r="LUU252" s="537"/>
      <c r="LUV252" s="537"/>
      <c r="LUW252" s="537"/>
      <c r="LUX252" s="537"/>
      <c r="LUY252" s="537"/>
      <c r="LUZ252" s="537"/>
      <c r="LVA252" s="537"/>
      <c r="LVB252" s="537"/>
      <c r="LVC252" s="537"/>
      <c r="LVD252" s="537"/>
      <c r="LVE252" s="537"/>
      <c r="LVF252" s="537"/>
      <c r="LVG252" s="537"/>
      <c r="LVH252" s="537"/>
      <c r="LVI252" s="537"/>
      <c r="LVJ252" s="537"/>
      <c r="LVK252" s="537"/>
      <c r="LVL252" s="537"/>
      <c r="LVM252" s="537"/>
      <c r="LVN252" s="537"/>
      <c r="LVO252" s="537"/>
      <c r="LVP252" s="537"/>
      <c r="LVQ252" s="537"/>
      <c r="LVR252" s="537"/>
      <c r="LVS252" s="537"/>
      <c r="LVT252" s="537"/>
      <c r="LVU252" s="537"/>
      <c r="LVV252" s="537"/>
      <c r="LVW252" s="537"/>
      <c r="LVX252" s="537"/>
      <c r="LVY252" s="537"/>
      <c r="LVZ252" s="537"/>
      <c r="LWA252" s="537"/>
      <c r="LWB252" s="537"/>
      <c r="LWC252" s="537"/>
      <c r="LWD252" s="537"/>
      <c r="LWE252" s="537"/>
      <c r="LWF252" s="537"/>
      <c r="LWG252" s="537"/>
      <c r="LWH252" s="537"/>
      <c r="LWI252" s="537"/>
      <c r="LWJ252" s="537"/>
      <c r="LWK252" s="537"/>
      <c r="LWL252" s="537"/>
      <c r="LWM252" s="537"/>
      <c r="LWN252" s="537"/>
      <c r="LWO252" s="537"/>
      <c r="LWP252" s="537"/>
      <c r="LWQ252" s="537"/>
      <c r="LWR252" s="537"/>
      <c r="LWS252" s="537"/>
      <c r="LWT252" s="537"/>
      <c r="LWU252" s="537"/>
      <c r="LWV252" s="537"/>
      <c r="LWW252" s="537"/>
      <c r="LWX252" s="537"/>
      <c r="LWY252" s="537"/>
      <c r="LWZ252" s="537"/>
      <c r="LXA252" s="537"/>
      <c r="LXB252" s="537"/>
      <c r="LXC252" s="537"/>
      <c r="LXD252" s="537"/>
      <c r="LXE252" s="537"/>
      <c r="LXF252" s="537"/>
      <c r="LXG252" s="537"/>
      <c r="LXH252" s="537"/>
      <c r="LXI252" s="537"/>
      <c r="LXJ252" s="537"/>
      <c r="LXK252" s="537"/>
      <c r="LXL252" s="537"/>
      <c r="LXM252" s="537"/>
      <c r="LXN252" s="537"/>
      <c r="LXO252" s="537"/>
      <c r="LXP252" s="537"/>
      <c r="LXQ252" s="537"/>
      <c r="LXR252" s="537"/>
      <c r="LXS252" s="537"/>
      <c r="LXT252" s="537"/>
      <c r="LXU252" s="537"/>
      <c r="LXV252" s="537"/>
      <c r="LXW252" s="537"/>
      <c r="LXX252" s="537"/>
      <c r="LXY252" s="537"/>
      <c r="LXZ252" s="537"/>
      <c r="LYA252" s="537"/>
      <c r="LYB252" s="537"/>
      <c r="LYC252" s="537"/>
      <c r="LYD252" s="537"/>
      <c r="LYE252" s="537"/>
      <c r="LYF252" s="537"/>
      <c r="LYG252" s="537"/>
      <c r="LYH252" s="537"/>
      <c r="LYI252" s="537"/>
      <c r="LYJ252" s="537"/>
      <c r="LYK252" s="537"/>
      <c r="LYL252" s="537"/>
      <c r="LYM252" s="537"/>
      <c r="LYN252" s="537"/>
      <c r="LYO252" s="537"/>
      <c r="LYP252" s="537"/>
      <c r="LYQ252" s="537"/>
      <c r="LYR252" s="537"/>
      <c r="LYS252" s="537"/>
      <c r="LYT252" s="537"/>
      <c r="LYU252" s="537"/>
      <c r="LYV252" s="537"/>
      <c r="LYW252" s="537"/>
      <c r="LYX252" s="537"/>
      <c r="LYY252" s="537"/>
      <c r="LYZ252" s="537"/>
      <c r="LZA252" s="537"/>
      <c r="LZB252" s="537"/>
      <c r="LZC252" s="537"/>
      <c r="LZD252" s="537"/>
      <c r="LZE252" s="537"/>
      <c r="LZF252" s="537"/>
      <c r="LZG252" s="537"/>
      <c r="LZH252" s="537"/>
      <c r="LZI252" s="537"/>
      <c r="LZJ252" s="537"/>
      <c r="LZK252" s="537"/>
      <c r="LZL252" s="537"/>
      <c r="LZM252" s="537"/>
      <c r="LZN252" s="537"/>
      <c r="LZO252" s="537"/>
      <c r="LZP252" s="537"/>
      <c r="LZQ252" s="537"/>
      <c r="LZR252" s="537"/>
      <c r="LZS252" s="537"/>
      <c r="LZT252" s="537"/>
      <c r="LZU252" s="537"/>
      <c r="LZV252" s="537"/>
      <c r="LZW252" s="537"/>
      <c r="LZX252" s="537"/>
      <c r="LZY252" s="537"/>
      <c r="LZZ252" s="537"/>
      <c r="MAA252" s="537"/>
      <c r="MAB252" s="537"/>
      <c r="MAC252" s="537"/>
      <c r="MAD252" s="537"/>
      <c r="MAE252" s="537"/>
      <c r="MAF252" s="537"/>
      <c r="MAG252" s="537"/>
      <c r="MAH252" s="537"/>
      <c r="MAI252" s="537"/>
      <c r="MAJ252" s="537"/>
      <c r="MAK252" s="537"/>
      <c r="MAL252" s="537"/>
      <c r="MAM252" s="537"/>
      <c r="MAN252" s="537"/>
      <c r="MAO252" s="537"/>
      <c r="MAP252" s="537"/>
      <c r="MAQ252" s="537"/>
      <c r="MAR252" s="537"/>
      <c r="MAS252" s="537"/>
      <c r="MAT252" s="537"/>
      <c r="MAU252" s="537"/>
      <c r="MAV252" s="537"/>
      <c r="MAW252" s="537"/>
      <c r="MAX252" s="537"/>
      <c r="MAY252" s="537"/>
      <c r="MAZ252" s="537"/>
      <c r="MBA252" s="537"/>
      <c r="MBB252" s="537"/>
      <c r="MBC252" s="537"/>
      <c r="MBD252" s="537"/>
      <c r="MBE252" s="537"/>
      <c r="MBF252" s="537"/>
      <c r="MBG252" s="537"/>
      <c r="MBH252" s="537"/>
      <c r="MBI252" s="537"/>
      <c r="MBJ252" s="537"/>
      <c r="MBK252" s="537"/>
      <c r="MBL252" s="537"/>
      <c r="MBM252" s="537"/>
      <c r="MBN252" s="537"/>
      <c r="MBO252" s="537"/>
      <c r="MBP252" s="537"/>
      <c r="MBQ252" s="537"/>
      <c r="MBR252" s="537"/>
      <c r="MBS252" s="537"/>
      <c r="MBT252" s="537"/>
      <c r="MBU252" s="537"/>
      <c r="MBV252" s="537"/>
      <c r="MBW252" s="537"/>
      <c r="MBX252" s="537"/>
      <c r="MBY252" s="537"/>
      <c r="MBZ252" s="537"/>
      <c r="MCA252" s="537"/>
      <c r="MCB252" s="537"/>
      <c r="MCC252" s="537"/>
      <c r="MCD252" s="537"/>
      <c r="MCE252" s="537"/>
      <c r="MCF252" s="537"/>
      <c r="MCG252" s="537"/>
      <c r="MCH252" s="537"/>
      <c r="MCI252" s="537"/>
      <c r="MCJ252" s="537"/>
      <c r="MCK252" s="537"/>
      <c r="MCL252" s="537"/>
      <c r="MCM252" s="537"/>
      <c r="MCN252" s="537"/>
      <c r="MCO252" s="537"/>
      <c r="MCP252" s="537"/>
      <c r="MCQ252" s="537"/>
      <c r="MCR252" s="537"/>
      <c r="MCS252" s="537"/>
      <c r="MCT252" s="537"/>
      <c r="MCU252" s="537"/>
      <c r="MCV252" s="537"/>
      <c r="MCW252" s="537"/>
      <c r="MCX252" s="537"/>
      <c r="MCY252" s="537"/>
      <c r="MCZ252" s="537"/>
      <c r="MDA252" s="537"/>
      <c r="MDB252" s="537"/>
      <c r="MDC252" s="537"/>
      <c r="MDD252" s="537"/>
      <c r="MDE252" s="537"/>
      <c r="MDF252" s="537"/>
      <c r="MDG252" s="537"/>
      <c r="MDH252" s="537"/>
      <c r="MDI252" s="537"/>
      <c r="MDJ252" s="537"/>
      <c r="MDK252" s="537"/>
      <c r="MDL252" s="537"/>
      <c r="MDM252" s="537"/>
      <c r="MDN252" s="537"/>
      <c r="MDO252" s="537"/>
      <c r="MDP252" s="537"/>
      <c r="MDQ252" s="537"/>
      <c r="MDR252" s="537"/>
      <c r="MDS252" s="537"/>
      <c r="MDT252" s="537"/>
      <c r="MDU252" s="537"/>
      <c r="MDV252" s="537"/>
      <c r="MDW252" s="537"/>
      <c r="MDX252" s="537"/>
      <c r="MDY252" s="537"/>
      <c r="MDZ252" s="537"/>
      <c r="MEA252" s="537"/>
      <c r="MEB252" s="537"/>
      <c r="MEC252" s="537"/>
      <c r="MED252" s="537"/>
      <c r="MEE252" s="537"/>
      <c r="MEF252" s="537"/>
      <c r="MEG252" s="537"/>
      <c r="MEH252" s="537"/>
      <c r="MEI252" s="537"/>
      <c r="MEJ252" s="537"/>
      <c r="MEK252" s="537"/>
      <c r="MEL252" s="537"/>
      <c r="MEM252" s="537"/>
      <c r="MEN252" s="537"/>
      <c r="MEO252" s="537"/>
      <c r="MEP252" s="537"/>
      <c r="MEQ252" s="537"/>
      <c r="MER252" s="537"/>
      <c r="MES252" s="537"/>
      <c r="MET252" s="537"/>
      <c r="MEU252" s="537"/>
      <c r="MEV252" s="537"/>
      <c r="MEW252" s="537"/>
      <c r="MEX252" s="537"/>
      <c r="MEY252" s="537"/>
      <c r="MEZ252" s="537"/>
      <c r="MFA252" s="537"/>
      <c r="MFB252" s="537"/>
      <c r="MFC252" s="537"/>
      <c r="MFD252" s="537"/>
      <c r="MFE252" s="537"/>
      <c r="MFF252" s="537"/>
      <c r="MFG252" s="537"/>
      <c r="MFH252" s="537"/>
      <c r="MFI252" s="537"/>
      <c r="MFJ252" s="537"/>
      <c r="MFK252" s="537"/>
      <c r="MFL252" s="537"/>
      <c r="MFM252" s="537"/>
      <c r="MFN252" s="537"/>
      <c r="MFO252" s="537"/>
      <c r="MFP252" s="537"/>
      <c r="MFQ252" s="537"/>
      <c r="MFR252" s="537"/>
      <c r="MFS252" s="537"/>
      <c r="MFT252" s="537"/>
      <c r="MFU252" s="537"/>
      <c r="MFV252" s="537"/>
      <c r="MFW252" s="537"/>
      <c r="MFX252" s="537"/>
      <c r="MFY252" s="537"/>
      <c r="MFZ252" s="537"/>
      <c r="MGA252" s="537"/>
      <c r="MGB252" s="537"/>
      <c r="MGC252" s="537"/>
      <c r="MGD252" s="537"/>
      <c r="MGE252" s="537"/>
      <c r="MGF252" s="537"/>
      <c r="MGG252" s="537"/>
      <c r="MGH252" s="537"/>
      <c r="MGI252" s="537"/>
      <c r="MGJ252" s="537"/>
      <c r="MGK252" s="537"/>
      <c r="MGL252" s="537"/>
      <c r="MGM252" s="537"/>
      <c r="MGN252" s="537"/>
      <c r="MGO252" s="537"/>
      <c r="MGP252" s="537"/>
      <c r="MGQ252" s="537"/>
      <c r="MGR252" s="537"/>
      <c r="MGS252" s="537"/>
      <c r="MGT252" s="537"/>
      <c r="MGU252" s="537"/>
      <c r="MGV252" s="537"/>
      <c r="MGW252" s="537"/>
      <c r="MGX252" s="537"/>
      <c r="MGY252" s="537"/>
      <c r="MGZ252" s="537"/>
      <c r="MHA252" s="537"/>
      <c r="MHB252" s="537"/>
      <c r="MHC252" s="537"/>
      <c r="MHD252" s="537"/>
      <c r="MHE252" s="537"/>
      <c r="MHF252" s="537"/>
      <c r="MHG252" s="537"/>
      <c r="MHH252" s="537"/>
      <c r="MHI252" s="537"/>
      <c r="MHJ252" s="537"/>
      <c r="MHK252" s="537"/>
      <c r="MHL252" s="537"/>
      <c r="MHM252" s="537"/>
      <c r="MHN252" s="537"/>
      <c r="MHO252" s="537"/>
      <c r="MHP252" s="537"/>
      <c r="MHQ252" s="537"/>
      <c r="MHR252" s="537"/>
      <c r="MHS252" s="537"/>
      <c r="MHT252" s="537"/>
      <c r="MHU252" s="537"/>
      <c r="MHV252" s="537"/>
      <c r="MHW252" s="537"/>
      <c r="MHX252" s="537"/>
      <c r="MHY252" s="537"/>
      <c r="MHZ252" s="537"/>
      <c r="MIA252" s="537"/>
      <c r="MIB252" s="537"/>
      <c r="MIC252" s="537"/>
      <c r="MID252" s="537"/>
      <c r="MIE252" s="537"/>
      <c r="MIF252" s="537"/>
      <c r="MIG252" s="537"/>
      <c r="MIH252" s="537"/>
      <c r="MII252" s="537"/>
      <c r="MIJ252" s="537"/>
      <c r="MIK252" s="537"/>
      <c r="MIL252" s="537"/>
      <c r="MIM252" s="537"/>
      <c r="MIN252" s="537"/>
      <c r="MIO252" s="537"/>
      <c r="MIP252" s="537"/>
      <c r="MIQ252" s="537"/>
      <c r="MIR252" s="537"/>
      <c r="MIS252" s="537"/>
      <c r="MIT252" s="537"/>
      <c r="MIU252" s="537"/>
      <c r="MIV252" s="537"/>
      <c r="MIW252" s="537"/>
      <c r="MIX252" s="537"/>
      <c r="MIY252" s="537"/>
      <c r="MIZ252" s="537"/>
      <c r="MJA252" s="537"/>
      <c r="MJB252" s="537"/>
      <c r="MJC252" s="537"/>
      <c r="MJD252" s="537"/>
      <c r="MJE252" s="537"/>
      <c r="MJF252" s="537"/>
      <c r="MJG252" s="537"/>
      <c r="MJH252" s="537"/>
      <c r="MJI252" s="537"/>
      <c r="MJJ252" s="537"/>
      <c r="MJK252" s="537"/>
      <c r="MJL252" s="537"/>
      <c r="MJM252" s="537"/>
      <c r="MJN252" s="537"/>
      <c r="MJO252" s="537"/>
      <c r="MJP252" s="537"/>
      <c r="MJQ252" s="537"/>
      <c r="MJR252" s="537"/>
      <c r="MJS252" s="537"/>
      <c r="MJT252" s="537"/>
      <c r="MJU252" s="537"/>
      <c r="MJV252" s="537"/>
      <c r="MJW252" s="537"/>
      <c r="MJX252" s="537"/>
      <c r="MJY252" s="537"/>
      <c r="MJZ252" s="537"/>
      <c r="MKA252" s="537"/>
      <c r="MKB252" s="537"/>
      <c r="MKC252" s="537"/>
      <c r="MKD252" s="537"/>
      <c r="MKE252" s="537"/>
      <c r="MKF252" s="537"/>
      <c r="MKG252" s="537"/>
      <c r="MKH252" s="537"/>
      <c r="MKI252" s="537"/>
      <c r="MKJ252" s="537"/>
      <c r="MKK252" s="537"/>
      <c r="MKL252" s="537"/>
      <c r="MKM252" s="537"/>
      <c r="MKN252" s="537"/>
      <c r="MKO252" s="537"/>
      <c r="MKP252" s="537"/>
      <c r="MKQ252" s="537"/>
      <c r="MKR252" s="537"/>
      <c r="MKS252" s="537"/>
      <c r="MKT252" s="537"/>
      <c r="MKU252" s="537"/>
      <c r="MKV252" s="537"/>
      <c r="MKW252" s="537"/>
      <c r="MKX252" s="537"/>
      <c r="MKY252" s="537"/>
      <c r="MKZ252" s="537"/>
      <c r="MLA252" s="537"/>
      <c r="MLB252" s="537"/>
      <c r="MLC252" s="537"/>
      <c r="MLD252" s="537"/>
      <c r="MLE252" s="537"/>
      <c r="MLF252" s="537"/>
      <c r="MLG252" s="537"/>
      <c r="MLH252" s="537"/>
      <c r="MLI252" s="537"/>
      <c r="MLJ252" s="537"/>
      <c r="MLK252" s="537"/>
      <c r="MLL252" s="537"/>
      <c r="MLM252" s="537"/>
      <c r="MLN252" s="537"/>
      <c r="MLO252" s="537"/>
      <c r="MLP252" s="537"/>
      <c r="MLQ252" s="537"/>
      <c r="MLR252" s="537"/>
      <c r="MLS252" s="537"/>
      <c r="MLT252" s="537"/>
      <c r="MLU252" s="537"/>
      <c r="MLV252" s="537"/>
      <c r="MLW252" s="537"/>
      <c r="MLX252" s="537"/>
      <c r="MLY252" s="537"/>
      <c r="MLZ252" s="537"/>
      <c r="MMA252" s="537"/>
      <c r="MMB252" s="537"/>
      <c r="MMC252" s="537"/>
      <c r="MMD252" s="537"/>
      <c r="MME252" s="537"/>
      <c r="MMF252" s="537"/>
      <c r="MMG252" s="537"/>
      <c r="MMH252" s="537"/>
      <c r="MMI252" s="537"/>
      <c r="MMJ252" s="537"/>
      <c r="MMK252" s="537"/>
      <c r="MML252" s="537"/>
      <c r="MMM252" s="537"/>
      <c r="MMN252" s="537"/>
      <c r="MMO252" s="537"/>
      <c r="MMP252" s="537"/>
      <c r="MMQ252" s="537"/>
      <c r="MMR252" s="537"/>
      <c r="MMS252" s="537"/>
      <c r="MMT252" s="537"/>
      <c r="MMU252" s="537"/>
      <c r="MMV252" s="537"/>
      <c r="MMW252" s="537"/>
      <c r="MMX252" s="537"/>
      <c r="MMY252" s="537"/>
      <c r="MMZ252" s="537"/>
      <c r="MNA252" s="537"/>
      <c r="MNB252" s="537"/>
      <c r="MNC252" s="537"/>
      <c r="MND252" s="537"/>
      <c r="MNE252" s="537"/>
      <c r="MNF252" s="537"/>
      <c r="MNG252" s="537"/>
      <c r="MNH252" s="537"/>
      <c r="MNI252" s="537"/>
      <c r="MNJ252" s="537"/>
      <c r="MNK252" s="537"/>
      <c r="MNL252" s="537"/>
      <c r="MNM252" s="537"/>
      <c r="MNN252" s="537"/>
      <c r="MNO252" s="537"/>
      <c r="MNP252" s="537"/>
      <c r="MNQ252" s="537"/>
      <c r="MNR252" s="537"/>
      <c r="MNS252" s="537"/>
      <c r="MNT252" s="537"/>
      <c r="MNU252" s="537"/>
      <c r="MNV252" s="537"/>
      <c r="MNW252" s="537"/>
      <c r="MNX252" s="537"/>
      <c r="MNY252" s="537"/>
      <c r="MNZ252" s="537"/>
      <c r="MOA252" s="537"/>
      <c r="MOB252" s="537"/>
      <c r="MOC252" s="537"/>
      <c r="MOD252" s="537"/>
      <c r="MOE252" s="537"/>
      <c r="MOF252" s="537"/>
      <c r="MOG252" s="537"/>
      <c r="MOH252" s="537"/>
      <c r="MOI252" s="537"/>
      <c r="MOJ252" s="537"/>
      <c r="MOK252" s="537"/>
      <c r="MOL252" s="537"/>
      <c r="MOM252" s="537"/>
      <c r="MON252" s="537"/>
      <c r="MOO252" s="537"/>
      <c r="MOP252" s="537"/>
      <c r="MOQ252" s="537"/>
      <c r="MOR252" s="537"/>
      <c r="MOS252" s="537"/>
      <c r="MOT252" s="537"/>
      <c r="MOU252" s="537"/>
      <c r="MOV252" s="537"/>
      <c r="MOW252" s="537"/>
      <c r="MOX252" s="537"/>
      <c r="MOY252" s="537"/>
      <c r="MOZ252" s="537"/>
      <c r="MPA252" s="537"/>
      <c r="MPB252" s="537"/>
      <c r="MPC252" s="537"/>
      <c r="MPD252" s="537"/>
      <c r="MPE252" s="537"/>
      <c r="MPF252" s="537"/>
      <c r="MPG252" s="537"/>
      <c r="MPH252" s="537"/>
      <c r="MPI252" s="537"/>
      <c r="MPJ252" s="537"/>
      <c r="MPK252" s="537"/>
      <c r="MPL252" s="537"/>
      <c r="MPM252" s="537"/>
      <c r="MPN252" s="537"/>
      <c r="MPO252" s="537"/>
      <c r="MPP252" s="537"/>
      <c r="MPQ252" s="537"/>
      <c r="MPR252" s="537"/>
      <c r="MPS252" s="537"/>
      <c r="MPT252" s="537"/>
      <c r="MPU252" s="537"/>
      <c r="MPV252" s="537"/>
      <c r="MPW252" s="537"/>
      <c r="MPX252" s="537"/>
      <c r="MPY252" s="537"/>
      <c r="MPZ252" s="537"/>
      <c r="MQA252" s="537"/>
      <c r="MQB252" s="537"/>
      <c r="MQC252" s="537"/>
      <c r="MQD252" s="537"/>
      <c r="MQE252" s="537"/>
      <c r="MQF252" s="537"/>
      <c r="MQG252" s="537"/>
      <c r="MQH252" s="537"/>
      <c r="MQI252" s="537"/>
      <c r="MQJ252" s="537"/>
      <c r="MQK252" s="537"/>
      <c r="MQL252" s="537"/>
      <c r="MQM252" s="537"/>
      <c r="MQN252" s="537"/>
      <c r="MQO252" s="537"/>
      <c r="MQP252" s="537"/>
      <c r="MQQ252" s="537"/>
      <c r="MQR252" s="537"/>
      <c r="MQS252" s="537"/>
      <c r="MQT252" s="537"/>
      <c r="MQU252" s="537"/>
      <c r="MQV252" s="537"/>
      <c r="MQW252" s="537"/>
      <c r="MQX252" s="537"/>
      <c r="MQY252" s="537"/>
      <c r="MQZ252" s="537"/>
      <c r="MRA252" s="537"/>
      <c r="MRB252" s="537"/>
      <c r="MRC252" s="537"/>
      <c r="MRD252" s="537"/>
      <c r="MRE252" s="537"/>
      <c r="MRF252" s="537"/>
      <c r="MRG252" s="537"/>
      <c r="MRH252" s="537"/>
      <c r="MRI252" s="537"/>
      <c r="MRJ252" s="537"/>
      <c r="MRK252" s="537"/>
      <c r="MRL252" s="537"/>
      <c r="MRM252" s="537"/>
      <c r="MRN252" s="537"/>
      <c r="MRO252" s="537"/>
      <c r="MRP252" s="537"/>
      <c r="MRQ252" s="537"/>
      <c r="MRR252" s="537"/>
      <c r="MRS252" s="537"/>
      <c r="MRT252" s="537"/>
      <c r="MRU252" s="537"/>
      <c r="MRV252" s="537"/>
      <c r="MRW252" s="537"/>
      <c r="MRX252" s="537"/>
      <c r="MRY252" s="537"/>
      <c r="MRZ252" s="537"/>
      <c r="MSA252" s="537"/>
      <c r="MSB252" s="537"/>
      <c r="MSC252" s="537"/>
      <c r="MSD252" s="537"/>
      <c r="MSE252" s="537"/>
      <c r="MSF252" s="537"/>
      <c r="MSG252" s="537"/>
      <c r="MSH252" s="537"/>
      <c r="MSI252" s="537"/>
      <c r="MSJ252" s="537"/>
      <c r="MSK252" s="537"/>
      <c r="MSL252" s="537"/>
      <c r="MSM252" s="537"/>
      <c r="MSN252" s="537"/>
      <c r="MSO252" s="537"/>
      <c r="MSP252" s="537"/>
      <c r="MSQ252" s="537"/>
      <c r="MSR252" s="537"/>
      <c r="MSS252" s="537"/>
      <c r="MST252" s="537"/>
      <c r="MSU252" s="537"/>
      <c r="MSV252" s="537"/>
      <c r="MSW252" s="537"/>
      <c r="MSX252" s="537"/>
      <c r="MSY252" s="537"/>
      <c r="MSZ252" s="537"/>
      <c r="MTA252" s="537"/>
      <c r="MTB252" s="537"/>
      <c r="MTC252" s="537"/>
      <c r="MTD252" s="537"/>
      <c r="MTE252" s="537"/>
      <c r="MTF252" s="537"/>
      <c r="MTG252" s="537"/>
      <c r="MTH252" s="537"/>
      <c r="MTI252" s="537"/>
      <c r="MTJ252" s="537"/>
      <c r="MTK252" s="537"/>
      <c r="MTL252" s="537"/>
      <c r="MTM252" s="537"/>
      <c r="MTN252" s="537"/>
      <c r="MTO252" s="537"/>
      <c r="MTP252" s="537"/>
      <c r="MTQ252" s="537"/>
      <c r="MTR252" s="537"/>
      <c r="MTS252" s="537"/>
      <c r="MTT252" s="537"/>
      <c r="MTU252" s="537"/>
      <c r="MTV252" s="537"/>
      <c r="MTW252" s="537"/>
      <c r="MTX252" s="537"/>
      <c r="MTY252" s="537"/>
      <c r="MTZ252" s="537"/>
      <c r="MUA252" s="537"/>
      <c r="MUB252" s="537"/>
      <c r="MUC252" s="537"/>
      <c r="MUD252" s="537"/>
      <c r="MUE252" s="537"/>
      <c r="MUF252" s="537"/>
      <c r="MUG252" s="537"/>
      <c r="MUH252" s="537"/>
      <c r="MUI252" s="537"/>
      <c r="MUJ252" s="537"/>
      <c r="MUK252" s="537"/>
      <c r="MUL252" s="537"/>
      <c r="MUM252" s="537"/>
      <c r="MUN252" s="537"/>
      <c r="MUO252" s="537"/>
      <c r="MUP252" s="537"/>
      <c r="MUQ252" s="537"/>
      <c r="MUR252" s="537"/>
      <c r="MUS252" s="537"/>
      <c r="MUT252" s="537"/>
      <c r="MUU252" s="537"/>
      <c r="MUV252" s="537"/>
      <c r="MUW252" s="537"/>
      <c r="MUX252" s="537"/>
      <c r="MUY252" s="537"/>
      <c r="MUZ252" s="537"/>
      <c r="MVA252" s="537"/>
      <c r="MVB252" s="537"/>
      <c r="MVC252" s="537"/>
      <c r="MVD252" s="537"/>
      <c r="MVE252" s="537"/>
      <c r="MVF252" s="537"/>
      <c r="MVG252" s="537"/>
      <c r="MVH252" s="537"/>
      <c r="MVI252" s="537"/>
      <c r="MVJ252" s="537"/>
      <c r="MVK252" s="537"/>
      <c r="MVL252" s="537"/>
      <c r="MVM252" s="537"/>
      <c r="MVN252" s="537"/>
      <c r="MVO252" s="537"/>
      <c r="MVP252" s="537"/>
      <c r="MVQ252" s="537"/>
      <c r="MVR252" s="537"/>
      <c r="MVS252" s="537"/>
      <c r="MVT252" s="537"/>
      <c r="MVU252" s="537"/>
      <c r="MVV252" s="537"/>
      <c r="MVW252" s="537"/>
      <c r="MVX252" s="537"/>
      <c r="MVY252" s="537"/>
      <c r="MVZ252" s="537"/>
      <c r="MWA252" s="537"/>
      <c r="MWB252" s="537"/>
      <c r="MWC252" s="537"/>
      <c r="MWD252" s="537"/>
      <c r="MWE252" s="537"/>
      <c r="MWF252" s="537"/>
      <c r="MWG252" s="537"/>
      <c r="MWH252" s="537"/>
      <c r="MWI252" s="537"/>
      <c r="MWJ252" s="537"/>
      <c r="MWK252" s="537"/>
      <c r="MWL252" s="537"/>
      <c r="MWM252" s="537"/>
      <c r="MWN252" s="537"/>
      <c r="MWO252" s="537"/>
      <c r="MWP252" s="537"/>
      <c r="MWQ252" s="537"/>
      <c r="MWR252" s="537"/>
      <c r="MWS252" s="537"/>
      <c r="MWT252" s="537"/>
      <c r="MWU252" s="537"/>
      <c r="MWV252" s="537"/>
      <c r="MWW252" s="537"/>
      <c r="MWX252" s="537"/>
      <c r="MWY252" s="537"/>
      <c r="MWZ252" s="537"/>
      <c r="MXA252" s="537"/>
      <c r="MXB252" s="537"/>
      <c r="MXC252" s="537"/>
      <c r="MXD252" s="537"/>
      <c r="MXE252" s="537"/>
      <c r="MXF252" s="537"/>
      <c r="MXG252" s="537"/>
      <c r="MXH252" s="537"/>
      <c r="MXI252" s="537"/>
      <c r="MXJ252" s="537"/>
      <c r="MXK252" s="537"/>
      <c r="MXL252" s="537"/>
      <c r="MXM252" s="537"/>
      <c r="MXN252" s="537"/>
      <c r="MXO252" s="537"/>
      <c r="MXP252" s="537"/>
      <c r="MXQ252" s="537"/>
      <c r="MXR252" s="537"/>
      <c r="MXS252" s="537"/>
      <c r="MXT252" s="537"/>
      <c r="MXU252" s="537"/>
      <c r="MXV252" s="537"/>
      <c r="MXW252" s="537"/>
      <c r="MXX252" s="537"/>
      <c r="MXY252" s="537"/>
      <c r="MXZ252" s="537"/>
      <c r="MYA252" s="537"/>
      <c r="MYB252" s="537"/>
      <c r="MYC252" s="537"/>
      <c r="MYD252" s="537"/>
      <c r="MYE252" s="537"/>
      <c r="MYF252" s="537"/>
      <c r="MYG252" s="537"/>
      <c r="MYH252" s="537"/>
      <c r="MYI252" s="537"/>
      <c r="MYJ252" s="537"/>
      <c r="MYK252" s="537"/>
      <c r="MYL252" s="537"/>
      <c r="MYM252" s="537"/>
      <c r="MYN252" s="537"/>
      <c r="MYO252" s="537"/>
      <c r="MYP252" s="537"/>
      <c r="MYQ252" s="537"/>
      <c r="MYR252" s="537"/>
      <c r="MYS252" s="537"/>
      <c r="MYT252" s="537"/>
      <c r="MYU252" s="537"/>
      <c r="MYV252" s="537"/>
      <c r="MYW252" s="537"/>
      <c r="MYX252" s="537"/>
      <c r="MYY252" s="537"/>
      <c r="MYZ252" s="537"/>
      <c r="MZA252" s="537"/>
      <c r="MZB252" s="537"/>
      <c r="MZC252" s="537"/>
      <c r="MZD252" s="537"/>
      <c r="MZE252" s="537"/>
      <c r="MZF252" s="537"/>
      <c r="MZG252" s="537"/>
      <c r="MZH252" s="537"/>
      <c r="MZI252" s="537"/>
      <c r="MZJ252" s="537"/>
      <c r="MZK252" s="537"/>
      <c r="MZL252" s="537"/>
      <c r="MZM252" s="537"/>
      <c r="MZN252" s="537"/>
      <c r="MZO252" s="537"/>
      <c r="MZP252" s="537"/>
      <c r="MZQ252" s="537"/>
      <c r="MZR252" s="537"/>
      <c r="MZS252" s="537"/>
      <c r="MZT252" s="537"/>
      <c r="MZU252" s="537"/>
      <c r="MZV252" s="537"/>
      <c r="MZW252" s="537"/>
      <c r="MZX252" s="537"/>
      <c r="MZY252" s="537"/>
      <c r="MZZ252" s="537"/>
      <c r="NAA252" s="537"/>
      <c r="NAB252" s="537"/>
      <c r="NAC252" s="537"/>
      <c r="NAD252" s="537"/>
      <c r="NAE252" s="537"/>
      <c r="NAF252" s="537"/>
      <c r="NAG252" s="537"/>
      <c r="NAH252" s="537"/>
      <c r="NAI252" s="537"/>
      <c r="NAJ252" s="537"/>
      <c r="NAK252" s="537"/>
      <c r="NAL252" s="537"/>
      <c r="NAM252" s="537"/>
      <c r="NAN252" s="537"/>
      <c r="NAO252" s="537"/>
      <c r="NAP252" s="537"/>
      <c r="NAQ252" s="537"/>
      <c r="NAR252" s="537"/>
      <c r="NAS252" s="537"/>
      <c r="NAT252" s="537"/>
      <c r="NAU252" s="537"/>
      <c r="NAV252" s="537"/>
      <c r="NAW252" s="537"/>
      <c r="NAX252" s="537"/>
      <c r="NAY252" s="537"/>
      <c r="NAZ252" s="537"/>
      <c r="NBA252" s="537"/>
      <c r="NBB252" s="537"/>
      <c r="NBC252" s="537"/>
      <c r="NBD252" s="537"/>
      <c r="NBE252" s="537"/>
      <c r="NBF252" s="537"/>
      <c r="NBG252" s="537"/>
      <c r="NBH252" s="537"/>
      <c r="NBI252" s="537"/>
      <c r="NBJ252" s="537"/>
      <c r="NBK252" s="537"/>
      <c r="NBL252" s="537"/>
      <c r="NBM252" s="537"/>
      <c r="NBN252" s="537"/>
      <c r="NBO252" s="537"/>
      <c r="NBP252" s="537"/>
      <c r="NBQ252" s="537"/>
      <c r="NBR252" s="537"/>
      <c r="NBS252" s="537"/>
      <c r="NBT252" s="537"/>
      <c r="NBU252" s="537"/>
      <c r="NBV252" s="537"/>
      <c r="NBW252" s="537"/>
      <c r="NBX252" s="537"/>
      <c r="NBY252" s="537"/>
      <c r="NBZ252" s="537"/>
      <c r="NCA252" s="537"/>
      <c r="NCB252" s="537"/>
      <c r="NCC252" s="537"/>
      <c r="NCD252" s="537"/>
      <c r="NCE252" s="537"/>
      <c r="NCF252" s="537"/>
      <c r="NCG252" s="537"/>
      <c r="NCH252" s="537"/>
      <c r="NCI252" s="537"/>
      <c r="NCJ252" s="537"/>
      <c r="NCK252" s="537"/>
      <c r="NCL252" s="537"/>
      <c r="NCM252" s="537"/>
      <c r="NCN252" s="537"/>
      <c r="NCO252" s="537"/>
      <c r="NCP252" s="537"/>
      <c r="NCQ252" s="537"/>
      <c r="NCR252" s="537"/>
      <c r="NCS252" s="537"/>
      <c r="NCT252" s="537"/>
      <c r="NCU252" s="537"/>
      <c r="NCV252" s="537"/>
      <c r="NCW252" s="537"/>
      <c r="NCX252" s="537"/>
      <c r="NCY252" s="537"/>
      <c r="NCZ252" s="537"/>
      <c r="NDA252" s="537"/>
      <c r="NDB252" s="537"/>
      <c r="NDC252" s="537"/>
      <c r="NDD252" s="537"/>
      <c r="NDE252" s="537"/>
      <c r="NDF252" s="537"/>
      <c r="NDG252" s="537"/>
      <c r="NDH252" s="537"/>
      <c r="NDI252" s="537"/>
      <c r="NDJ252" s="537"/>
      <c r="NDK252" s="537"/>
      <c r="NDL252" s="537"/>
      <c r="NDM252" s="537"/>
      <c r="NDN252" s="537"/>
      <c r="NDO252" s="537"/>
      <c r="NDP252" s="537"/>
      <c r="NDQ252" s="537"/>
      <c r="NDR252" s="537"/>
      <c r="NDS252" s="537"/>
      <c r="NDT252" s="537"/>
      <c r="NDU252" s="537"/>
      <c r="NDV252" s="537"/>
      <c r="NDW252" s="537"/>
      <c r="NDX252" s="537"/>
      <c r="NDY252" s="537"/>
      <c r="NDZ252" s="537"/>
      <c r="NEA252" s="537"/>
      <c r="NEB252" s="537"/>
      <c r="NEC252" s="537"/>
      <c r="NED252" s="537"/>
      <c r="NEE252" s="537"/>
      <c r="NEF252" s="537"/>
      <c r="NEG252" s="537"/>
      <c r="NEH252" s="537"/>
      <c r="NEI252" s="537"/>
      <c r="NEJ252" s="537"/>
      <c r="NEK252" s="537"/>
      <c r="NEL252" s="537"/>
      <c r="NEM252" s="537"/>
      <c r="NEN252" s="537"/>
      <c r="NEO252" s="537"/>
      <c r="NEP252" s="537"/>
      <c r="NEQ252" s="537"/>
      <c r="NER252" s="537"/>
      <c r="NES252" s="537"/>
      <c r="NET252" s="537"/>
      <c r="NEU252" s="537"/>
      <c r="NEV252" s="537"/>
      <c r="NEW252" s="537"/>
      <c r="NEX252" s="537"/>
      <c r="NEY252" s="537"/>
      <c r="NEZ252" s="537"/>
      <c r="NFA252" s="537"/>
      <c r="NFB252" s="537"/>
      <c r="NFC252" s="537"/>
      <c r="NFD252" s="537"/>
      <c r="NFE252" s="537"/>
      <c r="NFF252" s="537"/>
      <c r="NFG252" s="537"/>
      <c r="NFH252" s="537"/>
      <c r="NFI252" s="537"/>
      <c r="NFJ252" s="537"/>
      <c r="NFK252" s="537"/>
      <c r="NFL252" s="537"/>
      <c r="NFM252" s="537"/>
      <c r="NFN252" s="537"/>
      <c r="NFO252" s="537"/>
      <c r="NFP252" s="537"/>
      <c r="NFQ252" s="537"/>
      <c r="NFR252" s="537"/>
      <c r="NFS252" s="537"/>
      <c r="NFT252" s="537"/>
      <c r="NFU252" s="537"/>
      <c r="NFV252" s="537"/>
      <c r="NFW252" s="537"/>
      <c r="NFX252" s="537"/>
      <c r="NFY252" s="537"/>
      <c r="NFZ252" s="537"/>
      <c r="NGA252" s="537"/>
      <c r="NGB252" s="537"/>
      <c r="NGC252" s="537"/>
      <c r="NGD252" s="537"/>
      <c r="NGE252" s="537"/>
      <c r="NGF252" s="537"/>
      <c r="NGG252" s="537"/>
      <c r="NGH252" s="537"/>
      <c r="NGI252" s="537"/>
      <c r="NGJ252" s="537"/>
      <c r="NGK252" s="537"/>
      <c r="NGL252" s="537"/>
      <c r="NGM252" s="537"/>
      <c r="NGN252" s="537"/>
      <c r="NGO252" s="537"/>
      <c r="NGP252" s="537"/>
      <c r="NGQ252" s="537"/>
      <c r="NGR252" s="537"/>
      <c r="NGS252" s="537"/>
      <c r="NGT252" s="537"/>
      <c r="NGU252" s="537"/>
      <c r="NGV252" s="537"/>
      <c r="NGW252" s="537"/>
      <c r="NGX252" s="537"/>
      <c r="NGY252" s="537"/>
      <c r="NGZ252" s="537"/>
      <c r="NHA252" s="537"/>
      <c r="NHB252" s="537"/>
      <c r="NHC252" s="537"/>
      <c r="NHD252" s="537"/>
      <c r="NHE252" s="537"/>
      <c r="NHF252" s="537"/>
      <c r="NHG252" s="537"/>
      <c r="NHH252" s="537"/>
      <c r="NHI252" s="537"/>
      <c r="NHJ252" s="537"/>
      <c r="NHK252" s="537"/>
      <c r="NHL252" s="537"/>
      <c r="NHM252" s="537"/>
      <c r="NHN252" s="537"/>
      <c r="NHO252" s="537"/>
      <c r="NHP252" s="537"/>
      <c r="NHQ252" s="537"/>
      <c r="NHR252" s="537"/>
      <c r="NHS252" s="537"/>
      <c r="NHT252" s="537"/>
      <c r="NHU252" s="537"/>
      <c r="NHV252" s="537"/>
      <c r="NHW252" s="537"/>
      <c r="NHX252" s="537"/>
      <c r="NHY252" s="537"/>
      <c r="NHZ252" s="537"/>
      <c r="NIA252" s="537"/>
      <c r="NIB252" s="537"/>
      <c r="NIC252" s="537"/>
      <c r="NID252" s="537"/>
      <c r="NIE252" s="537"/>
      <c r="NIF252" s="537"/>
      <c r="NIG252" s="537"/>
      <c r="NIH252" s="537"/>
      <c r="NII252" s="537"/>
      <c r="NIJ252" s="537"/>
      <c r="NIK252" s="537"/>
      <c r="NIL252" s="537"/>
      <c r="NIM252" s="537"/>
      <c r="NIN252" s="537"/>
      <c r="NIO252" s="537"/>
      <c r="NIP252" s="537"/>
      <c r="NIQ252" s="537"/>
      <c r="NIR252" s="537"/>
      <c r="NIS252" s="537"/>
      <c r="NIT252" s="537"/>
      <c r="NIU252" s="537"/>
      <c r="NIV252" s="537"/>
      <c r="NIW252" s="537"/>
      <c r="NIX252" s="537"/>
      <c r="NIY252" s="537"/>
      <c r="NIZ252" s="537"/>
      <c r="NJA252" s="537"/>
      <c r="NJB252" s="537"/>
      <c r="NJC252" s="537"/>
      <c r="NJD252" s="537"/>
      <c r="NJE252" s="537"/>
      <c r="NJF252" s="537"/>
      <c r="NJG252" s="537"/>
      <c r="NJH252" s="537"/>
      <c r="NJI252" s="537"/>
      <c r="NJJ252" s="537"/>
      <c r="NJK252" s="537"/>
      <c r="NJL252" s="537"/>
      <c r="NJM252" s="537"/>
      <c r="NJN252" s="537"/>
      <c r="NJO252" s="537"/>
      <c r="NJP252" s="537"/>
      <c r="NJQ252" s="537"/>
      <c r="NJR252" s="537"/>
      <c r="NJS252" s="537"/>
      <c r="NJT252" s="537"/>
      <c r="NJU252" s="537"/>
      <c r="NJV252" s="537"/>
      <c r="NJW252" s="537"/>
      <c r="NJX252" s="537"/>
      <c r="NJY252" s="537"/>
      <c r="NJZ252" s="537"/>
      <c r="NKA252" s="537"/>
      <c r="NKB252" s="537"/>
      <c r="NKC252" s="537"/>
      <c r="NKD252" s="537"/>
      <c r="NKE252" s="537"/>
      <c r="NKF252" s="537"/>
      <c r="NKG252" s="537"/>
      <c r="NKH252" s="537"/>
      <c r="NKI252" s="537"/>
      <c r="NKJ252" s="537"/>
      <c r="NKK252" s="537"/>
      <c r="NKL252" s="537"/>
      <c r="NKM252" s="537"/>
      <c r="NKN252" s="537"/>
      <c r="NKO252" s="537"/>
      <c r="NKP252" s="537"/>
      <c r="NKQ252" s="537"/>
      <c r="NKR252" s="537"/>
      <c r="NKS252" s="537"/>
      <c r="NKT252" s="537"/>
      <c r="NKU252" s="537"/>
      <c r="NKV252" s="537"/>
      <c r="NKW252" s="537"/>
      <c r="NKX252" s="537"/>
      <c r="NKY252" s="537"/>
      <c r="NKZ252" s="537"/>
      <c r="NLA252" s="537"/>
      <c r="NLB252" s="537"/>
      <c r="NLC252" s="537"/>
      <c r="NLD252" s="537"/>
      <c r="NLE252" s="537"/>
      <c r="NLF252" s="537"/>
      <c r="NLG252" s="537"/>
      <c r="NLH252" s="537"/>
      <c r="NLI252" s="537"/>
      <c r="NLJ252" s="537"/>
      <c r="NLK252" s="537"/>
      <c r="NLL252" s="537"/>
      <c r="NLM252" s="537"/>
      <c r="NLN252" s="537"/>
      <c r="NLO252" s="537"/>
      <c r="NLP252" s="537"/>
      <c r="NLQ252" s="537"/>
      <c r="NLR252" s="537"/>
      <c r="NLS252" s="537"/>
      <c r="NLT252" s="537"/>
      <c r="NLU252" s="537"/>
      <c r="NLV252" s="537"/>
      <c r="NLW252" s="537"/>
      <c r="NLX252" s="537"/>
      <c r="NLY252" s="537"/>
      <c r="NLZ252" s="537"/>
      <c r="NMA252" s="537"/>
      <c r="NMB252" s="537"/>
      <c r="NMC252" s="537"/>
      <c r="NMD252" s="537"/>
      <c r="NME252" s="537"/>
      <c r="NMF252" s="537"/>
      <c r="NMG252" s="537"/>
      <c r="NMH252" s="537"/>
      <c r="NMI252" s="537"/>
      <c r="NMJ252" s="537"/>
      <c r="NMK252" s="537"/>
      <c r="NML252" s="537"/>
      <c r="NMM252" s="537"/>
      <c r="NMN252" s="537"/>
      <c r="NMO252" s="537"/>
      <c r="NMP252" s="537"/>
      <c r="NMQ252" s="537"/>
      <c r="NMR252" s="537"/>
      <c r="NMS252" s="537"/>
      <c r="NMT252" s="537"/>
      <c r="NMU252" s="537"/>
      <c r="NMV252" s="537"/>
      <c r="NMW252" s="537"/>
      <c r="NMX252" s="537"/>
      <c r="NMY252" s="537"/>
      <c r="NMZ252" s="537"/>
      <c r="NNA252" s="537"/>
      <c r="NNB252" s="537"/>
      <c r="NNC252" s="537"/>
      <c r="NND252" s="537"/>
      <c r="NNE252" s="537"/>
      <c r="NNF252" s="537"/>
      <c r="NNG252" s="537"/>
      <c r="NNH252" s="537"/>
      <c r="NNI252" s="537"/>
      <c r="NNJ252" s="537"/>
      <c r="NNK252" s="537"/>
      <c r="NNL252" s="537"/>
      <c r="NNM252" s="537"/>
      <c r="NNN252" s="537"/>
      <c r="NNO252" s="537"/>
      <c r="NNP252" s="537"/>
      <c r="NNQ252" s="537"/>
      <c r="NNR252" s="537"/>
      <c r="NNS252" s="537"/>
      <c r="NNT252" s="537"/>
      <c r="NNU252" s="537"/>
      <c r="NNV252" s="537"/>
      <c r="NNW252" s="537"/>
      <c r="NNX252" s="537"/>
      <c r="NNY252" s="537"/>
      <c r="NNZ252" s="537"/>
      <c r="NOA252" s="537"/>
      <c r="NOB252" s="537"/>
      <c r="NOC252" s="537"/>
      <c r="NOD252" s="537"/>
      <c r="NOE252" s="537"/>
      <c r="NOF252" s="537"/>
      <c r="NOG252" s="537"/>
      <c r="NOH252" s="537"/>
      <c r="NOI252" s="537"/>
      <c r="NOJ252" s="537"/>
      <c r="NOK252" s="537"/>
      <c r="NOL252" s="537"/>
      <c r="NOM252" s="537"/>
      <c r="NON252" s="537"/>
      <c r="NOO252" s="537"/>
      <c r="NOP252" s="537"/>
      <c r="NOQ252" s="537"/>
      <c r="NOR252" s="537"/>
      <c r="NOS252" s="537"/>
      <c r="NOT252" s="537"/>
      <c r="NOU252" s="537"/>
      <c r="NOV252" s="537"/>
      <c r="NOW252" s="537"/>
      <c r="NOX252" s="537"/>
      <c r="NOY252" s="537"/>
      <c r="NOZ252" s="537"/>
      <c r="NPA252" s="537"/>
      <c r="NPB252" s="537"/>
      <c r="NPC252" s="537"/>
      <c r="NPD252" s="537"/>
      <c r="NPE252" s="537"/>
      <c r="NPF252" s="537"/>
      <c r="NPG252" s="537"/>
      <c r="NPH252" s="537"/>
      <c r="NPI252" s="537"/>
      <c r="NPJ252" s="537"/>
      <c r="NPK252" s="537"/>
      <c r="NPL252" s="537"/>
      <c r="NPM252" s="537"/>
      <c r="NPN252" s="537"/>
      <c r="NPO252" s="537"/>
      <c r="NPP252" s="537"/>
      <c r="NPQ252" s="537"/>
      <c r="NPR252" s="537"/>
      <c r="NPS252" s="537"/>
      <c r="NPT252" s="537"/>
      <c r="NPU252" s="537"/>
      <c r="NPV252" s="537"/>
      <c r="NPW252" s="537"/>
      <c r="NPX252" s="537"/>
      <c r="NPY252" s="537"/>
      <c r="NPZ252" s="537"/>
      <c r="NQA252" s="537"/>
      <c r="NQB252" s="537"/>
      <c r="NQC252" s="537"/>
      <c r="NQD252" s="537"/>
      <c r="NQE252" s="537"/>
      <c r="NQF252" s="537"/>
      <c r="NQG252" s="537"/>
      <c r="NQH252" s="537"/>
      <c r="NQI252" s="537"/>
      <c r="NQJ252" s="537"/>
      <c r="NQK252" s="537"/>
      <c r="NQL252" s="537"/>
      <c r="NQM252" s="537"/>
      <c r="NQN252" s="537"/>
      <c r="NQO252" s="537"/>
      <c r="NQP252" s="537"/>
      <c r="NQQ252" s="537"/>
      <c r="NQR252" s="537"/>
      <c r="NQS252" s="537"/>
      <c r="NQT252" s="537"/>
      <c r="NQU252" s="537"/>
      <c r="NQV252" s="537"/>
      <c r="NQW252" s="537"/>
      <c r="NQX252" s="537"/>
      <c r="NQY252" s="537"/>
      <c r="NQZ252" s="537"/>
      <c r="NRA252" s="537"/>
      <c r="NRB252" s="537"/>
      <c r="NRC252" s="537"/>
      <c r="NRD252" s="537"/>
      <c r="NRE252" s="537"/>
      <c r="NRF252" s="537"/>
      <c r="NRG252" s="537"/>
      <c r="NRH252" s="537"/>
      <c r="NRI252" s="537"/>
      <c r="NRJ252" s="537"/>
      <c r="NRK252" s="537"/>
      <c r="NRL252" s="537"/>
      <c r="NRM252" s="537"/>
      <c r="NRN252" s="537"/>
      <c r="NRO252" s="537"/>
      <c r="NRP252" s="537"/>
      <c r="NRQ252" s="537"/>
      <c r="NRR252" s="537"/>
      <c r="NRS252" s="537"/>
      <c r="NRT252" s="537"/>
      <c r="NRU252" s="537"/>
      <c r="NRV252" s="537"/>
      <c r="NRW252" s="537"/>
      <c r="NRX252" s="537"/>
      <c r="NRY252" s="537"/>
      <c r="NRZ252" s="537"/>
      <c r="NSA252" s="537"/>
      <c r="NSB252" s="537"/>
      <c r="NSC252" s="537"/>
      <c r="NSD252" s="537"/>
      <c r="NSE252" s="537"/>
      <c r="NSF252" s="537"/>
      <c r="NSG252" s="537"/>
      <c r="NSH252" s="537"/>
      <c r="NSI252" s="537"/>
      <c r="NSJ252" s="537"/>
      <c r="NSK252" s="537"/>
      <c r="NSL252" s="537"/>
      <c r="NSM252" s="537"/>
      <c r="NSN252" s="537"/>
      <c r="NSO252" s="537"/>
      <c r="NSP252" s="537"/>
      <c r="NSQ252" s="537"/>
      <c r="NSR252" s="537"/>
      <c r="NSS252" s="537"/>
      <c r="NST252" s="537"/>
      <c r="NSU252" s="537"/>
      <c r="NSV252" s="537"/>
      <c r="NSW252" s="537"/>
      <c r="NSX252" s="537"/>
      <c r="NSY252" s="537"/>
      <c r="NSZ252" s="537"/>
      <c r="NTA252" s="537"/>
      <c r="NTB252" s="537"/>
      <c r="NTC252" s="537"/>
      <c r="NTD252" s="537"/>
      <c r="NTE252" s="537"/>
      <c r="NTF252" s="537"/>
      <c r="NTG252" s="537"/>
      <c r="NTH252" s="537"/>
      <c r="NTI252" s="537"/>
      <c r="NTJ252" s="537"/>
      <c r="NTK252" s="537"/>
      <c r="NTL252" s="537"/>
      <c r="NTM252" s="537"/>
      <c r="NTN252" s="537"/>
      <c r="NTO252" s="537"/>
      <c r="NTP252" s="537"/>
      <c r="NTQ252" s="537"/>
      <c r="NTR252" s="537"/>
      <c r="NTS252" s="537"/>
      <c r="NTT252" s="537"/>
      <c r="NTU252" s="537"/>
      <c r="NTV252" s="537"/>
      <c r="NTW252" s="537"/>
      <c r="NTX252" s="537"/>
      <c r="NTY252" s="537"/>
      <c r="NTZ252" s="537"/>
      <c r="NUA252" s="537"/>
      <c r="NUB252" s="537"/>
      <c r="NUC252" s="537"/>
      <c r="NUD252" s="537"/>
      <c r="NUE252" s="537"/>
      <c r="NUF252" s="537"/>
      <c r="NUG252" s="537"/>
      <c r="NUH252" s="537"/>
      <c r="NUI252" s="537"/>
      <c r="NUJ252" s="537"/>
      <c r="NUK252" s="537"/>
      <c r="NUL252" s="537"/>
      <c r="NUM252" s="537"/>
      <c r="NUN252" s="537"/>
      <c r="NUO252" s="537"/>
      <c r="NUP252" s="537"/>
      <c r="NUQ252" s="537"/>
      <c r="NUR252" s="537"/>
      <c r="NUS252" s="537"/>
      <c r="NUT252" s="537"/>
      <c r="NUU252" s="537"/>
      <c r="NUV252" s="537"/>
      <c r="NUW252" s="537"/>
      <c r="NUX252" s="537"/>
      <c r="NUY252" s="537"/>
      <c r="NUZ252" s="537"/>
      <c r="NVA252" s="537"/>
      <c r="NVB252" s="537"/>
      <c r="NVC252" s="537"/>
      <c r="NVD252" s="537"/>
      <c r="NVE252" s="537"/>
      <c r="NVF252" s="537"/>
      <c r="NVG252" s="537"/>
      <c r="NVH252" s="537"/>
      <c r="NVI252" s="537"/>
      <c r="NVJ252" s="537"/>
      <c r="NVK252" s="537"/>
      <c r="NVL252" s="537"/>
      <c r="NVM252" s="537"/>
      <c r="NVN252" s="537"/>
      <c r="NVO252" s="537"/>
      <c r="NVP252" s="537"/>
      <c r="NVQ252" s="537"/>
      <c r="NVR252" s="537"/>
      <c r="NVS252" s="537"/>
      <c r="NVT252" s="537"/>
      <c r="NVU252" s="537"/>
      <c r="NVV252" s="537"/>
      <c r="NVW252" s="537"/>
      <c r="NVX252" s="537"/>
      <c r="NVY252" s="537"/>
      <c r="NVZ252" s="537"/>
      <c r="NWA252" s="537"/>
      <c r="NWB252" s="537"/>
      <c r="NWC252" s="537"/>
      <c r="NWD252" s="537"/>
      <c r="NWE252" s="537"/>
      <c r="NWF252" s="537"/>
      <c r="NWG252" s="537"/>
      <c r="NWH252" s="537"/>
      <c r="NWI252" s="537"/>
      <c r="NWJ252" s="537"/>
      <c r="NWK252" s="537"/>
      <c r="NWL252" s="537"/>
      <c r="NWM252" s="537"/>
      <c r="NWN252" s="537"/>
      <c r="NWO252" s="537"/>
      <c r="NWP252" s="537"/>
      <c r="NWQ252" s="537"/>
      <c r="NWR252" s="537"/>
      <c r="NWS252" s="537"/>
      <c r="NWT252" s="537"/>
      <c r="NWU252" s="537"/>
      <c r="NWV252" s="537"/>
      <c r="NWW252" s="537"/>
      <c r="NWX252" s="537"/>
      <c r="NWY252" s="537"/>
      <c r="NWZ252" s="537"/>
      <c r="NXA252" s="537"/>
      <c r="NXB252" s="537"/>
      <c r="NXC252" s="537"/>
      <c r="NXD252" s="537"/>
      <c r="NXE252" s="537"/>
      <c r="NXF252" s="537"/>
      <c r="NXG252" s="537"/>
      <c r="NXH252" s="537"/>
      <c r="NXI252" s="537"/>
      <c r="NXJ252" s="537"/>
      <c r="NXK252" s="537"/>
      <c r="NXL252" s="537"/>
      <c r="NXM252" s="537"/>
      <c r="NXN252" s="537"/>
      <c r="NXO252" s="537"/>
      <c r="NXP252" s="537"/>
      <c r="NXQ252" s="537"/>
      <c r="NXR252" s="537"/>
      <c r="NXS252" s="537"/>
      <c r="NXT252" s="537"/>
      <c r="NXU252" s="537"/>
      <c r="NXV252" s="537"/>
      <c r="NXW252" s="537"/>
      <c r="NXX252" s="537"/>
      <c r="NXY252" s="537"/>
      <c r="NXZ252" s="537"/>
      <c r="NYA252" s="537"/>
      <c r="NYB252" s="537"/>
      <c r="NYC252" s="537"/>
      <c r="NYD252" s="537"/>
      <c r="NYE252" s="537"/>
      <c r="NYF252" s="537"/>
      <c r="NYG252" s="537"/>
      <c r="NYH252" s="537"/>
      <c r="NYI252" s="537"/>
      <c r="NYJ252" s="537"/>
      <c r="NYK252" s="537"/>
      <c r="NYL252" s="537"/>
      <c r="NYM252" s="537"/>
      <c r="NYN252" s="537"/>
      <c r="NYO252" s="537"/>
      <c r="NYP252" s="537"/>
      <c r="NYQ252" s="537"/>
      <c r="NYR252" s="537"/>
      <c r="NYS252" s="537"/>
      <c r="NYT252" s="537"/>
      <c r="NYU252" s="537"/>
      <c r="NYV252" s="537"/>
      <c r="NYW252" s="537"/>
      <c r="NYX252" s="537"/>
      <c r="NYY252" s="537"/>
      <c r="NYZ252" s="537"/>
      <c r="NZA252" s="537"/>
      <c r="NZB252" s="537"/>
      <c r="NZC252" s="537"/>
      <c r="NZD252" s="537"/>
      <c r="NZE252" s="537"/>
      <c r="NZF252" s="537"/>
      <c r="NZG252" s="537"/>
      <c r="NZH252" s="537"/>
      <c r="NZI252" s="537"/>
      <c r="NZJ252" s="537"/>
      <c r="NZK252" s="537"/>
      <c r="NZL252" s="537"/>
      <c r="NZM252" s="537"/>
      <c r="NZN252" s="537"/>
      <c r="NZO252" s="537"/>
      <c r="NZP252" s="537"/>
      <c r="NZQ252" s="537"/>
      <c r="NZR252" s="537"/>
      <c r="NZS252" s="537"/>
      <c r="NZT252" s="537"/>
      <c r="NZU252" s="537"/>
      <c r="NZV252" s="537"/>
      <c r="NZW252" s="537"/>
      <c r="NZX252" s="537"/>
      <c r="NZY252" s="537"/>
      <c r="NZZ252" s="537"/>
      <c r="OAA252" s="537"/>
      <c r="OAB252" s="537"/>
      <c r="OAC252" s="537"/>
      <c r="OAD252" s="537"/>
      <c r="OAE252" s="537"/>
      <c r="OAF252" s="537"/>
      <c r="OAG252" s="537"/>
      <c r="OAH252" s="537"/>
      <c r="OAI252" s="537"/>
      <c r="OAJ252" s="537"/>
      <c r="OAK252" s="537"/>
      <c r="OAL252" s="537"/>
      <c r="OAM252" s="537"/>
      <c r="OAN252" s="537"/>
      <c r="OAO252" s="537"/>
      <c r="OAP252" s="537"/>
      <c r="OAQ252" s="537"/>
      <c r="OAR252" s="537"/>
      <c r="OAS252" s="537"/>
      <c r="OAT252" s="537"/>
      <c r="OAU252" s="537"/>
      <c r="OAV252" s="537"/>
      <c r="OAW252" s="537"/>
      <c r="OAX252" s="537"/>
      <c r="OAY252" s="537"/>
      <c r="OAZ252" s="537"/>
      <c r="OBA252" s="537"/>
      <c r="OBB252" s="537"/>
      <c r="OBC252" s="537"/>
      <c r="OBD252" s="537"/>
      <c r="OBE252" s="537"/>
      <c r="OBF252" s="537"/>
      <c r="OBG252" s="537"/>
      <c r="OBH252" s="537"/>
      <c r="OBI252" s="537"/>
      <c r="OBJ252" s="537"/>
      <c r="OBK252" s="537"/>
      <c r="OBL252" s="537"/>
      <c r="OBM252" s="537"/>
      <c r="OBN252" s="537"/>
      <c r="OBO252" s="537"/>
      <c r="OBP252" s="537"/>
      <c r="OBQ252" s="537"/>
      <c r="OBR252" s="537"/>
      <c r="OBS252" s="537"/>
      <c r="OBT252" s="537"/>
      <c r="OBU252" s="537"/>
      <c r="OBV252" s="537"/>
      <c r="OBW252" s="537"/>
      <c r="OBX252" s="537"/>
      <c r="OBY252" s="537"/>
      <c r="OBZ252" s="537"/>
      <c r="OCA252" s="537"/>
      <c r="OCB252" s="537"/>
      <c r="OCC252" s="537"/>
      <c r="OCD252" s="537"/>
      <c r="OCE252" s="537"/>
      <c r="OCF252" s="537"/>
      <c r="OCG252" s="537"/>
      <c r="OCH252" s="537"/>
      <c r="OCI252" s="537"/>
      <c r="OCJ252" s="537"/>
      <c r="OCK252" s="537"/>
      <c r="OCL252" s="537"/>
      <c r="OCM252" s="537"/>
      <c r="OCN252" s="537"/>
      <c r="OCO252" s="537"/>
      <c r="OCP252" s="537"/>
      <c r="OCQ252" s="537"/>
      <c r="OCR252" s="537"/>
      <c r="OCS252" s="537"/>
      <c r="OCT252" s="537"/>
      <c r="OCU252" s="537"/>
      <c r="OCV252" s="537"/>
      <c r="OCW252" s="537"/>
      <c r="OCX252" s="537"/>
      <c r="OCY252" s="537"/>
      <c r="OCZ252" s="537"/>
      <c r="ODA252" s="537"/>
      <c r="ODB252" s="537"/>
      <c r="ODC252" s="537"/>
      <c r="ODD252" s="537"/>
      <c r="ODE252" s="537"/>
      <c r="ODF252" s="537"/>
      <c r="ODG252" s="537"/>
      <c r="ODH252" s="537"/>
      <c r="ODI252" s="537"/>
      <c r="ODJ252" s="537"/>
      <c r="ODK252" s="537"/>
      <c r="ODL252" s="537"/>
      <c r="ODM252" s="537"/>
      <c r="ODN252" s="537"/>
      <c r="ODO252" s="537"/>
      <c r="ODP252" s="537"/>
      <c r="ODQ252" s="537"/>
      <c r="ODR252" s="537"/>
      <c r="ODS252" s="537"/>
      <c r="ODT252" s="537"/>
      <c r="ODU252" s="537"/>
      <c r="ODV252" s="537"/>
      <c r="ODW252" s="537"/>
      <c r="ODX252" s="537"/>
      <c r="ODY252" s="537"/>
      <c r="ODZ252" s="537"/>
      <c r="OEA252" s="537"/>
      <c r="OEB252" s="537"/>
      <c r="OEC252" s="537"/>
      <c r="OED252" s="537"/>
      <c r="OEE252" s="537"/>
      <c r="OEF252" s="537"/>
      <c r="OEG252" s="537"/>
      <c r="OEH252" s="537"/>
      <c r="OEI252" s="537"/>
      <c r="OEJ252" s="537"/>
      <c r="OEK252" s="537"/>
      <c r="OEL252" s="537"/>
      <c r="OEM252" s="537"/>
      <c r="OEN252" s="537"/>
      <c r="OEO252" s="537"/>
      <c r="OEP252" s="537"/>
      <c r="OEQ252" s="537"/>
      <c r="OER252" s="537"/>
      <c r="OES252" s="537"/>
      <c r="OET252" s="537"/>
      <c r="OEU252" s="537"/>
      <c r="OEV252" s="537"/>
      <c r="OEW252" s="537"/>
      <c r="OEX252" s="537"/>
      <c r="OEY252" s="537"/>
      <c r="OEZ252" s="537"/>
      <c r="OFA252" s="537"/>
      <c r="OFB252" s="537"/>
      <c r="OFC252" s="537"/>
      <c r="OFD252" s="537"/>
      <c r="OFE252" s="537"/>
      <c r="OFF252" s="537"/>
      <c r="OFG252" s="537"/>
      <c r="OFH252" s="537"/>
      <c r="OFI252" s="537"/>
      <c r="OFJ252" s="537"/>
      <c r="OFK252" s="537"/>
      <c r="OFL252" s="537"/>
      <c r="OFM252" s="537"/>
      <c r="OFN252" s="537"/>
      <c r="OFO252" s="537"/>
      <c r="OFP252" s="537"/>
      <c r="OFQ252" s="537"/>
      <c r="OFR252" s="537"/>
      <c r="OFS252" s="537"/>
      <c r="OFT252" s="537"/>
      <c r="OFU252" s="537"/>
      <c r="OFV252" s="537"/>
      <c r="OFW252" s="537"/>
      <c r="OFX252" s="537"/>
      <c r="OFY252" s="537"/>
      <c r="OFZ252" s="537"/>
      <c r="OGA252" s="537"/>
      <c r="OGB252" s="537"/>
      <c r="OGC252" s="537"/>
      <c r="OGD252" s="537"/>
      <c r="OGE252" s="537"/>
      <c r="OGF252" s="537"/>
      <c r="OGG252" s="537"/>
      <c r="OGH252" s="537"/>
      <c r="OGI252" s="537"/>
      <c r="OGJ252" s="537"/>
      <c r="OGK252" s="537"/>
      <c r="OGL252" s="537"/>
      <c r="OGM252" s="537"/>
      <c r="OGN252" s="537"/>
      <c r="OGO252" s="537"/>
      <c r="OGP252" s="537"/>
      <c r="OGQ252" s="537"/>
      <c r="OGR252" s="537"/>
      <c r="OGS252" s="537"/>
      <c r="OGT252" s="537"/>
      <c r="OGU252" s="537"/>
      <c r="OGV252" s="537"/>
      <c r="OGW252" s="537"/>
      <c r="OGX252" s="537"/>
      <c r="OGY252" s="537"/>
      <c r="OGZ252" s="537"/>
      <c r="OHA252" s="537"/>
      <c r="OHB252" s="537"/>
      <c r="OHC252" s="537"/>
      <c r="OHD252" s="537"/>
      <c r="OHE252" s="537"/>
      <c r="OHF252" s="537"/>
      <c r="OHG252" s="537"/>
      <c r="OHH252" s="537"/>
      <c r="OHI252" s="537"/>
      <c r="OHJ252" s="537"/>
      <c r="OHK252" s="537"/>
      <c r="OHL252" s="537"/>
      <c r="OHM252" s="537"/>
      <c r="OHN252" s="537"/>
      <c r="OHO252" s="537"/>
      <c r="OHP252" s="537"/>
      <c r="OHQ252" s="537"/>
      <c r="OHR252" s="537"/>
      <c r="OHS252" s="537"/>
      <c r="OHT252" s="537"/>
      <c r="OHU252" s="537"/>
      <c r="OHV252" s="537"/>
      <c r="OHW252" s="537"/>
      <c r="OHX252" s="537"/>
      <c r="OHY252" s="537"/>
      <c r="OHZ252" s="537"/>
      <c r="OIA252" s="537"/>
      <c r="OIB252" s="537"/>
      <c r="OIC252" s="537"/>
      <c r="OID252" s="537"/>
      <c r="OIE252" s="537"/>
      <c r="OIF252" s="537"/>
      <c r="OIG252" s="537"/>
      <c r="OIH252" s="537"/>
      <c r="OII252" s="537"/>
      <c r="OIJ252" s="537"/>
      <c r="OIK252" s="537"/>
      <c r="OIL252" s="537"/>
      <c r="OIM252" s="537"/>
      <c r="OIN252" s="537"/>
      <c r="OIO252" s="537"/>
      <c r="OIP252" s="537"/>
      <c r="OIQ252" s="537"/>
      <c r="OIR252" s="537"/>
      <c r="OIS252" s="537"/>
      <c r="OIT252" s="537"/>
      <c r="OIU252" s="537"/>
      <c r="OIV252" s="537"/>
      <c r="OIW252" s="537"/>
      <c r="OIX252" s="537"/>
      <c r="OIY252" s="537"/>
      <c r="OIZ252" s="537"/>
      <c r="OJA252" s="537"/>
      <c r="OJB252" s="537"/>
      <c r="OJC252" s="537"/>
      <c r="OJD252" s="537"/>
      <c r="OJE252" s="537"/>
      <c r="OJF252" s="537"/>
      <c r="OJG252" s="537"/>
      <c r="OJH252" s="537"/>
      <c r="OJI252" s="537"/>
      <c r="OJJ252" s="537"/>
      <c r="OJK252" s="537"/>
      <c r="OJL252" s="537"/>
      <c r="OJM252" s="537"/>
      <c r="OJN252" s="537"/>
      <c r="OJO252" s="537"/>
      <c r="OJP252" s="537"/>
      <c r="OJQ252" s="537"/>
      <c r="OJR252" s="537"/>
      <c r="OJS252" s="537"/>
      <c r="OJT252" s="537"/>
      <c r="OJU252" s="537"/>
      <c r="OJV252" s="537"/>
      <c r="OJW252" s="537"/>
      <c r="OJX252" s="537"/>
      <c r="OJY252" s="537"/>
      <c r="OJZ252" s="537"/>
      <c r="OKA252" s="537"/>
      <c r="OKB252" s="537"/>
      <c r="OKC252" s="537"/>
      <c r="OKD252" s="537"/>
      <c r="OKE252" s="537"/>
      <c r="OKF252" s="537"/>
      <c r="OKG252" s="537"/>
      <c r="OKH252" s="537"/>
      <c r="OKI252" s="537"/>
      <c r="OKJ252" s="537"/>
      <c r="OKK252" s="537"/>
      <c r="OKL252" s="537"/>
      <c r="OKM252" s="537"/>
      <c r="OKN252" s="537"/>
      <c r="OKO252" s="537"/>
      <c r="OKP252" s="537"/>
      <c r="OKQ252" s="537"/>
      <c r="OKR252" s="537"/>
      <c r="OKS252" s="537"/>
      <c r="OKT252" s="537"/>
      <c r="OKU252" s="537"/>
      <c r="OKV252" s="537"/>
      <c r="OKW252" s="537"/>
      <c r="OKX252" s="537"/>
      <c r="OKY252" s="537"/>
      <c r="OKZ252" s="537"/>
      <c r="OLA252" s="537"/>
      <c r="OLB252" s="537"/>
      <c r="OLC252" s="537"/>
      <c r="OLD252" s="537"/>
      <c r="OLE252" s="537"/>
      <c r="OLF252" s="537"/>
      <c r="OLG252" s="537"/>
      <c r="OLH252" s="537"/>
      <c r="OLI252" s="537"/>
      <c r="OLJ252" s="537"/>
      <c r="OLK252" s="537"/>
      <c r="OLL252" s="537"/>
      <c r="OLM252" s="537"/>
      <c r="OLN252" s="537"/>
      <c r="OLO252" s="537"/>
      <c r="OLP252" s="537"/>
      <c r="OLQ252" s="537"/>
      <c r="OLR252" s="537"/>
      <c r="OLS252" s="537"/>
      <c r="OLT252" s="537"/>
      <c r="OLU252" s="537"/>
      <c r="OLV252" s="537"/>
      <c r="OLW252" s="537"/>
      <c r="OLX252" s="537"/>
      <c r="OLY252" s="537"/>
      <c r="OLZ252" s="537"/>
      <c r="OMA252" s="537"/>
      <c r="OMB252" s="537"/>
      <c r="OMC252" s="537"/>
      <c r="OMD252" s="537"/>
      <c r="OME252" s="537"/>
      <c r="OMF252" s="537"/>
      <c r="OMG252" s="537"/>
      <c r="OMH252" s="537"/>
      <c r="OMI252" s="537"/>
      <c r="OMJ252" s="537"/>
      <c r="OMK252" s="537"/>
      <c r="OML252" s="537"/>
      <c r="OMM252" s="537"/>
      <c r="OMN252" s="537"/>
      <c r="OMO252" s="537"/>
      <c r="OMP252" s="537"/>
      <c r="OMQ252" s="537"/>
      <c r="OMR252" s="537"/>
      <c r="OMS252" s="537"/>
      <c r="OMT252" s="537"/>
      <c r="OMU252" s="537"/>
      <c r="OMV252" s="537"/>
      <c r="OMW252" s="537"/>
      <c r="OMX252" s="537"/>
      <c r="OMY252" s="537"/>
      <c r="OMZ252" s="537"/>
      <c r="ONA252" s="537"/>
      <c r="ONB252" s="537"/>
      <c r="ONC252" s="537"/>
      <c r="OND252" s="537"/>
      <c r="ONE252" s="537"/>
      <c r="ONF252" s="537"/>
      <c r="ONG252" s="537"/>
      <c r="ONH252" s="537"/>
      <c r="ONI252" s="537"/>
      <c r="ONJ252" s="537"/>
      <c r="ONK252" s="537"/>
      <c r="ONL252" s="537"/>
      <c r="ONM252" s="537"/>
      <c r="ONN252" s="537"/>
      <c r="ONO252" s="537"/>
      <c r="ONP252" s="537"/>
      <c r="ONQ252" s="537"/>
      <c r="ONR252" s="537"/>
      <c r="ONS252" s="537"/>
      <c r="ONT252" s="537"/>
      <c r="ONU252" s="537"/>
      <c r="ONV252" s="537"/>
      <c r="ONW252" s="537"/>
      <c r="ONX252" s="537"/>
      <c r="ONY252" s="537"/>
      <c r="ONZ252" s="537"/>
      <c r="OOA252" s="537"/>
      <c r="OOB252" s="537"/>
      <c r="OOC252" s="537"/>
      <c r="OOD252" s="537"/>
      <c r="OOE252" s="537"/>
      <c r="OOF252" s="537"/>
      <c r="OOG252" s="537"/>
      <c r="OOH252" s="537"/>
      <c r="OOI252" s="537"/>
      <c r="OOJ252" s="537"/>
      <c r="OOK252" s="537"/>
      <c r="OOL252" s="537"/>
      <c r="OOM252" s="537"/>
      <c r="OON252" s="537"/>
      <c r="OOO252" s="537"/>
      <c r="OOP252" s="537"/>
      <c r="OOQ252" s="537"/>
      <c r="OOR252" s="537"/>
      <c r="OOS252" s="537"/>
      <c r="OOT252" s="537"/>
      <c r="OOU252" s="537"/>
      <c r="OOV252" s="537"/>
      <c r="OOW252" s="537"/>
      <c r="OOX252" s="537"/>
      <c r="OOY252" s="537"/>
      <c r="OOZ252" s="537"/>
      <c r="OPA252" s="537"/>
      <c r="OPB252" s="537"/>
      <c r="OPC252" s="537"/>
      <c r="OPD252" s="537"/>
      <c r="OPE252" s="537"/>
      <c r="OPF252" s="537"/>
      <c r="OPG252" s="537"/>
      <c r="OPH252" s="537"/>
      <c r="OPI252" s="537"/>
      <c r="OPJ252" s="537"/>
      <c r="OPK252" s="537"/>
      <c r="OPL252" s="537"/>
      <c r="OPM252" s="537"/>
      <c r="OPN252" s="537"/>
      <c r="OPO252" s="537"/>
      <c r="OPP252" s="537"/>
      <c r="OPQ252" s="537"/>
      <c r="OPR252" s="537"/>
      <c r="OPS252" s="537"/>
      <c r="OPT252" s="537"/>
      <c r="OPU252" s="537"/>
      <c r="OPV252" s="537"/>
      <c r="OPW252" s="537"/>
      <c r="OPX252" s="537"/>
      <c r="OPY252" s="537"/>
      <c r="OPZ252" s="537"/>
      <c r="OQA252" s="537"/>
      <c r="OQB252" s="537"/>
      <c r="OQC252" s="537"/>
      <c r="OQD252" s="537"/>
      <c r="OQE252" s="537"/>
      <c r="OQF252" s="537"/>
      <c r="OQG252" s="537"/>
      <c r="OQH252" s="537"/>
      <c r="OQI252" s="537"/>
      <c r="OQJ252" s="537"/>
      <c r="OQK252" s="537"/>
      <c r="OQL252" s="537"/>
      <c r="OQM252" s="537"/>
      <c r="OQN252" s="537"/>
      <c r="OQO252" s="537"/>
      <c r="OQP252" s="537"/>
      <c r="OQQ252" s="537"/>
      <c r="OQR252" s="537"/>
      <c r="OQS252" s="537"/>
      <c r="OQT252" s="537"/>
      <c r="OQU252" s="537"/>
      <c r="OQV252" s="537"/>
      <c r="OQW252" s="537"/>
      <c r="OQX252" s="537"/>
      <c r="OQY252" s="537"/>
      <c r="OQZ252" s="537"/>
      <c r="ORA252" s="537"/>
      <c r="ORB252" s="537"/>
      <c r="ORC252" s="537"/>
      <c r="ORD252" s="537"/>
      <c r="ORE252" s="537"/>
      <c r="ORF252" s="537"/>
      <c r="ORG252" s="537"/>
      <c r="ORH252" s="537"/>
      <c r="ORI252" s="537"/>
      <c r="ORJ252" s="537"/>
      <c r="ORK252" s="537"/>
      <c r="ORL252" s="537"/>
      <c r="ORM252" s="537"/>
      <c r="ORN252" s="537"/>
      <c r="ORO252" s="537"/>
      <c r="ORP252" s="537"/>
      <c r="ORQ252" s="537"/>
      <c r="ORR252" s="537"/>
      <c r="ORS252" s="537"/>
      <c r="ORT252" s="537"/>
      <c r="ORU252" s="537"/>
      <c r="ORV252" s="537"/>
      <c r="ORW252" s="537"/>
      <c r="ORX252" s="537"/>
      <c r="ORY252" s="537"/>
      <c r="ORZ252" s="537"/>
      <c r="OSA252" s="537"/>
      <c r="OSB252" s="537"/>
      <c r="OSC252" s="537"/>
      <c r="OSD252" s="537"/>
      <c r="OSE252" s="537"/>
      <c r="OSF252" s="537"/>
      <c r="OSG252" s="537"/>
      <c r="OSH252" s="537"/>
      <c r="OSI252" s="537"/>
      <c r="OSJ252" s="537"/>
      <c r="OSK252" s="537"/>
      <c r="OSL252" s="537"/>
      <c r="OSM252" s="537"/>
      <c r="OSN252" s="537"/>
      <c r="OSO252" s="537"/>
      <c r="OSP252" s="537"/>
      <c r="OSQ252" s="537"/>
      <c r="OSR252" s="537"/>
      <c r="OSS252" s="537"/>
      <c r="OST252" s="537"/>
      <c r="OSU252" s="537"/>
      <c r="OSV252" s="537"/>
      <c r="OSW252" s="537"/>
      <c r="OSX252" s="537"/>
      <c r="OSY252" s="537"/>
      <c r="OSZ252" s="537"/>
      <c r="OTA252" s="537"/>
      <c r="OTB252" s="537"/>
      <c r="OTC252" s="537"/>
      <c r="OTD252" s="537"/>
      <c r="OTE252" s="537"/>
      <c r="OTF252" s="537"/>
      <c r="OTG252" s="537"/>
      <c r="OTH252" s="537"/>
      <c r="OTI252" s="537"/>
      <c r="OTJ252" s="537"/>
      <c r="OTK252" s="537"/>
      <c r="OTL252" s="537"/>
      <c r="OTM252" s="537"/>
      <c r="OTN252" s="537"/>
      <c r="OTO252" s="537"/>
      <c r="OTP252" s="537"/>
      <c r="OTQ252" s="537"/>
      <c r="OTR252" s="537"/>
      <c r="OTS252" s="537"/>
      <c r="OTT252" s="537"/>
      <c r="OTU252" s="537"/>
      <c r="OTV252" s="537"/>
      <c r="OTW252" s="537"/>
      <c r="OTX252" s="537"/>
      <c r="OTY252" s="537"/>
      <c r="OTZ252" s="537"/>
      <c r="OUA252" s="537"/>
      <c r="OUB252" s="537"/>
      <c r="OUC252" s="537"/>
      <c r="OUD252" s="537"/>
      <c r="OUE252" s="537"/>
      <c r="OUF252" s="537"/>
      <c r="OUG252" s="537"/>
      <c r="OUH252" s="537"/>
      <c r="OUI252" s="537"/>
      <c r="OUJ252" s="537"/>
      <c r="OUK252" s="537"/>
      <c r="OUL252" s="537"/>
      <c r="OUM252" s="537"/>
      <c r="OUN252" s="537"/>
      <c r="OUO252" s="537"/>
      <c r="OUP252" s="537"/>
      <c r="OUQ252" s="537"/>
      <c r="OUR252" s="537"/>
      <c r="OUS252" s="537"/>
      <c r="OUT252" s="537"/>
      <c r="OUU252" s="537"/>
      <c r="OUV252" s="537"/>
      <c r="OUW252" s="537"/>
      <c r="OUX252" s="537"/>
      <c r="OUY252" s="537"/>
      <c r="OUZ252" s="537"/>
      <c r="OVA252" s="537"/>
      <c r="OVB252" s="537"/>
      <c r="OVC252" s="537"/>
      <c r="OVD252" s="537"/>
      <c r="OVE252" s="537"/>
      <c r="OVF252" s="537"/>
      <c r="OVG252" s="537"/>
      <c r="OVH252" s="537"/>
      <c r="OVI252" s="537"/>
      <c r="OVJ252" s="537"/>
      <c r="OVK252" s="537"/>
      <c r="OVL252" s="537"/>
      <c r="OVM252" s="537"/>
      <c r="OVN252" s="537"/>
      <c r="OVO252" s="537"/>
      <c r="OVP252" s="537"/>
      <c r="OVQ252" s="537"/>
      <c r="OVR252" s="537"/>
      <c r="OVS252" s="537"/>
      <c r="OVT252" s="537"/>
      <c r="OVU252" s="537"/>
      <c r="OVV252" s="537"/>
      <c r="OVW252" s="537"/>
      <c r="OVX252" s="537"/>
      <c r="OVY252" s="537"/>
      <c r="OVZ252" s="537"/>
      <c r="OWA252" s="537"/>
      <c r="OWB252" s="537"/>
      <c r="OWC252" s="537"/>
      <c r="OWD252" s="537"/>
      <c r="OWE252" s="537"/>
      <c r="OWF252" s="537"/>
      <c r="OWG252" s="537"/>
      <c r="OWH252" s="537"/>
      <c r="OWI252" s="537"/>
      <c r="OWJ252" s="537"/>
      <c r="OWK252" s="537"/>
      <c r="OWL252" s="537"/>
      <c r="OWM252" s="537"/>
      <c r="OWN252" s="537"/>
      <c r="OWO252" s="537"/>
      <c r="OWP252" s="537"/>
      <c r="OWQ252" s="537"/>
      <c r="OWR252" s="537"/>
      <c r="OWS252" s="537"/>
      <c r="OWT252" s="537"/>
      <c r="OWU252" s="537"/>
      <c r="OWV252" s="537"/>
      <c r="OWW252" s="537"/>
      <c r="OWX252" s="537"/>
      <c r="OWY252" s="537"/>
      <c r="OWZ252" s="537"/>
      <c r="OXA252" s="537"/>
      <c r="OXB252" s="537"/>
      <c r="OXC252" s="537"/>
      <c r="OXD252" s="537"/>
      <c r="OXE252" s="537"/>
      <c r="OXF252" s="537"/>
      <c r="OXG252" s="537"/>
      <c r="OXH252" s="537"/>
      <c r="OXI252" s="537"/>
      <c r="OXJ252" s="537"/>
      <c r="OXK252" s="537"/>
      <c r="OXL252" s="537"/>
      <c r="OXM252" s="537"/>
      <c r="OXN252" s="537"/>
      <c r="OXO252" s="537"/>
      <c r="OXP252" s="537"/>
      <c r="OXQ252" s="537"/>
      <c r="OXR252" s="537"/>
      <c r="OXS252" s="537"/>
      <c r="OXT252" s="537"/>
      <c r="OXU252" s="537"/>
      <c r="OXV252" s="537"/>
      <c r="OXW252" s="537"/>
      <c r="OXX252" s="537"/>
      <c r="OXY252" s="537"/>
      <c r="OXZ252" s="537"/>
      <c r="OYA252" s="537"/>
      <c r="OYB252" s="537"/>
      <c r="OYC252" s="537"/>
      <c r="OYD252" s="537"/>
      <c r="OYE252" s="537"/>
      <c r="OYF252" s="537"/>
      <c r="OYG252" s="537"/>
      <c r="OYH252" s="537"/>
      <c r="OYI252" s="537"/>
      <c r="OYJ252" s="537"/>
      <c r="OYK252" s="537"/>
      <c r="OYL252" s="537"/>
      <c r="OYM252" s="537"/>
      <c r="OYN252" s="537"/>
      <c r="OYO252" s="537"/>
      <c r="OYP252" s="537"/>
      <c r="OYQ252" s="537"/>
      <c r="OYR252" s="537"/>
      <c r="OYS252" s="537"/>
      <c r="OYT252" s="537"/>
      <c r="OYU252" s="537"/>
      <c r="OYV252" s="537"/>
      <c r="OYW252" s="537"/>
      <c r="OYX252" s="537"/>
      <c r="OYY252" s="537"/>
      <c r="OYZ252" s="537"/>
      <c r="OZA252" s="537"/>
      <c r="OZB252" s="537"/>
      <c r="OZC252" s="537"/>
      <c r="OZD252" s="537"/>
      <c r="OZE252" s="537"/>
      <c r="OZF252" s="537"/>
      <c r="OZG252" s="537"/>
      <c r="OZH252" s="537"/>
      <c r="OZI252" s="537"/>
      <c r="OZJ252" s="537"/>
      <c r="OZK252" s="537"/>
      <c r="OZL252" s="537"/>
      <c r="OZM252" s="537"/>
      <c r="OZN252" s="537"/>
      <c r="OZO252" s="537"/>
      <c r="OZP252" s="537"/>
      <c r="OZQ252" s="537"/>
      <c r="OZR252" s="537"/>
      <c r="OZS252" s="537"/>
      <c r="OZT252" s="537"/>
      <c r="OZU252" s="537"/>
      <c r="OZV252" s="537"/>
      <c r="OZW252" s="537"/>
      <c r="OZX252" s="537"/>
      <c r="OZY252" s="537"/>
      <c r="OZZ252" s="537"/>
      <c r="PAA252" s="537"/>
      <c r="PAB252" s="537"/>
      <c r="PAC252" s="537"/>
      <c r="PAD252" s="537"/>
      <c r="PAE252" s="537"/>
      <c r="PAF252" s="537"/>
      <c r="PAG252" s="537"/>
      <c r="PAH252" s="537"/>
      <c r="PAI252" s="537"/>
      <c r="PAJ252" s="537"/>
      <c r="PAK252" s="537"/>
      <c r="PAL252" s="537"/>
      <c r="PAM252" s="537"/>
      <c r="PAN252" s="537"/>
      <c r="PAO252" s="537"/>
      <c r="PAP252" s="537"/>
      <c r="PAQ252" s="537"/>
      <c r="PAR252" s="537"/>
      <c r="PAS252" s="537"/>
      <c r="PAT252" s="537"/>
      <c r="PAU252" s="537"/>
      <c r="PAV252" s="537"/>
      <c r="PAW252" s="537"/>
      <c r="PAX252" s="537"/>
      <c r="PAY252" s="537"/>
      <c r="PAZ252" s="537"/>
      <c r="PBA252" s="537"/>
      <c r="PBB252" s="537"/>
      <c r="PBC252" s="537"/>
      <c r="PBD252" s="537"/>
      <c r="PBE252" s="537"/>
      <c r="PBF252" s="537"/>
      <c r="PBG252" s="537"/>
      <c r="PBH252" s="537"/>
      <c r="PBI252" s="537"/>
      <c r="PBJ252" s="537"/>
      <c r="PBK252" s="537"/>
      <c r="PBL252" s="537"/>
      <c r="PBM252" s="537"/>
      <c r="PBN252" s="537"/>
      <c r="PBO252" s="537"/>
      <c r="PBP252" s="537"/>
      <c r="PBQ252" s="537"/>
      <c r="PBR252" s="537"/>
      <c r="PBS252" s="537"/>
      <c r="PBT252" s="537"/>
      <c r="PBU252" s="537"/>
      <c r="PBV252" s="537"/>
      <c r="PBW252" s="537"/>
      <c r="PBX252" s="537"/>
      <c r="PBY252" s="537"/>
      <c r="PBZ252" s="537"/>
      <c r="PCA252" s="537"/>
      <c r="PCB252" s="537"/>
      <c r="PCC252" s="537"/>
      <c r="PCD252" s="537"/>
      <c r="PCE252" s="537"/>
      <c r="PCF252" s="537"/>
      <c r="PCG252" s="537"/>
      <c r="PCH252" s="537"/>
      <c r="PCI252" s="537"/>
      <c r="PCJ252" s="537"/>
      <c r="PCK252" s="537"/>
      <c r="PCL252" s="537"/>
      <c r="PCM252" s="537"/>
      <c r="PCN252" s="537"/>
      <c r="PCO252" s="537"/>
      <c r="PCP252" s="537"/>
      <c r="PCQ252" s="537"/>
      <c r="PCR252" s="537"/>
      <c r="PCS252" s="537"/>
      <c r="PCT252" s="537"/>
      <c r="PCU252" s="537"/>
      <c r="PCV252" s="537"/>
      <c r="PCW252" s="537"/>
      <c r="PCX252" s="537"/>
      <c r="PCY252" s="537"/>
      <c r="PCZ252" s="537"/>
      <c r="PDA252" s="537"/>
      <c r="PDB252" s="537"/>
      <c r="PDC252" s="537"/>
      <c r="PDD252" s="537"/>
      <c r="PDE252" s="537"/>
      <c r="PDF252" s="537"/>
      <c r="PDG252" s="537"/>
      <c r="PDH252" s="537"/>
      <c r="PDI252" s="537"/>
      <c r="PDJ252" s="537"/>
      <c r="PDK252" s="537"/>
      <c r="PDL252" s="537"/>
      <c r="PDM252" s="537"/>
      <c r="PDN252" s="537"/>
      <c r="PDO252" s="537"/>
      <c r="PDP252" s="537"/>
      <c r="PDQ252" s="537"/>
      <c r="PDR252" s="537"/>
      <c r="PDS252" s="537"/>
      <c r="PDT252" s="537"/>
      <c r="PDU252" s="537"/>
      <c r="PDV252" s="537"/>
      <c r="PDW252" s="537"/>
      <c r="PDX252" s="537"/>
      <c r="PDY252" s="537"/>
      <c r="PDZ252" s="537"/>
      <c r="PEA252" s="537"/>
      <c r="PEB252" s="537"/>
      <c r="PEC252" s="537"/>
      <c r="PED252" s="537"/>
      <c r="PEE252" s="537"/>
      <c r="PEF252" s="537"/>
      <c r="PEG252" s="537"/>
      <c r="PEH252" s="537"/>
      <c r="PEI252" s="537"/>
      <c r="PEJ252" s="537"/>
      <c r="PEK252" s="537"/>
      <c r="PEL252" s="537"/>
      <c r="PEM252" s="537"/>
      <c r="PEN252" s="537"/>
      <c r="PEO252" s="537"/>
      <c r="PEP252" s="537"/>
      <c r="PEQ252" s="537"/>
      <c r="PER252" s="537"/>
      <c r="PES252" s="537"/>
      <c r="PET252" s="537"/>
      <c r="PEU252" s="537"/>
      <c r="PEV252" s="537"/>
      <c r="PEW252" s="537"/>
      <c r="PEX252" s="537"/>
      <c r="PEY252" s="537"/>
      <c r="PEZ252" s="537"/>
      <c r="PFA252" s="537"/>
      <c r="PFB252" s="537"/>
      <c r="PFC252" s="537"/>
      <c r="PFD252" s="537"/>
      <c r="PFE252" s="537"/>
      <c r="PFF252" s="537"/>
      <c r="PFG252" s="537"/>
      <c r="PFH252" s="537"/>
      <c r="PFI252" s="537"/>
      <c r="PFJ252" s="537"/>
      <c r="PFK252" s="537"/>
      <c r="PFL252" s="537"/>
      <c r="PFM252" s="537"/>
      <c r="PFN252" s="537"/>
      <c r="PFO252" s="537"/>
      <c r="PFP252" s="537"/>
      <c r="PFQ252" s="537"/>
      <c r="PFR252" s="537"/>
      <c r="PFS252" s="537"/>
      <c r="PFT252" s="537"/>
      <c r="PFU252" s="537"/>
      <c r="PFV252" s="537"/>
      <c r="PFW252" s="537"/>
      <c r="PFX252" s="537"/>
      <c r="PFY252" s="537"/>
      <c r="PFZ252" s="537"/>
      <c r="PGA252" s="537"/>
      <c r="PGB252" s="537"/>
      <c r="PGC252" s="537"/>
      <c r="PGD252" s="537"/>
      <c r="PGE252" s="537"/>
      <c r="PGF252" s="537"/>
      <c r="PGG252" s="537"/>
      <c r="PGH252" s="537"/>
      <c r="PGI252" s="537"/>
      <c r="PGJ252" s="537"/>
      <c r="PGK252" s="537"/>
      <c r="PGL252" s="537"/>
      <c r="PGM252" s="537"/>
      <c r="PGN252" s="537"/>
      <c r="PGO252" s="537"/>
      <c r="PGP252" s="537"/>
      <c r="PGQ252" s="537"/>
      <c r="PGR252" s="537"/>
      <c r="PGS252" s="537"/>
      <c r="PGT252" s="537"/>
      <c r="PGU252" s="537"/>
      <c r="PGV252" s="537"/>
      <c r="PGW252" s="537"/>
      <c r="PGX252" s="537"/>
      <c r="PGY252" s="537"/>
      <c r="PGZ252" s="537"/>
      <c r="PHA252" s="537"/>
      <c r="PHB252" s="537"/>
      <c r="PHC252" s="537"/>
      <c r="PHD252" s="537"/>
      <c r="PHE252" s="537"/>
      <c r="PHF252" s="537"/>
      <c r="PHG252" s="537"/>
      <c r="PHH252" s="537"/>
      <c r="PHI252" s="537"/>
      <c r="PHJ252" s="537"/>
      <c r="PHK252" s="537"/>
      <c r="PHL252" s="537"/>
      <c r="PHM252" s="537"/>
      <c r="PHN252" s="537"/>
      <c r="PHO252" s="537"/>
      <c r="PHP252" s="537"/>
      <c r="PHQ252" s="537"/>
      <c r="PHR252" s="537"/>
      <c r="PHS252" s="537"/>
      <c r="PHT252" s="537"/>
      <c r="PHU252" s="537"/>
      <c r="PHV252" s="537"/>
      <c r="PHW252" s="537"/>
      <c r="PHX252" s="537"/>
      <c r="PHY252" s="537"/>
      <c r="PHZ252" s="537"/>
      <c r="PIA252" s="537"/>
      <c r="PIB252" s="537"/>
      <c r="PIC252" s="537"/>
      <c r="PID252" s="537"/>
      <c r="PIE252" s="537"/>
      <c r="PIF252" s="537"/>
      <c r="PIG252" s="537"/>
      <c r="PIH252" s="537"/>
      <c r="PII252" s="537"/>
      <c r="PIJ252" s="537"/>
      <c r="PIK252" s="537"/>
      <c r="PIL252" s="537"/>
      <c r="PIM252" s="537"/>
      <c r="PIN252" s="537"/>
      <c r="PIO252" s="537"/>
      <c r="PIP252" s="537"/>
      <c r="PIQ252" s="537"/>
      <c r="PIR252" s="537"/>
      <c r="PIS252" s="537"/>
      <c r="PIT252" s="537"/>
      <c r="PIU252" s="537"/>
      <c r="PIV252" s="537"/>
      <c r="PIW252" s="537"/>
      <c r="PIX252" s="537"/>
      <c r="PIY252" s="537"/>
      <c r="PIZ252" s="537"/>
      <c r="PJA252" s="537"/>
      <c r="PJB252" s="537"/>
      <c r="PJC252" s="537"/>
      <c r="PJD252" s="537"/>
      <c r="PJE252" s="537"/>
      <c r="PJF252" s="537"/>
      <c r="PJG252" s="537"/>
      <c r="PJH252" s="537"/>
      <c r="PJI252" s="537"/>
      <c r="PJJ252" s="537"/>
      <c r="PJK252" s="537"/>
      <c r="PJL252" s="537"/>
      <c r="PJM252" s="537"/>
      <c r="PJN252" s="537"/>
      <c r="PJO252" s="537"/>
      <c r="PJP252" s="537"/>
      <c r="PJQ252" s="537"/>
      <c r="PJR252" s="537"/>
      <c r="PJS252" s="537"/>
      <c r="PJT252" s="537"/>
      <c r="PJU252" s="537"/>
      <c r="PJV252" s="537"/>
      <c r="PJW252" s="537"/>
      <c r="PJX252" s="537"/>
      <c r="PJY252" s="537"/>
      <c r="PJZ252" s="537"/>
      <c r="PKA252" s="537"/>
      <c r="PKB252" s="537"/>
      <c r="PKC252" s="537"/>
      <c r="PKD252" s="537"/>
      <c r="PKE252" s="537"/>
      <c r="PKF252" s="537"/>
      <c r="PKG252" s="537"/>
      <c r="PKH252" s="537"/>
      <c r="PKI252" s="537"/>
      <c r="PKJ252" s="537"/>
      <c r="PKK252" s="537"/>
      <c r="PKL252" s="537"/>
      <c r="PKM252" s="537"/>
      <c r="PKN252" s="537"/>
      <c r="PKO252" s="537"/>
      <c r="PKP252" s="537"/>
      <c r="PKQ252" s="537"/>
      <c r="PKR252" s="537"/>
      <c r="PKS252" s="537"/>
      <c r="PKT252" s="537"/>
      <c r="PKU252" s="537"/>
      <c r="PKV252" s="537"/>
      <c r="PKW252" s="537"/>
      <c r="PKX252" s="537"/>
      <c r="PKY252" s="537"/>
      <c r="PKZ252" s="537"/>
      <c r="PLA252" s="537"/>
      <c r="PLB252" s="537"/>
      <c r="PLC252" s="537"/>
      <c r="PLD252" s="537"/>
      <c r="PLE252" s="537"/>
      <c r="PLF252" s="537"/>
      <c r="PLG252" s="537"/>
      <c r="PLH252" s="537"/>
      <c r="PLI252" s="537"/>
      <c r="PLJ252" s="537"/>
      <c r="PLK252" s="537"/>
      <c r="PLL252" s="537"/>
      <c r="PLM252" s="537"/>
      <c r="PLN252" s="537"/>
      <c r="PLO252" s="537"/>
      <c r="PLP252" s="537"/>
      <c r="PLQ252" s="537"/>
      <c r="PLR252" s="537"/>
      <c r="PLS252" s="537"/>
      <c r="PLT252" s="537"/>
      <c r="PLU252" s="537"/>
      <c r="PLV252" s="537"/>
      <c r="PLW252" s="537"/>
      <c r="PLX252" s="537"/>
      <c r="PLY252" s="537"/>
      <c r="PLZ252" s="537"/>
      <c r="PMA252" s="537"/>
      <c r="PMB252" s="537"/>
      <c r="PMC252" s="537"/>
      <c r="PMD252" s="537"/>
      <c r="PME252" s="537"/>
      <c r="PMF252" s="537"/>
      <c r="PMG252" s="537"/>
      <c r="PMH252" s="537"/>
      <c r="PMI252" s="537"/>
      <c r="PMJ252" s="537"/>
      <c r="PMK252" s="537"/>
      <c r="PML252" s="537"/>
      <c r="PMM252" s="537"/>
      <c r="PMN252" s="537"/>
      <c r="PMO252" s="537"/>
      <c r="PMP252" s="537"/>
      <c r="PMQ252" s="537"/>
      <c r="PMR252" s="537"/>
      <c r="PMS252" s="537"/>
      <c r="PMT252" s="537"/>
      <c r="PMU252" s="537"/>
      <c r="PMV252" s="537"/>
      <c r="PMW252" s="537"/>
      <c r="PMX252" s="537"/>
      <c r="PMY252" s="537"/>
      <c r="PMZ252" s="537"/>
      <c r="PNA252" s="537"/>
      <c r="PNB252" s="537"/>
      <c r="PNC252" s="537"/>
      <c r="PND252" s="537"/>
      <c r="PNE252" s="537"/>
      <c r="PNF252" s="537"/>
      <c r="PNG252" s="537"/>
      <c r="PNH252" s="537"/>
      <c r="PNI252" s="537"/>
      <c r="PNJ252" s="537"/>
      <c r="PNK252" s="537"/>
      <c r="PNL252" s="537"/>
      <c r="PNM252" s="537"/>
      <c r="PNN252" s="537"/>
      <c r="PNO252" s="537"/>
      <c r="PNP252" s="537"/>
      <c r="PNQ252" s="537"/>
      <c r="PNR252" s="537"/>
      <c r="PNS252" s="537"/>
      <c r="PNT252" s="537"/>
      <c r="PNU252" s="537"/>
      <c r="PNV252" s="537"/>
      <c r="PNW252" s="537"/>
      <c r="PNX252" s="537"/>
      <c r="PNY252" s="537"/>
      <c r="PNZ252" s="537"/>
      <c r="POA252" s="537"/>
      <c r="POB252" s="537"/>
      <c r="POC252" s="537"/>
      <c r="POD252" s="537"/>
      <c r="POE252" s="537"/>
      <c r="POF252" s="537"/>
      <c r="POG252" s="537"/>
      <c r="POH252" s="537"/>
      <c r="POI252" s="537"/>
      <c r="POJ252" s="537"/>
      <c r="POK252" s="537"/>
      <c r="POL252" s="537"/>
      <c r="POM252" s="537"/>
      <c r="PON252" s="537"/>
      <c r="POO252" s="537"/>
      <c r="POP252" s="537"/>
      <c r="POQ252" s="537"/>
      <c r="POR252" s="537"/>
      <c r="POS252" s="537"/>
      <c r="POT252" s="537"/>
      <c r="POU252" s="537"/>
      <c r="POV252" s="537"/>
      <c r="POW252" s="537"/>
      <c r="POX252" s="537"/>
      <c r="POY252" s="537"/>
      <c r="POZ252" s="537"/>
      <c r="PPA252" s="537"/>
      <c r="PPB252" s="537"/>
      <c r="PPC252" s="537"/>
      <c r="PPD252" s="537"/>
      <c r="PPE252" s="537"/>
      <c r="PPF252" s="537"/>
      <c r="PPG252" s="537"/>
      <c r="PPH252" s="537"/>
      <c r="PPI252" s="537"/>
      <c r="PPJ252" s="537"/>
      <c r="PPK252" s="537"/>
      <c r="PPL252" s="537"/>
      <c r="PPM252" s="537"/>
      <c r="PPN252" s="537"/>
      <c r="PPO252" s="537"/>
      <c r="PPP252" s="537"/>
      <c r="PPQ252" s="537"/>
      <c r="PPR252" s="537"/>
      <c r="PPS252" s="537"/>
      <c r="PPT252" s="537"/>
      <c r="PPU252" s="537"/>
      <c r="PPV252" s="537"/>
      <c r="PPW252" s="537"/>
      <c r="PPX252" s="537"/>
      <c r="PPY252" s="537"/>
      <c r="PPZ252" s="537"/>
      <c r="PQA252" s="537"/>
      <c r="PQB252" s="537"/>
      <c r="PQC252" s="537"/>
      <c r="PQD252" s="537"/>
      <c r="PQE252" s="537"/>
      <c r="PQF252" s="537"/>
      <c r="PQG252" s="537"/>
      <c r="PQH252" s="537"/>
      <c r="PQI252" s="537"/>
      <c r="PQJ252" s="537"/>
      <c r="PQK252" s="537"/>
      <c r="PQL252" s="537"/>
      <c r="PQM252" s="537"/>
      <c r="PQN252" s="537"/>
      <c r="PQO252" s="537"/>
      <c r="PQP252" s="537"/>
      <c r="PQQ252" s="537"/>
      <c r="PQR252" s="537"/>
      <c r="PQS252" s="537"/>
      <c r="PQT252" s="537"/>
      <c r="PQU252" s="537"/>
      <c r="PQV252" s="537"/>
      <c r="PQW252" s="537"/>
      <c r="PQX252" s="537"/>
      <c r="PQY252" s="537"/>
      <c r="PQZ252" s="537"/>
      <c r="PRA252" s="537"/>
      <c r="PRB252" s="537"/>
      <c r="PRC252" s="537"/>
      <c r="PRD252" s="537"/>
      <c r="PRE252" s="537"/>
      <c r="PRF252" s="537"/>
      <c r="PRG252" s="537"/>
      <c r="PRH252" s="537"/>
      <c r="PRI252" s="537"/>
      <c r="PRJ252" s="537"/>
      <c r="PRK252" s="537"/>
      <c r="PRL252" s="537"/>
      <c r="PRM252" s="537"/>
      <c r="PRN252" s="537"/>
      <c r="PRO252" s="537"/>
      <c r="PRP252" s="537"/>
      <c r="PRQ252" s="537"/>
      <c r="PRR252" s="537"/>
      <c r="PRS252" s="537"/>
      <c r="PRT252" s="537"/>
      <c r="PRU252" s="537"/>
      <c r="PRV252" s="537"/>
      <c r="PRW252" s="537"/>
      <c r="PRX252" s="537"/>
      <c r="PRY252" s="537"/>
      <c r="PRZ252" s="537"/>
      <c r="PSA252" s="537"/>
      <c r="PSB252" s="537"/>
      <c r="PSC252" s="537"/>
      <c r="PSD252" s="537"/>
      <c r="PSE252" s="537"/>
      <c r="PSF252" s="537"/>
      <c r="PSG252" s="537"/>
      <c r="PSH252" s="537"/>
      <c r="PSI252" s="537"/>
      <c r="PSJ252" s="537"/>
      <c r="PSK252" s="537"/>
      <c r="PSL252" s="537"/>
      <c r="PSM252" s="537"/>
      <c r="PSN252" s="537"/>
      <c r="PSO252" s="537"/>
      <c r="PSP252" s="537"/>
      <c r="PSQ252" s="537"/>
      <c r="PSR252" s="537"/>
      <c r="PSS252" s="537"/>
      <c r="PST252" s="537"/>
      <c r="PSU252" s="537"/>
      <c r="PSV252" s="537"/>
      <c r="PSW252" s="537"/>
      <c r="PSX252" s="537"/>
      <c r="PSY252" s="537"/>
      <c r="PSZ252" s="537"/>
      <c r="PTA252" s="537"/>
      <c r="PTB252" s="537"/>
      <c r="PTC252" s="537"/>
      <c r="PTD252" s="537"/>
      <c r="PTE252" s="537"/>
      <c r="PTF252" s="537"/>
      <c r="PTG252" s="537"/>
      <c r="PTH252" s="537"/>
      <c r="PTI252" s="537"/>
      <c r="PTJ252" s="537"/>
      <c r="PTK252" s="537"/>
      <c r="PTL252" s="537"/>
      <c r="PTM252" s="537"/>
      <c r="PTN252" s="537"/>
      <c r="PTO252" s="537"/>
      <c r="PTP252" s="537"/>
      <c r="PTQ252" s="537"/>
      <c r="PTR252" s="537"/>
      <c r="PTS252" s="537"/>
      <c r="PTT252" s="537"/>
      <c r="PTU252" s="537"/>
      <c r="PTV252" s="537"/>
      <c r="PTW252" s="537"/>
      <c r="PTX252" s="537"/>
      <c r="PTY252" s="537"/>
      <c r="PTZ252" s="537"/>
      <c r="PUA252" s="537"/>
      <c r="PUB252" s="537"/>
      <c r="PUC252" s="537"/>
      <c r="PUD252" s="537"/>
      <c r="PUE252" s="537"/>
      <c r="PUF252" s="537"/>
      <c r="PUG252" s="537"/>
      <c r="PUH252" s="537"/>
      <c r="PUI252" s="537"/>
      <c r="PUJ252" s="537"/>
      <c r="PUK252" s="537"/>
      <c r="PUL252" s="537"/>
      <c r="PUM252" s="537"/>
      <c r="PUN252" s="537"/>
      <c r="PUO252" s="537"/>
      <c r="PUP252" s="537"/>
      <c r="PUQ252" s="537"/>
      <c r="PUR252" s="537"/>
      <c r="PUS252" s="537"/>
      <c r="PUT252" s="537"/>
      <c r="PUU252" s="537"/>
      <c r="PUV252" s="537"/>
      <c r="PUW252" s="537"/>
      <c r="PUX252" s="537"/>
      <c r="PUY252" s="537"/>
      <c r="PUZ252" s="537"/>
      <c r="PVA252" s="537"/>
      <c r="PVB252" s="537"/>
      <c r="PVC252" s="537"/>
      <c r="PVD252" s="537"/>
      <c r="PVE252" s="537"/>
      <c r="PVF252" s="537"/>
      <c r="PVG252" s="537"/>
      <c r="PVH252" s="537"/>
      <c r="PVI252" s="537"/>
      <c r="PVJ252" s="537"/>
      <c r="PVK252" s="537"/>
      <c r="PVL252" s="537"/>
      <c r="PVM252" s="537"/>
      <c r="PVN252" s="537"/>
      <c r="PVO252" s="537"/>
      <c r="PVP252" s="537"/>
      <c r="PVQ252" s="537"/>
      <c r="PVR252" s="537"/>
      <c r="PVS252" s="537"/>
      <c r="PVT252" s="537"/>
      <c r="PVU252" s="537"/>
      <c r="PVV252" s="537"/>
      <c r="PVW252" s="537"/>
      <c r="PVX252" s="537"/>
      <c r="PVY252" s="537"/>
      <c r="PVZ252" s="537"/>
      <c r="PWA252" s="537"/>
      <c r="PWB252" s="537"/>
      <c r="PWC252" s="537"/>
      <c r="PWD252" s="537"/>
      <c r="PWE252" s="537"/>
      <c r="PWF252" s="537"/>
      <c r="PWG252" s="537"/>
      <c r="PWH252" s="537"/>
      <c r="PWI252" s="537"/>
      <c r="PWJ252" s="537"/>
      <c r="PWK252" s="537"/>
      <c r="PWL252" s="537"/>
      <c r="PWM252" s="537"/>
      <c r="PWN252" s="537"/>
      <c r="PWO252" s="537"/>
      <c r="PWP252" s="537"/>
      <c r="PWQ252" s="537"/>
      <c r="PWR252" s="537"/>
      <c r="PWS252" s="537"/>
      <c r="PWT252" s="537"/>
      <c r="PWU252" s="537"/>
      <c r="PWV252" s="537"/>
      <c r="PWW252" s="537"/>
      <c r="PWX252" s="537"/>
      <c r="PWY252" s="537"/>
      <c r="PWZ252" s="537"/>
      <c r="PXA252" s="537"/>
      <c r="PXB252" s="537"/>
      <c r="PXC252" s="537"/>
      <c r="PXD252" s="537"/>
      <c r="PXE252" s="537"/>
      <c r="PXF252" s="537"/>
      <c r="PXG252" s="537"/>
      <c r="PXH252" s="537"/>
      <c r="PXI252" s="537"/>
      <c r="PXJ252" s="537"/>
      <c r="PXK252" s="537"/>
      <c r="PXL252" s="537"/>
      <c r="PXM252" s="537"/>
      <c r="PXN252" s="537"/>
      <c r="PXO252" s="537"/>
      <c r="PXP252" s="537"/>
      <c r="PXQ252" s="537"/>
      <c r="PXR252" s="537"/>
      <c r="PXS252" s="537"/>
      <c r="PXT252" s="537"/>
      <c r="PXU252" s="537"/>
      <c r="PXV252" s="537"/>
      <c r="PXW252" s="537"/>
      <c r="PXX252" s="537"/>
      <c r="PXY252" s="537"/>
      <c r="PXZ252" s="537"/>
      <c r="PYA252" s="537"/>
      <c r="PYB252" s="537"/>
      <c r="PYC252" s="537"/>
      <c r="PYD252" s="537"/>
      <c r="PYE252" s="537"/>
      <c r="PYF252" s="537"/>
      <c r="PYG252" s="537"/>
      <c r="PYH252" s="537"/>
      <c r="PYI252" s="537"/>
      <c r="PYJ252" s="537"/>
      <c r="PYK252" s="537"/>
      <c r="PYL252" s="537"/>
      <c r="PYM252" s="537"/>
      <c r="PYN252" s="537"/>
      <c r="PYO252" s="537"/>
      <c r="PYP252" s="537"/>
      <c r="PYQ252" s="537"/>
      <c r="PYR252" s="537"/>
      <c r="PYS252" s="537"/>
      <c r="PYT252" s="537"/>
      <c r="PYU252" s="537"/>
      <c r="PYV252" s="537"/>
      <c r="PYW252" s="537"/>
      <c r="PYX252" s="537"/>
      <c r="PYY252" s="537"/>
      <c r="PYZ252" s="537"/>
      <c r="PZA252" s="537"/>
      <c r="PZB252" s="537"/>
      <c r="PZC252" s="537"/>
      <c r="PZD252" s="537"/>
      <c r="PZE252" s="537"/>
      <c r="PZF252" s="537"/>
      <c r="PZG252" s="537"/>
      <c r="PZH252" s="537"/>
      <c r="PZI252" s="537"/>
      <c r="PZJ252" s="537"/>
      <c r="PZK252" s="537"/>
      <c r="PZL252" s="537"/>
      <c r="PZM252" s="537"/>
      <c r="PZN252" s="537"/>
      <c r="PZO252" s="537"/>
      <c r="PZP252" s="537"/>
      <c r="PZQ252" s="537"/>
      <c r="PZR252" s="537"/>
      <c r="PZS252" s="537"/>
      <c r="PZT252" s="537"/>
      <c r="PZU252" s="537"/>
      <c r="PZV252" s="537"/>
      <c r="PZW252" s="537"/>
      <c r="PZX252" s="537"/>
      <c r="PZY252" s="537"/>
      <c r="PZZ252" s="537"/>
      <c r="QAA252" s="537"/>
      <c r="QAB252" s="537"/>
      <c r="QAC252" s="537"/>
      <c r="QAD252" s="537"/>
      <c r="QAE252" s="537"/>
      <c r="QAF252" s="537"/>
      <c r="QAG252" s="537"/>
      <c r="QAH252" s="537"/>
      <c r="QAI252" s="537"/>
      <c r="QAJ252" s="537"/>
      <c r="QAK252" s="537"/>
      <c r="QAL252" s="537"/>
      <c r="QAM252" s="537"/>
      <c r="QAN252" s="537"/>
      <c r="QAO252" s="537"/>
      <c r="QAP252" s="537"/>
      <c r="QAQ252" s="537"/>
      <c r="QAR252" s="537"/>
      <c r="QAS252" s="537"/>
      <c r="QAT252" s="537"/>
      <c r="QAU252" s="537"/>
      <c r="QAV252" s="537"/>
      <c r="QAW252" s="537"/>
      <c r="QAX252" s="537"/>
      <c r="QAY252" s="537"/>
      <c r="QAZ252" s="537"/>
      <c r="QBA252" s="537"/>
      <c r="QBB252" s="537"/>
      <c r="QBC252" s="537"/>
      <c r="QBD252" s="537"/>
      <c r="QBE252" s="537"/>
      <c r="QBF252" s="537"/>
      <c r="QBG252" s="537"/>
      <c r="QBH252" s="537"/>
      <c r="QBI252" s="537"/>
      <c r="QBJ252" s="537"/>
      <c r="QBK252" s="537"/>
      <c r="QBL252" s="537"/>
      <c r="QBM252" s="537"/>
      <c r="QBN252" s="537"/>
      <c r="QBO252" s="537"/>
      <c r="QBP252" s="537"/>
      <c r="QBQ252" s="537"/>
      <c r="QBR252" s="537"/>
      <c r="QBS252" s="537"/>
      <c r="QBT252" s="537"/>
      <c r="QBU252" s="537"/>
      <c r="QBV252" s="537"/>
      <c r="QBW252" s="537"/>
      <c r="QBX252" s="537"/>
      <c r="QBY252" s="537"/>
      <c r="QBZ252" s="537"/>
      <c r="QCA252" s="537"/>
      <c r="QCB252" s="537"/>
      <c r="QCC252" s="537"/>
      <c r="QCD252" s="537"/>
      <c r="QCE252" s="537"/>
      <c r="QCF252" s="537"/>
      <c r="QCG252" s="537"/>
      <c r="QCH252" s="537"/>
      <c r="QCI252" s="537"/>
      <c r="QCJ252" s="537"/>
      <c r="QCK252" s="537"/>
      <c r="QCL252" s="537"/>
      <c r="QCM252" s="537"/>
      <c r="QCN252" s="537"/>
      <c r="QCO252" s="537"/>
      <c r="QCP252" s="537"/>
      <c r="QCQ252" s="537"/>
      <c r="QCR252" s="537"/>
      <c r="QCS252" s="537"/>
      <c r="QCT252" s="537"/>
      <c r="QCU252" s="537"/>
      <c r="QCV252" s="537"/>
      <c r="QCW252" s="537"/>
      <c r="QCX252" s="537"/>
      <c r="QCY252" s="537"/>
      <c r="QCZ252" s="537"/>
      <c r="QDA252" s="537"/>
      <c r="QDB252" s="537"/>
      <c r="QDC252" s="537"/>
      <c r="QDD252" s="537"/>
      <c r="QDE252" s="537"/>
      <c r="QDF252" s="537"/>
      <c r="QDG252" s="537"/>
      <c r="QDH252" s="537"/>
      <c r="QDI252" s="537"/>
      <c r="QDJ252" s="537"/>
      <c r="QDK252" s="537"/>
      <c r="QDL252" s="537"/>
      <c r="QDM252" s="537"/>
      <c r="QDN252" s="537"/>
      <c r="QDO252" s="537"/>
      <c r="QDP252" s="537"/>
      <c r="QDQ252" s="537"/>
      <c r="QDR252" s="537"/>
      <c r="QDS252" s="537"/>
      <c r="QDT252" s="537"/>
      <c r="QDU252" s="537"/>
      <c r="QDV252" s="537"/>
      <c r="QDW252" s="537"/>
      <c r="QDX252" s="537"/>
      <c r="QDY252" s="537"/>
      <c r="QDZ252" s="537"/>
      <c r="QEA252" s="537"/>
      <c r="QEB252" s="537"/>
      <c r="QEC252" s="537"/>
      <c r="QED252" s="537"/>
      <c r="QEE252" s="537"/>
      <c r="QEF252" s="537"/>
      <c r="QEG252" s="537"/>
      <c r="QEH252" s="537"/>
      <c r="QEI252" s="537"/>
      <c r="QEJ252" s="537"/>
      <c r="QEK252" s="537"/>
      <c r="QEL252" s="537"/>
      <c r="QEM252" s="537"/>
      <c r="QEN252" s="537"/>
      <c r="QEO252" s="537"/>
      <c r="QEP252" s="537"/>
      <c r="QEQ252" s="537"/>
      <c r="QER252" s="537"/>
      <c r="QES252" s="537"/>
      <c r="QET252" s="537"/>
      <c r="QEU252" s="537"/>
      <c r="QEV252" s="537"/>
      <c r="QEW252" s="537"/>
      <c r="QEX252" s="537"/>
      <c r="QEY252" s="537"/>
      <c r="QEZ252" s="537"/>
      <c r="QFA252" s="537"/>
      <c r="QFB252" s="537"/>
      <c r="QFC252" s="537"/>
      <c r="QFD252" s="537"/>
      <c r="QFE252" s="537"/>
      <c r="QFF252" s="537"/>
      <c r="QFG252" s="537"/>
      <c r="QFH252" s="537"/>
      <c r="QFI252" s="537"/>
      <c r="QFJ252" s="537"/>
      <c r="QFK252" s="537"/>
      <c r="QFL252" s="537"/>
      <c r="QFM252" s="537"/>
      <c r="QFN252" s="537"/>
      <c r="QFO252" s="537"/>
      <c r="QFP252" s="537"/>
      <c r="QFQ252" s="537"/>
      <c r="QFR252" s="537"/>
      <c r="QFS252" s="537"/>
      <c r="QFT252" s="537"/>
      <c r="QFU252" s="537"/>
      <c r="QFV252" s="537"/>
      <c r="QFW252" s="537"/>
      <c r="QFX252" s="537"/>
      <c r="QFY252" s="537"/>
      <c r="QFZ252" s="537"/>
      <c r="QGA252" s="537"/>
      <c r="QGB252" s="537"/>
      <c r="QGC252" s="537"/>
      <c r="QGD252" s="537"/>
      <c r="QGE252" s="537"/>
      <c r="QGF252" s="537"/>
      <c r="QGG252" s="537"/>
      <c r="QGH252" s="537"/>
      <c r="QGI252" s="537"/>
      <c r="QGJ252" s="537"/>
      <c r="QGK252" s="537"/>
      <c r="QGL252" s="537"/>
      <c r="QGM252" s="537"/>
      <c r="QGN252" s="537"/>
      <c r="QGO252" s="537"/>
      <c r="QGP252" s="537"/>
      <c r="QGQ252" s="537"/>
      <c r="QGR252" s="537"/>
      <c r="QGS252" s="537"/>
      <c r="QGT252" s="537"/>
      <c r="QGU252" s="537"/>
      <c r="QGV252" s="537"/>
      <c r="QGW252" s="537"/>
      <c r="QGX252" s="537"/>
      <c r="QGY252" s="537"/>
      <c r="QGZ252" s="537"/>
      <c r="QHA252" s="537"/>
      <c r="QHB252" s="537"/>
      <c r="QHC252" s="537"/>
      <c r="QHD252" s="537"/>
      <c r="QHE252" s="537"/>
      <c r="QHF252" s="537"/>
      <c r="QHG252" s="537"/>
      <c r="QHH252" s="537"/>
      <c r="QHI252" s="537"/>
      <c r="QHJ252" s="537"/>
      <c r="QHK252" s="537"/>
      <c r="QHL252" s="537"/>
      <c r="QHM252" s="537"/>
      <c r="QHN252" s="537"/>
      <c r="QHO252" s="537"/>
      <c r="QHP252" s="537"/>
      <c r="QHQ252" s="537"/>
      <c r="QHR252" s="537"/>
      <c r="QHS252" s="537"/>
      <c r="QHT252" s="537"/>
      <c r="QHU252" s="537"/>
      <c r="QHV252" s="537"/>
      <c r="QHW252" s="537"/>
      <c r="QHX252" s="537"/>
      <c r="QHY252" s="537"/>
      <c r="QHZ252" s="537"/>
      <c r="QIA252" s="537"/>
      <c r="QIB252" s="537"/>
      <c r="QIC252" s="537"/>
      <c r="QID252" s="537"/>
      <c r="QIE252" s="537"/>
      <c r="QIF252" s="537"/>
      <c r="QIG252" s="537"/>
      <c r="QIH252" s="537"/>
      <c r="QII252" s="537"/>
      <c r="QIJ252" s="537"/>
      <c r="QIK252" s="537"/>
      <c r="QIL252" s="537"/>
      <c r="QIM252" s="537"/>
      <c r="QIN252" s="537"/>
      <c r="QIO252" s="537"/>
      <c r="QIP252" s="537"/>
      <c r="QIQ252" s="537"/>
      <c r="QIR252" s="537"/>
      <c r="QIS252" s="537"/>
      <c r="QIT252" s="537"/>
      <c r="QIU252" s="537"/>
      <c r="QIV252" s="537"/>
      <c r="QIW252" s="537"/>
      <c r="QIX252" s="537"/>
      <c r="QIY252" s="537"/>
      <c r="QIZ252" s="537"/>
      <c r="QJA252" s="537"/>
      <c r="QJB252" s="537"/>
      <c r="QJC252" s="537"/>
      <c r="QJD252" s="537"/>
      <c r="QJE252" s="537"/>
      <c r="QJF252" s="537"/>
      <c r="QJG252" s="537"/>
      <c r="QJH252" s="537"/>
      <c r="QJI252" s="537"/>
      <c r="QJJ252" s="537"/>
      <c r="QJK252" s="537"/>
      <c r="QJL252" s="537"/>
      <c r="QJM252" s="537"/>
      <c r="QJN252" s="537"/>
      <c r="QJO252" s="537"/>
      <c r="QJP252" s="537"/>
      <c r="QJQ252" s="537"/>
      <c r="QJR252" s="537"/>
      <c r="QJS252" s="537"/>
      <c r="QJT252" s="537"/>
      <c r="QJU252" s="537"/>
      <c r="QJV252" s="537"/>
      <c r="QJW252" s="537"/>
      <c r="QJX252" s="537"/>
      <c r="QJY252" s="537"/>
      <c r="QJZ252" s="537"/>
      <c r="QKA252" s="537"/>
      <c r="QKB252" s="537"/>
      <c r="QKC252" s="537"/>
      <c r="QKD252" s="537"/>
      <c r="QKE252" s="537"/>
      <c r="QKF252" s="537"/>
      <c r="QKG252" s="537"/>
      <c r="QKH252" s="537"/>
      <c r="QKI252" s="537"/>
      <c r="QKJ252" s="537"/>
      <c r="QKK252" s="537"/>
      <c r="QKL252" s="537"/>
      <c r="QKM252" s="537"/>
      <c r="QKN252" s="537"/>
      <c r="QKO252" s="537"/>
      <c r="QKP252" s="537"/>
      <c r="QKQ252" s="537"/>
      <c r="QKR252" s="537"/>
      <c r="QKS252" s="537"/>
      <c r="QKT252" s="537"/>
      <c r="QKU252" s="537"/>
      <c r="QKV252" s="537"/>
      <c r="QKW252" s="537"/>
      <c r="QKX252" s="537"/>
      <c r="QKY252" s="537"/>
      <c r="QKZ252" s="537"/>
      <c r="QLA252" s="537"/>
      <c r="QLB252" s="537"/>
      <c r="QLC252" s="537"/>
      <c r="QLD252" s="537"/>
      <c r="QLE252" s="537"/>
      <c r="QLF252" s="537"/>
      <c r="QLG252" s="537"/>
      <c r="QLH252" s="537"/>
      <c r="QLI252" s="537"/>
      <c r="QLJ252" s="537"/>
      <c r="QLK252" s="537"/>
      <c r="QLL252" s="537"/>
      <c r="QLM252" s="537"/>
      <c r="QLN252" s="537"/>
      <c r="QLO252" s="537"/>
      <c r="QLP252" s="537"/>
      <c r="QLQ252" s="537"/>
      <c r="QLR252" s="537"/>
      <c r="QLS252" s="537"/>
      <c r="QLT252" s="537"/>
      <c r="QLU252" s="537"/>
      <c r="QLV252" s="537"/>
      <c r="QLW252" s="537"/>
      <c r="QLX252" s="537"/>
      <c r="QLY252" s="537"/>
      <c r="QLZ252" s="537"/>
      <c r="QMA252" s="537"/>
      <c r="QMB252" s="537"/>
      <c r="QMC252" s="537"/>
      <c r="QMD252" s="537"/>
      <c r="QME252" s="537"/>
      <c r="QMF252" s="537"/>
      <c r="QMG252" s="537"/>
      <c r="QMH252" s="537"/>
      <c r="QMI252" s="537"/>
      <c r="QMJ252" s="537"/>
      <c r="QMK252" s="537"/>
      <c r="QML252" s="537"/>
      <c r="QMM252" s="537"/>
      <c r="QMN252" s="537"/>
      <c r="QMO252" s="537"/>
      <c r="QMP252" s="537"/>
      <c r="QMQ252" s="537"/>
      <c r="QMR252" s="537"/>
      <c r="QMS252" s="537"/>
      <c r="QMT252" s="537"/>
      <c r="QMU252" s="537"/>
      <c r="QMV252" s="537"/>
      <c r="QMW252" s="537"/>
      <c r="QMX252" s="537"/>
      <c r="QMY252" s="537"/>
      <c r="QMZ252" s="537"/>
      <c r="QNA252" s="537"/>
      <c r="QNB252" s="537"/>
      <c r="QNC252" s="537"/>
      <c r="QND252" s="537"/>
      <c r="QNE252" s="537"/>
      <c r="QNF252" s="537"/>
      <c r="QNG252" s="537"/>
      <c r="QNH252" s="537"/>
      <c r="QNI252" s="537"/>
      <c r="QNJ252" s="537"/>
      <c r="QNK252" s="537"/>
      <c r="QNL252" s="537"/>
      <c r="QNM252" s="537"/>
      <c r="QNN252" s="537"/>
      <c r="QNO252" s="537"/>
      <c r="QNP252" s="537"/>
      <c r="QNQ252" s="537"/>
      <c r="QNR252" s="537"/>
      <c r="QNS252" s="537"/>
      <c r="QNT252" s="537"/>
      <c r="QNU252" s="537"/>
      <c r="QNV252" s="537"/>
      <c r="QNW252" s="537"/>
      <c r="QNX252" s="537"/>
      <c r="QNY252" s="537"/>
      <c r="QNZ252" s="537"/>
      <c r="QOA252" s="537"/>
      <c r="QOB252" s="537"/>
      <c r="QOC252" s="537"/>
      <c r="QOD252" s="537"/>
      <c r="QOE252" s="537"/>
      <c r="QOF252" s="537"/>
      <c r="QOG252" s="537"/>
      <c r="QOH252" s="537"/>
      <c r="QOI252" s="537"/>
      <c r="QOJ252" s="537"/>
      <c r="QOK252" s="537"/>
      <c r="QOL252" s="537"/>
      <c r="QOM252" s="537"/>
      <c r="QON252" s="537"/>
      <c r="QOO252" s="537"/>
      <c r="QOP252" s="537"/>
      <c r="QOQ252" s="537"/>
      <c r="QOR252" s="537"/>
      <c r="QOS252" s="537"/>
      <c r="QOT252" s="537"/>
      <c r="QOU252" s="537"/>
      <c r="QOV252" s="537"/>
      <c r="QOW252" s="537"/>
      <c r="QOX252" s="537"/>
      <c r="QOY252" s="537"/>
      <c r="QOZ252" s="537"/>
      <c r="QPA252" s="537"/>
      <c r="QPB252" s="537"/>
      <c r="QPC252" s="537"/>
      <c r="QPD252" s="537"/>
      <c r="QPE252" s="537"/>
      <c r="QPF252" s="537"/>
      <c r="QPG252" s="537"/>
      <c r="QPH252" s="537"/>
      <c r="QPI252" s="537"/>
      <c r="QPJ252" s="537"/>
      <c r="QPK252" s="537"/>
      <c r="QPL252" s="537"/>
      <c r="QPM252" s="537"/>
      <c r="QPN252" s="537"/>
      <c r="QPO252" s="537"/>
      <c r="QPP252" s="537"/>
      <c r="QPQ252" s="537"/>
      <c r="QPR252" s="537"/>
      <c r="QPS252" s="537"/>
      <c r="QPT252" s="537"/>
      <c r="QPU252" s="537"/>
      <c r="QPV252" s="537"/>
      <c r="QPW252" s="537"/>
      <c r="QPX252" s="537"/>
      <c r="QPY252" s="537"/>
      <c r="QPZ252" s="537"/>
      <c r="QQA252" s="537"/>
      <c r="QQB252" s="537"/>
      <c r="QQC252" s="537"/>
      <c r="QQD252" s="537"/>
      <c r="QQE252" s="537"/>
      <c r="QQF252" s="537"/>
      <c r="QQG252" s="537"/>
      <c r="QQH252" s="537"/>
      <c r="QQI252" s="537"/>
      <c r="QQJ252" s="537"/>
      <c r="QQK252" s="537"/>
      <c r="QQL252" s="537"/>
      <c r="QQM252" s="537"/>
      <c r="QQN252" s="537"/>
      <c r="QQO252" s="537"/>
      <c r="QQP252" s="537"/>
      <c r="QQQ252" s="537"/>
      <c r="QQR252" s="537"/>
      <c r="QQS252" s="537"/>
      <c r="QQT252" s="537"/>
      <c r="QQU252" s="537"/>
      <c r="QQV252" s="537"/>
      <c r="QQW252" s="537"/>
      <c r="QQX252" s="537"/>
      <c r="QQY252" s="537"/>
      <c r="QQZ252" s="537"/>
      <c r="QRA252" s="537"/>
      <c r="QRB252" s="537"/>
      <c r="QRC252" s="537"/>
      <c r="QRD252" s="537"/>
      <c r="QRE252" s="537"/>
      <c r="QRF252" s="537"/>
      <c r="QRG252" s="537"/>
      <c r="QRH252" s="537"/>
      <c r="QRI252" s="537"/>
      <c r="QRJ252" s="537"/>
      <c r="QRK252" s="537"/>
      <c r="QRL252" s="537"/>
      <c r="QRM252" s="537"/>
      <c r="QRN252" s="537"/>
      <c r="QRO252" s="537"/>
      <c r="QRP252" s="537"/>
      <c r="QRQ252" s="537"/>
      <c r="QRR252" s="537"/>
      <c r="QRS252" s="537"/>
      <c r="QRT252" s="537"/>
      <c r="QRU252" s="537"/>
      <c r="QRV252" s="537"/>
      <c r="QRW252" s="537"/>
      <c r="QRX252" s="537"/>
      <c r="QRY252" s="537"/>
      <c r="QRZ252" s="537"/>
      <c r="QSA252" s="537"/>
      <c r="QSB252" s="537"/>
      <c r="QSC252" s="537"/>
      <c r="QSD252" s="537"/>
      <c r="QSE252" s="537"/>
      <c r="QSF252" s="537"/>
      <c r="QSG252" s="537"/>
      <c r="QSH252" s="537"/>
      <c r="QSI252" s="537"/>
      <c r="QSJ252" s="537"/>
      <c r="QSK252" s="537"/>
      <c r="QSL252" s="537"/>
      <c r="QSM252" s="537"/>
      <c r="QSN252" s="537"/>
      <c r="QSO252" s="537"/>
      <c r="QSP252" s="537"/>
      <c r="QSQ252" s="537"/>
      <c r="QSR252" s="537"/>
      <c r="QSS252" s="537"/>
      <c r="QST252" s="537"/>
      <c r="QSU252" s="537"/>
      <c r="QSV252" s="537"/>
      <c r="QSW252" s="537"/>
      <c r="QSX252" s="537"/>
      <c r="QSY252" s="537"/>
      <c r="QSZ252" s="537"/>
      <c r="QTA252" s="537"/>
      <c r="QTB252" s="537"/>
      <c r="QTC252" s="537"/>
      <c r="QTD252" s="537"/>
      <c r="QTE252" s="537"/>
      <c r="QTF252" s="537"/>
      <c r="QTG252" s="537"/>
      <c r="QTH252" s="537"/>
      <c r="QTI252" s="537"/>
      <c r="QTJ252" s="537"/>
      <c r="QTK252" s="537"/>
      <c r="QTL252" s="537"/>
      <c r="QTM252" s="537"/>
      <c r="QTN252" s="537"/>
      <c r="QTO252" s="537"/>
      <c r="QTP252" s="537"/>
      <c r="QTQ252" s="537"/>
      <c r="QTR252" s="537"/>
      <c r="QTS252" s="537"/>
      <c r="QTT252" s="537"/>
      <c r="QTU252" s="537"/>
      <c r="QTV252" s="537"/>
      <c r="QTW252" s="537"/>
      <c r="QTX252" s="537"/>
      <c r="QTY252" s="537"/>
      <c r="QTZ252" s="537"/>
      <c r="QUA252" s="537"/>
      <c r="QUB252" s="537"/>
      <c r="QUC252" s="537"/>
      <c r="QUD252" s="537"/>
      <c r="QUE252" s="537"/>
      <c r="QUF252" s="537"/>
      <c r="QUG252" s="537"/>
      <c r="QUH252" s="537"/>
      <c r="QUI252" s="537"/>
      <c r="QUJ252" s="537"/>
      <c r="QUK252" s="537"/>
      <c r="QUL252" s="537"/>
      <c r="QUM252" s="537"/>
      <c r="QUN252" s="537"/>
      <c r="QUO252" s="537"/>
      <c r="QUP252" s="537"/>
      <c r="QUQ252" s="537"/>
      <c r="QUR252" s="537"/>
      <c r="QUS252" s="537"/>
      <c r="QUT252" s="537"/>
      <c r="QUU252" s="537"/>
      <c r="QUV252" s="537"/>
      <c r="QUW252" s="537"/>
      <c r="QUX252" s="537"/>
      <c r="QUY252" s="537"/>
      <c r="QUZ252" s="537"/>
      <c r="QVA252" s="537"/>
      <c r="QVB252" s="537"/>
      <c r="QVC252" s="537"/>
      <c r="QVD252" s="537"/>
      <c r="QVE252" s="537"/>
      <c r="QVF252" s="537"/>
      <c r="QVG252" s="537"/>
      <c r="QVH252" s="537"/>
      <c r="QVI252" s="537"/>
      <c r="QVJ252" s="537"/>
      <c r="QVK252" s="537"/>
      <c r="QVL252" s="537"/>
      <c r="QVM252" s="537"/>
      <c r="QVN252" s="537"/>
      <c r="QVO252" s="537"/>
      <c r="QVP252" s="537"/>
      <c r="QVQ252" s="537"/>
      <c r="QVR252" s="537"/>
      <c r="QVS252" s="537"/>
      <c r="QVT252" s="537"/>
      <c r="QVU252" s="537"/>
      <c r="QVV252" s="537"/>
      <c r="QVW252" s="537"/>
      <c r="QVX252" s="537"/>
      <c r="QVY252" s="537"/>
      <c r="QVZ252" s="537"/>
      <c r="QWA252" s="537"/>
      <c r="QWB252" s="537"/>
      <c r="QWC252" s="537"/>
      <c r="QWD252" s="537"/>
      <c r="QWE252" s="537"/>
      <c r="QWF252" s="537"/>
      <c r="QWG252" s="537"/>
      <c r="QWH252" s="537"/>
      <c r="QWI252" s="537"/>
      <c r="QWJ252" s="537"/>
      <c r="QWK252" s="537"/>
      <c r="QWL252" s="537"/>
      <c r="QWM252" s="537"/>
      <c r="QWN252" s="537"/>
      <c r="QWO252" s="537"/>
      <c r="QWP252" s="537"/>
      <c r="QWQ252" s="537"/>
      <c r="QWR252" s="537"/>
      <c r="QWS252" s="537"/>
      <c r="QWT252" s="537"/>
      <c r="QWU252" s="537"/>
      <c r="QWV252" s="537"/>
      <c r="QWW252" s="537"/>
      <c r="QWX252" s="537"/>
      <c r="QWY252" s="537"/>
      <c r="QWZ252" s="537"/>
      <c r="QXA252" s="537"/>
      <c r="QXB252" s="537"/>
      <c r="QXC252" s="537"/>
      <c r="QXD252" s="537"/>
      <c r="QXE252" s="537"/>
      <c r="QXF252" s="537"/>
      <c r="QXG252" s="537"/>
      <c r="QXH252" s="537"/>
      <c r="QXI252" s="537"/>
      <c r="QXJ252" s="537"/>
      <c r="QXK252" s="537"/>
      <c r="QXL252" s="537"/>
      <c r="QXM252" s="537"/>
      <c r="QXN252" s="537"/>
      <c r="QXO252" s="537"/>
      <c r="QXP252" s="537"/>
      <c r="QXQ252" s="537"/>
      <c r="QXR252" s="537"/>
      <c r="QXS252" s="537"/>
      <c r="QXT252" s="537"/>
      <c r="QXU252" s="537"/>
      <c r="QXV252" s="537"/>
      <c r="QXW252" s="537"/>
      <c r="QXX252" s="537"/>
      <c r="QXY252" s="537"/>
      <c r="QXZ252" s="537"/>
      <c r="QYA252" s="537"/>
      <c r="QYB252" s="537"/>
      <c r="QYC252" s="537"/>
      <c r="QYD252" s="537"/>
      <c r="QYE252" s="537"/>
      <c r="QYF252" s="537"/>
      <c r="QYG252" s="537"/>
      <c r="QYH252" s="537"/>
      <c r="QYI252" s="537"/>
      <c r="QYJ252" s="537"/>
      <c r="QYK252" s="537"/>
      <c r="QYL252" s="537"/>
      <c r="QYM252" s="537"/>
      <c r="QYN252" s="537"/>
      <c r="QYO252" s="537"/>
      <c r="QYP252" s="537"/>
      <c r="QYQ252" s="537"/>
      <c r="QYR252" s="537"/>
      <c r="QYS252" s="537"/>
      <c r="QYT252" s="537"/>
      <c r="QYU252" s="537"/>
      <c r="QYV252" s="537"/>
      <c r="QYW252" s="537"/>
      <c r="QYX252" s="537"/>
      <c r="QYY252" s="537"/>
      <c r="QYZ252" s="537"/>
      <c r="QZA252" s="537"/>
      <c r="QZB252" s="537"/>
      <c r="QZC252" s="537"/>
      <c r="QZD252" s="537"/>
      <c r="QZE252" s="537"/>
      <c r="QZF252" s="537"/>
      <c r="QZG252" s="537"/>
      <c r="QZH252" s="537"/>
      <c r="QZI252" s="537"/>
      <c r="QZJ252" s="537"/>
      <c r="QZK252" s="537"/>
      <c r="QZL252" s="537"/>
      <c r="QZM252" s="537"/>
      <c r="QZN252" s="537"/>
      <c r="QZO252" s="537"/>
      <c r="QZP252" s="537"/>
      <c r="QZQ252" s="537"/>
      <c r="QZR252" s="537"/>
      <c r="QZS252" s="537"/>
      <c r="QZT252" s="537"/>
      <c r="QZU252" s="537"/>
      <c r="QZV252" s="537"/>
      <c r="QZW252" s="537"/>
      <c r="QZX252" s="537"/>
      <c r="QZY252" s="537"/>
      <c r="QZZ252" s="537"/>
      <c r="RAA252" s="537"/>
      <c r="RAB252" s="537"/>
      <c r="RAC252" s="537"/>
      <c r="RAD252" s="537"/>
      <c r="RAE252" s="537"/>
      <c r="RAF252" s="537"/>
      <c r="RAG252" s="537"/>
      <c r="RAH252" s="537"/>
      <c r="RAI252" s="537"/>
      <c r="RAJ252" s="537"/>
      <c r="RAK252" s="537"/>
      <c r="RAL252" s="537"/>
      <c r="RAM252" s="537"/>
      <c r="RAN252" s="537"/>
      <c r="RAO252" s="537"/>
      <c r="RAP252" s="537"/>
      <c r="RAQ252" s="537"/>
      <c r="RAR252" s="537"/>
      <c r="RAS252" s="537"/>
      <c r="RAT252" s="537"/>
      <c r="RAU252" s="537"/>
      <c r="RAV252" s="537"/>
      <c r="RAW252" s="537"/>
      <c r="RAX252" s="537"/>
      <c r="RAY252" s="537"/>
      <c r="RAZ252" s="537"/>
      <c r="RBA252" s="537"/>
      <c r="RBB252" s="537"/>
      <c r="RBC252" s="537"/>
      <c r="RBD252" s="537"/>
      <c r="RBE252" s="537"/>
      <c r="RBF252" s="537"/>
      <c r="RBG252" s="537"/>
      <c r="RBH252" s="537"/>
      <c r="RBI252" s="537"/>
      <c r="RBJ252" s="537"/>
      <c r="RBK252" s="537"/>
      <c r="RBL252" s="537"/>
      <c r="RBM252" s="537"/>
      <c r="RBN252" s="537"/>
      <c r="RBO252" s="537"/>
      <c r="RBP252" s="537"/>
      <c r="RBQ252" s="537"/>
      <c r="RBR252" s="537"/>
      <c r="RBS252" s="537"/>
      <c r="RBT252" s="537"/>
      <c r="RBU252" s="537"/>
      <c r="RBV252" s="537"/>
      <c r="RBW252" s="537"/>
      <c r="RBX252" s="537"/>
      <c r="RBY252" s="537"/>
      <c r="RBZ252" s="537"/>
      <c r="RCA252" s="537"/>
      <c r="RCB252" s="537"/>
      <c r="RCC252" s="537"/>
      <c r="RCD252" s="537"/>
      <c r="RCE252" s="537"/>
      <c r="RCF252" s="537"/>
      <c r="RCG252" s="537"/>
      <c r="RCH252" s="537"/>
      <c r="RCI252" s="537"/>
      <c r="RCJ252" s="537"/>
      <c r="RCK252" s="537"/>
      <c r="RCL252" s="537"/>
      <c r="RCM252" s="537"/>
      <c r="RCN252" s="537"/>
      <c r="RCO252" s="537"/>
      <c r="RCP252" s="537"/>
      <c r="RCQ252" s="537"/>
      <c r="RCR252" s="537"/>
      <c r="RCS252" s="537"/>
      <c r="RCT252" s="537"/>
      <c r="RCU252" s="537"/>
      <c r="RCV252" s="537"/>
      <c r="RCW252" s="537"/>
      <c r="RCX252" s="537"/>
      <c r="RCY252" s="537"/>
      <c r="RCZ252" s="537"/>
      <c r="RDA252" s="537"/>
      <c r="RDB252" s="537"/>
      <c r="RDC252" s="537"/>
      <c r="RDD252" s="537"/>
      <c r="RDE252" s="537"/>
      <c r="RDF252" s="537"/>
      <c r="RDG252" s="537"/>
      <c r="RDH252" s="537"/>
      <c r="RDI252" s="537"/>
      <c r="RDJ252" s="537"/>
      <c r="RDK252" s="537"/>
      <c r="RDL252" s="537"/>
      <c r="RDM252" s="537"/>
      <c r="RDN252" s="537"/>
      <c r="RDO252" s="537"/>
      <c r="RDP252" s="537"/>
      <c r="RDQ252" s="537"/>
      <c r="RDR252" s="537"/>
      <c r="RDS252" s="537"/>
      <c r="RDT252" s="537"/>
      <c r="RDU252" s="537"/>
      <c r="RDV252" s="537"/>
      <c r="RDW252" s="537"/>
      <c r="RDX252" s="537"/>
      <c r="RDY252" s="537"/>
      <c r="RDZ252" s="537"/>
      <c r="REA252" s="537"/>
      <c r="REB252" s="537"/>
      <c r="REC252" s="537"/>
      <c r="RED252" s="537"/>
      <c r="REE252" s="537"/>
      <c r="REF252" s="537"/>
      <c r="REG252" s="537"/>
      <c r="REH252" s="537"/>
      <c r="REI252" s="537"/>
      <c r="REJ252" s="537"/>
      <c r="REK252" s="537"/>
      <c r="REL252" s="537"/>
      <c r="REM252" s="537"/>
      <c r="REN252" s="537"/>
      <c r="REO252" s="537"/>
      <c r="REP252" s="537"/>
      <c r="REQ252" s="537"/>
      <c r="RER252" s="537"/>
      <c r="RES252" s="537"/>
      <c r="RET252" s="537"/>
      <c r="REU252" s="537"/>
      <c r="REV252" s="537"/>
      <c r="REW252" s="537"/>
      <c r="REX252" s="537"/>
      <c r="REY252" s="537"/>
      <c r="REZ252" s="537"/>
      <c r="RFA252" s="537"/>
      <c r="RFB252" s="537"/>
      <c r="RFC252" s="537"/>
      <c r="RFD252" s="537"/>
      <c r="RFE252" s="537"/>
      <c r="RFF252" s="537"/>
      <c r="RFG252" s="537"/>
      <c r="RFH252" s="537"/>
      <c r="RFI252" s="537"/>
      <c r="RFJ252" s="537"/>
      <c r="RFK252" s="537"/>
      <c r="RFL252" s="537"/>
      <c r="RFM252" s="537"/>
      <c r="RFN252" s="537"/>
      <c r="RFO252" s="537"/>
      <c r="RFP252" s="537"/>
      <c r="RFQ252" s="537"/>
      <c r="RFR252" s="537"/>
      <c r="RFS252" s="537"/>
      <c r="RFT252" s="537"/>
      <c r="RFU252" s="537"/>
      <c r="RFV252" s="537"/>
      <c r="RFW252" s="537"/>
      <c r="RFX252" s="537"/>
      <c r="RFY252" s="537"/>
      <c r="RFZ252" s="537"/>
      <c r="RGA252" s="537"/>
      <c r="RGB252" s="537"/>
      <c r="RGC252" s="537"/>
      <c r="RGD252" s="537"/>
      <c r="RGE252" s="537"/>
      <c r="RGF252" s="537"/>
      <c r="RGG252" s="537"/>
      <c r="RGH252" s="537"/>
      <c r="RGI252" s="537"/>
      <c r="RGJ252" s="537"/>
      <c r="RGK252" s="537"/>
      <c r="RGL252" s="537"/>
      <c r="RGM252" s="537"/>
      <c r="RGN252" s="537"/>
      <c r="RGO252" s="537"/>
      <c r="RGP252" s="537"/>
      <c r="RGQ252" s="537"/>
      <c r="RGR252" s="537"/>
      <c r="RGS252" s="537"/>
      <c r="RGT252" s="537"/>
      <c r="RGU252" s="537"/>
      <c r="RGV252" s="537"/>
      <c r="RGW252" s="537"/>
      <c r="RGX252" s="537"/>
      <c r="RGY252" s="537"/>
      <c r="RGZ252" s="537"/>
      <c r="RHA252" s="537"/>
      <c r="RHB252" s="537"/>
      <c r="RHC252" s="537"/>
      <c r="RHD252" s="537"/>
      <c r="RHE252" s="537"/>
      <c r="RHF252" s="537"/>
      <c r="RHG252" s="537"/>
      <c r="RHH252" s="537"/>
      <c r="RHI252" s="537"/>
      <c r="RHJ252" s="537"/>
      <c r="RHK252" s="537"/>
      <c r="RHL252" s="537"/>
      <c r="RHM252" s="537"/>
      <c r="RHN252" s="537"/>
      <c r="RHO252" s="537"/>
      <c r="RHP252" s="537"/>
      <c r="RHQ252" s="537"/>
      <c r="RHR252" s="537"/>
      <c r="RHS252" s="537"/>
      <c r="RHT252" s="537"/>
      <c r="RHU252" s="537"/>
      <c r="RHV252" s="537"/>
      <c r="RHW252" s="537"/>
      <c r="RHX252" s="537"/>
      <c r="RHY252" s="537"/>
      <c r="RHZ252" s="537"/>
      <c r="RIA252" s="537"/>
      <c r="RIB252" s="537"/>
      <c r="RIC252" s="537"/>
      <c r="RID252" s="537"/>
      <c r="RIE252" s="537"/>
      <c r="RIF252" s="537"/>
      <c r="RIG252" s="537"/>
      <c r="RIH252" s="537"/>
      <c r="RII252" s="537"/>
      <c r="RIJ252" s="537"/>
      <c r="RIK252" s="537"/>
      <c r="RIL252" s="537"/>
      <c r="RIM252" s="537"/>
      <c r="RIN252" s="537"/>
      <c r="RIO252" s="537"/>
      <c r="RIP252" s="537"/>
      <c r="RIQ252" s="537"/>
      <c r="RIR252" s="537"/>
      <c r="RIS252" s="537"/>
      <c r="RIT252" s="537"/>
      <c r="RIU252" s="537"/>
      <c r="RIV252" s="537"/>
      <c r="RIW252" s="537"/>
      <c r="RIX252" s="537"/>
      <c r="RIY252" s="537"/>
      <c r="RIZ252" s="537"/>
      <c r="RJA252" s="537"/>
      <c r="RJB252" s="537"/>
      <c r="RJC252" s="537"/>
      <c r="RJD252" s="537"/>
      <c r="RJE252" s="537"/>
      <c r="RJF252" s="537"/>
      <c r="RJG252" s="537"/>
      <c r="RJH252" s="537"/>
      <c r="RJI252" s="537"/>
      <c r="RJJ252" s="537"/>
      <c r="RJK252" s="537"/>
      <c r="RJL252" s="537"/>
      <c r="RJM252" s="537"/>
      <c r="RJN252" s="537"/>
      <c r="RJO252" s="537"/>
      <c r="RJP252" s="537"/>
      <c r="RJQ252" s="537"/>
      <c r="RJR252" s="537"/>
      <c r="RJS252" s="537"/>
      <c r="RJT252" s="537"/>
      <c r="RJU252" s="537"/>
      <c r="RJV252" s="537"/>
      <c r="RJW252" s="537"/>
      <c r="RJX252" s="537"/>
      <c r="RJY252" s="537"/>
      <c r="RJZ252" s="537"/>
      <c r="RKA252" s="537"/>
      <c r="RKB252" s="537"/>
      <c r="RKC252" s="537"/>
      <c r="RKD252" s="537"/>
      <c r="RKE252" s="537"/>
      <c r="RKF252" s="537"/>
      <c r="RKG252" s="537"/>
      <c r="RKH252" s="537"/>
      <c r="RKI252" s="537"/>
      <c r="RKJ252" s="537"/>
      <c r="RKK252" s="537"/>
      <c r="RKL252" s="537"/>
      <c r="RKM252" s="537"/>
      <c r="RKN252" s="537"/>
      <c r="RKO252" s="537"/>
      <c r="RKP252" s="537"/>
      <c r="RKQ252" s="537"/>
      <c r="RKR252" s="537"/>
      <c r="RKS252" s="537"/>
      <c r="RKT252" s="537"/>
      <c r="RKU252" s="537"/>
      <c r="RKV252" s="537"/>
      <c r="RKW252" s="537"/>
      <c r="RKX252" s="537"/>
      <c r="RKY252" s="537"/>
      <c r="RKZ252" s="537"/>
      <c r="RLA252" s="537"/>
      <c r="RLB252" s="537"/>
      <c r="RLC252" s="537"/>
      <c r="RLD252" s="537"/>
      <c r="RLE252" s="537"/>
      <c r="RLF252" s="537"/>
      <c r="RLG252" s="537"/>
      <c r="RLH252" s="537"/>
      <c r="RLI252" s="537"/>
      <c r="RLJ252" s="537"/>
      <c r="RLK252" s="537"/>
      <c r="RLL252" s="537"/>
      <c r="RLM252" s="537"/>
      <c r="RLN252" s="537"/>
      <c r="RLO252" s="537"/>
      <c r="RLP252" s="537"/>
      <c r="RLQ252" s="537"/>
      <c r="RLR252" s="537"/>
      <c r="RLS252" s="537"/>
      <c r="RLT252" s="537"/>
      <c r="RLU252" s="537"/>
      <c r="RLV252" s="537"/>
      <c r="RLW252" s="537"/>
      <c r="RLX252" s="537"/>
      <c r="RLY252" s="537"/>
      <c r="RLZ252" s="537"/>
      <c r="RMA252" s="537"/>
      <c r="RMB252" s="537"/>
      <c r="RMC252" s="537"/>
      <c r="RMD252" s="537"/>
      <c r="RME252" s="537"/>
      <c r="RMF252" s="537"/>
      <c r="RMG252" s="537"/>
      <c r="RMH252" s="537"/>
      <c r="RMI252" s="537"/>
      <c r="RMJ252" s="537"/>
      <c r="RMK252" s="537"/>
      <c r="RML252" s="537"/>
      <c r="RMM252" s="537"/>
      <c r="RMN252" s="537"/>
      <c r="RMO252" s="537"/>
      <c r="RMP252" s="537"/>
      <c r="RMQ252" s="537"/>
      <c r="RMR252" s="537"/>
      <c r="RMS252" s="537"/>
      <c r="RMT252" s="537"/>
      <c r="RMU252" s="537"/>
      <c r="RMV252" s="537"/>
      <c r="RMW252" s="537"/>
      <c r="RMX252" s="537"/>
      <c r="RMY252" s="537"/>
      <c r="RMZ252" s="537"/>
      <c r="RNA252" s="537"/>
      <c r="RNB252" s="537"/>
      <c r="RNC252" s="537"/>
      <c r="RND252" s="537"/>
      <c r="RNE252" s="537"/>
      <c r="RNF252" s="537"/>
      <c r="RNG252" s="537"/>
      <c r="RNH252" s="537"/>
      <c r="RNI252" s="537"/>
      <c r="RNJ252" s="537"/>
      <c r="RNK252" s="537"/>
      <c r="RNL252" s="537"/>
      <c r="RNM252" s="537"/>
      <c r="RNN252" s="537"/>
      <c r="RNO252" s="537"/>
      <c r="RNP252" s="537"/>
      <c r="RNQ252" s="537"/>
      <c r="RNR252" s="537"/>
      <c r="RNS252" s="537"/>
      <c r="RNT252" s="537"/>
      <c r="RNU252" s="537"/>
      <c r="RNV252" s="537"/>
      <c r="RNW252" s="537"/>
      <c r="RNX252" s="537"/>
      <c r="RNY252" s="537"/>
      <c r="RNZ252" s="537"/>
      <c r="ROA252" s="537"/>
      <c r="ROB252" s="537"/>
      <c r="ROC252" s="537"/>
      <c r="ROD252" s="537"/>
      <c r="ROE252" s="537"/>
      <c r="ROF252" s="537"/>
      <c r="ROG252" s="537"/>
      <c r="ROH252" s="537"/>
      <c r="ROI252" s="537"/>
      <c r="ROJ252" s="537"/>
      <c r="ROK252" s="537"/>
      <c r="ROL252" s="537"/>
      <c r="ROM252" s="537"/>
      <c r="RON252" s="537"/>
      <c r="ROO252" s="537"/>
      <c r="ROP252" s="537"/>
      <c r="ROQ252" s="537"/>
      <c r="ROR252" s="537"/>
      <c r="ROS252" s="537"/>
      <c r="ROT252" s="537"/>
      <c r="ROU252" s="537"/>
      <c r="ROV252" s="537"/>
      <c r="ROW252" s="537"/>
      <c r="ROX252" s="537"/>
      <c r="ROY252" s="537"/>
      <c r="ROZ252" s="537"/>
      <c r="RPA252" s="537"/>
      <c r="RPB252" s="537"/>
      <c r="RPC252" s="537"/>
      <c r="RPD252" s="537"/>
      <c r="RPE252" s="537"/>
      <c r="RPF252" s="537"/>
      <c r="RPG252" s="537"/>
      <c r="RPH252" s="537"/>
      <c r="RPI252" s="537"/>
      <c r="RPJ252" s="537"/>
      <c r="RPK252" s="537"/>
      <c r="RPL252" s="537"/>
      <c r="RPM252" s="537"/>
      <c r="RPN252" s="537"/>
      <c r="RPO252" s="537"/>
      <c r="RPP252" s="537"/>
      <c r="RPQ252" s="537"/>
      <c r="RPR252" s="537"/>
      <c r="RPS252" s="537"/>
      <c r="RPT252" s="537"/>
      <c r="RPU252" s="537"/>
      <c r="RPV252" s="537"/>
      <c r="RPW252" s="537"/>
      <c r="RPX252" s="537"/>
      <c r="RPY252" s="537"/>
      <c r="RPZ252" s="537"/>
      <c r="RQA252" s="537"/>
      <c r="RQB252" s="537"/>
      <c r="RQC252" s="537"/>
      <c r="RQD252" s="537"/>
      <c r="RQE252" s="537"/>
      <c r="RQF252" s="537"/>
      <c r="RQG252" s="537"/>
      <c r="RQH252" s="537"/>
      <c r="RQI252" s="537"/>
      <c r="RQJ252" s="537"/>
      <c r="RQK252" s="537"/>
      <c r="RQL252" s="537"/>
      <c r="RQM252" s="537"/>
      <c r="RQN252" s="537"/>
      <c r="RQO252" s="537"/>
      <c r="RQP252" s="537"/>
      <c r="RQQ252" s="537"/>
      <c r="RQR252" s="537"/>
      <c r="RQS252" s="537"/>
      <c r="RQT252" s="537"/>
      <c r="RQU252" s="537"/>
      <c r="RQV252" s="537"/>
      <c r="RQW252" s="537"/>
      <c r="RQX252" s="537"/>
      <c r="RQY252" s="537"/>
      <c r="RQZ252" s="537"/>
      <c r="RRA252" s="537"/>
      <c r="RRB252" s="537"/>
      <c r="RRC252" s="537"/>
      <c r="RRD252" s="537"/>
      <c r="RRE252" s="537"/>
      <c r="RRF252" s="537"/>
      <c r="RRG252" s="537"/>
      <c r="RRH252" s="537"/>
      <c r="RRI252" s="537"/>
      <c r="RRJ252" s="537"/>
      <c r="RRK252" s="537"/>
      <c r="RRL252" s="537"/>
      <c r="RRM252" s="537"/>
      <c r="RRN252" s="537"/>
      <c r="RRO252" s="537"/>
      <c r="RRP252" s="537"/>
      <c r="RRQ252" s="537"/>
      <c r="RRR252" s="537"/>
      <c r="RRS252" s="537"/>
      <c r="RRT252" s="537"/>
      <c r="RRU252" s="537"/>
      <c r="RRV252" s="537"/>
      <c r="RRW252" s="537"/>
      <c r="RRX252" s="537"/>
      <c r="RRY252" s="537"/>
      <c r="RRZ252" s="537"/>
      <c r="RSA252" s="537"/>
      <c r="RSB252" s="537"/>
      <c r="RSC252" s="537"/>
      <c r="RSD252" s="537"/>
      <c r="RSE252" s="537"/>
      <c r="RSF252" s="537"/>
      <c r="RSG252" s="537"/>
      <c r="RSH252" s="537"/>
      <c r="RSI252" s="537"/>
      <c r="RSJ252" s="537"/>
      <c r="RSK252" s="537"/>
      <c r="RSL252" s="537"/>
      <c r="RSM252" s="537"/>
      <c r="RSN252" s="537"/>
      <c r="RSO252" s="537"/>
      <c r="RSP252" s="537"/>
      <c r="RSQ252" s="537"/>
      <c r="RSR252" s="537"/>
      <c r="RSS252" s="537"/>
      <c r="RST252" s="537"/>
      <c r="RSU252" s="537"/>
      <c r="RSV252" s="537"/>
      <c r="RSW252" s="537"/>
      <c r="RSX252" s="537"/>
      <c r="RSY252" s="537"/>
      <c r="RSZ252" s="537"/>
      <c r="RTA252" s="537"/>
      <c r="RTB252" s="537"/>
      <c r="RTC252" s="537"/>
      <c r="RTD252" s="537"/>
      <c r="RTE252" s="537"/>
      <c r="RTF252" s="537"/>
      <c r="RTG252" s="537"/>
      <c r="RTH252" s="537"/>
      <c r="RTI252" s="537"/>
      <c r="RTJ252" s="537"/>
      <c r="RTK252" s="537"/>
      <c r="RTL252" s="537"/>
      <c r="RTM252" s="537"/>
      <c r="RTN252" s="537"/>
      <c r="RTO252" s="537"/>
      <c r="RTP252" s="537"/>
      <c r="RTQ252" s="537"/>
      <c r="RTR252" s="537"/>
      <c r="RTS252" s="537"/>
      <c r="RTT252" s="537"/>
      <c r="RTU252" s="537"/>
      <c r="RTV252" s="537"/>
      <c r="RTW252" s="537"/>
      <c r="RTX252" s="537"/>
      <c r="RTY252" s="537"/>
      <c r="RTZ252" s="537"/>
      <c r="RUA252" s="537"/>
      <c r="RUB252" s="537"/>
      <c r="RUC252" s="537"/>
      <c r="RUD252" s="537"/>
      <c r="RUE252" s="537"/>
      <c r="RUF252" s="537"/>
      <c r="RUG252" s="537"/>
      <c r="RUH252" s="537"/>
      <c r="RUI252" s="537"/>
      <c r="RUJ252" s="537"/>
      <c r="RUK252" s="537"/>
      <c r="RUL252" s="537"/>
      <c r="RUM252" s="537"/>
      <c r="RUN252" s="537"/>
      <c r="RUO252" s="537"/>
      <c r="RUP252" s="537"/>
      <c r="RUQ252" s="537"/>
      <c r="RUR252" s="537"/>
      <c r="RUS252" s="537"/>
      <c r="RUT252" s="537"/>
      <c r="RUU252" s="537"/>
      <c r="RUV252" s="537"/>
      <c r="RUW252" s="537"/>
      <c r="RUX252" s="537"/>
      <c r="RUY252" s="537"/>
      <c r="RUZ252" s="537"/>
      <c r="RVA252" s="537"/>
      <c r="RVB252" s="537"/>
      <c r="RVC252" s="537"/>
      <c r="RVD252" s="537"/>
      <c r="RVE252" s="537"/>
      <c r="RVF252" s="537"/>
      <c r="RVG252" s="537"/>
      <c r="RVH252" s="537"/>
      <c r="RVI252" s="537"/>
      <c r="RVJ252" s="537"/>
      <c r="RVK252" s="537"/>
      <c r="RVL252" s="537"/>
      <c r="RVM252" s="537"/>
      <c r="RVN252" s="537"/>
      <c r="RVO252" s="537"/>
      <c r="RVP252" s="537"/>
      <c r="RVQ252" s="537"/>
      <c r="RVR252" s="537"/>
      <c r="RVS252" s="537"/>
      <c r="RVT252" s="537"/>
      <c r="RVU252" s="537"/>
      <c r="RVV252" s="537"/>
      <c r="RVW252" s="537"/>
      <c r="RVX252" s="537"/>
      <c r="RVY252" s="537"/>
      <c r="RVZ252" s="537"/>
      <c r="RWA252" s="537"/>
      <c r="RWB252" s="537"/>
      <c r="RWC252" s="537"/>
      <c r="RWD252" s="537"/>
      <c r="RWE252" s="537"/>
      <c r="RWF252" s="537"/>
      <c r="RWG252" s="537"/>
      <c r="RWH252" s="537"/>
      <c r="RWI252" s="537"/>
      <c r="RWJ252" s="537"/>
      <c r="RWK252" s="537"/>
      <c r="RWL252" s="537"/>
      <c r="RWM252" s="537"/>
      <c r="RWN252" s="537"/>
      <c r="RWO252" s="537"/>
      <c r="RWP252" s="537"/>
      <c r="RWQ252" s="537"/>
      <c r="RWR252" s="537"/>
      <c r="RWS252" s="537"/>
      <c r="RWT252" s="537"/>
      <c r="RWU252" s="537"/>
      <c r="RWV252" s="537"/>
      <c r="RWW252" s="537"/>
      <c r="RWX252" s="537"/>
      <c r="RWY252" s="537"/>
      <c r="RWZ252" s="537"/>
      <c r="RXA252" s="537"/>
      <c r="RXB252" s="537"/>
      <c r="RXC252" s="537"/>
      <c r="RXD252" s="537"/>
      <c r="RXE252" s="537"/>
      <c r="RXF252" s="537"/>
      <c r="RXG252" s="537"/>
      <c r="RXH252" s="537"/>
      <c r="RXI252" s="537"/>
      <c r="RXJ252" s="537"/>
      <c r="RXK252" s="537"/>
      <c r="RXL252" s="537"/>
      <c r="RXM252" s="537"/>
      <c r="RXN252" s="537"/>
      <c r="RXO252" s="537"/>
      <c r="RXP252" s="537"/>
      <c r="RXQ252" s="537"/>
      <c r="RXR252" s="537"/>
      <c r="RXS252" s="537"/>
      <c r="RXT252" s="537"/>
      <c r="RXU252" s="537"/>
      <c r="RXV252" s="537"/>
      <c r="RXW252" s="537"/>
      <c r="RXX252" s="537"/>
      <c r="RXY252" s="537"/>
      <c r="RXZ252" s="537"/>
      <c r="RYA252" s="537"/>
      <c r="RYB252" s="537"/>
      <c r="RYC252" s="537"/>
      <c r="RYD252" s="537"/>
      <c r="RYE252" s="537"/>
      <c r="RYF252" s="537"/>
      <c r="RYG252" s="537"/>
      <c r="RYH252" s="537"/>
      <c r="RYI252" s="537"/>
      <c r="RYJ252" s="537"/>
      <c r="RYK252" s="537"/>
      <c r="RYL252" s="537"/>
      <c r="RYM252" s="537"/>
      <c r="RYN252" s="537"/>
      <c r="RYO252" s="537"/>
      <c r="RYP252" s="537"/>
      <c r="RYQ252" s="537"/>
      <c r="RYR252" s="537"/>
      <c r="RYS252" s="537"/>
      <c r="RYT252" s="537"/>
      <c r="RYU252" s="537"/>
      <c r="RYV252" s="537"/>
      <c r="RYW252" s="537"/>
      <c r="RYX252" s="537"/>
      <c r="RYY252" s="537"/>
      <c r="RYZ252" s="537"/>
      <c r="RZA252" s="537"/>
      <c r="RZB252" s="537"/>
      <c r="RZC252" s="537"/>
      <c r="RZD252" s="537"/>
      <c r="RZE252" s="537"/>
      <c r="RZF252" s="537"/>
      <c r="RZG252" s="537"/>
      <c r="RZH252" s="537"/>
      <c r="RZI252" s="537"/>
      <c r="RZJ252" s="537"/>
      <c r="RZK252" s="537"/>
      <c r="RZL252" s="537"/>
      <c r="RZM252" s="537"/>
      <c r="RZN252" s="537"/>
      <c r="RZO252" s="537"/>
      <c r="RZP252" s="537"/>
      <c r="RZQ252" s="537"/>
      <c r="RZR252" s="537"/>
      <c r="RZS252" s="537"/>
      <c r="RZT252" s="537"/>
      <c r="RZU252" s="537"/>
      <c r="RZV252" s="537"/>
      <c r="RZW252" s="537"/>
      <c r="RZX252" s="537"/>
      <c r="RZY252" s="537"/>
      <c r="RZZ252" s="537"/>
      <c r="SAA252" s="537"/>
      <c r="SAB252" s="537"/>
      <c r="SAC252" s="537"/>
      <c r="SAD252" s="537"/>
      <c r="SAE252" s="537"/>
      <c r="SAF252" s="537"/>
      <c r="SAG252" s="537"/>
      <c r="SAH252" s="537"/>
      <c r="SAI252" s="537"/>
      <c r="SAJ252" s="537"/>
      <c r="SAK252" s="537"/>
      <c r="SAL252" s="537"/>
      <c r="SAM252" s="537"/>
      <c r="SAN252" s="537"/>
      <c r="SAO252" s="537"/>
      <c r="SAP252" s="537"/>
      <c r="SAQ252" s="537"/>
      <c r="SAR252" s="537"/>
      <c r="SAS252" s="537"/>
      <c r="SAT252" s="537"/>
      <c r="SAU252" s="537"/>
      <c r="SAV252" s="537"/>
      <c r="SAW252" s="537"/>
      <c r="SAX252" s="537"/>
      <c r="SAY252" s="537"/>
      <c r="SAZ252" s="537"/>
      <c r="SBA252" s="537"/>
      <c r="SBB252" s="537"/>
      <c r="SBC252" s="537"/>
      <c r="SBD252" s="537"/>
      <c r="SBE252" s="537"/>
      <c r="SBF252" s="537"/>
      <c r="SBG252" s="537"/>
      <c r="SBH252" s="537"/>
      <c r="SBI252" s="537"/>
      <c r="SBJ252" s="537"/>
      <c r="SBK252" s="537"/>
      <c r="SBL252" s="537"/>
      <c r="SBM252" s="537"/>
      <c r="SBN252" s="537"/>
      <c r="SBO252" s="537"/>
      <c r="SBP252" s="537"/>
      <c r="SBQ252" s="537"/>
      <c r="SBR252" s="537"/>
      <c r="SBS252" s="537"/>
      <c r="SBT252" s="537"/>
      <c r="SBU252" s="537"/>
      <c r="SBV252" s="537"/>
      <c r="SBW252" s="537"/>
      <c r="SBX252" s="537"/>
      <c r="SBY252" s="537"/>
      <c r="SBZ252" s="537"/>
      <c r="SCA252" s="537"/>
      <c r="SCB252" s="537"/>
      <c r="SCC252" s="537"/>
      <c r="SCD252" s="537"/>
      <c r="SCE252" s="537"/>
      <c r="SCF252" s="537"/>
      <c r="SCG252" s="537"/>
      <c r="SCH252" s="537"/>
      <c r="SCI252" s="537"/>
      <c r="SCJ252" s="537"/>
      <c r="SCK252" s="537"/>
      <c r="SCL252" s="537"/>
      <c r="SCM252" s="537"/>
      <c r="SCN252" s="537"/>
      <c r="SCO252" s="537"/>
      <c r="SCP252" s="537"/>
      <c r="SCQ252" s="537"/>
      <c r="SCR252" s="537"/>
      <c r="SCS252" s="537"/>
      <c r="SCT252" s="537"/>
      <c r="SCU252" s="537"/>
      <c r="SCV252" s="537"/>
      <c r="SCW252" s="537"/>
      <c r="SCX252" s="537"/>
      <c r="SCY252" s="537"/>
      <c r="SCZ252" s="537"/>
      <c r="SDA252" s="537"/>
      <c r="SDB252" s="537"/>
      <c r="SDC252" s="537"/>
      <c r="SDD252" s="537"/>
      <c r="SDE252" s="537"/>
      <c r="SDF252" s="537"/>
      <c r="SDG252" s="537"/>
      <c r="SDH252" s="537"/>
      <c r="SDI252" s="537"/>
      <c r="SDJ252" s="537"/>
      <c r="SDK252" s="537"/>
      <c r="SDL252" s="537"/>
      <c r="SDM252" s="537"/>
      <c r="SDN252" s="537"/>
      <c r="SDO252" s="537"/>
      <c r="SDP252" s="537"/>
      <c r="SDQ252" s="537"/>
      <c r="SDR252" s="537"/>
      <c r="SDS252" s="537"/>
      <c r="SDT252" s="537"/>
      <c r="SDU252" s="537"/>
      <c r="SDV252" s="537"/>
      <c r="SDW252" s="537"/>
      <c r="SDX252" s="537"/>
      <c r="SDY252" s="537"/>
      <c r="SDZ252" s="537"/>
      <c r="SEA252" s="537"/>
      <c r="SEB252" s="537"/>
      <c r="SEC252" s="537"/>
      <c r="SED252" s="537"/>
      <c r="SEE252" s="537"/>
      <c r="SEF252" s="537"/>
      <c r="SEG252" s="537"/>
      <c r="SEH252" s="537"/>
      <c r="SEI252" s="537"/>
      <c r="SEJ252" s="537"/>
      <c r="SEK252" s="537"/>
      <c r="SEL252" s="537"/>
      <c r="SEM252" s="537"/>
      <c r="SEN252" s="537"/>
      <c r="SEO252" s="537"/>
      <c r="SEP252" s="537"/>
      <c r="SEQ252" s="537"/>
      <c r="SER252" s="537"/>
      <c r="SES252" s="537"/>
      <c r="SET252" s="537"/>
      <c r="SEU252" s="537"/>
      <c r="SEV252" s="537"/>
      <c r="SEW252" s="537"/>
      <c r="SEX252" s="537"/>
      <c r="SEY252" s="537"/>
      <c r="SEZ252" s="537"/>
      <c r="SFA252" s="537"/>
      <c r="SFB252" s="537"/>
      <c r="SFC252" s="537"/>
      <c r="SFD252" s="537"/>
      <c r="SFE252" s="537"/>
      <c r="SFF252" s="537"/>
      <c r="SFG252" s="537"/>
      <c r="SFH252" s="537"/>
      <c r="SFI252" s="537"/>
      <c r="SFJ252" s="537"/>
      <c r="SFK252" s="537"/>
      <c r="SFL252" s="537"/>
      <c r="SFM252" s="537"/>
      <c r="SFN252" s="537"/>
      <c r="SFO252" s="537"/>
      <c r="SFP252" s="537"/>
      <c r="SFQ252" s="537"/>
      <c r="SFR252" s="537"/>
      <c r="SFS252" s="537"/>
      <c r="SFT252" s="537"/>
      <c r="SFU252" s="537"/>
      <c r="SFV252" s="537"/>
      <c r="SFW252" s="537"/>
      <c r="SFX252" s="537"/>
      <c r="SFY252" s="537"/>
      <c r="SFZ252" s="537"/>
      <c r="SGA252" s="537"/>
      <c r="SGB252" s="537"/>
      <c r="SGC252" s="537"/>
      <c r="SGD252" s="537"/>
      <c r="SGE252" s="537"/>
      <c r="SGF252" s="537"/>
      <c r="SGG252" s="537"/>
      <c r="SGH252" s="537"/>
      <c r="SGI252" s="537"/>
      <c r="SGJ252" s="537"/>
      <c r="SGK252" s="537"/>
      <c r="SGL252" s="537"/>
      <c r="SGM252" s="537"/>
      <c r="SGN252" s="537"/>
      <c r="SGO252" s="537"/>
      <c r="SGP252" s="537"/>
      <c r="SGQ252" s="537"/>
      <c r="SGR252" s="537"/>
      <c r="SGS252" s="537"/>
      <c r="SGT252" s="537"/>
      <c r="SGU252" s="537"/>
      <c r="SGV252" s="537"/>
      <c r="SGW252" s="537"/>
      <c r="SGX252" s="537"/>
      <c r="SGY252" s="537"/>
      <c r="SGZ252" s="537"/>
      <c r="SHA252" s="537"/>
      <c r="SHB252" s="537"/>
      <c r="SHC252" s="537"/>
      <c r="SHD252" s="537"/>
      <c r="SHE252" s="537"/>
      <c r="SHF252" s="537"/>
      <c r="SHG252" s="537"/>
      <c r="SHH252" s="537"/>
      <c r="SHI252" s="537"/>
      <c r="SHJ252" s="537"/>
      <c r="SHK252" s="537"/>
      <c r="SHL252" s="537"/>
      <c r="SHM252" s="537"/>
      <c r="SHN252" s="537"/>
      <c r="SHO252" s="537"/>
      <c r="SHP252" s="537"/>
      <c r="SHQ252" s="537"/>
      <c r="SHR252" s="537"/>
      <c r="SHS252" s="537"/>
      <c r="SHT252" s="537"/>
      <c r="SHU252" s="537"/>
      <c r="SHV252" s="537"/>
      <c r="SHW252" s="537"/>
      <c r="SHX252" s="537"/>
      <c r="SHY252" s="537"/>
      <c r="SHZ252" s="537"/>
      <c r="SIA252" s="537"/>
      <c r="SIB252" s="537"/>
      <c r="SIC252" s="537"/>
      <c r="SID252" s="537"/>
      <c r="SIE252" s="537"/>
      <c r="SIF252" s="537"/>
      <c r="SIG252" s="537"/>
      <c r="SIH252" s="537"/>
      <c r="SII252" s="537"/>
      <c r="SIJ252" s="537"/>
      <c r="SIK252" s="537"/>
      <c r="SIL252" s="537"/>
      <c r="SIM252" s="537"/>
      <c r="SIN252" s="537"/>
      <c r="SIO252" s="537"/>
      <c r="SIP252" s="537"/>
      <c r="SIQ252" s="537"/>
      <c r="SIR252" s="537"/>
      <c r="SIS252" s="537"/>
      <c r="SIT252" s="537"/>
      <c r="SIU252" s="537"/>
      <c r="SIV252" s="537"/>
      <c r="SIW252" s="537"/>
      <c r="SIX252" s="537"/>
      <c r="SIY252" s="537"/>
      <c r="SIZ252" s="537"/>
      <c r="SJA252" s="537"/>
      <c r="SJB252" s="537"/>
      <c r="SJC252" s="537"/>
      <c r="SJD252" s="537"/>
      <c r="SJE252" s="537"/>
      <c r="SJF252" s="537"/>
      <c r="SJG252" s="537"/>
      <c r="SJH252" s="537"/>
      <c r="SJI252" s="537"/>
      <c r="SJJ252" s="537"/>
      <c r="SJK252" s="537"/>
      <c r="SJL252" s="537"/>
      <c r="SJM252" s="537"/>
      <c r="SJN252" s="537"/>
      <c r="SJO252" s="537"/>
      <c r="SJP252" s="537"/>
      <c r="SJQ252" s="537"/>
      <c r="SJR252" s="537"/>
      <c r="SJS252" s="537"/>
      <c r="SJT252" s="537"/>
      <c r="SJU252" s="537"/>
      <c r="SJV252" s="537"/>
      <c r="SJW252" s="537"/>
      <c r="SJX252" s="537"/>
      <c r="SJY252" s="537"/>
      <c r="SJZ252" s="537"/>
      <c r="SKA252" s="537"/>
      <c r="SKB252" s="537"/>
      <c r="SKC252" s="537"/>
      <c r="SKD252" s="537"/>
      <c r="SKE252" s="537"/>
      <c r="SKF252" s="537"/>
      <c r="SKG252" s="537"/>
      <c r="SKH252" s="537"/>
      <c r="SKI252" s="537"/>
      <c r="SKJ252" s="537"/>
      <c r="SKK252" s="537"/>
      <c r="SKL252" s="537"/>
      <c r="SKM252" s="537"/>
      <c r="SKN252" s="537"/>
      <c r="SKO252" s="537"/>
      <c r="SKP252" s="537"/>
      <c r="SKQ252" s="537"/>
      <c r="SKR252" s="537"/>
      <c r="SKS252" s="537"/>
      <c r="SKT252" s="537"/>
      <c r="SKU252" s="537"/>
      <c r="SKV252" s="537"/>
      <c r="SKW252" s="537"/>
      <c r="SKX252" s="537"/>
      <c r="SKY252" s="537"/>
      <c r="SKZ252" s="537"/>
      <c r="SLA252" s="537"/>
      <c r="SLB252" s="537"/>
      <c r="SLC252" s="537"/>
      <c r="SLD252" s="537"/>
      <c r="SLE252" s="537"/>
      <c r="SLF252" s="537"/>
      <c r="SLG252" s="537"/>
      <c r="SLH252" s="537"/>
      <c r="SLI252" s="537"/>
      <c r="SLJ252" s="537"/>
      <c r="SLK252" s="537"/>
      <c r="SLL252" s="537"/>
      <c r="SLM252" s="537"/>
      <c r="SLN252" s="537"/>
      <c r="SLO252" s="537"/>
      <c r="SLP252" s="537"/>
      <c r="SLQ252" s="537"/>
      <c r="SLR252" s="537"/>
      <c r="SLS252" s="537"/>
      <c r="SLT252" s="537"/>
      <c r="SLU252" s="537"/>
      <c r="SLV252" s="537"/>
      <c r="SLW252" s="537"/>
      <c r="SLX252" s="537"/>
      <c r="SLY252" s="537"/>
      <c r="SLZ252" s="537"/>
      <c r="SMA252" s="537"/>
      <c r="SMB252" s="537"/>
      <c r="SMC252" s="537"/>
      <c r="SMD252" s="537"/>
      <c r="SME252" s="537"/>
      <c r="SMF252" s="537"/>
      <c r="SMG252" s="537"/>
      <c r="SMH252" s="537"/>
      <c r="SMI252" s="537"/>
      <c r="SMJ252" s="537"/>
      <c r="SMK252" s="537"/>
      <c r="SML252" s="537"/>
      <c r="SMM252" s="537"/>
      <c r="SMN252" s="537"/>
      <c r="SMO252" s="537"/>
      <c r="SMP252" s="537"/>
      <c r="SMQ252" s="537"/>
      <c r="SMR252" s="537"/>
      <c r="SMS252" s="537"/>
      <c r="SMT252" s="537"/>
      <c r="SMU252" s="537"/>
      <c r="SMV252" s="537"/>
      <c r="SMW252" s="537"/>
      <c r="SMX252" s="537"/>
      <c r="SMY252" s="537"/>
      <c r="SMZ252" s="537"/>
      <c r="SNA252" s="537"/>
      <c r="SNB252" s="537"/>
      <c r="SNC252" s="537"/>
      <c r="SND252" s="537"/>
      <c r="SNE252" s="537"/>
      <c r="SNF252" s="537"/>
      <c r="SNG252" s="537"/>
      <c r="SNH252" s="537"/>
      <c r="SNI252" s="537"/>
      <c r="SNJ252" s="537"/>
      <c r="SNK252" s="537"/>
      <c r="SNL252" s="537"/>
      <c r="SNM252" s="537"/>
      <c r="SNN252" s="537"/>
      <c r="SNO252" s="537"/>
      <c r="SNP252" s="537"/>
      <c r="SNQ252" s="537"/>
      <c r="SNR252" s="537"/>
      <c r="SNS252" s="537"/>
      <c r="SNT252" s="537"/>
      <c r="SNU252" s="537"/>
      <c r="SNV252" s="537"/>
      <c r="SNW252" s="537"/>
      <c r="SNX252" s="537"/>
      <c r="SNY252" s="537"/>
      <c r="SNZ252" s="537"/>
      <c r="SOA252" s="537"/>
      <c r="SOB252" s="537"/>
      <c r="SOC252" s="537"/>
      <c r="SOD252" s="537"/>
      <c r="SOE252" s="537"/>
      <c r="SOF252" s="537"/>
      <c r="SOG252" s="537"/>
      <c r="SOH252" s="537"/>
      <c r="SOI252" s="537"/>
      <c r="SOJ252" s="537"/>
      <c r="SOK252" s="537"/>
      <c r="SOL252" s="537"/>
      <c r="SOM252" s="537"/>
      <c r="SON252" s="537"/>
      <c r="SOO252" s="537"/>
      <c r="SOP252" s="537"/>
      <c r="SOQ252" s="537"/>
      <c r="SOR252" s="537"/>
      <c r="SOS252" s="537"/>
      <c r="SOT252" s="537"/>
      <c r="SOU252" s="537"/>
      <c r="SOV252" s="537"/>
      <c r="SOW252" s="537"/>
      <c r="SOX252" s="537"/>
      <c r="SOY252" s="537"/>
      <c r="SOZ252" s="537"/>
      <c r="SPA252" s="537"/>
      <c r="SPB252" s="537"/>
      <c r="SPC252" s="537"/>
      <c r="SPD252" s="537"/>
      <c r="SPE252" s="537"/>
      <c r="SPF252" s="537"/>
      <c r="SPG252" s="537"/>
      <c r="SPH252" s="537"/>
      <c r="SPI252" s="537"/>
      <c r="SPJ252" s="537"/>
      <c r="SPK252" s="537"/>
      <c r="SPL252" s="537"/>
      <c r="SPM252" s="537"/>
      <c r="SPN252" s="537"/>
      <c r="SPO252" s="537"/>
      <c r="SPP252" s="537"/>
      <c r="SPQ252" s="537"/>
      <c r="SPR252" s="537"/>
      <c r="SPS252" s="537"/>
      <c r="SPT252" s="537"/>
      <c r="SPU252" s="537"/>
      <c r="SPV252" s="537"/>
      <c r="SPW252" s="537"/>
      <c r="SPX252" s="537"/>
      <c r="SPY252" s="537"/>
      <c r="SPZ252" s="537"/>
      <c r="SQA252" s="537"/>
      <c r="SQB252" s="537"/>
      <c r="SQC252" s="537"/>
      <c r="SQD252" s="537"/>
      <c r="SQE252" s="537"/>
      <c r="SQF252" s="537"/>
      <c r="SQG252" s="537"/>
      <c r="SQH252" s="537"/>
      <c r="SQI252" s="537"/>
      <c r="SQJ252" s="537"/>
      <c r="SQK252" s="537"/>
      <c r="SQL252" s="537"/>
      <c r="SQM252" s="537"/>
      <c r="SQN252" s="537"/>
      <c r="SQO252" s="537"/>
      <c r="SQP252" s="537"/>
      <c r="SQQ252" s="537"/>
      <c r="SQR252" s="537"/>
      <c r="SQS252" s="537"/>
      <c r="SQT252" s="537"/>
      <c r="SQU252" s="537"/>
      <c r="SQV252" s="537"/>
      <c r="SQW252" s="537"/>
      <c r="SQX252" s="537"/>
      <c r="SQY252" s="537"/>
      <c r="SQZ252" s="537"/>
      <c r="SRA252" s="537"/>
      <c r="SRB252" s="537"/>
      <c r="SRC252" s="537"/>
      <c r="SRD252" s="537"/>
      <c r="SRE252" s="537"/>
      <c r="SRF252" s="537"/>
      <c r="SRG252" s="537"/>
      <c r="SRH252" s="537"/>
      <c r="SRI252" s="537"/>
      <c r="SRJ252" s="537"/>
      <c r="SRK252" s="537"/>
      <c r="SRL252" s="537"/>
      <c r="SRM252" s="537"/>
      <c r="SRN252" s="537"/>
      <c r="SRO252" s="537"/>
      <c r="SRP252" s="537"/>
      <c r="SRQ252" s="537"/>
      <c r="SRR252" s="537"/>
      <c r="SRS252" s="537"/>
      <c r="SRT252" s="537"/>
      <c r="SRU252" s="537"/>
      <c r="SRV252" s="537"/>
      <c r="SRW252" s="537"/>
      <c r="SRX252" s="537"/>
      <c r="SRY252" s="537"/>
      <c r="SRZ252" s="537"/>
      <c r="SSA252" s="537"/>
      <c r="SSB252" s="537"/>
      <c r="SSC252" s="537"/>
      <c r="SSD252" s="537"/>
      <c r="SSE252" s="537"/>
      <c r="SSF252" s="537"/>
      <c r="SSG252" s="537"/>
      <c r="SSH252" s="537"/>
      <c r="SSI252" s="537"/>
      <c r="SSJ252" s="537"/>
      <c r="SSK252" s="537"/>
      <c r="SSL252" s="537"/>
      <c r="SSM252" s="537"/>
      <c r="SSN252" s="537"/>
      <c r="SSO252" s="537"/>
      <c r="SSP252" s="537"/>
      <c r="SSQ252" s="537"/>
      <c r="SSR252" s="537"/>
      <c r="SSS252" s="537"/>
      <c r="SST252" s="537"/>
      <c r="SSU252" s="537"/>
      <c r="SSV252" s="537"/>
      <c r="SSW252" s="537"/>
      <c r="SSX252" s="537"/>
      <c r="SSY252" s="537"/>
      <c r="SSZ252" s="537"/>
      <c r="STA252" s="537"/>
      <c r="STB252" s="537"/>
      <c r="STC252" s="537"/>
      <c r="STD252" s="537"/>
      <c r="STE252" s="537"/>
      <c r="STF252" s="537"/>
      <c r="STG252" s="537"/>
      <c r="STH252" s="537"/>
      <c r="STI252" s="537"/>
      <c r="STJ252" s="537"/>
      <c r="STK252" s="537"/>
      <c r="STL252" s="537"/>
      <c r="STM252" s="537"/>
      <c r="STN252" s="537"/>
      <c r="STO252" s="537"/>
      <c r="STP252" s="537"/>
      <c r="STQ252" s="537"/>
      <c r="STR252" s="537"/>
      <c r="STS252" s="537"/>
      <c r="STT252" s="537"/>
      <c r="STU252" s="537"/>
      <c r="STV252" s="537"/>
      <c r="STW252" s="537"/>
      <c r="STX252" s="537"/>
      <c r="STY252" s="537"/>
      <c r="STZ252" s="537"/>
      <c r="SUA252" s="537"/>
      <c r="SUB252" s="537"/>
      <c r="SUC252" s="537"/>
      <c r="SUD252" s="537"/>
      <c r="SUE252" s="537"/>
      <c r="SUF252" s="537"/>
      <c r="SUG252" s="537"/>
      <c r="SUH252" s="537"/>
      <c r="SUI252" s="537"/>
      <c r="SUJ252" s="537"/>
      <c r="SUK252" s="537"/>
      <c r="SUL252" s="537"/>
      <c r="SUM252" s="537"/>
      <c r="SUN252" s="537"/>
      <c r="SUO252" s="537"/>
      <c r="SUP252" s="537"/>
      <c r="SUQ252" s="537"/>
      <c r="SUR252" s="537"/>
      <c r="SUS252" s="537"/>
      <c r="SUT252" s="537"/>
      <c r="SUU252" s="537"/>
      <c r="SUV252" s="537"/>
      <c r="SUW252" s="537"/>
      <c r="SUX252" s="537"/>
      <c r="SUY252" s="537"/>
      <c r="SUZ252" s="537"/>
      <c r="SVA252" s="537"/>
      <c r="SVB252" s="537"/>
      <c r="SVC252" s="537"/>
      <c r="SVD252" s="537"/>
      <c r="SVE252" s="537"/>
      <c r="SVF252" s="537"/>
      <c r="SVG252" s="537"/>
      <c r="SVH252" s="537"/>
      <c r="SVI252" s="537"/>
      <c r="SVJ252" s="537"/>
      <c r="SVK252" s="537"/>
      <c r="SVL252" s="537"/>
      <c r="SVM252" s="537"/>
      <c r="SVN252" s="537"/>
      <c r="SVO252" s="537"/>
      <c r="SVP252" s="537"/>
      <c r="SVQ252" s="537"/>
      <c r="SVR252" s="537"/>
      <c r="SVS252" s="537"/>
      <c r="SVT252" s="537"/>
      <c r="SVU252" s="537"/>
      <c r="SVV252" s="537"/>
      <c r="SVW252" s="537"/>
      <c r="SVX252" s="537"/>
      <c r="SVY252" s="537"/>
      <c r="SVZ252" s="537"/>
      <c r="SWA252" s="537"/>
      <c r="SWB252" s="537"/>
      <c r="SWC252" s="537"/>
      <c r="SWD252" s="537"/>
      <c r="SWE252" s="537"/>
      <c r="SWF252" s="537"/>
      <c r="SWG252" s="537"/>
      <c r="SWH252" s="537"/>
      <c r="SWI252" s="537"/>
      <c r="SWJ252" s="537"/>
      <c r="SWK252" s="537"/>
      <c r="SWL252" s="537"/>
      <c r="SWM252" s="537"/>
      <c r="SWN252" s="537"/>
      <c r="SWO252" s="537"/>
      <c r="SWP252" s="537"/>
      <c r="SWQ252" s="537"/>
      <c r="SWR252" s="537"/>
      <c r="SWS252" s="537"/>
      <c r="SWT252" s="537"/>
      <c r="SWU252" s="537"/>
      <c r="SWV252" s="537"/>
      <c r="SWW252" s="537"/>
      <c r="SWX252" s="537"/>
      <c r="SWY252" s="537"/>
      <c r="SWZ252" s="537"/>
      <c r="SXA252" s="537"/>
      <c r="SXB252" s="537"/>
      <c r="SXC252" s="537"/>
      <c r="SXD252" s="537"/>
      <c r="SXE252" s="537"/>
      <c r="SXF252" s="537"/>
      <c r="SXG252" s="537"/>
      <c r="SXH252" s="537"/>
      <c r="SXI252" s="537"/>
      <c r="SXJ252" s="537"/>
      <c r="SXK252" s="537"/>
      <c r="SXL252" s="537"/>
      <c r="SXM252" s="537"/>
      <c r="SXN252" s="537"/>
      <c r="SXO252" s="537"/>
      <c r="SXP252" s="537"/>
      <c r="SXQ252" s="537"/>
      <c r="SXR252" s="537"/>
      <c r="SXS252" s="537"/>
      <c r="SXT252" s="537"/>
      <c r="SXU252" s="537"/>
      <c r="SXV252" s="537"/>
      <c r="SXW252" s="537"/>
      <c r="SXX252" s="537"/>
      <c r="SXY252" s="537"/>
      <c r="SXZ252" s="537"/>
      <c r="SYA252" s="537"/>
      <c r="SYB252" s="537"/>
      <c r="SYC252" s="537"/>
      <c r="SYD252" s="537"/>
      <c r="SYE252" s="537"/>
      <c r="SYF252" s="537"/>
      <c r="SYG252" s="537"/>
      <c r="SYH252" s="537"/>
      <c r="SYI252" s="537"/>
      <c r="SYJ252" s="537"/>
      <c r="SYK252" s="537"/>
      <c r="SYL252" s="537"/>
      <c r="SYM252" s="537"/>
      <c r="SYN252" s="537"/>
      <c r="SYO252" s="537"/>
      <c r="SYP252" s="537"/>
      <c r="SYQ252" s="537"/>
      <c r="SYR252" s="537"/>
      <c r="SYS252" s="537"/>
      <c r="SYT252" s="537"/>
      <c r="SYU252" s="537"/>
      <c r="SYV252" s="537"/>
      <c r="SYW252" s="537"/>
      <c r="SYX252" s="537"/>
      <c r="SYY252" s="537"/>
      <c r="SYZ252" s="537"/>
      <c r="SZA252" s="537"/>
      <c r="SZB252" s="537"/>
      <c r="SZC252" s="537"/>
      <c r="SZD252" s="537"/>
      <c r="SZE252" s="537"/>
      <c r="SZF252" s="537"/>
      <c r="SZG252" s="537"/>
      <c r="SZH252" s="537"/>
      <c r="SZI252" s="537"/>
      <c r="SZJ252" s="537"/>
      <c r="SZK252" s="537"/>
      <c r="SZL252" s="537"/>
      <c r="SZM252" s="537"/>
      <c r="SZN252" s="537"/>
      <c r="SZO252" s="537"/>
      <c r="SZP252" s="537"/>
      <c r="SZQ252" s="537"/>
      <c r="SZR252" s="537"/>
      <c r="SZS252" s="537"/>
      <c r="SZT252" s="537"/>
      <c r="SZU252" s="537"/>
      <c r="SZV252" s="537"/>
      <c r="SZW252" s="537"/>
      <c r="SZX252" s="537"/>
      <c r="SZY252" s="537"/>
      <c r="SZZ252" s="537"/>
      <c r="TAA252" s="537"/>
      <c r="TAB252" s="537"/>
      <c r="TAC252" s="537"/>
      <c r="TAD252" s="537"/>
      <c r="TAE252" s="537"/>
      <c r="TAF252" s="537"/>
      <c r="TAG252" s="537"/>
      <c r="TAH252" s="537"/>
      <c r="TAI252" s="537"/>
      <c r="TAJ252" s="537"/>
      <c r="TAK252" s="537"/>
      <c r="TAL252" s="537"/>
      <c r="TAM252" s="537"/>
      <c r="TAN252" s="537"/>
      <c r="TAO252" s="537"/>
      <c r="TAP252" s="537"/>
      <c r="TAQ252" s="537"/>
      <c r="TAR252" s="537"/>
      <c r="TAS252" s="537"/>
      <c r="TAT252" s="537"/>
      <c r="TAU252" s="537"/>
      <c r="TAV252" s="537"/>
      <c r="TAW252" s="537"/>
      <c r="TAX252" s="537"/>
      <c r="TAY252" s="537"/>
      <c r="TAZ252" s="537"/>
      <c r="TBA252" s="537"/>
      <c r="TBB252" s="537"/>
      <c r="TBC252" s="537"/>
      <c r="TBD252" s="537"/>
      <c r="TBE252" s="537"/>
      <c r="TBF252" s="537"/>
      <c r="TBG252" s="537"/>
      <c r="TBH252" s="537"/>
      <c r="TBI252" s="537"/>
      <c r="TBJ252" s="537"/>
      <c r="TBK252" s="537"/>
      <c r="TBL252" s="537"/>
      <c r="TBM252" s="537"/>
      <c r="TBN252" s="537"/>
      <c r="TBO252" s="537"/>
      <c r="TBP252" s="537"/>
      <c r="TBQ252" s="537"/>
      <c r="TBR252" s="537"/>
      <c r="TBS252" s="537"/>
      <c r="TBT252" s="537"/>
      <c r="TBU252" s="537"/>
      <c r="TBV252" s="537"/>
      <c r="TBW252" s="537"/>
      <c r="TBX252" s="537"/>
      <c r="TBY252" s="537"/>
      <c r="TBZ252" s="537"/>
      <c r="TCA252" s="537"/>
      <c r="TCB252" s="537"/>
      <c r="TCC252" s="537"/>
      <c r="TCD252" s="537"/>
      <c r="TCE252" s="537"/>
      <c r="TCF252" s="537"/>
      <c r="TCG252" s="537"/>
      <c r="TCH252" s="537"/>
      <c r="TCI252" s="537"/>
      <c r="TCJ252" s="537"/>
      <c r="TCK252" s="537"/>
      <c r="TCL252" s="537"/>
      <c r="TCM252" s="537"/>
      <c r="TCN252" s="537"/>
      <c r="TCO252" s="537"/>
      <c r="TCP252" s="537"/>
      <c r="TCQ252" s="537"/>
      <c r="TCR252" s="537"/>
      <c r="TCS252" s="537"/>
      <c r="TCT252" s="537"/>
      <c r="TCU252" s="537"/>
      <c r="TCV252" s="537"/>
      <c r="TCW252" s="537"/>
      <c r="TCX252" s="537"/>
      <c r="TCY252" s="537"/>
      <c r="TCZ252" s="537"/>
      <c r="TDA252" s="537"/>
      <c r="TDB252" s="537"/>
      <c r="TDC252" s="537"/>
      <c r="TDD252" s="537"/>
      <c r="TDE252" s="537"/>
      <c r="TDF252" s="537"/>
      <c r="TDG252" s="537"/>
      <c r="TDH252" s="537"/>
      <c r="TDI252" s="537"/>
      <c r="TDJ252" s="537"/>
      <c r="TDK252" s="537"/>
      <c r="TDL252" s="537"/>
      <c r="TDM252" s="537"/>
      <c r="TDN252" s="537"/>
      <c r="TDO252" s="537"/>
      <c r="TDP252" s="537"/>
      <c r="TDQ252" s="537"/>
      <c r="TDR252" s="537"/>
      <c r="TDS252" s="537"/>
      <c r="TDT252" s="537"/>
      <c r="TDU252" s="537"/>
      <c r="TDV252" s="537"/>
      <c r="TDW252" s="537"/>
      <c r="TDX252" s="537"/>
      <c r="TDY252" s="537"/>
      <c r="TDZ252" s="537"/>
      <c r="TEA252" s="537"/>
      <c r="TEB252" s="537"/>
      <c r="TEC252" s="537"/>
      <c r="TED252" s="537"/>
      <c r="TEE252" s="537"/>
      <c r="TEF252" s="537"/>
      <c r="TEG252" s="537"/>
      <c r="TEH252" s="537"/>
      <c r="TEI252" s="537"/>
      <c r="TEJ252" s="537"/>
      <c r="TEK252" s="537"/>
      <c r="TEL252" s="537"/>
      <c r="TEM252" s="537"/>
      <c r="TEN252" s="537"/>
      <c r="TEO252" s="537"/>
      <c r="TEP252" s="537"/>
      <c r="TEQ252" s="537"/>
      <c r="TER252" s="537"/>
      <c r="TES252" s="537"/>
      <c r="TET252" s="537"/>
      <c r="TEU252" s="537"/>
      <c r="TEV252" s="537"/>
      <c r="TEW252" s="537"/>
      <c r="TEX252" s="537"/>
      <c r="TEY252" s="537"/>
      <c r="TEZ252" s="537"/>
      <c r="TFA252" s="537"/>
      <c r="TFB252" s="537"/>
      <c r="TFC252" s="537"/>
      <c r="TFD252" s="537"/>
      <c r="TFE252" s="537"/>
      <c r="TFF252" s="537"/>
      <c r="TFG252" s="537"/>
      <c r="TFH252" s="537"/>
      <c r="TFI252" s="537"/>
      <c r="TFJ252" s="537"/>
      <c r="TFK252" s="537"/>
      <c r="TFL252" s="537"/>
      <c r="TFM252" s="537"/>
      <c r="TFN252" s="537"/>
      <c r="TFO252" s="537"/>
      <c r="TFP252" s="537"/>
      <c r="TFQ252" s="537"/>
      <c r="TFR252" s="537"/>
      <c r="TFS252" s="537"/>
      <c r="TFT252" s="537"/>
      <c r="TFU252" s="537"/>
      <c r="TFV252" s="537"/>
      <c r="TFW252" s="537"/>
      <c r="TFX252" s="537"/>
      <c r="TFY252" s="537"/>
      <c r="TFZ252" s="537"/>
      <c r="TGA252" s="537"/>
      <c r="TGB252" s="537"/>
      <c r="TGC252" s="537"/>
      <c r="TGD252" s="537"/>
      <c r="TGE252" s="537"/>
      <c r="TGF252" s="537"/>
      <c r="TGG252" s="537"/>
      <c r="TGH252" s="537"/>
      <c r="TGI252" s="537"/>
      <c r="TGJ252" s="537"/>
      <c r="TGK252" s="537"/>
      <c r="TGL252" s="537"/>
      <c r="TGM252" s="537"/>
      <c r="TGN252" s="537"/>
      <c r="TGO252" s="537"/>
      <c r="TGP252" s="537"/>
      <c r="TGQ252" s="537"/>
      <c r="TGR252" s="537"/>
      <c r="TGS252" s="537"/>
      <c r="TGT252" s="537"/>
      <c r="TGU252" s="537"/>
      <c r="TGV252" s="537"/>
      <c r="TGW252" s="537"/>
      <c r="TGX252" s="537"/>
      <c r="TGY252" s="537"/>
      <c r="TGZ252" s="537"/>
      <c r="THA252" s="537"/>
      <c r="THB252" s="537"/>
      <c r="THC252" s="537"/>
      <c r="THD252" s="537"/>
      <c r="THE252" s="537"/>
      <c r="THF252" s="537"/>
      <c r="THG252" s="537"/>
      <c r="THH252" s="537"/>
      <c r="THI252" s="537"/>
      <c r="THJ252" s="537"/>
      <c r="THK252" s="537"/>
      <c r="THL252" s="537"/>
      <c r="THM252" s="537"/>
      <c r="THN252" s="537"/>
      <c r="THO252" s="537"/>
      <c r="THP252" s="537"/>
      <c r="THQ252" s="537"/>
      <c r="THR252" s="537"/>
      <c r="THS252" s="537"/>
      <c r="THT252" s="537"/>
      <c r="THU252" s="537"/>
      <c r="THV252" s="537"/>
      <c r="THW252" s="537"/>
      <c r="THX252" s="537"/>
      <c r="THY252" s="537"/>
      <c r="THZ252" s="537"/>
      <c r="TIA252" s="537"/>
      <c r="TIB252" s="537"/>
      <c r="TIC252" s="537"/>
      <c r="TID252" s="537"/>
      <c r="TIE252" s="537"/>
      <c r="TIF252" s="537"/>
      <c r="TIG252" s="537"/>
      <c r="TIH252" s="537"/>
      <c r="TII252" s="537"/>
      <c r="TIJ252" s="537"/>
      <c r="TIK252" s="537"/>
      <c r="TIL252" s="537"/>
      <c r="TIM252" s="537"/>
      <c r="TIN252" s="537"/>
      <c r="TIO252" s="537"/>
      <c r="TIP252" s="537"/>
      <c r="TIQ252" s="537"/>
      <c r="TIR252" s="537"/>
      <c r="TIS252" s="537"/>
      <c r="TIT252" s="537"/>
      <c r="TIU252" s="537"/>
      <c r="TIV252" s="537"/>
      <c r="TIW252" s="537"/>
      <c r="TIX252" s="537"/>
      <c r="TIY252" s="537"/>
      <c r="TIZ252" s="537"/>
      <c r="TJA252" s="537"/>
      <c r="TJB252" s="537"/>
      <c r="TJC252" s="537"/>
      <c r="TJD252" s="537"/>
      <c r="TJE252" s="537"/>
      <c r="TJF252" s="537"/>
      <c r="TJG252" s="537"/>
      <c r="TJH252" s="537"/>
      <c r="TJI252" s="537"/>
      <c r="TJJ252" s="537"/>
      <c r="TJK252" s="537"/>
      <c r="TJL252" s="537"/>
      <c r="TJM252" s="537"/>
      <c r="TJN252" s="537"/>
      <c r="TJO252" s="537"/>
      <c r="TJP252" s="537"/>
      <c r="TJQ252" s="537"/>
      <c r="TJR252" s="537"/>
      <c r="TJS252" s="537"/>
      <c r="TJT252" s="537"/>
      <c r="TJU252" s="537"/>
      <c r="TJV252" s="537"/>
      <c r="TJW252" s="537"/>
      <c r="TJX252" s="537"/>
      <c r="TJY252" s="537"/>
      <c r="TJZ252" s="537"/>
      <c r="TKA252" s="537"/>
      <c r="TKB252" s="537"/>
      <c r="TKC252" s="537"/>
      <c r="TKD252" s="537"/>
      <c r="TKE252" s="537"/>
      <c r="TKF252" s="537"/>
      <c r="TKG252" s="537"/>
      <c r="TKH252" s="537"/>
      <c r="TKI252" s="537"/>
      <c r="TKJ252" s="537"/>
      <c r="TKK252" s="537"/>
      <c r="TKL252" s="537"/>
      <c r="TKM252" s="537"/>
      <c r="TKN252" s="537"/>
      <c r="TKO252" s="537"/>
      <c r="TKP252" s="537"/>
      <c r="TKQ252" s="537"/>
      <c r="TKR252" s="537"/>
      <c r="TKS252" s="537"/>
      <c r="TKT252" s="537"/>
      <c r="TKU252" s="537"/>
      <c r="TKV252" s="537"/>
      <c r="TKW252" s="537"/>
      <c r="TKX252" s="537"/>
      <c r="TKY252" s="537"/>
      <c r="TKZ252" s="537"/>
      <c r="TLA252" s="537"/>
      <c r="TLB252" s="537"/>
      <c r="TLC252" s="537"/>
      <c r="TLD252" s="537"/>
      <c r="TLE252" s="537"/>
      <c r="TLF252" s="537"/>
      <c r="TLG252" s="537"/>
      <c r="TLH252" s="537"/>
      <c r="TLI252" s="537"/>
      <c r="TLJ252" s="537"/>
      <c r="TLK252" s="537"/>
      <c r="TLL252" s="537"/>
      <c r="TLM252" s="537"/>
      <c r="TLN252" s="537"/>
      <c r="TLO252" s="537"/>
      <c r="TLP252" s="537"/>
      <c r="TLQ252" s="537"/>
      <c r="TLR252" s="537"/>
      <c r="TLS252" s="537"/>
      <c r="TLT252" s="537"/>
      <c r="TLU252" s="537"/>
      <c r="TLV252" s="537"/>
      <c r="TLW252" s="537"/>
      <c r="TLX252" s="537"/>
      <c r="TLY252" s="537"/>
      <c r="TLZ252" s="537"/>
      <c r="TMA252" s="537"/>
      <c r="TMB252" s="537"/>
      <c r="TMC252" s="537"/>
      <c r="TMD252" s="537"/>
      <c r="TME252" s="537"/>
      <c r="TMF252" s="537"/>
      <c r="TMG252" s="537"/>
      <c r="TMH252" s="537"/>
      <c r="TMI252" s="537"/>
      <c r="TMJ252" s="537"/>
      <c r="TMK252" s="537"/>
      <c r="TML252" s="537"/>
      <c r="TMM252" s="537"/>
      <c r="TMN252" s="537"/>
      <c r="TMO252" s="537"/>
      <c r="TMP252" s="537"/>
      <c r="TMQ252" s="537"/>
      <c r="TMR252" s="537"/>
      <c r="TMS252" s="537"/>
      <c r="TMT252" s="537"/>
      <c r="TMU252" s="537"/>
      <c r="TMV252" s="537"/>
      <c r="TMW252" s="537"/>
      <c r="TMX252" s="537"/>
      <c r="TMY252" s="537"/>
      <c r="TMZ252" s="537"/>
      <c r="TNA252" s="537"/>
      <c r="TNB252" s="537"/>
      <c r="TNC252" s="537"/>
      <c r="TND252" s="537"/>
      <c r="TNE252" s="537"/>
      <c r="TNF252" s="537"/>
      <c r="TNG252" s="537"/>
      <c r="TNH252" s="537"/>
      <c r="TNI252" s="537"/>
      <c r="TNJ252" s="537"/>
      <c r="TNK252" s="537"/>
      <c r="TNL252" s="537"/>
      <c r="TNM252" s="537"/>
      <c r="TNN252" s="537"/>
      <c r="TNO252" s="537"/>
      <c r="TNP252" s="537"/>
      <c r="TNQ252" s="537"/>
      <c r="TNR252" s="537"/>
      <c r="TNS252" s="537"/>
      <c r="TNT252" s="537"/>
      <c r="TNU252" s="537"/>
      <c r="TNV252" s="537"/>
      <c r="TNW252" s="537"/>
      <c r="TNX252" s="537"/>
      <c r="TNY252" s="537"/>
      <c r="TNZ252" s="537"/>
      <c r="TOA252" s="537"/>
      <c r="TOB252" s="537"/>
      <c r="TOC252" s="537"/>
      <c r="TOD252" s="537"/>
      <c r="TOE252" s="537"/>
      <c r="TOF252" s="537"/>
      <c r="TOG252" s="537"/>
      <c r="TOH252" s="537"/>
      <c r="TOI252" s="537"/>
      <c r="TOJ252" s="537"/>
      <c r="TOK252" s="537"/>
      <c r="TOL252" s="537"/>
      <c r="TOM252" s="537"/>
      <c r="TON252" s="537"/>
      <c r="TOO252" s="537"/>
      <c r="TOP252" s="537"/>
      <c r="TOQ252" s="537"/>
      <c r="TOR252" s="537"/>
      <c r="TOS252" s="537"/>
      <c r="TOT252" s="537"/>
      <c r="TOU252" s="537"/>
      <c r="TOV252" s="537"/>
      <c r="TOW252" s="537"/>
      <c r="TOX252" s="537"/>
      <c r="TOY252" s="537"/>
      <c r="TOZ252" s="537"/>
      <c r="TPA252" s="537"/>
      <c r="TPB252" s="537"/>
      <c r="TPC252" s="537"/>
      <c r="TPD252" s="537"/>
      <c r="TPE252" s="537"/>
      <c r="TPF252" s="537"/>
      <c r="TPG252" s="537"/>
      <c r="TPH252" s="537"/>
      <c r="TPI252" s="537"/>
      <c r="TPJ252" s="537"/>
      <c r="TPK252" s="537"/>
      <c r="TPL252" s="537"/>
      <c r="TPM252" s="537"/>
      <c r="TPN252" s="537"/>
      <c r="TPO252" s="537"/>
      <c r="TPP252" s="537"/>
      <c r="TPQ252" s="537"/>
      <c r="TPR252" s="537"/>
      <c r="TPS252" s="537"/>
      <c r="TPT252" s="537"/>
      <c r="TPU252" s="537"/>
      <c r="TPV252" s="537"/>
      <c r="TPW252" s="537"/>
      <c r="TPX252" s="537"/>
      <c r="TPY252" s="537"/>
      <c r="TPZ252" s="537"/>
      <c r="TQA252" s="537"/>
      <c r="TQB252" s="537"/>
      <c r="TQC252" s="537"/>
      <c r="TQD252" s="537"/>
      <c r="TQE252" s="537"/>
      <c r="TQF252" s="537"/>
      <c r="TQG252" s="537"/>
      <c r="TQH252" s="537"/>
      <c r="TQI252" s="537"/>
      <c r="TQJ252" s="537"/>
      <c r="TQK252" s="537"/>
      <c r="TQL252" s="537"/>
      <c r="TQM252" s="537"/>
      <c r="TQN252" s="537"/>
      <c r="TQO252" s="537"/>
      <c r="TQP252" s="537"/>
      <c r="TQQ252" s="537"/>
      <c r="TQR252" s="537"/>
      <c r="TQS252" s="537"/>
      <c r="TQT252" s="537"/>
      <c r="TQU252" s="537"/>
      <c r="TQV252" s="537"/>
      <c r="TQW252" s="537"/>
      <c r="TQX252" s="537"/>
      <c r="TQY252" s="537"/>
      <c r="TQZ252" s="537"/>
      <c r="TRA252" s="537"/>
      <c r="TRB252" s="537"/>
      <c r="TRC252" s="537"/>
      <c r="TRD252" s="537"/>
      <c r="TRE252" s="537"/>
      <c r="TRF252" s="537"/>
      <c r="TRG252" s="537"/>
      <c r="TRH252" s="537"/>
      <c r="TRI252" s="537"/>
      <c r="TRJ252" s="537"/>
      <c r="TRK252" s="537"/>
      <c r="TRL252" s="537"/>
      <c r="TRM252" s="537"/>
      <c r="TRN252" s="537"/>
      <c r="TRO252" s="537"/>
      <c r="TRP252" s="537"/>
      <c r="TRQ252" s="537"/>
      <c r="TRR252" s="537"/>
      <c r="TRS252" s="537"/>
      <c r="TRT252" s="537"/>
      <c r="TRU252" s="537"/>
      <c r="TRV252" s="537"/>
      <c r="TRW252" s="537"/>
      <c r="TRX252" s="537"/>
      <c r="TRY252" s="537"/>
      <c r="TRZ252" s="537"/>
      <c r="TSA252" s="537"/>
      <c r="TSB252" s="537"/>
      <c r="TSC252" s="537"/>
      <c r="TSD252" s="537"/>
      <c r="TSE252" s="537"/>
      <c r="TSF252" s="537"/>
      <c r="TSG252" s="537"/>
      <c r="TSH252" s="537"/>
      <c r="TSI252" s="537"/>
      <c r="TSJ252" s="537"/>
      <c r="TSK252" s="537"/>
      <c r="TSL252" s="537"/>
      <c r="TSM252" s="537"/>
      <c r="TSN252" s="537"/>
      <c r="TSO252" s="537"/>
      <c r="TSP252" s="537"/>
      <c r="TSQ252" s="537"/>
      <c r="TSR252" s="537"/>
      <c r="TSS252" s="537"/>
      <c r="TST252" s="537"/>
      <c r="TSU252" s="537"/>
      <c r="TSV252" s="537"/>
      <c r="TSW252" s="537"/>
      <c r="TSX252" s="537"/>
      <c r="TSY252" s="537"/>
      <c r="TSZ252" s="537"/>
      <c r="TTA252" s="537"/>
      <c r="TTB252" s="537"/>
      <c r="TTC252" s="537"/>
      <c r="TTD252" s="537"/>
      <c r="TTE252" s="537"/>
      <c r="TTF252" s="537"/>
      <c r="TTG252" s="537"/>
      <c r="TTH252" s="537"/>
      <c r="TTI252" s="537"/>
      <c r="TTJ252" s="537"/>
      <c r="TTK252" s="537"/>
      <c r="TTL252" s="537"/>
      <c r="TTM252" s="537"/>
      <c r="TTN252" s="537"/>
      <c r="TTO252" s="537"/>
      <c r="TTP252" s="537"/>
      <c r="TTQ252" s="537"/>
      <c r="TTR252" s="537"/>
      <c r="TTS252" s="537"/>
      <c r="TTT252" s="537"/>
      <c r="TTU252" s="537"/>
      <c r="TTV252" s="537"/>
      <c r="TTW252" s="537"/>
      <c r="TTX252" s="537"/>
      <c r="TTY252" s="537"/>
      <c r="TTZ252" s="537"/>
      <c r="TUA252" s="537"/>
      <c r="TUB252" s="537"/>
      <c r="TUC252" s="537"/>
      <c r="TUD252" s="537"/>
      <c r="TUE252" s="537"/>
      <c r="TUF252" s="537"/>
      <c r="TUG252" s="537"/>
      <c r="TUH252" s="537"/>
      <c r="TUI252" s="537"/>
      <c r="TUJ252" s="537"/>
      <c r="TUK252" s="537"/>
      <c r="TUL252" s="537"/>
      <c r="TUM252" s="537"/>
      <c r="TUN252" s="537"/>
      <c r="TUO252" s="537"/>
      <c r="TUP252" s="537"/>
      <c r="TUQ252" s="537"/>
      <c r="TUR252" s="537"/>
      <c r="TUS252" s="537"/>
      <c r="TUT252" s="537"/>
      <c r="TUU252" s="537"/>
      <c r="TUV252" s="537"/>
      <c r="TUW252" s="537"/>
      <c r="TUX252" s="537"/>
      <c r="TUY252" s="537"/>
      <c r="TUZ252" s="537"/>
      <c r="TVA252" s="537"/>
      <c r="TVB252" s="537"/>
      <c r="TVC252" s="537"/>
      <c r="TVD252" s="537"/>
      <c r="TVE252" s="537"/>
      <c r="TVF252" s="537"/>
      <c r="TVG252" s="537"/>
      <c r="TVH252" s="537"/>
      <c r="TVI252" s="537"/>
      <c r="TVJ252" s="537"/>
      <c r="TVK252" s="537"/>
      <c r="TVL252" s="537"/>
      <c r="TVM252" s="537"/>
      <c r="TVN252" s="537"/>
      <c r="TVO252" s="537"/>
      <c r="TVP252" s="537"/>
      <c r="TVQ252" s="537"/>
      <c r="TVR252" s="537"/>
      <c r="TVS252" s="537"/>
      <c r="TVT252" s="537"/>
      <c r="TVU252" s="537"/>
      <c r="TVV252" s="537"/>
      <c r="TVW252" s="537"/>
      <c r="TVX252" s="537"/>
      <c r="TVY252" s="537"/>
      <c r="TVZ252" s="537"/>
      <c r="TWA252" s="537"/>
      <c r="TWB252" s="537"/>
      <c r="TWC252" s="537"/>
      <c r="TWD252" s="537"/>
      <c r="TWE252" s="537"/>
      <c r="TWF252" s="537"/>
      <c r="TWG252" s="537"/>
      <c r="TWH252" s="537"/>
      <c r="TWI252" s="537"/>
      <c r="TWJ252" s="537"/>
      <c r="TWK252" s="537"/>
      <c r="TWL252" s="537"/>
      <c r="TWM252" s="537"/>
      <c r="TWN252" s="537"/>
      <c r="TWO252" s="537"/>
      <c r="TWP252" s="537"/>
      <c r="TWQ252" s="537"/>
      <c r="TWR252" s="537"/>
      <c r="TWS252" s="537"/>
      <c r="TWT252" s="537"/>
      <c r="TWU252" s="537"/>
      <c r="TWV252" s="537"/>
      <c r="TWW252" s="537"/>
      <c r="TWX252" s="537"/>
      <c r="TWY252" s="537"/>
      <c r="TWZ252" s="537"/>
      <c r="TXA252" s="537"/>
      <c r="TXB252" s="537"/>
      <c r="TXC252" s="537"/>
      <c r="TXD252" s="537"/>
      <c r="TXE252" s="537"/>
      <c r="TXF252" s="537"/>
      <c r="TXG252" s="537"/>
      <c r="TXH252" s="537"/>
      <c r="TXI252" s="537"/>
      <c r="TXJ252" s="537"/>
      <c r="TXK252" s="537"/>
      <c r="TXL252" s="537"/>
      <c r="TXM252" s="537"/>
      <c r="TXN252" s="537"/>
      <c r="TXO252" s="537"/>
      <c r="TXP252" s="537"/>
      <c r="TXQ252" s="537"/>
      <c r="TXR252" s="537"/>
      <c r="TXS252" s="537"/>
      <c r="TXT252" s="537"/>
      <c r="TXU252" s="537"/>
      <c r="TXV252" s="537"/>
      <c r="TXW252" s="537"/>
      <c r="TXX252" s="537"/>
      <c r="TXY252" s="537"/>
      <c r="TXZ252" s="537"/>
      <c r="TYA252" s="537"/>
      <c r="TYB252" s="537"/>
      <c r="TYC252" s="537"/>
      <c r="TYD252" s="537"/>
      <c r="TYE252" s="537"/>
      <c r="TYF252" s="537"/>
      <c r="TYG252" s="537"/>
      <c r="TYH252" s="537"/>
      <c r="TYI252" s="537"/>
      <c r="TYJ252" s="537"/>
      <c r="TYK252" s="537"/>
      <c r="TYL252" s="537"/>
      <c r="TYM252" s="537"/>
      <c r="TYN252" s="537"/>
      <c r="TYO252" s="537"/>
      <c r="TYP252" s="537"/>
      <c r="TYQ252" s="537"/>
      <c r="TYR252" s="537"/>
      <c r="TYS252" s="537"/>
      <c r="TYT252" s="537"/>
      <c r="TYU252" s="537"/>
      <c r="TYV252" s="537"/>
      <c r="TYW252" s="537"/>
      <c r="TYX252" s="537"/>
      <c r="TYY252" s="537"/>
      <c r="TYZ252" s="537"/>
      <c r="TZA252" s="537"/>
      <c r="TZB252" s="537"/>
      <c r="TZC252" s="537"/>
      <c r="TZD252" s="537"/>
      <c r="TZE252" s="537"/>
      <c r="TZF252" s="537"/>
      <c r="TZG252" s="537"/>
      <c r="TZH252" s="537"/>
      <c r="TZI252" s="537"/>
      <c r="TZJ252" s="537"/>
      <c r="TZK252" s="537"/>
      <c r="TZL252" s="537"/>
      <c r="TZM252" s="537"/>
      <c r="TZN252" s="537"/>
      <c r="TZO252" s="537"/>
      <c r="TZP252" s="537"/>
      <c r="TZQ252" s="537"/>
      <c r="TZR252" s="537"/>
      <c r="TZS252" s="537"/>
      <c r="TZT252" s="537"/>
      <c r="TZU252" s="537"/>
      <c r="TZV252" s="537"/>
      <c r="TZW252" s="537"/>
      <c r="TZX252" s="537"/>
      <c r="TZY252" s="537"/>
      <c r="TZZ252" s="537"/>
      <c r="UAA252" s="537"/>
      <c r="UAB252" s="537"/>
      <c r="UAC252" s="537"/>
      <c r="UAD252" s="537"/>
      <c r="UAE252" s="537"/>
      <c r="UAF252" s="537"/>
      <c r="UAG252" s="537"/>
      <c r="UAH252" s="537"/>
      <c r="UAI252" s="537"/>
      <c r="UAJ252" s="537"/>
      <c r="UAK252" s="537"/>
      <c r="UAL252" s="537"/>
      <c r="UAM252" s="537"/>
      <c r="UAN252" s="537"/>
      <c r="UAO252" s="537"/>
      <c r="UAP252" s="537"/>
      <c r="UAQ252" s="537"/>
      <c r="UAR252" s="537"/>
      <c r="UAS252" s="537"/>
      <c r="UAT252" s="537"/>
      <c r="UAU252" s="537"/>
      <c r="UAV252" s="537"/>
      <c r="UAW252" s="537"/>
      <c r="UAX252" s="537"/>
      <c r="UAY252" s="537"/>
      <c r="UAZ252" s="537"/>
      <c r="UBA252" s="537"/>
      <c r="UBB252" s="537"/>
      <c r="UBC252" s="537"/>
      <c r="UBD252" s="537"/>
      <c r="UBE252" s="537"/>
      <c r="UBF252" s="537"/>
      <c r="UBG252" s="537"/>
      <c r="UBH252" s="537"/>
      <c r="UBI252" s="537"/>
      <c r="UBJ252" s="537"/>
      <c r="UBK252" s="537"/>
      <c r="UBL252" s="537"/>
      <c r="UBM252" s="537"/>
      <c r="UBN252" s="537"/>
      <c r="UBO252" s="537"/>
      <c r="UBP252" s="537"/>
      <c r="UBQ252" s="537"/>
      <c r="UBR252" s="537"/>
      <c r="UBS252" s="537"/>
      <c r="UBT252" s="537"/>
      <c r="UBU252" s="537"/>
      <c r="UBV252" s="537"/>
      <c r="UBW252" s="537"/>
      <c r="UBX252" s="537"/>
      <c r="UBY252" s="537"/>
      <c r="UBZ252" s="537"/>
      <c r="UCA252" s="537"/>
      <c r="UCB252" s="537"/>
      <c r="UCC252" s="537"/>
      <c r="UCD252" s="537"/>
      <c r="UCE252" s="537"/>
      <c r="UCF252" s="537"/>
      <c r="UCG252" s="537"/>
      <c r="UCH252" s="537"/>
      <c r="UCI252" s="537"/>
      <c r="UCJ252" s="537"/>
      <c r="UCK252" s="537"/>
      <c r="UCL252" s="537"/>
      <c r="UCM252" s="537"/>
      <c r="UCN252" s="537"/>
      <c r="UCO252" s="537"/>
      <c r="UCP252" s="537"/>
      <c r="UCQ252" s="537"/>
      <c r="UCR252" s="537"/>
      <c r="UCS252" s="537"/>
      <c r="UCT252" s="537"/>
      <c r="UCU252" s="537"/>
      <c r="UCV252" s="537"/>
      <c r="UCW252" s="537"/>
      <c r="UCX252" s="537"/>
      <c r="UCY252" s="537"/>
      <c r="UCZ252" s="537"/>
      <c r="UDA252" s="537"/>
      <c r="UDB252" s="537"/>
      <c r="UDC252" s="537"/>
      <c r="UDD252" s="537"/>
      <c r="UDE252" s="537"/>
      <c r="UDF252" s="537"/>
      <c r="UDG252" s="537"/>
      <c r="UDH252" s="537"/>
      <c r="UDI252" s="537"/>
      <c r="UDJ252" s="537"/>
      <c r="UDK252" s="537"/>
      <c r="UDL252" s="537"/>
      <c r="UDM252" s="537"/>
      <c r="UDN252" s="537"/>
      <c r="UDO252" s="537"/>
      <c r="UDP252" s="537"/>
      <c r="UDQ252" s="537"/>
      <c r="UDR252" s="537"/>
      <c r="UDS252" s="537"/>
      <c r="UDT252" s="537"/>
      <c r="UDU252" s="537"/>
      <c r="UDV252" s="537"/>
      <c r="UDW252" s="537"/>
      <c r="UDX252" s="537"/>
      <c r="UDY252" s="537"/>
      <c r="UDZ252" s="537"/>
      <c r="UEA252" s="537"/>
      <c r="UEB252" s="537"/>
      <c r="UEC252" s="537"/>
      <c r="UED252" s="537"/>
      <c r="UEE252" s="537"/>
      <c r="UEF252" s="537"/>
      <c r="UEG252" s="537"/>
      <c r="UEH252" s="537"/>
      <c r="UEI252" s="537"/>
      <c r="UEJ252" s="537"/>
      <c r="UEK252" s="537"/>
      <c r="UEL252" s="537"/>
      <c r="UEM252" s="537"/>
      <c r="UEN252" s="537"/>
      <c r="UEO252" s="537"/>
      <c r="UEP252" s="537"/>
      <c r="UEQ252" s="537"/>
      <c r="UER252" s="537"/>
      <c r="UES252" s="537"/>
      <c r="UET252" s="537"/>
      <c r="UEU252" s="537"/>
      <c r="UEV252" s="537"/>
      <c r="UEW252" s="537"/>
      <c r="UEX252" s="537"/>
      <c r="UEY252" s="537"/>
      <c r="UEZ252" s="537"/>
      <c r="UFA252" s="537"/>
      <c r="UFB252" s="537"/>
      <c r="UFC252" s="537"/>
      <c r="UFD252" s="537"/>
      <c r="UFE252" s="537"/>
      <c r="UFF252" s="537"/>
      <c r="UFG252" s="537"/>
      <c r="UFH252" s="537"/>
      <c r="UFI252" s="537"/>
      <c r="UFJ252" s="537"/>
      <c r="UFK252" s="537"/>
      <c r="UFL252" s="537"/>
      <c r="UFM252" s="537"/>
      <c r="UFN252" s="537"/>
      <c r="UFO252" s="537"/>
      <c r="UFP252" s="537"/>
      <c r="UFQ252" s="537"/>
      <c r="UFR252" s="537"/>
      <c r="UFS252" s="537"/>
      <c r="UFT252" s="537"/>
      <c r="UFU252" s="537"/>
      <c r="UFV252" s="537"/>
      <c r="UFW252" s="537"/>
      <c r="UFX252" s="537"/>
      <c r="UFY252" s="537"/>
      <c r="UFZ252" s="537"/>
      <c r="UGA252" s="537"/>
      <c r="UGB252" s="537"/>
      <c r="UGC252" s="537"/>
      <c r="UGD252" s="537"/>
      <c r="UGE252" s="537"/>
      <c r="UGF252" s="537"/>
      <c r="UGG252" s="537"/>
      <c r="UGH252" s="537"/>
      <c r="UGI252" s="537"/>
      <c r="UGJ252" s="537"/>
      <c r="UGK252" s="537"/>
      <c r="UGL252" s="537"/>
      <c r="UGM252" s="537"/>
      <c r="UGN252" s="537"/>
      <c r="UGO252" s="537"/>
      <c r="UGP252" s="537"/>
      <c r="UGQ252" s="537"/>
      <c r="UGR252" s="537"/>
      <c r="UGS252" s="537"/>
      <c r="UGT252" s="537"/>
      <c r="UGU252" s="537"/>
      <c r="UGV252" s="537"/>
      <c r="UGW252" s="537"/>
      <c r="UGX252" s="537"/>
      <c r="UGY252" s="537"/>
      <c r="UGZ252" s="537"/>
      <c r="UHA252" s="537"/>
      <c r="UHB252" s="537"/>
      <c r="UHC252" s="537"/>
      <c r="UHD252" s="537"/>
      <c r="UHE252" s="537"/>
      <c r="UHF252" s="537"/>
      <c r="UHG252" s="537"/>
      <c r="UHH252" s="537"/>
      <c r="UHI252" s="537"/>
      <c r="UHJ252" s="537"/>
      <c r="UHK252" s="537"/>
      <c r="UHL252" s="537"/>
      <c r="UHM252" s="537"/>
      <c r="UHN252" s="537"/>
      <c r="UHO252" s="537"/>
      <c r="UHP252" s="537"/>
      <c r="UHQ252" s="537"/>
      <c r="UHR252" s="537"/>
      <c r="UHS252" s="537"/>
      <c r="UHT252" s="537"/>
      <c r="UHU252" s="537"/>
      <c r="UHV252" s="537"/>
      <c r="UHW252" s="537"/>
      <c r="UHX252" s="537"/>
      <c r="UHY252" s="537"/>
      <c r="UHZ252" s="537"/>
      <c r="UIA252" s="537"/>
      <c r="UIB252" s="537"/>
      <c r="UIC252" s="537"/>
      <c r="UID252" s="537"/>
      <c r="UIE252" s="537"/>
      <c r="UIF252" s="537"/>
      <c r="UIG252" s="537"/>
      <c r="UIH252" s="537"/>
      <c r="UII252" s="537"/>
      <c r="UIJ252" s="537"/>
      <c r="UIK252" s="537"/>
      <c r="UIL252" s="537"/>
      <c r="UIM252" s="537"/>
      <c r="UIN252" s="537"/>
      <c r="UIO252" s="537"/>
      <c r="UIP252" s="537"/>
      <c r="UIQ252" s="537"/>
      <c r="UIR252" s="537"/>
      <c r="UIS252" s="537"/>
      <c r="UIT252" s="537"/>
      <c r="UIU252" s="537"/>
      <c r="UIV252" s="537"/>
      <c r="UIW252" s="537"/>
      <c r="UIX252" s="537"/>
      <c r="UIY252" s="537"/>
      <c r="UIZ252" s="537"/>
      <c r="UJA252" s="537"/>
      <c r="UJB252" s="537"/>
      <c r="UJC252" s="537"/>
      <c r="UJD252" s="537"/>
      <c r="UJE252" s="537"/>
      <c r="UJF252" s="537"/>
      <c r="UJG252" s="537"/>
      <c r="UJH252" s="537"/>
      <c r="UJI252" s="537"/>
      <c r="UJJ252" s="537"/>
      <c r="UJK252" s="537"/>
      <c r="UJL252" s="537"/>
      <c r="UJM252" s="537"/>
      <c r="UJN252" s="537"/>
      <c r="UJO252" s="537"/>
      <c r="UJP252" s="537"/>
      <c r="UJQ252" s="537"/>
      <c r="UJR252" s="537"/>
      <c r="UJS252" s="537"/>
      <c r="UJT252" s="537"/>
      <c r="UJU252" s="537"/>
      <c r="UJV252" s="537"/>
      <c r="UJW252" s="537"/>
      <c r="UJX252" s="537"/>
      <c r="UJY252" s="537"/>
      <c r="UJZ252" s="537"/>
      <c r="UKA252" s="537"/>
      <c r="UKB252" s="537"/>
      <c r="UKC252" s="537"/>
      <c r="UKD252" s="537"/>
      <c r="UKE252" s="537"/>
      <c r="UKF252" s="537"/>
      <c r="UKG252" s="537"/>
      <c r="UKH252" s="537"/>
      <c r="UKI252" s="537"/>
      <c r="UKJ252" s="537"/>
      <c r="UKK252" s="537"/>
      <c r="UKL252" s="537"/>
      <c r="UKM252" s="537"/>
      <c r="UKN252" s="537"/>
      <c r="UKO252" s="537"/>
      <c r="UKP252" s="537"/>
      <c r="UKQ252" s="537"/>
      <c r="UKR252" s="537"/>
      <c r="UKS252" s="537"/>
      <c r="UKT252" s="537"/>
      <c r="UKU252" s="537"/>
      <c r="UKV252" s="537"/>
      <c r="UKW252" s="537"/>
      <c r="UKX252" s="537"/>
      <c r="UKY252" s="537"/>
      <c r="UKZ252" s="537"/>
      <c r="ULA252" s="537"/>
      <c r="ULB252" s="537"/>
      <c r="ULC252" s="537"/>
      <c r="ULD252" s="537"/>
      <c r="ULE252" s="537"/>
      <c r="ULF252" s="537"/>
      <c r="ULG252" s="537"/>
      <c r="ULH252" s="537"/>
      <c r="ULI252" s="537"/>
      <c r="ULJ252" s="537"/>
      <c r="ULK252" s="537"/>
      <c r="ULL252" s="537"/>
      <c r="ULM252" s="537"/>
      <c r="ULN252" s="537"/>
      <c r="ULO252" s="537"/>
      <c r="ULP252" s="537"/>
      <c r="ULQ252" s="537"/>
      <c r="ULR252" s="537"/>
      <c r="ULS252" s="537"/>
      <c r="ULT252" s="537"/>
      <c r="ULU252" s="537"/>
      <c r="ULV252" s="537"/>
      <c r="ULW252" s="537"/>
      <c r="ULX252" s="537"/>
      <c r="ULY252" s="537"/>
      <c r="ULZ252" s="537"/>
      <c r="UMA252" s="537"/>
      <c r="UMB252" s="537"/>
      <c r="UMC252" s="537"/>
      <c r="UMD252" s="537"/>
      <c r="UME252" s="537"/>
      <c r="UMF252" s="537"/>
      <c r="UMG252" s="537"/>
      <c r="UMH252" s="537"/>
      <c r="UMI252" s="537"/>
      <c r="UMJ252" s="537"/>
      <c r="UMK252" s="537"/>
      <c r="UML252" s="537"/>
      <c r="UMM252" s="537"/>
      <c r="UMN252" s="537"/>
      <c r="UMO252" s="537"/>
      <c r="UMP252" s="537"/>
      <c r="UMQ252" s="537"/>
      <c r="UMR252" s="537"/>
      <c r="UMS252" s="537"/>
      <c r="UMT252" s="537"/>
      <c r="UMU252" s="537"/>
      <c r="UMV252" s="537"/>
      <c r="UMW252" s="537"/>
      <c r="UMX252" s="537"/>
      <c r="UMY252" s="537"/>
      <c r="UMZ252" s="537"/>
      <c r="UNA252" s="537"/>
      <c r="UNB252" s="537"/>
      <c r="UNC252" s="537"/>
      <c r="UND252" s="537"/>
      <c r="UNE252" s="537"/>
      <c r="UNF252" s="537"/>
      <c r="UNG252" s="537"/>
      <c r="UNH252" s="537"/>
      <c r="UNI252" s="537"/>
      <c r="UNJ252" s="537"/>
      <c r="UNK252" s="537"/>
      <c r="UNL252" s="537"/>
      <c r="UNM252" s="537"/>
      <c r="UNN252" s="537"/>
      <c r="UNO252" s="537"/>
      <c r="UNP252" s="537"/>
      <c r="UNQ252" s="537"/>
      <c r="UNR252" s="537"/>
      <c r="UNS252" s="537"/>
      <c r="UNT252" s="537"/>
      <c r="UNU252" s="537"/>
      <c r="UNV252" s="537"/>
      <c r="UNW252" s="537"/>
      <c r="UNX252" s="537"/>
      <c r="UNY252" s="537"/>
      <c r="UNZ252" s="537"/>
      <c r="UOA252" s="537"/>
      <c r="UOB252" s="537"/>
      <c r="UOC252" s="537"/>
      <c r="UOD252" s="537"/>
      <c r="UOE252" s="537"/>
      <c r="UOF252" s="537"/>
      <c r="UOG252" s="537"/>
      <c r="UOH252" s="537"/>
      <c r="UOI252" s="537"/>
      <c r="UOJ252" s="537"/>
      <c r="UOK252" s="537"/>
      <c r="UOL252" s="537"/>
      <c r="UOM252" s="537"/>
      <c r="UON252" s="537"/>
      <c r="UOO252" s="537"/>
      <c r="UOP252" s="537"/>
      <c r="UOQ252" s="537"/>
      <c r="UOR252" s="537"/>
      <c r="UOS252" s="537"/>
      <c r="UOT252" s="537"/>
      <c r="UOU252" s="537"/>
      <c r="UOV252" s="537"/>
      <c r="UOW252" s="537"/>
      <c r="UOX252" s="537"/>
      <c r="UOY252" s="537"/>
      <c r="UOZ252" s="537"/>
      <c r="UPA252" s="537"/>
      <c r="UPB252" s="537"/>
      <c r="UPC252" s="537"/>
      <c r="UPD252" s="537"/>
      <c r="UPE252" s="537"/>
      <c r="UPF252" s="537"/>
      <c r="UPG252" s="537"/>
      <c r="UPH252" s="537"/>
      <c r="UPI252" s="537"/>
      <c r="UPJ252" s="537"/>
      <c r="UPK252" s="537"/>
      <c r="UPL252" s="537"/>
      <c r="UPM252" s="537"/>
      <c r="UPN252" s="537"/>
      <c r="UPO252" s="537"/>
      <c r="UPP252" s="537"/>
      <c r="UPQ252" s="537"/>
      <c r="UPR252" s="537"/>
      <c r="UPS252" s="537"/>
      <c r="UPT252" s="537"/>
      <c r="UPU252" s="537"/>
      <c r="UPV252" s="537"/>
      <c r="UPW252" s="537"/>
      <c r="UPX252" s="537"/>
      <c r="UPY252" s="537"/>
      <c r="UPZ252" s="537"/>
      <c r="UQA252" s="537"/>
      <c r="UQB252" s="537"/>
      <c r="UQC252" s="537"/>
      <c r="UQD252" s="537"/>
      <c r="UQE252" s="537"/>
      <c r="UQF252" s="537"/>
      <c r="UQG252" s="537"/>
      <c r="UQH252" s="537"/>
      <c r="UQI252" s="537"/>
      <c r="UQJ252" s="537"/>
      <c r="UQK252" s="537"/>
      <c r="UQL252" s="537"/>
      <c r="UQM252" s="537"/>
      <c r="UQN252" s="537"/>
      <c r="UQO252" s="537"/>
      <c r="UQP252" s="537"/>
      <c r="UQQ252" s="537"/>
      <c r="UQR252" s="537"/>
      <c r="UQS252" s="537"/>
      <c r="UQT252" s="537"/>
      <c r="UQU252" s="537"/>
      <c r="UQV252" s="537"/>
      <c r="UQW252" s="537"/>
      <c r="UQX252" s="537"/>
      <c r="UQY252" s="537"/>
      <c r="UQZ252" s="537"/>
      <c r="URA252" s="537"/>
      <c r="URB252" s="537"/>
      <c r="URC252" s="537"/>
      <c r="URD252" s="537"/>
      <c r="URE252" s="537"/>
      <c r="URF252" s="537"/>
      <c r="URG252" s="537"/>
      <c r="URH252" s="537"/>
      <c r="URI252" s="537"/>
      <c r="URJ252" s="537"/>
      <c r="URK252" s="537"/>
      <c r="URL252" s="537"/>
      <c r="URM252" s="537"/>
      <c r="URN252" s="537"/>
      <c r="URO252" s="537"/>
      <c r="URP252" s="537"/>
      <c r="URQ252" s="537"/>
      <c r="URR252" s="537"/>
      <c r="URS252" s="537"/>
      <c r="URT252" s="537"/>
      <c r="URU252" s="537"/>
      <c r="URV252" s="537"/>
      <c r="URW252" s="537"/>
      <c r="URX252" s="537"/>
      <c r="URY252" s="537"/>
      <c r="URZ252" s="537"/>
      <c r="USA252" s="537"/>
      <c r="USB252" s="537"/>
      <c r="USC252" s="537"/>
      <c r="USD252" s="537"/>
      <c r="USE252" s="537"/>
      <c r="USF252" s="537"/>
      <c r="USG252" s="537"/>
      <c r="USH252" s="537"/>
      <c r="USI252" s="537"/>
      <c r="USJ252" s="537"/>
      <c r="USK252" s="537"/>
      <c r="USL252" s="537"/>
      <c r="USM252" s="537"/>
      <c r="USN252" s="537"/>
      <c r="USO252" s="537"/>
      <c r="USP252" s="537"/>
      <c r="USQ252" s="537"/>
      <c r="USR252" s="537"/>
      <c r="USS252" s="537"/>
      <c r="UST252" s="537"/>
      <c r="USU252" s="537"/>
      <c r="USV252" s="537"/>
      <c r="USW252" s="537"/>
      <c r="USX252" s="537"/>
      <c r="USY252" s="537"/>
      <c r="USZ252" s="537"/>
      <c r="UTA252" s="537"/>
      <c r="UTB252" s="537"/>
      <c r="UTC252" s="537"/>
      <c r="UTD252" s="537"/>
      <c r="UTE252" s="537"/>
      <c r="UTF252" s="537"/>
      <c r="UTG252" s="537"/>
      <c r="UTH252" s="537"/>
      <c r="UTI252" s="537"/>
      <c r="UTJ252" s="537"/>
      <c r="UTK252" s="537"/>
      <c r="UTL252" s="537"/>
      <c r="UTM252" s="537"/>
      <c r="UTN252" s="537"/>
      <c r="UTO252" s="537"/>
      <c r="UTP252" s="537"/>
      <c r="UTQ252" s="537"/>
      <c r="UTR252" s="537"/>
      <c r="UTS252" s="537"/>
      <c r="UTT252" s="537"/>
      <c r="UTU252" s="537"/>
      <c r="UTV252" s="537"/>
      <c r="UTW252" s="537"/>
      <c r="UTX252" s="537"/>
      <c r="UTY252" s="537"/>
      <c r="UTZ252" s="537"/>
      <c r="UUA252" s="537"/>
      <c r="UUB252" s="537"/>
      <c r="UUC252" s="537"/>
      <c r="UUD252" s="537"/>
      <c r="UUE252" s="537"/>
      <c r="UUF252" s="537"/>
      <c r="UUG252" s="537"/>
      <c r="UUH252" s="537"/>
      <c r="UUI252" s="537"/>
      <c r="UUJ252" s="537"/>
      <c r="UUK252" s="537"/>
      <c r="UUL252" s="537"/>
      <c r="UUM252" s="537"/>
      <c r="UUN252" s="537"/>
      <c r="UUO252" s="537"/>
      <c r="UUP252" s="537"/>
      <c r="UUQ252" s="537"/>
      <c r="UUR252" s="537"/>
      <c r="UUS252" s="537"/>
      <c r="UUT252" s="537"/>
      <c r="UUU252" s="537"/>
      <c r="UUV252" s="537"/>
      <c r="UUW252" s="537"/>
      <c r="UUX252" s="537"/>
      <c r="UUY252" s="537"/>
      <c r="UUZ252" s="537"/>
      <c r="UVA252" s="537"/>
      <c r="UVB252" s="537"/>
      <c r="UVC252" s="537"/>
      <c r="UVD252" s="537"/>
      <c r="UVE252" s="537"/>
      <c r="UVF252" s="537"/>
      <c r="UVG252" s="537"/>
      <c r="UVH252" s="537"/>
      <c r="UVI252" s="537"/>
      <c r="UVJ252" s="537"/>
      <c r="UVK252" s="537"/>
      <c r="UVL252" s="537"/>
      <c r="UVM252" s="537"/>
      <c r="UVN252" s="537"/>
      <c r="UVO252" s="537"/>
      <c r="UVP252" s="537"/>
      <c r="UVQ252" s="537"/>
      <c r="UVR252" s="537"/>
      <c r="UVS252" s="537"/>
      <c r="UVT252" s="537"/>
      <c r="UVU252" s="537"/>
      <c r="UVV252" s="537"/>
      <c r="UVW252" s="537"/>
      <c r="UVX252" s="537"/>
      <c r="UVY252" s="537"/>
      <c r="UVZ252" s="537"/>
      <c r="UWA252" s="537"/>
      <c r="UWB252" s="537"/>
      <c r="UWC252" s="537"/>
      <c r="UWD252" s="537"/>
      <c r="UWE252" s="537"/>
      <c r="UWF252" s="537"/>
      <c r="UWG252" s="537"/>
      <c r="UWH252" s="537"/>
      <c r="UWI252" s="537"/>
      <c r="UWJ252" s="537"/>
      <c r="UWK252" s="537"/>
      <c r="UWL252" s="537"/>
      <c r="UWM252" s="537"/>
      <c r="UWN252" s="537"/>
      <c r="UWO252" s="537"/>
      <c r="UWP252" s="537"/>
      <c r="UWQ252" s="537"/>
      <c r="UWR252" s="537"/>
      <c r="UWS252" s="537"/>
      <c r="UWT252" s="537"/>
      <c r="UWU252" s="537"/>
      <c r="UWV252" s="537"/>
      <c r="UWW252" s="537"/>
      <c r="UWX252" s="537"/>
      <c r="UWY252" s="537"/>
      <c r="UWZ252" s="537"/>
      <c r="UXA252" s="537"/>
      <c r="UXB252" s="537"/>
      <c r="UXC252" s="537"/>
      <c r="UXD252" s="537"/>
      <c r="UXE252" s="537"/>
      <c r="UXF252" s="537"/>
      <c r="UXG252" s="537"/>
      <c r="UXH252" s="537"/>
      <c r="UXI252" s="537"/>
      <c r="UXJ252" s="537"/>
      <c r="UXK252" s="537"/>
      <c r="UXL252" s="537"/>
      <c r="UXM252" s="537"/>
      <c r="UXN252" s="537"/>
      <c r="UXO252" s="537"/>
      <c r="UXP252" s="537"/>
      <c r="UXQ252" s="537"/>
      <c r="UXR252" s="537"/>
      <c r="UXS252" s="537"/>
      <c r="UXT252" s="537"/>
      <c r="UXU252" s="537"/>
      <c r="UXV252" s="537"/>
      <c r="UXW252" s="537"/>
      <c r="UXX252" s="537"/>
      <c r="UXY252" s="537"/>
      <c r="UXZ252" s="537"/>
      <c r="UYA252" s="537"/>
      <c r="UYB252" s="537"/>
      <c r="UYC252" s="537"/>
      <c r="UYD252" s="537"/>
      <c r="UYE252" s="537"/>
      <c r="UYF252" s="537"/>
      <c r="UYG252" s="537"/>
      <c r="UYH252" s="537"/>
      <c r="UYI252" s="537"/>
      <c r="UYJ252" s="537"/>
      <c r="UYK252" s="537"/>
      <c r="UYL252" s="537"/>
      <c r="UYM252" s="537"/>
      <c r="UYN252" s="537"/>
      <c r="UYO252" s="537"/>
      <c r="UYP252" s="537"/>
      <c r="UYQ252" s="537"/>
      <c r="UYR252" s="537"/>
      <c r="UYS252" s="537"/>
      <c r="UYT252" s="537"/>
      <c r="UYU252" s="537"/>
      <c r="UYV252" s="537"/>
      <c r="UYW252" s="537"/>
      <c r="UYX252" s="537"/>
      <c r="UYY252" s="537"/>
      <c r="UYZ252" s="537"/>
      <c r="UZA252" s="537"/>
      <c r="UZB252" s="537"/>
      <c r="UZC252" s="537"/>
      <c r="UZD252" s="537"/>
      <c r="UZE252" s="537"/>
      <c r="UZF252" s="537"/>
      <c r="UZG252" s="537"/>
      <c r="UZH252" s="537"/>
      <c r="UZI252" s="537"/>
      <c r="UZJ252" s="537"/>
      <c r="UZK252" s="537"/>
      <c r="UZL252" s="537"/>
      <c r="UZM252" s="537"/>
      <c r="UZN252" s="537"/>
      <c r="UZO252" s="537"/>
      <c r="UZP252" s="537"/>
      <c r="UZQ252" s="537"/>
      <c r="UZR252" s="537"/>
      <c r="UZS252" s="537"/>
      <c r="UZT252" s="537"/>
      <c r="UZU252" s="537"/>
      <c r="UZV252" s="537"/>
      <c r="UZW252" s="537"/>
      <c r="UZX252" s="537"/>
      <c r="UZY252" s="537"/>
      <c r="UZZ252" s="537"/>
      <c r="VAA252" s="537"/>
      <c r="VAB252" s="537"/>
      <c r="VAC252" s="537"/>
      <c r="VAD252" s="537"/>
      <c r="VAE252" s="537"/>
      <c r="VAF252" s="537"/>
      <c r="VAG252" s="537"/>
      <c r="VAH252" s="537"/>
      <c r="VAI252" s="537"/>
      <c r="VAJ252" s="537"/>
      <c r="VAK252" s="537"/>
      <c r="VAL252" s="537"/>
      <c r="VAM252" s="537"/>
      <c r="VAN252" s="537"/>
      <c r="VAO252" s="537"/>
      <c r="VAP252" s="537"/>
      <c r="VAQ252" s="537"/>
      <c r="VAR252" s="537"/>
      <c r="VAS252" s="537"/>
      <c r="VAT252" s="537"/>
      <c r="VAU252" s="537"/>
      <c r="VAV252" s="537"/>
      <c r="VAW252" s="537"/>
      <c r="VAX252" s="537"/>
      <c r="VAY252" s="537"/>
      <c r="VAZ252" s="537"/>
      <c r="VBA252" s="537"/>
      <c r="VBB252" s="537"/>
      <c r="VBC252" s="537"/>
      <c r="VBD252" s="537"/>
      <c r="VBE252" s="537"/>
      <c r="VBF252" s="537"/>
      <c r="VBG252" s="537"/>
      <c r="VBH252" s="537"/>
      <c r="VBI252" s="537"/>
      <c r="VBJ252" s="537"/>
      <c r="VBK252" s="537"/>
      <c r="VBL252" s="537"/>
      <c r="VBM252" s="537"/>
      <c r="VBN252" s="537"/>
      <c r="VBO252" s="537"/>
      <c r="VBP252" s="537"/>
      <c r="VBQ252" s="537"/>
      <c r="VBR252" s="537"/>
      <c r="VBS252" s="537"/>
      <c r="VBT252" s="537"/>
      <c r="VBU252" s="537"/>
      <c r="VBV252" s="537"/>
      <c r="VBW252" s="537"/>
      <c r="VBX252" s="537"/>
      <c r="VBY252" s="537"/>
      <c r="VBZ252" s="537"/>
      <c r="VCA252" s="537"/>
      <c r="VCB252" s="537"/>
      <c r="VCC252" s="537"/>
      <c r="VCD252" s="537"/>
      <c r="VCE252" s="537"/>
      <c r="VCF252" s="537"/>
      <c r="VCG252" s="537"/>
      <c r="VCH252" s="537"/>
      <c r="VCI252" s="537"/>
      <c r="VCJ252" s="537"/>
      <c r="VCK252" s="537"/>
      <c r="VCL252" s="537"/>
      <c r="VCM252" s="537"/>
      <c r="VCN252" s="537"/>
      <c r="VCO252" s="537"/>
      <c r="VCP252" s="537"/>
      <c r="VCQ252" s="537"/>
      <c r="VCR252" s="537"/>
      <c r="VCS252" s="537"/>
      <c r="VCT252" s="537"/>
      <c r="VCU252" s="537"/>
      <c r="VCV252" s="537"/>
      <c r="VCW252" s="537"/>
      <c r="VCX252" s="537"/>
      <c r="VCY252" s="537"/>
      <c r="VCZ252" s="537"/>
      <c r="VDA252" s="537"/>
      <c r="VDB252" s="537"/>
      <c r="VDC252" s="537"/>
      <c r="VDD252" s="537"/>
      <c r="VDE252" s="537"/>
      <c r="VDF252" s="537"/>
      <c r="VDG252" s="537"/>
      <c r="VDH252" s="537"/>
      <c r="VDI252" s="537"/>
      <c r="VDJ252" s="537"/>
      <c r="VDK252" s="537"/>
      <c r="VDL252" s="537"/>
      <c r="VDM252" s="537"/>
      <c r="VDN252" s="537"/>
      <c r="VDO252" s="537"/>
      <c r="VDP252" s="537"/>
      <c r="VDQ252" s="537"/>
      <c r="VDR252" s="537"/>
      <c r="VDS252" s="537"/>
      <c r="VDT252" s="537"/>
      <c r="VDU252" s="537"/>
      <c r="VDV252" s="537"/>
      <c r="VDW252" s="537"/>
      <c r="VDX252" s="537"/>
      <c r="VDY252" s="537"/>
      <c r="VDZ252" s="537"/>
      <c r="VEA252" s="537"/>
      <c r="VEB252" s="537"/>
      <c r="VEC252" s="537"/>
      <c r="VED252" s="537"/>
      <c r="VEE252" s="537"/>
      <c r="VEF252" s="537"/>
      <c r="VEG252" s="537"/>
      <c r="VEH252" s="537"/>
      <c r="VEI252" s="537"/>
      <c r="VEJ252" s="537"/>
      <c r="VEK252" s="537"/>
      <c r="VEL252" s="537"/>
      <c r="VEM252" s="537"/>
      <c r="VEN252" s="537"/>
      <c r="VEO252" s="537"/>
      <c r="VEP252" s="537"/>
      <c r="VEQ252" s="537"/>
      <c r="VER252" s="537"/>
      <c r="VES252" s="537"/>
      <c r="VET252" s="537"/>
      <c r="VEU252" s="537"/>
      <c r="VEV252" s="537"/>
      <c r="VEW252" s="537"/>
      <c r="VEX252" s="537"/>
      <c r="VEY252" s="537"/>
      <c r="VEZ252" s="537"/>
      <c r="VFA252" s="537"/>
      <c r="VFB252" s="537"/>
      <c r="VFC252" s="537"/>
      <c r="VFD252" s="537"/>
      <c r="VFE252" s="537"/>
      <c r="VFF252" s="537"/>
      <c r="VFG252" s="537"/>
      <c r="VFH252" s="537"/>
      <c r="VFI252" s="537"/>
      <c r="VFJ252" s="537"/>
      <c r="VFK252" s="537"/>
      <c r="VFL252" s="537"/>
      <c r="VFM252" s="537"/>
      <c r="VFN252" s="537"/>
      <c r="VFO252" s="537"/>
      <c r="VFP252" s="537"/>
      <c r="VFQ252" s="537"/>
      <c r="VFR252" s="537"/>
      <c r="VFS252" s="537"/>
      <c r="VFT252" s="537"/>
      <c r="VFU252" s="537"/>
      <c r="VFV252" s="537"/>
      <c r="VFW252" s="537"/>
      <c r="VFX252" s="537"/>
      <c r="VFY252" s="537"/>
      <c r="VFZ252" s="537"/>
      <c r="VGA252" s="537"/>
      <c r="VGB252" s="537"/>
      <c r="VGC252" s="537"/>
      <c r="VGD252" s="537"/>
      <c r="VGE252" s="537"/>
      <c r="VGF252" s="537"/>
      <c r="VGG252" s="537"/>
      <c r="VGH252" s="537"/>
      <c r="VGI252" s="537"/>
      <c r="VGJ252" s="537"/>
      <c r="VGK252" s="537"/>
      <c r="VGL252" s="537"/>
      <c r="VGM252" s="537"/>
      <c r="VGN252" s="537"/>
      <c r="VGO252" s="537"/>
      <c r="VGP252" s="537"/>
      <c r="VGQ252" s="537"/>
      <c r="VGR252" s="537"/>
      <c r="VGS252" s="537"/>
      <c r="VGT252" s="537"/>
      <c r="VGU252" s="537"/>
      <c r="VGV252" s="537"/>
      <c r="VGW252" s="537"/>
      <c r="VGX252" s="537"/>
      <c r="VGY252" s="537"/>
      <c r="VGZ252" s="537"/>
      <c r="VHA252" s="537"/>
      <c r="VHB252" s="537"/>
      <c r="VHC252" s="537"/>
      <c r="VHD252" s="537"/>
      <c r="VHE252" s="537"/>
      <c r="VHF252" s="537"/>
      <c r="VHG252" s="537"/>
      <c r="VHH252" s="537"/>
      <c r="VHI252" s="537"/>
      <c r="VHJ252" s="537"/>
      <c r="VHK252" s="537"/>
      <c r="VHL252" s="537"/>
      <c r="VHM252" s="537"/>
      <c r="VHN252" s="537"/>
      <c r="VHO252" s="537"/>
      <c r="VHP252" s="537"/>
      <c r="VHQ252" s="537"/>
      <c r="VHR252" s="537"/>
      <c r="VHS252" s="537"/>
      <c r="VHT252" s="537"/>
      <c r="VHU252" s="537"/>
      <c r="VHV252" s="537"/>
      <c r="VHW252" s="537"/>
      <c r="VHX252" s="537"/>
      <c r="VHY252" s="537"/>
      <c r="VHZ252" s="537"/>
      <c r="VIA252" s="537"/>
      <c r="VIB252" s="537"/>
      <c r="VIC252" s="537"/>
      <c r="VID252" s="537"/>
      <c r="VIE252" s="537"/>
      <c r="VIF252" s="537"/>
      <c r="VIG252" s="537"/>
      <c r="VIH252" s="537"/>
      <c r="VII252" s="537"/>
      <c r="VIJ252" s="537"/>
      <c r="VIK252" s="537"/>
      <c r="VIL252" s="537"/>
      <c r="VIM252" s="537"/>
      <c r="VIN252" s="537"/>
      <c r="VIO252" s="537"/>
      <c r="VIP252" s="537"/>
      <c r="VIQ252" s="537"/>
      <c r="VIR252" s="537"/>
      <c r="VIS252" s="537"/>
      <c r="VIT252" s="537"/>
      <c r="VIU252" s="537"/>
      <c r="VIV252" s="537"/>
      <c r="VIW252" s="537"/>
      <c r="VIX252" s="537"/>
      <c r="VIY252" s="537"/>
      <c r="VIZ252" s="537"/>
      <c r="VJA252" s="537"/>
      <c r="VJB252" s="537"/>
      <c r="VJC252" s="537"/>
      <c r="VJD252" s="537"/>
      <c r="VJE252" s="537"/>
      <c r="VJF252" s="537"/>
      <c r="VJG252" s="537"/>
      <c r="VJH252" s="537"/>
      <c r="VJI252" s="537"/>
      <c r="VJJ252" s="537"/>
      <c r="VJK252" s="537"/>
      <c r="VJL252" s="537"/>
      <c r="VJM252" s="537"/>
      <c r="VJN252" s="537"/>
      <c r="VJO252" s="537"/>
      <c r="VJP252" s="537"/>
      <c r="VJQ252" s="537"/>
      <c r="VJR252" s="537"/>
      <c r="VJS252" s="537"/>
      <c r="VJT252" s="537"/>
      <c r="VJU252" s="537"/>
      <c r="VJV252" s="537"/>
      <c r="VJW252" s="537"/>
      <c r="VJX252" s="537"/>
      <c r="VJY252" s="537"/>
      <c r="VJZ252" s="537"/>
      <c r="VKA252" s="537"/>
      <c r="VKB252" s="537"/>
      <c r="VKC252" s="537"/>
      <c r="VKD252" s="537"/>
      <c r="VKE252" s="537"/>
      <c r="VKF252" s="537"/>
      <c r="VKG252" s="537"/>
      <c r="VKH252" s="537"/>
      <c r="VKI252" s="537"/>
      <c r="VKJ252" s="537"/>
      <c r="VKK252" s="537"/>
      <c r="VKL252" s="537"/>
      <c r="VKM252" s="537"/>
      <c r="VKN252" s="537"/>
      <c r="VKO252" s="537"/>
      <c r="VKP252" s="537"/>
      <c r="VKQ252" s="537"/>
      <c r="VKR252" s="537"/>
      <c r="VKS252" s="537"/>
      <c r="VKT252" s="537"/>
      <c r="VKU252" s="537"/>
      <c r="VKV252" s="537"/>
      <c r="VKW252" s="537"/>
      <c r="VKX252" s="537"/>
      <c r="VKY252" s="537"/>
      <c r="VKZ252" s="537"/>
      <c r="VLA252" s="537"/>
      <c r="VLB252" s="537"/>
      <c r="VLC252" s="537"/>
      <c r="VLD252" s="537"/>
      <c r="VLE252" s="537"/>
      <c r="VLF252" s="537"/>
      <c r="VLG252" s="537"/>
      <c r="VLH252" s="537"/>
      <c r="VLI252" s="537"/>
      <c r="VLJ252" s="537"/>
      <c r="VLK252" s="537"/>
      <c r="VLL252" s="537"/>
      <c r="VLM252" s="537"/>
      <c r="VLN252" s="537"/>
      <c r="VLO252" s="537"/>
      <c r="VLP252" s="537"/>
      <c r="VLQ252" s="537"/>
      <c r="VLR252" s="537"/>
      <c r="VLS252" s="537"/>
      <c r="VLT252" s="537"/>
      <c r="VLU252" s="537"/>
      <c r="VLV252" s="537"/>
      <c r="VLW252" s="537"/>
      <c r="VLX252" s="537"/>
      <c r="VLY252" s="537"/>
      <c r="VLZ252" s="537"/>
      <c r="VMA252" s="537"/>
      <c r="VMB252" s="537"/>
      <c r="VMC252" s="537"/>
      <c r="VMD252" s="537"/>
      <c r="VME252" s="537"/>
      <c r="VMF252" s="537"/>
      <c r="VMG252" s="537"/>
      <c r="VMH252" s="537"/>
      <c r="VMI252" s="537"/>
      <c r="VMJ252" s="537"/>
      <c r="VMK252" s="537"/>
      <c r="VML252" s="537"/>
      <c r="VMM252" s="537"/>
      <c r="VMN252" s="537"/>
      <c r="VMO252" s="537"/>
      <c r="VMP252" s="537"/>
      <c r="VMQ252" s="537"/>
      <c r="VMR252" s="537"/>
      <c r="VMS252" s="537"/>
      <c r="VMT252" s="537"/>
      <c r="VMU252" s="537"/>
      <c r="VMV252" s="537"/>
      <c r="VMW252" s="537"/>
      <c r="VMX252" s="537"/>
      <c r="VMY252" s="537"/>
      <c r="VMZ252" s="537"/>
      <c r="VNA252" s="537"/>
      <c r="VNB252" s="537"/>
      <c r="VNC252" s="537"/>
      <c r="VND252" s="537"/>
      <c r="VNE252" s="537"/>
      <c r="VNF252" s="537"/>
      <c r="VNG252" s="537"/>
      <c r="VNH252" s="537"/>
      <c r="VNI252" s="537"/>
      <c r="VNJ252" s="537"/>
      <c r="VNK252" s="537"/>
      <c r="VNL252" s="537"/>
      <c r="VNM252" s="537"/>
      <c r="VNN252" s="537"/>
      <c r="VNO252" s="537"/>
      <c r="VNP252" s="537"/>
      <c r="VNQ252" s="537"/>
      <c r="VNR252" s="537"/>
      <c r="VNS252" s="537"/>
      <c r="VNT252" s="537"/>
      <c r="VNU252" s="537"/>
      <c r="VNV252" s="537"/>
      <c r="VNW252" s="537"/>
      <c r="VNX252" s="537"/>
      <c r="VNY252" s="537"/>
      <c r="VNZ252" s="537"/>
      <c r="VOA252" s="537"/>
      <c r="VOB252" s="537"/>
      <c r="VOC252" s="537"/>
      <c r="VOD252" s="537"/>
      <c r="VOE252" s="537"/>
      <c r="VOF252" s="537"/>
      <c r="VOG252" s="537"/>
      <c r="VOH252" s="537"/>
      <c r="VOI252" s="537"/>
      <c r="VOJ252" s="537"/>
      <c r="VOK252" s="537"/>
      <c r="VOL252" s="537"/>
      <c r="VOM252" s="537"/>
      <c r="VON252" s="537"/>
      <c r="VOO252" s="537"/>
      <c r="VOP252" s="537"/>
      <c r="VOQ252" s="537"/>
      <c r="VOR252" s="537"/>
      <c r="VOS252" s="537"/>
      <c r="VOT252" s="537"/>
      <c r="VOU252" s="537"/>
      <c r="VOV252" s="537"/>
      <c r="VOW252" s="537"/>
      <c r="VOX252" s="537"/>
      <c r="VOY252" s="537"/>
      <c r="VOZ252" s="537"/>
      <c r="VPA252" s="537"/>
      <c r="VPB252" s="537"/>
      <c r="VPC252" s="537"/>
      <c r="VPD252" s="537"/>
      <c r="VPE252" s="537"/>
      <c r="VPF252" s="537"/>
      <c r="VPG252" s="537"/>
      <c r="VPH252" s="537"/>
      <c r="VPI252" s="537"/>
      <c r="VPJ252" s="537"/>
      <c r="VPK252" s="537"/>
      <c r="VPL252" s="537"/>
      <c r="VPM252" s="537"/>
      <c r="VPN252" s="537"/>
      <c r="VPO252" s="537"/>
      <c r="VPP252" s="537"/>
      <c r="VPQ252" s="537"/>
      <c r="VPR252" s="537"/>
      <c r="VPS252" s="537"/>
      <c r="VPT252" s="537"/>
      <c r="VPU252" s="537"/>
      <c r="VPV252" s="537"/>
      <c r="VPW252" s="537"/>
      <c r="VPX252" s="537"/>
      <c r="VPY252" s="537"/>
      <c r="VPZ252" s="537"/>
      <c r="VQA252" s="537"/>
      <c r="VQB252" s="537"/>
      <c r="VQC252" s="537"/>
      <c r="VQD252" s="537"/>
      <c r="VQE252" s="537"/>
      <c r="VQF252" s="537"/>
      <c r="VQG252" s="537"/>
      <c r="VQH252" s="537"/>
      <c r="VQI252" s="537"/>
      <c r="VQJ252" s="537"/>
      <c r="VQK252" s="537"/>
      <c r="VQL252" s="537"/>
      <c r="VQM252" s="537"/>
      <c r="VQN252" s="537"/>
      <c r="VQO252" s="537"/>
      <c r="VQP252" s="537"/>
      <c r="VQQ252" s="537"/>
      <c r="VQR252" s="537"/>
      <c r="VQS252" s="537"/>
      <c r="VQT252" s="537"/>
      <c r="VQU252" s="537"/>
      <c r="VQV252" s="537"/>
      <c r="VQW252" s="537"/>
      <c r="VQX252" s="537"/>
      <c r="VQY252" s="537"/>
      <c r="VQZ252" s="537"/>
      <c r="VRA252" s="537"/>
      <c r="VRB252" s="537"/>
      <c r="VRC252" s="537"/>
      <c r="VRD252" s="537"/>
      <c r="VRE252" s="537"/>
      <c r="VRF252" s="537"/>
      <c r="VRG252" s="537"/>
      <c r="VRH252" s="537"/>
      <c r="VRI252" s="537"/>
      <c r="VRJ252" s="537"/>
      <c r="VRK252" s="537"/>
      <c r="VRL252" s="537"/>
      <c r="VRM252" s="537"/>
      <c r="VRN252" s="537"/>
      <c r="VRO252" s="537"/>
      <c r="VRP252" s="537"/>
      <c r="VRQ252" s="537"/>
      <c r="VRR252" s="537"/>
      <c r="VRS252" s="537"/>
      <c r="VRT252" s="537"/>
      <c r="VRU252" s="537"/>
      <c r="VRV252" s="537"/>
      <c r="VRW252" s="537"/>
      <c r="VRX252" s="537"/>
      <c r="VRY252" s="537"/>
      <c r="VRZ252" s="537"/>
      <c r="VSA252" s="537"/>
      <c r="VSB252" s="537"/>
      <c r="VSC252" s="537"/>
      <c r="VSD252" s="537"/>
      <c r="VSE252" s="537"/>
      <c r="VSF252" s="537"/>
      <c r="VSG252" s="537"/>
      <c r="VSH252" s="537"/>
      <c r="VSI252" s="537"/>
      <c r="VSJ252" s="537"/>
      <c r="VSK252" s="537"/>
      <c r="VSL252" s="537"/>
      <c r="VSM252" s="537"/>
      <c r="VSN252" s="537"/>
      <c r="VSO252" s="537"/>
      <c r="VSP252" s="537"/>
      <c r="VSQ252" s="537"/>
      <c r="VSR252" s="537"/>
      <c r="VSS252" s="537"/>
      <c r="VST252" s="537"/>
      <c r="VSU252" s="537"/>
      <c r="VSV252" s="537"/>
      <c r="VSW252" s="537"/>
      <c r="VSX252" s="537"/>
      <c r="VSY252" s="537"/>
      <c r="VSZ252" s="537"/>
      <c r="VTA252" s="537"/>
      <c r="VTB252" s="537"/>
      <c r="VTC252" s="537"/>
      <c r="VTD252" s="537"/>
      <c r="VTE252" s="537"/>
      <c r="VTF252" s="537"/>
      <c r="VTG252" s="537"/>
      <c r="VTH252" s="537"/>
      <c r="VTI252" s="537"/>
      <c r="VTJ252" s="537"/>
      <c r="VTK252" s="537"/>
      <c r="VTL252" s="537"/>
      <c r="VTM252" s="537"/>
      <c r="VTN252" s="537"/>
      <c r="VTO252" s="537"/>
      <c r="VTP252" s="537"/>
      <c r="VTQ252" s="537"/>
      <c r="VTR252" s="537"/>
      <c r="VTS252" s="537"/>
      <c r="VTT252" s="537"/>
      <c r="VTU252" s="537"/>
      <c r="VTV252" s="537"/>
      <c r="VTW252" s="537"/>
      <c r="VTX252" s="537"/>
      <c r="VTY252" s="537"/>
      <c r="VTZ252" s="537"/>
      <c r="VUA252" s="537"/>
      <c r="VUB252" s="537"/>
      <c r="VUC252" s="537"/>
      <c r="VUD252" s="537"/>
      <c r="VUE252" s="537"/>
      <c r="VUF252" s="537"/>
      <c r="VUG252" s="537"/>
      <c r="VUH252" s="537"/>
      <c r="VUI252" s="537"/>
      <c r="VUJ252" s="537"/>
      <c r="VUK252" s="537"/>
      <c r="VUL252" s="537"/>
      <c r="VUM252" s="537"/>
      <c r="VUN252" s="537"/>
      <c r="VUO252" s="537"/>
      <c r="VUP252" s="537"/>
      <c r="VUQ252" s="537"/>
      <c r="VUR252" s="537"/>
      <c r="VUS252" s="537"/>
      <c r="VUT252" s="537"/>
      <c r="VUU252" s="537"/>
      <c r="VUV252" s="537"/>
      <c r="VUW252" s="537"/>
      <c r="VUX252" s="537"/>
      <c r="VUY252" s="537"/>
      <c r="VUZ252" s="537"/>
      <c r="VVA252" s="537"/>
      <c r="VVB252" s="537"/>
      <c r="VVC252" s="537"/>
      <c r="VVD252" s="537"/>
      <c r="VVE252" s="537"/>
      <c r="VVF252" s="537"/>
      <c r="VVG252" s="537"/>
      <c r="VVH252" s="537"/>
      <c r="VVI252" s="537"/>
      <c r="VVJ252" s="537"/>
      <c r="VVK252" s="537"/>
      <c r="VVL252" s="537"/>
      <c r="VVM252" s="537"/>
      <c r="VVN252" s="537"/>
      <c r="VVO252" s="537"/>
      <c r="VVP252" s="537"/>
      <c r="VVQ252" s="537"/>
      <c r="VVR252" s="537"/>
      <c r="VVS252" s="537"/>
      <c r="VVT252" s="537"/>
      <c r="VVU252" s="537"/>
      <c r="VVV252" s="537"/>
      <c r="VVW252" s="537"/>
      <c r="VVX252" s="537"/>
      <c r="VVY252" s="537"/>
      <c r="VVZ252" s="537"/>
      <c r="VWA252" s="537"/>
      <c r="VWB252" s="537"/>
      <c r="VWC252" s="537"/>
      <c r="VWD252" s="537"/>
      <c r="VWE252" s="537"/>
      <c r="VWF252" s="537"/>
      <c r="VWG252" s="537"/>
      <c r="VWH252" s="537"/>
      <c r="VWI252" s="537"/>
      <c r="VWJ252" s="537"/>
      <c r="VWK252" s="537"/>
      <c r="VWL252" s="537"/>
      <c r="VWM252" s="537"/>
      <c r="VWN252" s="537"/>
      <c r="VWO252" s="537"/>
      <c r="VWP252" s="537"/>
      <c r="VWQ252" s="537"/>
      <c r="VWR252" s="537"/>
      <c r="VWS252" s="537"/>
      <c r="VWT252" s="537"/>
      <c r="VWU252" s="537"/>
      <c r="VWV252" s="537"/>
      <c r="VWW252" s="537"/>
      <c r="VWX252" s="537"/>
      <c r="VWY252" s="537"/>
      <c r="VWZ252" s="537"/>
      <c r="VXA252" s="537"/>
      <c r="VXB252" s="537"/>
      <c r="VXC252" s="537"/>
      <c r="VXD252" s="537"/>
      <c r="VXE252" s="537"/>
      <c r="VXF252" s="537"/>
      <c r="VXG252" s="537"/>
      <c r="VXH252" s="537"/>
      <c r="VXI252" s="537"/>
      <c r="VXJ252" s="537"/>
      <c r="VXK252" s="537"/>
      <c r="VXL252" s="537"/>
      <c r="VXM252" s="537"/>
      <c r="VXN252" s="537"/>
      <c r="VXO252" s="537"/>
      <c r="VXP252" s="537"/>
      <c r="VXQ252" s="537"/>
      <c r="VXR252" s="537"/>
      <c r="VXS252" s="537"/>
      <c r="VXT252" s="537"/>
      <c r="VXU252" s="537"/>
      <c r="VXV252" s="537"/>
      <c r="VXW252" s="537"/>
      <c r="VXX252" s="537"/>
      <c r="VXY252" s="537"/>
      <c r="VXZ252" s="537"/>
      <c r="VYA252" s="537"/>
      <c r="VYB252" s="537"/>
      <c r="VYC252" s="537"/>
      <c r="VYD252" s="537"/>
      <c r="VYE252" s="537"/>
      <c r="VYF252" s="537"/>
      <c r="VYG252" s="537"/>
      <c r="VYH252" s="537"/>
      <c r="VYI252" s="537"/>
      <c r="VYJ252" s="537"/>
      <c r="VYK252" s="537"/>
      <c r="VYL252" s="537"/>
      <c r="VYM252" s="537"/>
      <c r="VYN252" s="537"/>
      <c r="VYO252" s="537"/>
      <c r="VYP252" s="537"/>
      <c r="VYQ252" s="537"/>
      <c r="VYR252" s="537"/>
      <c r="VYS252" s="537"/>
      <c r="VYT252" s="537"/>
      <c r="VYU252" s="537"/>
      <c r="VYV252" s="537"/>
      <c r="VYW252" s="537"/>
      <c r="VYX252" s="537"/>
      <c r="VYY252" s="537"/>
      <c r="VYZ252" s="537"/>
      <c r="VZA252" s="537"/>
      <c r="VZB252" s="537"/>
      <c r="VZC252" s="537"/>
      <c r="VZD252" s="537"/>
      <c r="VZE252" s="537"/>
      <c r="VZF252" s="537"/>
      <c r="VZG252" s="537"/>
      <c r="VZH252" s="537"/>
      <c r="VZI252" s="537"/>
      <c r="VZJ252" s="537"/>
      <c r="VZK252" s="537"/>
      <c r="VZL252" s="537"/>
      <c r="VZM252" s="537"/>
      <c r="VZN252" s="537"/>
      <c r="VZO252" s="537"/>
      <c r="VZP252" s="537"/>
      <c r="VZQ252" s="537"/>
      <c r="VZR252" s="537"/>
      <c r="VZS252" s="537"/>
      <c r="VZT252" s="537"/>
      <c r="VZU252" s="537"/>
      <c r="VZV252" s="537"/>
      <c r="VZW252" s="537"/>
      <c r="VZX252" s="537"/>
      <c r="VZY252" s="537"/>
      <c r="VZZ252" s="537"/>
      <c r="WAA252" s="537"/>
      <c r="WAB252" s="537"/>
      <c r="WAC252" s="537"/>
      <c r="WAD252" s="537"/>
      <c r="WAE252" s="537"/>
      <c r="WAF252" s="537"/>
      <c r="WAG252" s="537"/>
      <c r="WAH252" s="537"/>
      <c r="WAI252" s="537"/>
      <c r="WAJ252" s="537"/>
      <c r="WAK252" s="537"/>
      <c r="WAL252" s="537"/>
      <c r="WAM252" s="537"/>
      <c r="WAN252" s="537"/>
      <c r="WAO252" s="537"/>
      <c r="WAP252" s="537"/>
      <c r="WAQ252" s="537"/>
      <c r="WAR252" s="537"/>
      <c r="WAS252" s="537"/>
      <c r="WAT252" s="537"/>
      <c r="WAU252" s="537"/>
      <c r="WAV252" s="537"/>
      <c r="WAW252" s="537"/>
      <c r="WAX252" s="537"/>
      <c r="WAY252" s="537"/>
      <c r="WAZ252" s="537"/>
      <c r="WBA252" s="537"/>
      <c r="WBB252" s="537"/>
      <c r="WBC252" s="537"/>
      <c r="WBD252" s="537"/>
      <c r="WBE252" s="537"/>
      <c r="WBF252" s="537"/>
      <c r="WBG252" s="537"/>
      <c r="WBH252" s="537"/>
      <c r="WBI252" s="537"/>
      <c r="WBJ252" s="537"/>
      <c r="WBK252" s="537"/>
      <c r="WBL252" s="537"/>
      <c r="WBM252" s="537"/>
      <c r="WBN252" s="537"/>
      <c r="WBO252" s="537"/>
      <c r="WBP252" s="537"/>
      <c r="WBQ252" s="537"/>
      <c r="WBR252" s="537"/>
      <c r="WBS252" s="537"/>
      <c r="WBT252" s="537"/>
      <c r="WBU252" s="537"/>
      <c r="WBV252" s="537"/>
      <c r="WBW252" s="537"/>
      <c r="WBX252" s="537"/>
      <c r="WBY252" s="537"/>
      <c r="WBZ252" s="537"/>
      <c r="WCA252" s="537"/>
      <c r="WCB252" s="537"/>
      <c r="WCC252" s="537"/>
      <c r="WCD252" s="537"/>
      <c r="WCE252" s="537"/>
      <c r="WCF252" s="537"/>
      <c r="WCG252" s="537"/>
      <c r="WCH252" s="537"/>
      <c r="WCI252" s="537"/>
      <c r="WCJ252" s="537"/>
      <c r="WCK252" s="537"/>
      <c r="WCL252" s="537"/>
      <c r="WCM252" s="537"/>
      <c r="WCN252" s="537"/>
      <c r="WCO252" s="537"/>
      <c r="WCP252" s="537"/>
      <c r="WCQ252" s="537"/>
      <c r="WCR252" s="537"/>
      <c r="WCS252" s="537"/>
      <c r="WCT252" s="537"/>
      <c r="WCU252" s="537"/>
      <c r="WCV252" s="537"/>
      <c r="WCW252" s="537"/>
      <c r="WCX252" s="537"/>
      <c r="WCY252" s="537"/>
      <c r="WCZ252" s="537"/>
      <c r="WDA252" s="537"/>
      <c r="WDB252" s="537"/>
      <c r="WDC252" s="537"/>
      <c r="WDD252" s="537"/>
      <c r="WDE252" s="537"/>
      <c r="WDF252" s="537"/>
      <c r="WDG252" s="537"/>
      <c r="WDH252" s="537"/>
      <c r="WDI252" s="537"/>
      <c r="WDJ252" s="537"/>
      <c r="WDK252" s="537"/>
      <c r="WDL252" s="537"/>
      <c r="WDM252" s="537"/>
      <c r="WDN252" s="537"/>
      <c r="WDO252" s="537"/>
      <c r="WDP252" s="537"/>
      <c r="WDQ252" s="537"/>
      <c r="WDR252" s="537"/>
      <c r="WDS252" s="537"/>
      <c r="WDT252" s="537"/>
      <c r="WDU252" s="537"/>
      <c r="WDV252" s="537"/>
      <c r="WDW252" s="537"/>
      <c r="WDX252" s="537"/>
      <c r="WDY252" s="537"/>
      <c r="WDZ252" s="537"/>
      <c r="WEA252" s="537"/>
      <c r="WEB252" s="537"/>
      <c r="WEC252" s="537"/>
      <c r="WED252" s="537"/>
      <c r="WEE252" s="537"/>
      <c r="WEF252" s="537"/>
      <c r="WEG252" s="537"/>
      <c r="WEH252" s="537"/>
      <c r="WEI252" s="537"/>
      <c r="WEJ252" s="537"/>
      <c r="WEK252" s="537"/>
      <c r="WEL252" s="537"/>
      <c r="WEM252" s="537"/>
      <c r="WEN252" s="537"/>
      <c r="WEO252" s="537"/>
      <c r="WEP252" s="537"/>
      <c r="WEQ252" s="537"/>
      <c r="WER252" s="537"/>
      <c r="WES252" s="537"/>
      <c r="WET252" s="537"/>
      <c r="WEU252" s="537"/>
      <c r="WEV252" s="537"/>
      <c r="WEW252" s="537"/>
      <c r="WEX252" s="537"/>
      <c r="WEY252" s="537"/>
      <c r="WEZ252" s="537"/>
      <c r="WFA252" s="537"/>
      <c r="WFB252" s="537"/>
      <c r="WFC252" s="537"/>
      <c r="WFD252" s="537"/>
      <c r="WFE252" s="537"/>
      <c r="WFF252" s="537"/>
      <c r="WFG252" s="537"/>
      <c r="WFH252" s="537"/>
      <c r="WFI252" s="537"/>
      <c r="WFJ252" s="537"/>
      <c r="WFK252" s="537"/>
      <c r="WFL252" s="537"/>
      <c r="WFM252" s="537"/>
      <c r="WFN252" s="537"/>
      <c r="WFO252" s="537"/>
      <c r="WFP252" s="537"/>
      <c r="WFQ252" s="537"/>
      <c r="WFR252" s="537"/>
      <c r="WFS252" s="537"/>
      <c r="WFT252" s="537"/>
      <c r="WFU252" s="537"/>
      <c r="WFV252" s="537"/>
      <c r="WFW252" s="537"/>
      <c r="WFX252" s="537"/>
      <c r="WFY252" s="537"/>
      <c r="WFZ252" s="537"/>
      <c r="WGA252" s="537"/>
      <c r="WGB252" s="537"/>
      <c r="WGC252" s="537"/>
      <c r="WGD252" s="537"/>
      <c r="WGE252" s="537"/>
      <c r="WGF252" s="537"/>
      <c r="WGG252" s="537"/>
      <c r="WGH252" s="537"/>
      <c r="WGI252" s="537"/>
      <c r="WGJ252" s="537"/>
      <c r="WGK252" s="537"/>
      <c r="WGL252" s="537"/>
      <c r="WGM252" s="537"/>
      <c r="WGN252" s="537"/>
      <c r="WGO252" s="537"/>
      <c r="WGP252" s="537"/>
      <c r="WGQ252" s="537"/>
      <c r="WGR252" s="537"/>
      <c r="WGS252" s="537"/>
      <c r="WGT252" s="537"/>
      <c r="WGU252" s="537"/>
      <c r="WGV252" s="537"/>
      <c r="WGW252" s="537"/>
      <c r="WGX252" s="537"/>
      <c r="WGY252" s="537"/>
      <c r="WGZ252" s="537"/>
      <c r="WHA252" s="537"/>
      <c r="WHB252" s="537"/>
      <c r="WHC252" s="537"/>
      <c r="WHD252" s="537"/>
      <c r="WHE252" s="537"/>
      <c r="WHF252" s="537"/>
      <c r="WHG252" s="537"/>
      <c r="WHH252" s="537"/>
      <c r="WHI252" s="537"/>
      <c r="WHJ252" s="537"/>
      <c r="WHK252" s="537"/>
      <c r="WHL252" s="537"/>
      <c r="WHM252" s="537"/>
      <c r="WHN252" s="537"/>
      <c r="WHO252" s="537"/>
      <c r="WHP252" s="537"/>
      <c r="WHQ252" s="537"/>
      <c r="WHR252" s="537"/>
      <c r="WHS252" s="537"/>
      <c r="WHT252" s="537"/>
      <c r="WHU252" s="537"/>
      <c r="WHV252" s="537"/>
      <c r="WHW252" s="537"/>
      <c r="WHX252" s="537"/>
      <c r="WHY252" s="537"/>
      <c r="WHZ252" s="537"/>
      <c r="WIA252" s="537"/>
      <c r="WIB252" s="537"/>
      <c r="WIC252" s="537"/>
      <c r="WID252" s="537"/>
      <c r="WIE252" s="537"/>
      <c r="WIF252" s="537"/>
      <c r="WIG252" s="537"/>
      <c r="WIH252" s="537"/>
      <c r="WII252" s="537"/>
      <c r="WIJ252" s="537"/>
      <c r="WIK252" s="537"/>
      <c r="WIL252" s="537"/>
      <c r="WIM252" s="537"/>
      <c r="WIN252" s="537"/>
      <c r="WIO252" s="537"/>
      <c r="WIP252" s="537"/>
      <c r="WIQ252" s="537"/>
      <c r="WIR252" s="537"/>
      <c r="WIS252" s="537"/>
      <c r="WIT252" s="537"/>
      <c r="WIU252" s="537"/>
      <c r="WIV252" s="537"/>
      <c r="WIW252" s="537"/>
      <c r="WIX252" s="537"/>
      <c r="WIY252" s="537"/>
      <c r="WIZ252" s="537"/>
      <c r="WJA252" s="537"/>
      <c r="WJB252" s="537"/>
      <c r="WJC252" s="537"/>
      <c r="WJD252" s="537"/>
      <c r="WJE252" s="537"/>
      <c r="WJF252" s="537"/>
      <c r="WJG252" s="537"/>
      <c r="WJH252" s="537"/>
      <c r="WJI252" s="537"/>
      <c r="WJJ252" s="537"/>
      <c r="WJK252" s="537"/>
      <c r="WJL252" s="537"/>
      <c r="WJM252" s="537"/>
      <c r="WJN252" s="537"/>
      <c r="WJO252" s="537"/>
      <c r="WJP252" s="537"/>
      <c r="WJQ252" s="537"/>
      <c r="WJR252" s="537"/>
      <c r="WJS252" s="537"/>
      <c r="WJT252" s="537"/>
      <c r="WJU252" s="537"/>
      <c r="WJV252" s="537"/>
      <c r="WJW252" s="537"/>
      <c r="WJX252" s="537"/>
      <c r="WJY252" s="537"/>
      <c r="WJZ252" s="537"/>
      <c r="WKA252" s="537"/>
      <c r="WKB252" s="537"/>
      <c r="WKC252" s="537"/>
      <c r="WKD252" s="537"/>
      <c r="WKE252" s="537"/>
      <c r="WKF252" s="537"/>
      <c r="WKG252" s="537"/>
      <c r="WKH252" s="537"/>
      <c r="WKI252" s="537"/>
      <c r="WKJ252" s="537"/>
      <c r="WKK252" s="537"/>
      <c r="WKL252" s="537"/>
      <c r="WKM252" s="537"/>
      <c r="WKN252" s="537"/>
      <c r="WKO252" s="537"/>
      <c r="WKP252" s="537"/>
      <c r="WKQ252" s="537"/>
      <c r="WKR252" s="537"/>
      <c r="WKS252" s="537"/>
      <c r="WKT252" s="537"/>
      <c r="WKU252" s="537"/>
      <c r="WKV252" s="537"/>
      <c r="WKW252" s="537"/>
      <c r="WKX252" s="537"/>
      <c r="WKY252" s="537"/>
      <c r="WKZ252" s="537"/>
      <c r="WLA252" s="537"/>
      <c r="WLB252" s="537"/>
      <c r="WLC252" s="537"/>
      <c r="WLD252" s="537"/>
      <c r="WLE252" s="537"/>
      <c r="WLF252" s="537"/>
      <c r="WLG252" s="537"/>
      <c r="WLH252" s="537"/>
      <c r="WLI252" s="537"/>
      <c r="WLJ252" s="537"/>
      <c r="WLK252" s="537"/>
      <c r="WLL252" s="537"/>
      <c r="WLM252" s="537"/>
      <c r="WLN252" s="537"/>
      <c r="WLO252" s="537"/>
      <c r="WLP252" s="537"/>
      <c r="WLQ252" s="537"/>
      <c r="WLR252" s="537"/>
      <c r="WLS252" s="537"/>
      <c r="WLT252" s="537"/>
      <c r="WLU252" s="537"/>
      <c r="WLV252" s="537"/>
      <c r="WLW252" s="537"/>
      <c r="WLX252" s="537"/>
      <c r="WLY252" s="537"/>
      <c r="WLZ252" s="537"/>
      <c r="WMA252" s="537"/>
      <c r="WMB252" s="537"/>
      <c r="WMC252" s="537"/>
      <c r="WMD252" s="537"/>
      <c r="WME252" s="537"/>
      <c r="WMF252" s="537"/>
      <c r="WMG252" s="537"/>
      <c r="WMH252" s="537"/>
      <c r="WMI252" s="537"/>
      <c r="WMJ252" s="537"/>
      <c r="WMK252" s="537"/>
      <c r="WML252" s="537"/>
      <c r="WMM252" s="537"/>
      <c r="WMN252" s="537"/>
      <c r="WMO252" s="537"/>
      <c r="WMP252" s="537"/>
      <c r="WMQ252" s="537"/>
      <c r="WMR252" s="537"/>
      <c r="WMS252" s="537"/>
      <c r="WMT252" s="537"/>
      <c r="WMU252" s="537"/>
      <c r="WMV252" s="537"/>
      <c r="WMW252" s="537"/>
      <c r="WMX252" s="537"/>
      <c r="WMY252" s="537"/>
      <c r="WMZ252" s="537"/>
      <c r="WNA252" s="537"/>
      <c r="WNB252" s="537"/>
      <c r="WNC252" s="537"/>
      <c r="WND252" s="537"/>
      <c r="WNE252" s="537"/>
      <c r="WNF252" s="537"/>
      <c r="WNG252" s="537"/>
      <c r="WNH252" s="537"/>
      <c r="WNI252" s="537"/>
      <c r="WNJ252" s="537"/>
      <c r="WNK252" s="537"/>
      <c r="WNL252" s="537"/>
      <c r="WNM252" s="537"/>
      <c r="WNN252" s="537"/>
      <c r="WNO252" s="537"/>
      <c r="WNP252" s="537"/>
      <c r="WNQ252" s="537"/>
      <c r="WNR252" s="537"/>
      <c r="WNS252" s="537"/>
      <c r="WNT252" s="537"/>
      <c r="WNU252" s="537"/>
      <c r="WNV252" s="537"/>
      <c r="WNW252" s="537"/>
      <c r="WNX252" s="537"/>
      <c r="WNY252" s="537"/>
      <c r="WNZ252" s="537"/>
      <c r="WOA252" s="537"/>
      <c r="WOB252" s="537"/>
      <c r="WOC252" s="537"/>
      <c r="WOD252" s="537"/>
      <c r="WOE252" s="537"/>
      <c r="WOF252" s="537"/>
      <c r="WOG252" s="537"/>
      <c r="WOH252" s="537"/>
      <c r="WOI252" s="537"/>
      <c r="WOJ252" s="537"/>
      <c r="WOK252" s="537"/>
      <c r="WOL252" s="537"/>
      <c r="WOM252" s="537"/>
      <c r="WON252" s="537"/>
      <c r="WOO252" s="537"/>
      <c r="WOP252" s="537"/>
      <c r="WOQ252" s="537"/>
      <c r="WOR252" s="537"/>
      <c r="WOS252" s="537"/>
      <c r="WOT252" s="537"/>
      <c r="WOU252" s="537"/>
      <c r="WOV252" s="537"/>
      <c r="WOW252" s="537"/>
      <c r="WOX252" s="537"/>
      <c r="WOY252" s="537"/>
      <c r="WOZ252" s="537"/>
      <c r="WPA252" s="537"/>
      <c r="WPB252" s="537"/>
      <c r="WPC252" s="537"/>
      <c r="WPD252" s="537"/>
      <c r="WPE252" s="537"/>
      <c r="WPF252" s="537"/>
      <c r="WPG252" s="537"/>
      <c r="WPH252" s="537"/>
      <c r="WPI252" s="537"/>
      <c r="WPJ252" s="537"/>
      <c r="WPK252" s="537"/>
      <c r="WPL252" s="537"/>
      <c r="WPM252" s="537"/>
      <c r="WPN252" s="537"/>
      <c r="WPO252" s="537"/>
      <c r="WPP252" s="537"/>
      <c r="WPQ252" s="537"/>
      <c r="WPR252" s="537"/>
      <c r="WPS252" s="537"/>
      <c r="WPT252" s="537"/>
      <c r="WPU252" s="537"/>
      <c r="WPV252" s="537"/>
      <c r="WPW252" s="537"/>
      <c r="WPX252" s="537"/>
      <c r="WPY252" s="537"/>
      <c r="WPZ252" s="537"/>
      <c r="WQA252" s="537"/>
      <c r="WQB252" s="537"/>
      <c r="WQC252" s="537"/>
      <c r="WQD252" s="537"/>
      <c r="WQE252" s="537"/>
      <c r="WQF252" s="537"/>
      <c r="WQG252" s="537"/>
      <c r="WQH252" s="537"/>
      <c r="WQI252" s="537"/>
      <c r="WQJ252" s="537"/>
      <c r="WQK252" s="537"/>
      <c r="WQL252" s="537"/>
      <c r="WQM252" s="537"/>
      <c r="WQN252" s="537"/>
      <c r="WQO252" s="537"/>
      <c r="WQP252" s="537"/>
      <c r="WQQ252" s="537"/>
      <c r="WQR252" s="537"/>
      <c r="WQS252" s="537"/>
      <c r="WQT252" s="537"/>
      <c r="WQU252" s="537"/>
      <c r="WQV252" s="537"/>
      <c r="WQW252" s="537"/>
      <c r="WQX252" s="537"/>
      <c r="WQY252" s="537"/>
      <c r="WQZ252" s="537"/>
      <c r="WRA252" s="537"/>
      <c r="WRB252" s="537"/>
      <c r="WRC252" s="537"/>
      <c r="WRD252" s="537"/>
      <c r="WRE252" s="537"/>
      <c r="WRF252" s="537"/>
      <c r="WRG252" s="537"/>
      <c r="WRH252" s="537"/>
      <c r="WRI252" s="537"/>
      <c r="WRJ252" s="537"/>
      <c r="WRK252" s="537"/>
      <c r="WRL252" s="537"/>
      <c r="WRM252" s="537"/>
      <c r="WRN252" s="537"/>
      <c r="WRO252" s="537"/>
      <c r="WRP252" s="537"/>
      <c r="WRQ252" s="537"/>
      <c r="WRR252" s="537"/>
      <c r="WRS252" s="537"/>
      <c r="WRT252" s="537"/>
      <c r="WRU252" s="537"/>
      <c r="WRV252" s="537"/>
      <c r="WRW252" s="537"/>
      <c r="WRX252" s="537"/>
      <c r="WRY252" s="537"/>
      <c r="WRZ252" s="537"/>
      <c r="WSA252" s="537"/>
      <c r="WSB252" s="537"/>
      <c r="WSC252" s="537"/>
      <c r="WSD252" s="537"/>
      <c r="WSE252" s="537"/>
      <c r="WSF252" s="537"/>
      <c r="WSG252" s="537"/>
      <c r="WSH252" s="537"/>
      <c r="WSI252" s="537"/>
      <c r="WSJ252" s="537"/>
      <c r="WSK252" s="537"/>
      <c r="WSL252" s="537"/>
      <c r="WSM252" s="537"/>
      <c r="WSN252" s="537"/>
      <c r="WSO252" s="537"/>
      <c r="WSP252" s="537"/>
      <c r="WSQ252" s="537"/>
      <c r="WSR252" s="537"/>
      <c r="WSS252" s="537"/>
      <c r="WST252" s="537"/>
      <c r="WSU252" s="537"/>
      <c r="WSV252" s="537"/>
      <c r="WSW252" s="537"/>
      <c r="WSX252" s="537"/>
      <c r="WSY252" s="537"/>
      <c r="WSZ252" s="537"/>
      <c r="WTA252" s="537"/>
      <c r="WTB252" s="537"/>
      <c r="WTC252" s="537"/>
      <c r="WTD252" s="537"/>
      <c r="WTE252" s="537"/>
      <c r="WTF252" s="537"/>
      <c r="WTG252" s="537"/>
      <c r="WTH252" s="537"/>
      <c r="WTI252" s="537"/>
      <c r="WTJ252" s="537"/>
      <c r="WTK252" s="537"/>
      <c r="WTL252" s="537"/>
      <c r="WTM252" s="537"/>
      <c r="WTN252" s="537"/>
      <c r="WTO252" s="537"/>
      <c r="WTP252" s="537"/>
      <c r="WTQ252" s="537"/>
      <c r="WTR252" s="537"/>
      <c r="WTS252" s="537"/>
      <c r="WTT252" s="537"/>
      <c r="WTU252" s="537"/>
      <c r="WTV252" s="537"/>
      <c r="WTW252" s="537"/>
      <c r="WTX252" s="537"/>
      <c r="WTY252" s="537"/>
      <c r="WTZ252" s="537"/>
      <c r="WUA252" s="537"/>
      <c r="WUB252" s="537"/>
      <c r="WUC252" s="537"/>
      <c r="WUD252" s="537"/>
      <c r="WUE252" s="537"/>
      <c r="WUF252" s="537"/>
      <c r="WUG252" s="537"/>
      <c r="WUH252" s="537"/>
      <c r="WUI252" s="537"/>
      <c r="WUJ252" s="537"/>
      <c r="WUK252" s="537"/>
      <c r="WUL252" s="537"/>
      <c r="WUM252" s="537"/>
      <c r="WUN252" s="537"/>
      <c r="WUO252" s="537"/>
      <c r="WUP252" s="537"/>
      <c r="WUQ252" s="537"/>
      <c r="WUR252" s="537"/>
      <c r="WUS252" s="537"/>
      <c r="WUT252" s="537"/>
      <c r="WUU252" s="537"/>
      <c r="WUV252" s="537"/>
      <c r="WUW252" s="537"/>
      <c r="WUX252" s="537"/>
      <c r="WUY252" s="537"/>
      <c r="WUZ252" s="537"/>
      <c r="WVA252" s="537"/>
      <c r="WVB252" s="537"/>
      <c r="WVC252" s="537"/>
      <c r="WVD252" s="537"/>
      <c r="WVE252" s="537"/>
      <c r="WVF252" s="537"/>
      <c r="WVG252" s="537"/>
      <c r="WVH252" s="537"/>
      <c r="WVI252" s="537"/>
      <c r="WVJ252" s="537"/>
      <c r="WVK252" s="537"/>
      <c r="WVL252" s="537"/>
      <c r="WVM252" s="537"/>
      <c r="WVN252" s="537"/>
      <c r="WVO252" s="537"/>
      <c r="WVP252" s="537"/>
      <c r="WVQ252" s="537"/>
      <c r="WVR252" s="537"/>
      <c r="WVS252" s="537"/>
      <c r="WVT252" s="537"/>
      <c r="WVU252" s="537"/>
      <c r="WVV252" s="537"/>
      <c r="WVW252" s="537"/>
      <c r="WVX252" s="537"/>
      <c r="WVY252" s="537"/>
      <c r="WVZ252" s="537"/>
      <c r="WWA252" s="537"/>
      <c r="WWB252" s="537"/>
      <c r="WWC252" s="537"/>
      <c r="WWD252" s="537"/>
      <c r="WWE252" s="537"/>
      <c r="WWF252" s="537"/>
      <c r="WWG252" s="537"/>
      <c r="WWH252" s="537"/>
      <c r="WWI252" s="537"/>
      <c r="WWJ252" s="537"/>
      <c r="WWK252" s="537"/>
      <c r="WWL252" s="537"/>
      <c r="WWM252" s="537"/>
      <c r="WWN252" s="537"/>
      <c r="WWO252" s="537"/>
      <c r="WWP252" s="537"/>
      <c r="WWQ252" s="537"/>
      <c r="WWR252" s="537"/>
      <c r="WWS252" s="537"/>
      <c r="WWT252" s="537"/>
      <c r="WWU252" s="537"/>
      <c r="WWV252" s="537"/>
      <c r="WWW252" s="537"/>
      <c r="WWX252" s="537"/>
      <c r="WWY252" s="537"/>
      <c r="WWZ252" s="537"/>
      <c r="WXA252" s="537"/>
      <c r="WXB252" s="537"/>
      <c r="WXC252" s="537"/>
      <c r="WXD252" s="537"/>
      <c r="WXE252" s="537"/>
      <c r="WXF252" s="537"/>
      <c r="WXG252" s="537"/>
      <c r="WXH252" s="537"/>
      <c r="WXI252" s="537"/>
      <c r="WXJ252" s="537"/>
      <c r="WXK252" s="537"/>
      <c r="WXL252" s="537"/>
      <c r="WXM252" s="537"/>
      <c r="WXN252" s="537"/>
      <c r="WXO252" s="537"/>
      <c r="WXP252" s="537"/>
      <c r="WXQ252" s="537"/>
      <c r="WXR252" s="537"/>
      <c r="WXS252" s="537"/>
      <c r="WXT252" s="537"/>
      <c r="WXU252" s="537"/>
      <c r="WXV252" s="537"/>
      <c r="WXW252" s="537"/>
      <c r="WXX252" s="537"/>
      <c r="WXY252" s="537"/>
      <c r="WXZ252" s="537"/>
      <c r="WYA252" s="537"/>
      <c r="WYB252" s="537"/>
      <c r="WYC252" s="537"/>
      <c r="WYD252" s="537"/>
      <c r="WYE252" s="537"/>
      <c r="WYF252" s="537"/>
      <c r="WYG252" s="537"/>
      <c r="WYH252" s="537"/>
      <c r="WYI252" s="537"/>
      <c r="WYJ252" s="537"/>
      <c r="WYK252" s="537"/>
      <c r="WYL252" s="537"/>
      <c r="WYM252" s="537"/>
      <c r="WYN252" s="537"/>
      <c r="WYO252" s="537"/>
      <c r="WYP252" s="537"/>
      <c r="WYQ252" s="537"/>
      <c r="WYR252" s="537"/>
      <c r="WYS252" s="537"/>
      <c r="WYT252" s="537"/>
      <c r="WYU252" s="537"/>
      <c r="WYV252" s="537"/>
      <c r="WYW252" s="537"/>
      <c r="WYX252" s="537"/>
      <c r="WYY252" s="537"/>
      <c r="WYZ252" s="537"/>
      <c r="WZA252" s="537"/>
      <c r="WZB252" s="537"/>
      <c r="WZC252" s="537"/>
      <c r="WZD252" s="537"/>
      <c r="WZE252" s="537"/>
      <c r="WZF252" s="537"/>
      <c r="WZG252" s="537"/>
      <c r="WZH252" s="537"/>
      <c r="WZI252" s="537"/>
      <c r="WZJ252" s="537"/>
      <c r="WZK252" s="537"/>
      <c r="WZL252" s="537"/>
      <c r="WZM252" s="537"/>
      <c r="WZN252" s="537"/>
      <c r="WZO252" s="537"/>
      <c r="WZP252" s="537"/>
      <c r="WZQ252" s="537"/>
      <c r="WZR252" s="537"/>
      <c r="WZS252" s="537"/>
      <c r="WZT252" s="537"/>
      <c r="WZU252" s="537"/>
      <c r="WZV252" s="537"/>
      <c r="WZW252" s="537"/>
      <c r="WZX252" s="537"/>
      <c r="WZY252" s="537"/>
      <c r="WZZ252" s="537"/>
      <c r="XAA252" s="537"/>
      <c r="XAB252" s="537"/>
      <c r="XAC252" s="537"/>
      <c r="XAD252" s="537"/>
      <c r="XAE252" s="537"/>
      <c r="XAF252" s="537"/>
      <c r="XAG252" s="537"/>
      <c r="XAH252" s="537"/>
      <c r="XAI252" s="537"/>
      <c r="XAJ252" s="537"/>
      <c r="XAK252" s="537"/>
      <c r="XAL252" s="537"/>
      <c r="XAM252" s="537"/>
      <c r="XAN252" s="537"/>
      <c r="XAO252" s="537"/>
      <c r="XAP252" s="537"/>
      <c r="XAQ252" s="537"/>
      <c r="XAR252" s="537"/>
      <c r="XAS252" s="537"/>
      <c r="XAT252" s="537"/>
      <c r="XAU252" s="537"/>
      <c r="XAV252" s="537"/>
      <c r="XAW252" s="537"/>
      <c r="XAX252" s="537"/>
      <c r="XAY252" s="537"/>
      <c r="XAZ252" s="537"/>
      <c r="XBA252" s="537"/>
      <c r="XBB252" s="537"/>
      <c r="XBC252" s="537"/>
      <c r="XBD252" s="537"/>
      <c r="XBE252" s="537"/>
      <c r="XBF252" s="537"/>
      <c r="XBG252" s="537"/>
      <c r="XBH252" s="537"/>
      <c r="XBI252" s="537"/>
      <c r="XBJ252" s="537"/>
      <c r="XBK252" s="537"/>
      <c r="XBL252" s="537"/>
      <c r="XBM252" s="537"/>
      <c r="XBN252" s="537"/>
      <c r="XBO252" s="537"/>
      <c r="XBP252" s="537"/>
      <c r="XBQ252" s="537"/>
      <c r="XBR252" s="537"/>
      <c r="XBS252" s="537"/>
      <c r="XBT252" s="537"/>
      <c r="XBU252" s="537"/>
      <c r="XBV252" s="537"/>
      <c r="XBW252" s="537"/>
      <c r="XBX252" s="537"/>
      <c r="XBY252" s="537"/>
      <c r="XBZ252" s="537"/>
      <c r="XCA252" s="537"/>
      <c r="XCB252" s="537"/>
      <c r="XCC252" s="537"/>
      <c r="XCD252" s="537"/>
      <c r="XCE252" s="537"/>
      <c r="XCF252" s="537"/>
      <c r="XCG252" s="537"/>
      <c r="XCH252" s="537"/>
      <c r="XCI252" s="537"/>
      <c r="XCJ252" s="537"/>
      <c r="XCK252" s="537"/>
      <c r="XCL252" s="537"/>
      <c r="XCM252" s="537"/>
      <c r="XCN252" s="537"/>
      <c r="XCO252" s="537"/>
      <c r="XCP252" s="537"/>
      <c r="XCQ252" s="537"/>
      <c r="XCR252" s="537"/>
      <c r="XCS252" s="537"/>
      <c r="XCT252" s="537"/>
      <c r="XCU252" s="537"/>
      <c r="XCV252" s="537"/>
      <c r="XCW252" s="537"/>
      <c r="XCX252" s="537"/>
      <c r="XCY252" s="537"/>
      <c r="XCZ252" s="537"/>
      <c r="XDA252" s="537"/>
      <c r="XDB252" s="537"/>
      <c r="XDC252" s="537"/>
      <c r="XDD252" s="537"/>
      <c r="XDE252" s="537"/>
      <c r="XDF252" s="537"/>
      <c r="XDG252" s="537"/>
      <c r="XDH252" s="537"/>
      <c r="XDI252" s="537"/>
      <c r="XDJ252" s="537"/>
      <c r="XDK252" s="537"/>
      <c r="XDL252" s="537"/>
      <c r="XDM252" s="537"/>
      <c r="XDN252" s="537"/>
      <c r="XDO252" s="537"/>
      <c r="XDP252" s="537"/>
      <c r="XDQ252" s="537"/>
      <c r="XDR252" s="537"/>
      <c r="XDS252" s="537"/>
      <c r="XDT252" s="537"/>
      <c r="XDU252" s="537"/>
      <c r="XDV252" s="537"/>
      <c r="XDW252" s="537"/>
      <c r="XDX252" s="537"/>
      <c r="XDY252" s="537"/>
      <c r="XDZ252" s="537"/>
      <c r="XEA252" s="537"/>
      <c r="XEB252" s="537"/>
      <c r="XEC252" s="537"/>
      <c r="XED252" s="537"/>
      <c r="XEE252" s="537"/>
      <c r="XEF252" s="537"/>
      <c r="XEG252" s="537"/>
      <c r="XEH252" s="537"/>
      <c r="XEI252" s="537"/>
      <c r="XEJ252" s="537"/>
      <c r="XEK252" s="537"/>
      <c r="XEL252" s="537"/>
      <c r="XEM252" s="537"/>
      <c r="XEN252" s="537"/>
      <c r="XEO252" s="537"/>
      <c r="XEP252" s="537"/>
      <c r="XEQ252" s="537"/>
      <c r="XER252" s="537"/>
      <c r="XES252" s="537"/>
      <c r="XET252" s="537"/>
      <c r="XEU252" s="537"/>
      <c r="XEV252" s="537"/>
      <c r="XEW252" s="537"/>
      <c r="XEX252" s="537"/>
      <c r="XEY252" s="537"/>
      <c r="XEZ252" s="537"/>
      <c r="XFA252" s="537"/>
      <c r="XFB252" s="537"/>
      <c r="XFC252" s="537"/>
      <c r="XFD252" s="537"/>
    </row>
    <row r="253" spans="1:16384">
      <c r="A253" s="279">
        <v>45292</v>
      </c>
      <c r="B253" s="26">
        <v>55.62</v>
      </c>
      <c r="C253" s="26">
        <v>73.489000000000004</v>
      </c>
      <c r="D253" s="26">
        <v>4.1994999999999996</v>
      </c>
      <c r="E253" s="26">
        <v>60.24</v>
      </c>
      <c r="F253" s="26">
        <v>43.89</v>
      </c>
      <c r="G253" s="26">
        <v>2.6656</v>
      </c>
      <c r="H253" s="26">
        <v>2.6577999999999999</v>
      </c>
      <c r="I253" s="26">
        <v>98.891999999999996</v>
      </c>
      <c r="J253" s="26">
        <v>77.924999999999997</v>
      </c>
      <c r="K253" s="26">
        <v>58.987000000000002</v>
      </c>
      <c r="L253" s="26">
        <v>58.152999999999999</v>
      </c>
      <c r="M253" s="26">
        <v>77.819999999999993</v>
      </c>
      <c r="N253" s="26">
        <v>31.387</v>
      </c>
      <c r="O253" s="26">
        <v>116.98</v>
      </c>
      <c r="P253" s="26">
        <v>61.353999999999999</v>
      </c>
      <c r="Q253" s="26">
        <v>69.587000000000003</v>
      </c>
      <c r="R253" s="26">
        <v>10.922000000000001</v>
      </c>
      <c r="S253" s="26">
        <v>73.882999999999996</v>
      </c>
      <c r="T253" s="26">
        <v>57.500999999999998</v>
      </c>
      <c r="U253" s="26">
        <v>66.025999999999996</v>
      </c>
      <c r="V253" s="26">
        <v>2.6398000000000001</v>
      </c>
      <c r="W253" s="26">
        <v>7.1462000000000003</v>
      </c>
      <c r="X253" s="26">
        <v>9.3919999999999995</v>
      </c>
      <c r="Y253" s="26">
        <v>1.2243999999999999</v>
      </c>
      <c r="Z253" s="26">
        <v>42.668999999999997</v>
      </c>
      <c r="AA253" s="26">
        <v>45.503999999999998</v>
      </c>
      <c r="AB253" s="26">
        <v>43.396000000000001</v>
      </c>
      <c r="AC253" s="26">
        <v>106.9</v>
      </c>
      <c r="AD253" s="26">
        <v>85.037000000000006</v>
      </c>
      <c r="AE253" s="26">
        <v>4.2702999999999998</v>
      </c>
      <c r="AF253" s="26">
        <v>77.013000000000005</v>
      </c>
      <c r="AG253" s="26">
        <v>74.527000000000001</v>
      </c>
      <c r="AH253" s="26">
        <v>68.649000000000001</v>
      </c>
      <c r="AI253" s="26">
        <v>1.7108000000000001</v>
      </c>
      <c r="AJ253" s="26">
        <v>216.95</v>
      </c>
      <c r="AK253" s="26">
        <v>56.616</v>
      </c>
      <c r="AL253" s="26">
        <v>42.567999999999998</v>
      </c>
      <c r="AM253" s="26">
        <v>2.665</v>
      </c>
      <c r="AN253" s="26">
        <v>87.697000000000003</v>
      </c>
      <c r="AO253" s="26">
        <v>128.66999999999999</v>
      </c>
      <c r="AP253" s="26">
        <v>95.513999999999996</v>
      </c>
      <c r="AQ253" s="26">
        <v>73.843999999999994</v>
      </c>
      <c r="AR253" s="26">
        <v>79.881</v>
      </c>
      <c r="AS253" s="26">
        <v>43.039000000000001</v>
      </c>
      <c r="AT253" s="26">
        <v>60.508000000000003</v>
      </c>
      <c r="AU253" s="26">
        <v>52.932000000000002</v>
      </c>
      <c r="AV253" s="26">
        <v>1.0828</v>
      </c>
      <c r="AW253" s="26">
        <v>71.132000000000005</v>
      </c>
      <c r="AX253" s="26">
        <v>74.397000000000006</v>
      </c>
      <c r="AY253" s="26">
        <v>37.557000000000002</v>
      </c>
      <c r="AZ253" s="26">
        <v>79.881</v>
      </c>
      <c r="BA253" s="26">
        <v>43.621000000000002</v>
      </c>
      <c r="BB253" s="26">
        <v>43.201000000000001</v>
      </c>
      <c r="BC253" s="26">
        <v>73.935000000000002</v>
      </c>
      <c r="BD253" s="26">
        <v>45.597999999999999</v>
      </c>
      <c r="BE253" s="26">
        <v>71.227999999999994</v>
      </c>
      <c r="BF253" s="26">
        <v>57.737000000000002</v>
      </c>
      <c r="BG253" s="26">
        <v>125.21</v>
      </c>
      <c r="BH253" s="26">
        <v>6.8181000000000003</v>
      </c>
      <c r="BI253" s="26">
        <v>20.21</v>
      </c>
      <c r="BJ253" s="26">
        <v>85.674999999999997</v>
      </c>
      <c r="BK253" s="26">
        <v>7.8860000000000001</v>
      </c>
      <c r="BL253" s="26">
        <v>4.1994999999999996</v>
      </c>
      <c r="BM253" s="26">
        <v>49.014000000000003</v>
      </c>
      <c r="BN253" s="26">
        <v>56.616</v>
      </c>
      <c r="BO253" s="26">
        <v>63.283999999999999</v>
      </c>
      <c r="BP253" s="26">
        <v>77.819999999999993</v>
      </c>
      <c r="BQ253" s="26">
        <v>42.685000000000002</v>
      </c>
      <c r="BR253" s="26">
        <v>58.375999999999998</v>
      </c>
      <c r="BS253" s="26">
        <v>1.7168000000000001</v>
      </c>
      <c r="BT253" s="26">
        <v>71.733000000000004</v>
      </c>
      <c r="BU253" s="26">
        <v>2.0206</v>
      </c>
      <c r="BV253" s="26">
        <v>89.694999999999993</v>
      </c>
      <c r="BW253" s="26">
        <v>65.701999999999998</v>
      </c>
      <c r="BX253" s="26">
        <v>9.4192</v>
      </c>
      <c r="BY253" s="26">
        <v>71.34</v>
      </c>
      <c r="BZ253" s="71">
        <v>9.5433000000000003</v>
      </c>
      <c r="CA253" s="26">
        <v>67.706999999999994</v>
      </c>
      <c r="CB253" s="26">
        <v>20.834</v>
      </c>
      <c r="CC253" s="26">
        <v>45.265000000000001</v>
      </c>
      <c r="CD253" s="26">
        <v>77.819999999999993</v>
      </c>
      <c r="CE253" s="26">
        <v>10.788</v>
      </c>
      <c r="CF253" s="26">
        <v>85.037000000000006</v>
      </c>
      <c r="CG253" s="26">
        <v>86.234999999999999</v>
      </c>
      <c r="CH253" s="26">
        <v>77.819999999999993</v>
      </c>
      <c r="CI253" s="26">
        <v>46.808999999999997</v>
      </c>
      <c r="CJ253" s="26">
        <v>56.677</v>
      </c>
      <c r="CK253" s="26">
        <v>1.6869000000000001</v>
      </c>
      <c r="CL253" s="26">
        <v>75.34</v>
      </c>
      <c r="CM253" s="26">
        <v>46.271000000000001</v>
      </c>
      <c r="CN253" s="26">
        <v>9.1072000000000006</v>
      </c>
      <c r="CO253" s="26">
        <v>2.0465</v>
      </c>
      <c r="CP253" s="26">
        <v>68.611000000000004</v>
      </c>
      <c r="CQ253" s="26">
        <v>45.915999999999997</v>
      </c>
      <c r="CR253" s="26">
        <v>70.742000000000004</v>
      </c>
      <c r="CS253" s="26">
        <v>19.373999999999999</v>
      </c>
      <c r="CT253" s="26">
        <v>5.0088999999999997</v>
      </c>
      <c r="CU253" s="26">
        <v>57.441000000000003</v>
      </c>
      <c r="CV253" s="26">
        <v>52.945999999999998</v>
      </c>
      <c r="CW253" s="26">
        <v>79.301000000000002</v>
      </c>
      <c r="CX253" s="26">
        <v>68.903000000000006</v>
      </c>
      <c r="CY253" s="61"/>
      <c r="CZ253" s="537"/>
      <c r="DA253" s="61"/>
    </row>
    <row r="254" spans="1:16384">
      <c r="A254" s="279">
        <v>45323</v>
      </c>
      <c r="B254" s="26">
        <v>82.203000000000003</v>
      </c>
      <c r="C254" s="26">
        <v>104.97</v>
      </c>
      <c r="D254" s="26">
        <v>30.74</v>
      </c>
      <c r="E254" s="26">
        <v>55.298999999999999</v>
      </c>
      <c r="F254" s="26">
        <v>42.798000000000002</v>
      </c>
      <c r="G254" s="26">
        <v>4.5449999999999999</v>
      </c>
      <c r="H254" s="26">
        <v>35.975000000000001</v>
      </c>
      <c r="I254" s="26">
        <v>121.3</v>
      </c>
      <c r="J254" s="26">
        <v>82.491</v>
      </c>
      <c r="K254" s="26">
        <v>74.5</v>
      </c>
      <c r="L254" s="26">
        <v>19.012</v>
      </c>
      <c r="M254" s="26">
        <v>82.203000000000003</v>
      </c>
      <c r="N254" s="26">
        <v>74.5</v>
      </c>
      <c r="O254" s="26">
        <v>182.43</v>
      </c>
      <c r="P254" s="26">
        <v>82.203000000000003</v>
      </c>
      <c r="Q254" s="26">
        <v>74.5</v>
      </c>
      <c r="R254" s="26">
        <v>33.405000000000001</v>
      </c>
      <c r="S254" s="26">
        <v>87.558999999999997</v>
      </c>
      <c r="T254" s="26">
        <v>74.5</v>
      </c>
      <c r="U254" s="26">
        <v>73.891999999999996</v>
      </c>
      <c r="V254" s="26">
        <v>4.7276999999999996</v>
      </c>
      <c r="W254" s="26">
        <v>23.003</v>
      </c>
      <c r="X254" s="26">
        <v>7.9972000000000003</v>
      </c>
      <c r="Y254" s="26">
        <v>1.6511</v>
      </c>
      <c r="Z254" s="26">
        <v>69.072000000000003</v>
      </c>
      <c r="AA254" s="26">
        <v>32.021000000000001</v>
      </c>
      <c r="AB254" s="26">
        <v>56.616</v>
      </c>
      <c r="AC254" s="26">
        <v>124.92</v>
      </c>
      <c r="AD254" s="26">
        <v>92.346000000000004</v>
      </c>
      <c r="AE254" s="26">
        <v>4.5170000000000003</v>
      </c>
      <c r="AF254" s="26">
        <v>98.331999999999994</v>
      </c>
      <c r="AG254" s="26">
        <v>72.384</v>
      </c>
      <c r="AH254" s="26">
        <v>80.921999999999997</v>
      </c>
      <c r="AI254" s="26">
        <v>2.3791000000000002</v>
      </c>
      <c r="AJ254" s="26">
        <v>178.45</v>
      </c>
      <c r="AK254" s="26">
        <v>44.664999999999999</v>
      </c>
      <c r="AL254" s="26">
        <v>52.988</v>
      </c>
      <c r="AM254" s="26">
        <v>2.4432999999999998</v>
      </c>
      <c r="AN254" s="26">
        <v>109.4</v>
      </c>
      <c r="AO254" s="26">
        <v>168.1</v>
      </c>
      <c r="AP254" s="26">
        <v>82.203000000000003</v>
      </c>
      <c r="AQ254" s="26">
        <v>87.558999999999997</v>
      </c>
      <c r="AR254" s="26">
        <v>82.203000000000003</v>
      </c>
      <c r="AS254" s="26">
        <v>55.478000000000002</v>
      </c>
      <c r="AT254" s="26">
        <v>68.414000000000001</v>
      </c>
      <c r="AU254" s="26">
        <v>61.366</v>
      </c>
      <c r="AV254" s="26">
        <v>1.2946</v>
      </c>
      <c r="AW254" s="26">
        <v>77.563000000000002</v>
      </c>
      <c r="AX254" s="26">
        <v>80.921999999999997</v>
      </c>
      <c r="AY254" s="26">
        <v>46.7</v>
      </c>
      <c r="AZ254" s="26">
        <v>105.16</v>
      </c>
      <c r="BA254" s="26">
        <v>74.5</v>
      </c>
      <c r="BB254" s="26">
        <v>42.798000000000002</v>
      </c>
      <c r="BC254" s="26">
        <v>82.203000000000003</v>
      </c>
      <c r="BD254" s="26">
        <v>74.504999999999995</v>
      </c>
      <c r="BE254" s="26">
        <v>87.558999999999997</v>
      </c>
      <c r="BF254" s="26">
        <v>55.552</v>
      </c>
      <c r="BG254" s="26">
        <v>139.81</v>
      </c>
      <c r="BH254" s="26">
        <v>42.798000000000002</v>
      </c>
      <c r="BI254" s="26">
        <v>23.042000000000002</v>
      </c>
      <c r="BJ254" s="26">
        <v>77.816999999999993</v>
      </c>
      <c r="BK254" s="26">
        <v>43.688000000000002</v>
      </c>
      <c r="BL254" s="26">
        <v>3.2997000000000001</v>
      </c>
      <c r="BM254" s="26">
        <v>74.5</v>
      </c>
      <c r="BN254" s="26">
        <v>80.921999999999997</v>
      </c>
      <c r="BO254" s="26">
        <v>63.283999999999999</v>
      </c>
      <c r="BP254" s="26">
        <v>82.203000000000003</v>
      </c>
      <c r="BQ254" s="26">
        <v>56.616</v>
      </c>
      <c r="BR254" s="26">
        <v>57.713000000000001</v>
      </c>
      <c r="BS254" s="26">
        <v>1.4053</v>
      </c>
      <c r="BT254" s="26">
        <v>74.522999999999996</v>
      </c>
      <c r="BU254" s="26">
        <v>8.5731999999999999</v>
      </c>
      <c r="BV254" s="26">
        <v>87.558999999999997</v>
      </c>
      <c r="BW254" s="26">
        <v>77.896000000000001</v>
      </c>
      <c r="BX254" s="26">
        <v>26.111999999999998</v>
      </c>
      <c r="BY254" s="26">
        <v>81.971999999999994</v>
      </c>
      <c r="BZ254" s="71">
        <v>43.011000000000003</v>
      </c>
      <c r="CA254" s="26">
        <v>68.266999999999996</v>
      </c>
      <c r="CB254" s="26">
        <v>17.96</v>
      </c>
      <c r="CC254" s="26">
        <v>49.064</v>
      </c>
      <c r="CD254" s="26">
        <v>56.286000000000001</v>
      </c>
      <c r="CE254" s="26">
        <v>13.726000000000001</v>
      </c>
      <c r="CF254" s="26">
        <v>111.06</v>
      </c>
      <c r="CG254" s="26">
        <v>120.6</v>
      </c>
      <c r="CH254" s="26">
        <v>87.558999999999997</v>
      </c>
      <c r="CI254" s="26">
        <v>74.5</v>
      </c>
      <c r="CJ254" s="26">
        <v>56.616</v>
      </c>
      <c r="CK254" s="26">
        <v>1.577</v>
      </c>
      <c r="CL254" s="26">
        <v>82.203000000000003</v>
      </c>
      <c r="CM254" s="26">
        <v>51.345999999999997</v>
      </c>
      <c r="CN254" s="26">
        <v>7.7168000000000001</v>
      </c>
      <c r="CO254" s="26">
        <v>2.8376000000000001</v>
      </c>
      <c r="CP254" s="26">
        <v>30.111000000000001</v>
      </c>
      <c r="CQ254" s="26">
        <v>80.921999999999997</v>
      </c>
      <c r="CR254" s="26">
        <v>74.5</v>
      </c>
      <c r="CS254" s="26">
        <v>14.539</v>
      </c>
      <c r="CT254" s="26">
        <v>3.8929999999999998</v>
      </c>
      <c r="CU254" s="26">
        <v>71.655000000000001</v>
      </c>
      <c r="CV254" s="26">
        <v>61.353999999999999</v>
      </c>
      <c r="CW254" s="26">
        <v>99.563000000000002</v>
      </c>
      <c r="CX254" s="26">
        <v>77.406999999999996</v>
      </c>
      <c r="CY254" s="61"/>
      <c r="CZ254" s="537"/>
      <c r="DA254" s="61"/>
    </row>
    <row r="255" spans="1:16384">
      <c r="A255" s="279">
        <v>45352</v>
      </c>
      <c r="B255" s="26">
        <v>80.754000000000005</v>
      </c>
      <c r="C255" s="26">
        <v>71.95</v>
      </c>
      <c r="D255" s="26">
        <v>2.9116</v>
      </c>
      <c r="E255" s="26">
        <v>43.491</v>
      </c>
      <c r="F255" s="26">
        <v>43.615000000000002</v>
      </c>
      <c r="G255" s="26">
        <v>36.045999999999999</v>
      </c>
      <c r="H255" s="26">
        <v>6.2892000000000001</v>
      </c>
      <c r="I255" s="26">
        <v>91.454999999999998</v>
      </c>
      <c r="J255" s="26">
        <v>64.846000000000004</v>
      </c>
      <c r="K255" s="26">
        <v>62.454000000000001</v>
      </c>
      <c r="L255" s="26">
        <v>26.492999999999999</v>
      </c>
      <c r="M255" s="26">
        <v>63.283999999999999</v>
      </c>
      <c r="N255" s="26">
        <v>48.594000000000001</v>
      </c>
      <c r="O255" s="26">
        <v>88.135000000000005</v>
      </c>
      <c r="P255" s="26">
        <v>63.283999999999999</v>
      </c>
      <c r="Q255" s="26">
        <v>74.349999999999994</v>
      </c>
      <c r="R255" s="26">
        <v>49.682000000000002</v>
      </c>
      <c r="S255" s="26">
        <v>47.396000000000001</v>
      </c>
      <c r="T255" s="26">
        <v>80.134</v>
      </c>
      <c r="U255" s="26">
        <v>63.609000000000002</v>
      </c>
      <c r="V255" s="26">
        <v>7.3151000000000002</v>
      </c>
      <c r="W255" s="26">
        <v>74.349999999999994</v>
      </c>
      <c r="X255" s="26">
        <v>42.78</v>
      </c>
      <c r="Y255" s="26">
        <v>1.149</v>
      </c>
      <c r="Z255" s="26">
        <v>74.349999999999994</v>
      </c>
      <c r="AA255" s="26">
        <v>53.220999999999997</v>
      </c>
      <c r="AB255" s="26">
        <v>49.682000000000002</v>
      </c>
      <c r="AC255" s="26">
        <v>92.941000000000003</v>
      </c>
      <c r="AD255" s="26">
        <v>91.269000000000005</v>
      </c>
      <c r="AE255" s="26">
        <v>5.1382000000000003</v>
      </c>
      <c r="AF255" s="26">
        <v>82.126000000000005</v>
      </c>
      <c r="AG255" s="26">
        <v>49.843000000000004</v>
      </c>
      <c r="AH255" s="26">
        <v>82.126000000000005</v>
      </c>
      <c r="AI255" s="26">
        <v>2.3481000000000001</v>
      </c>
      <c r="AJ255" s="26">
        <v>90.668999999999997</v>
      </c>
      <c r="AK255" s="26">
        <v>74.349999999999994</v>
      </c>
      <c r="AL255" s="26">
        <v>74.349999999999994</v>
      </c>
      <c r="AM255" s="26">
        <v>2.5305</v>
      </c>
      <c r="AN255" s="26">
        <v>80.754000000000005</v>
      </c>
      <c r="AO255" s="26">
        <v>84.906000000000006</v>
      </c>
      <c r="AP255" s="26">
        <v>82.126000000000005</v>
      </c>
      <c r="AQ255" s="26">
        <v>63.295000000000002</v>
      </c>
      <c r="AR255" s="26">
        <v>56.616</v>
      </c>
      <c r="AS255" s="26">
        <v>61.353999999999999</v>
      </c>
      <c r="AT255" s="26">
        <v>80.754000000000005</v>
      </c>
      <c r="AU255" s="26">
        <v>62.39</v>
      </c>
      <c r="AV255" s="26">
        <v>1.1779999999999999</v>
      </c>
      <c r="AW255" s="26">
        <v>72.569000000000003</v>
      </c>
      <c r="AX255" s="26">
        <v>55.506</v>
      </c>
      <c r="AY255" s="26">
        <v>42.51</v>
      </c>
      <c r="AZ255" s="26">
        <v>61.482999999999997</v>
      </c>
      <c r="BA255" s="26">
        <v>74.349999999999994</v>
      </c>
      <c r="BB255" s="26">
        <v>52.923000000000002</v>
      </c>
      <c r="BC255" s="26">
        <v>82.126000000000005</v>
      </c>
      <c r="BD255" s="26">
        <v>77.897000000000006</v>
      </c>
      <c r="BE255" s="26">
        <v>21.83</v>
      </c>
      <c r="BF255" s="26">
        <v>49.828000000000003</v>
      </c>
      <c r="BG255" s="26">
        <v>98.238</v>
      </c>
      <c r="BH255" s="26">
        <v>51.307000000000002</v>
      </c>
      <c r="BI255" s="26">
        <v>49.682000000000002</v>
      </c>
      <c r="BJ255" s="26">
        <v>72.484999999999999</v>
      </c>
      <c r="BK255" s="26">
        <v>42.976999999999997</v>
      </c>
      <c r="BL255" s="26">
        <v>4.8159000000000001</v>
      </c>
      <c r="BM255" s="26">
        <v>71.066000000000003</v>
      </c>
      <c r="BN255" s="26">
        <v>74.349999999999994</v>
      </c>
      <c r="BO255" s="26">
        <v>55.478000000000002</v>
      </c>
      <c r="BP255" s="26">
        <v>87.474999999999994</v>
      </c>
      <c r="BQ255" s="26">
        <v>55.478000000000002</v>
      </c>
      <c r="BR255" s="26">
        <v>42.976999999999997</v>
      </c>
      <c r="BS255" s="26">
        <v>1.1682999999999999</v>
      </c>
      <c r="BT255" s="26">
        <v>51.366</v>
      </c>
      <c r="BU255" s="26">
        <v>2.3988999999999998</v>
      </c>
      <c r="BV255" s="26">
        <v>87.474999999999994</v>
      </c>
      <c r="BW255" s="26">
        <v>56.616</v>
      </c>
      <c r="BX255" s="26">
        <v>43.688000000000002</v>
      </c>
      <c r="BY255" s="26">
        <v>78.323999999999998</v>
      </c>
      <c r="BZ255" s="71">
        <v>74.349999999999994</v>
      </c>
      <c r="CA255" s="26">
        <v>61.353999999999999</v>
      </c>
      <c r="CB255" s="26">
        <v>22.471</v>
      </c>
      <c r="CC255" s="26">
        <v>56.767000000000003</v>
      </c>
      <c r="CD255" s="26">
        <v>42.78</v>
      </c>
      <c r="CE255" s="26">
        <v>42.78</v>
      </c>
      <c r="CF255" s="26">
        <v>75.120999999999995</v>
      </c>
      <c r="CG255" s="26">
        <v>74.44</v>
      </c>
      <c r="CH255" s="26">
        <v>82.126000000000005</v>
      </c>
      <c r="CI255" s="26">
        <v>82.126000000000005</v>
      </c>
      <c r="CJ255" s="26">
        <v>82.126000000000005</v>
      </c>
      <c r="CK255" s="26">
        <v>1.1913</v>
      </c>
      <c r="CL255" s="26">
        <v>56.616</v>
      </c>
      <c r="CM255" s="26">
        <v>80.754000000000005</v>
      </c>
      <c r="CN255" s="26">
        <v>43.457000000000001</v>
      </c>
      <c r="CO255" s="26">
        <v>2.9095</v>
      </c>
      <c r="CP255" s="26">
        <v>52.988</v>
      </c>
      <c r="CQ255" s="26">
        <v>80.754000000000005</v>
      </c>
      <c r="CR255" s="26">
        <v>55.478000000000002</v>
      </c>
      <c r="CS255" s="26">
        <v>42.685000000000002</v>
      </c>
      <c r="CT255" s="26">
        <v>2.3416000000000001</v>
      </c>
      <c r="CU255" s="26">
        <v>43.877000000000002</v>
      </c>
      <c r="CV255" s="26">
        <v>63.283999999999999</v>
      </c>
      <c r="CW255" s="26">
        <v>72.951999999999998</v>
      </c>
      <c r="CX255" s="26">
        <v>68.103999999999999</v>
      </c>
      <c r="CY255" s="61"/>
      <c r="CZ255" s="537"/>
      <c r="DA255" s="61"/>
    </row>
    <row r="256" spans="1:16384">
      <c r="A256" s="279">
        <v>45383</v>
      </c>
      <c r="B256" s="26">
        <v>75.025000000000006</v>
      </c>
      <c r="C256" s="26">
        <v>63.371000000000002</v>
      </c>
      <c r="D256" s="26">
        <v>3.2330000000000001</v>
      </c>
      <c r="E256" s="26">
        <v>18.66</v>
      </c>
      <c r="F256" s="26">
        <v>23.367000000000001</v>
      </c>
      <c r="G256" s="26">
        <v>37.904000000000003</v>
      </c>
      <c r="H256" s="26">
        <v>12.785</v>
      </c>
      <c r="I256" s="26">
        <v>43.226999999999997</v>
      </c>
      <c r="J256" s="26">
        <v>81.507999999999996</v>
      </c>
      <c r="K256" s="26">
        <v>4.8198999999999996</v>
      </c>
      <c r="L256" s="26">
        <v>14.459</v>
      </c>
      <c r="M256" s="26">
        <v>23.292999999999999</v>
      </c>
      <c r="N256" s="26">
        <v>43.215000000000003</v>
      </c>
      <c r="O256" s="26">
        <v>55.62</v>
      </c>
      <c r="P256" s="26">
        <v>55.481000000000002</v>
      </c>
      <c r="Q256" s="26">
        <v>43.831000000000003</v>
      </c>
      <c r="R256" s="26">
        <v>55.478000000000002</v>
      </c>
      <c r="S256" s="26">
        <v>43.165999999999997</v>
      </c>
      <c r="T256" s="26">
        <v>81.507999999999996</v>
      </c>
      <c r="U256" s="26">
        <v>22.959</v>
      </c>
      <c r="V256" s="26">
        <v>7.1284999999999998</v>
      </c>
      <c r="W256" s="26">
        <v>43.8</v>
      </c>
      <c r="X256" s="26">
        <v>43.215000000000003</v>
      </c>
      <c r="Y256" s="26">
        <v>1.3424</v>
      </c>
      <c r="Z256" s="26">
        <v>76.977999999999994</v>
      </c>
      <c r="AA256" s="26">
        <v>8.8838000000000008</v>
      </c>
      <c r="AB256" s="26">
        <v>48.735999999999997</v>
      </c>
      <c r="AC256" s="26">
        <v>43.005000000000003</v>
      </c>
      <c r="AD256" s="26">
        <v>52.23</v>
      </c>
      <c r="AE256" s="26">
        <v>3.0943999999999998</v>
      </c>
      <c r="AF256" s="26">
        <v>17.577999999999999</v>
      </c>
      <c r="AG256" s="26">
        <v>57.918999999999997</v>
      </c>
      <c r="AH256" s="26">
        <v>43.831000000000003</v>
      </c>
      <c r="AI256" s="26">
        <v>3.1726999999999999</v>
      </c>
      <c r="AJ256" s="26">
        <v>59.604999999999997</v>
      </c>
      <c r="AK256" s="26">
        <v>82.745000000000005</v>
      </c>
      <c r="AL256" s="26">
        <v>82.745000000000005</v>
      </c>
      <c r="AM256" s="26">
        <v>43.831000000000003</v>
      </c>
      <c r="AN256" s="26">
        <v>63.283999999999999</v>
      </c>
      <c r="AO256" s="26">
        <v>82.745000000000005</v>
      </c>
      <c r="AP256" s="26">
        <v>61.122999999999998</v>
      </c>
      <c r="AQ256" s="26">
        <v>57.35</v>
      </c>
      <c r="AR256" s="26">
        <v>43.877000000000002</v>
      </c>
      <c r="AS256" s="26">
        <v>75.025000000000006</v>
      </c>
      <c r="AT256" s="26">
        <v>88.147000000000006</v>
      </c>
      <c r="AU256" s="26">
        <v>61.353999999999999</v>
      </c>
      <c r="AV256" s="26">
        <v>1.0857000000000001</v>
      </c>
      <c r="AW256" s="26">
        <v>61.353999999999999</v>
      </c>
      <c r="AX256" s="26">
        <v>61.401000000000003</v>
      </c>
      <c r="AY256" s="26">
        <v>24.86</v>
      </c>
      <c r="AZ256" s="26">
        <v>15.106</v>
      </c>
      <c r="BA256" s="26">
        <v>43.119</v>
      </c>
      <c r="BB256" s="26">
        <v>43.831000000000003</v>
      </c>
      <c r="BC256" s="26">
        <v>82.745000000000005</v>
      </c>
      <c r="BD256" s="26">
        <v>57.061999999999998</v>
      </c>
      <c r="BE256" s="26">
        <v>13.795</v>
      </c>
      <c r="BF256" s="26">
        <v>30.234999999999999</v>
      </c>
      <c r="BG256" s="26">
        <v>63.283999999999999</v>
      </c>
      <c r="BH256" s="26">
        <v>43.831000000000003</v>
      </c>
      <c r="BI256" s="26">
        <v>49.552999999999997</v>
      </c>
      <c r="BJ256" s="26">
        <v>53.319000000000003</v>
      </c>
      <c r="BK256" s="26">
        <v>43.262</v>
      </c>
      <c r="BL256" s="26">
        <v>3.9601999999999999</v>
      </c>
      <c r="BM256" s="26">
        <v>13.75</v>
      </c>
      <c r="BN256" s="26">
        <v>63.283999999999999</v>
      </c>
      <c r="BO256" s="26">
        <v>43.215000000000003</v>
      </c>
      <c r="BP256" s="26">
        <v>82.745000000000005</v>
      </c>
      <c r="BQ256" s="26">
        <v>37.904000000000003</v>
      </c>
      <c r="BR256" s="26">
        <v>43.165999999999997</v>
      </c>
      <c r="BS256" s="26">
        <v>3.6741999999999999</v>
      </c>
      <c r="BT256" s="26">
        <v>46.872</v>
      </c>
      <c r="BU256" s="26">
        <v>23.103999999999999</v>
      </c>
      <c r="BV256" s="26">
        <v>55.37</v>
      </c>
      <c r="BW256" s="26">
        <v>43.509</v>
      </c>
      <c r="BX256" s="26">
        <v>55.62</v>
      </c>
      <c r="BY256" s="26">
        <v>71.05</v>
      </c>
      <c r="BZ256" s="71">
        <v>63.283999999999999</v>
      </c>
      <c r="CA256" s="26">
        <v>43.45</v>
      </c>
      <c r="CB256" s="26">
        <v>13.1</v>
      </c>
      <c r="CC256" s="26">
        <v>82.745000000000005</v>
      </c>
      <c r="CD256" s="26">
        <v>43.119</v>
      </c>
      <c r="CE256" s="26">
        <v>55.62</v>
      </c>
      <c r="CF256" s="26">
        <v>57.88</v>
      </c>
      <c r="CG256" s="26">
        <v>57.301000000000002</v>
      </c>
      <c r="CH256" s="26">
        <v>88.147000000000006</v>
      </c>
      <c r="CI256" s="26">
        <v>82.745000000000005</v>
      </c>
      <c r="CJ256" s="26">
        <v>75.025000000000006</v>
      </c>
      <c r="CK256" s="26">
        <v>1.7152000000000001</v>
      </c>
      <c r="CL256" s="26">
        <v>81.507999999999996</v>
      </c>
      <c r="CM256" s="26">
        <v>82.745000000000005</v>
      </c>
      <c r="CN256" s="26">
        <v>53.173999999999999</v>
      </c>
      <c r="CO256" s="26">
        <v>7.5763999999999996</v>
      </c>
      <c r="CP256" s="26">
        <v>47.619</v>
      </c>
      <c r="CQ256" s="26">
        <v>43.165999999999997</v>
      </c>
      <c r="CR256" s="26">
        <v>36.133000000000003</v>
      </c>
      <c r="CS256" s="26">
        <v>43.831000000000003</v>
      </c>
      <c r="CT256" s="26">
        <v>2.8980000000000001</v>
      </c>
      <c r="CU256" s="26">
        <v>52.155000000000001</v>
      </c>
      <c r="CV256" s="26">
        <v>43.688000000000002</v>
      </c>
      <c r="CW256" s="26">
        <v>49.350999999999999</v>
      </c>
      <c r="CX256" s="26">
        <v>56.292000000000002</v>
      </c>
      <c r="CY256" s="61"/>
      <c r="CZ256" s="537"/>
      <c r="DA256" s="61"/>
    </row>
    <row r="257" spans="1:16384">
      <c r="A257" s="279">
        <v>45413</v>
      </c>
      <c r="B257" s="26">
        <v>43.688000000000002</v>
      </c>
      <c r="C257" s="26">
        <v>62.616</v>
      </c>
      <c r="D257" s="26">
        <v>3.6124999999999998</v>
      </c>
      <c r="E257" s="26">
        <v>19.132999999999999</v>
      </c>
      <c r="F257" s="26">
        <v>6.1623000000000001</v>
      </c>
      <c r="G257" s="26">
        <v>6.2724000000000002</v>
      </c>
      <c r="H257" s="26">
        <v>14.225</v>
      </c>
      <c r="I257" s="26">
        <v>43.593000000000004</v>
      </c>
      <c r="J257" s="26">
        <v>73.900000000000006</v>
      </c>
      <c r="K257" s="26">
        <v>5.5251999999999999</v>
      </c>
      <c r="L257" s="26">
        <v>10.117000000000001</v>
      </c>
      <c r="M257" s="26">
        <v>4.3888999999999996</v>
      </c>
      <c r="N257" s="26">
        <v>15.859</v>
      </c>
      <c r="O257" s="26">
        <v>73.900000000000006</v>
      </c>
      <c r="P257" s="26">
        <v>43.881999999999998</v>
      </c>
      <c r="Q257" s="26">
        <v>27.713999999999999</v>
      </c>
      <c r="R257" s="26">
        <v>23.67</v>
      </c>
      <c r="S257" s="26">
        <v>36.305</v>
      </c>
      <c r="T257" s="26">
        <v>74.054000000000002</v>
      </c>
      <c r="U257" s="26">
        <v>8.4963999999999995</v>
      </c>
      <c r="V257" s="26">
        <v>9.9351000000000003</v>
      </c>
      <c r="W257" s="26">
        <v>30.95</v>
      </c>
      <c r="X257" s="26">
        <v>20.831</v>
      </c>
      <c r="Y257" s="26">
        <v>2.0543999999999998</v>
      </c>
      <c r="Z257" s="26">
        <v>19.684999999999999</v>
      </c>
      <c r="AA257" s="26">
        <v>6.2702</v>
      </c>
      <c r="AB257" s="26">
        <v>17.344000000000001</v>
      </c>
      <c r="AC257" s="26">
        <v>42.972000000000001</v>
      </c>
      <c r="AD257" s="26">
        <v>80.251000000000005</v>
      </c>
      <c r="AE257" s="26">
        <v>1.9084000000000001</v>
      </c>
      <c r="AF257" s="26">
        <v>13.739000000000001</v>
      </c>
      <c r="AG257" s="26">
        <v>14.46</v>
      </c>
      <c r="AH257" s="26">
        <v>21.757000000000001</v>
      </c>
      <c r="AI257" s="26">
        <v>1.2539</v>
      </c>
      <c r="AJ257" s="26">
        <v>53.430999999999997</v>
      </c>
      <c r="AK257" s="26">
        <v>12.227</v>
      </c>
      <c r="AL257" s="26">
        <v>25.626999999999999</v>
      </c>
      <c r="AM257" s="26">
        <v>6.2016</v>
      </c>
      <c r="AN257" s="26">
        <v>43.011000000000003</v>
      </c>
      <c r="AO257" s="26">
        <v>71.138000000000005</v>
      </c>
      <c r="AP257" s="26">
        <v>25.268999999999998</v>
      </c>
      <c r="AQ257" s="26">
        <v>8.3508999999999993</v>
      </c>
      <c r="AR257" s="26">
        <v>17.864999999999998</v>
      </c>
      <c r="AS257" s="26">
        <v>15.542</v>
      </c>
      <c r="AT257" s="26">
        <v>43.877000000000002</v>
      </c>
      <c r="AU257" s="26">
        <v>43.671999999999997</v>
      </c>
      <c r="AV257" s="26">
        <v>1.2609999999999999</v>
      </c>
      <c r="AW257" s="26">
        <v>19.731000000000002</v>
      </c>
      <c r="AX257" s="26">
        <v>46.341000000000001</v>
      </c>
      <c r="AY257" s="26">
        <v>21.102</v>
      </c>
      <c r="AZ257" s="26">
        <v>12.129</v>
      </c>
      <c r="BA257" s="26">
        <v>32.625999999999998</v>
      </c>
      <c r="BB257" s="26">
        <v>2.4704000000000002</v>
      </c>
      <c r="BC257" s="26">
        <v>43.305</v>
      </c>
      <c r="BD257" s="26">
        <v>41.195</v>
      </c>
      <c r="BE257" s="26">
        <v>10.039</v>
      </c>
      <c r="BF257" s="26">
        <v>15.227</v>
      </c>
      <c r="BG257" s="26">
        <v>46.46</v>
      </c>
      <c r="BH257" s="26">
        <v>12.298</v>
      </c>
      <c r="BI257" s="26">
        <v>28.713000000000001</v>
      </c>
      <c r="BJ257" s="26">
        <v>43.877000000000002</v>
      </c>
      <c r="BK257" s="26">
        <v>21.079000000000001</v>
      </c>
      <c r="BL257" s="26">
        <v>1.399</v>
      </c>
      <c r="BM257" s="26">
        <v>11.811</v>
      </c>
      <c r="BN257" s="26">
        <v>10.510999999999999</v>
      </c>
      <c r="BO257" s="26">
        <v>6.0385999999999997</v>
      </c>
      <c r="BP257" s="26">
        <v>43.174999999999997</v>
      </c>
      <c r="BQ257" s="26">
        <v>11.178000000000001</v>
      </c>
      <c r="BR257" s="26">
        <v>10.669</v>
      </c>
      <c r="BS257" s="26">
        <v>1.6259999999999999</v>
      </c>
      <c r="BT257" s="26">
        <v>10.146000000000001</v>
      </c>
      <c r="BU257" s="26">
        <v>23.003</v>
      </c>
      <c r="BV257" s="26">
        <v>44.999000000000002</v>
      </c>
      <c r="BW257" s="26">
        <v>36.965000000000003</v>
      </c>
      <c r="BX257" s="26">
        <v>34.996000000000002</v>
      </c>
      <c r="BY257" s="26">
        <v>80.251000000000005</v>
      </c>
      <c r="BZ257" s="26">
        <v>42.976999999999997</v>
      </c>
      <c r="CA257" s="26">
        <v>23.353000000000002</v>
      </c>
      <c r="CB257" s="26">
        <v>4.9090999999999996</v>
      </c>
      <c r="CC257" s="26">
        <v>56.902000000000001</v>
      </c>
      <c r="CD257" s="26">
        <v>6.3974000000000002</v>
      </c>
      <c r="CE257" s="26">
        <v>23.292999999999999</v>
      </c>
      <c r="CF257" s="26">
        <v>12.742000000000001</v>
      </c>
      <c r="CG257" s="26">
        <v>22.959</v>
      </c>
      <c r="CH257" s="26">
        <v>56.865000000000002</v>
      </c>
      <c r="CI257" s="26">
        <v>55.676000000000002</v>
      </c>
      <c r="CJ257" s="26">
        <v>27.414999999999999</v>
      </c>
      <c r="CK257" s="26">
        <v>1.1174999999999999</v>
      </c>
      <c r="CL257" s="26">
        <v>16.931999999999999</v>
      </c>
      <c r="CM257" s="26">
        <v>44.134</v>
      </c>
      <c r="CN257" s="26">
        <v>23.103999999999999</v>
      </c>
      <c r="CO257" s="26">
        <v>14.459</v>
      </c>
      <c r="CP257" s="26">
        <v>34.122999999999998</v>
      </c>
      <c r="CQ257" s="26">
        <v>2.7892000000000001</v>
      </c>
      <c r="CR257" s="26">
        <v>61.658000000000001</v>
      </c>
      <c r="CS257" s="26">
        <v>16.202999999999999</v>
      </c>
      <c r="CT257" s="26">
        <v>2.4182000000000001</v>
      </c>
      <c r="CU257" s="26">
        <v>40.43</v>
      </c>
      <c r="CV257" s="26">
        <v>23.292999999999999</v>
      </c>
      <c r="CW257" s="26">
        <v>28.463000000000001</v>
      </c>
      <c r="CX257" s="26">
        <v>46.536999999999999</v>
      </c>
      <c r="CY257" s="61"/>
    </row>
    <row r="258" spans="1:16384">
      <c r="A258" s="279">
        <v>45444</v>
      </c>
      <c r="B258" s="26">
        <v>57.348078644407977</v>
      </c>
      <c r="C258" s="26">
        <v>52.957078644407979</v>
      </c>
      <c r="D258" s="26">
        <v>61.534078644407977</v>
      </c>
      <c r="E258" s="26">
        <v>50.188078644407973</v>
      </c>
      <c r="F258" s="26">
        <v>53.735078644407977</v>
      </c>
      <c r="G258" s="26">
        <v>57.925078644407975</v>
      </c>
      <c r="H258" s="26">
        <v>60.986078644407975</v>
      </c>
      <c r="I258" s="26">
        <v>42.985078644407977</v>
      </c>
      <c r="J258" s="26">
        <v>31.72007864440798</v>
      </c>
      <c r="K258" s="26">
        <v>49.503078644407978</v>
      </c>
      <c r="L258" s="26">
        <v>44.881078644407978</v>
      </c>
      <c r="M258" s="26">
        <v>31.03707864440798</v>
      </c>
      <c r="N258" s="26">
        <v>50.293078644407977</v>
      </c>
      <c r="O258" s="26">
        <v>62.283078644407972</v>
      </c>
      <c r="P258" s="26">
        <v>59.481078644407972</v>
      </c>
      <c r="Q258" s="26">
        <v>47.712078644407974</v>
      </c>
      <c r="R258" s="26">
        <v>68.154078644407974</v>
      </c>
      <c r="S258" s="26">
        <v>40.146078644407979</v>
      </c>
      <c r="T258" s="26">
        <v>86.372078644407978</v>
      </c>
      <c r="U258" s="26">
        <v>55.712078644407974</v>
      </c>
      <c r="V258" s="26">
        <v>54.758078644407973</v>
      </c>
      <c r="W258" s="26">
        <v>47.984078644407973</v>
      </c>
      <c r="X258" s="26">
        <v>30.000078644407978</v>
      </c>
      <c r="Y258" s="26">
        <v>39.823078644407978</v>
      </c>
      <c r="Z258" s="26">
        <v>60.998078644407975</v>
      </c>
      <c r="AA258" s="26">
        <v>60.568078644407976</v>
      </c>
      <c r="AB258" s="26">
        <v>15.485078644407977</v>
      </c>
      <c r="AC258" s="26">
        <v>48.310078644407973</v>
      </c>
      <c r="AD258" s="26">
        <v>52.684078644407975</v>
      </c>
      <c r="AE258" s="26">
        <v>60.141078644407976</v>
      </c>
      <c r="AF258" s="26">
        <v>47.408078644407972</v>
      </c>
      <c r="AG258" s="26">
        <v>58.795078644407972</v>
      </c>
      <c r="AH258" s="26">
        <v>57.590078644407974</v>
      </c>
      <c r="AI258" s="26">
        <v>50.640078644407978</v>
      </c>
      <c r="AJ258" s="26">
        <v>43.250078644407978</v>
      </c>
      <c r="AK258" s="26">
        <v>55.965078644407974</v>
      </c>
      <c r="AL258" s="26">
        <v>15.186078644407978</v>
      </c>
      <c r="AM258" s="26">
        <v>58.974078644407975</v>
      </c>
      <c r="AN258" s="26">
        <v>52.451078644407978</v>
      </c>
      <c r="AO258" s="26">
        <v>27.754078644407979</v>
      </c>
      <c r="AP258" s="26">
        <v>51.832078644407979</v>
      </c>
      <c r="AQ258" s="26">
        <v>58.463078644407979</v>
      </c>
      <c r="AR258" s="26">
        <v>49.740078644407973</v>
      </c>
      <c r="AS258" s="26">
        <v>47.723078644407977</v>
      </c>
      <c r="AT258" s="26">
        <v>21.68807864440798</v>
      </c>
      <c r="AU258" s="26">
        <v>14.384678644407977</v>
      </c>
      <c r="AV258" s="26">
        <v>59.864078644407975</v>
      </c>
      <c r="AW258" s="26">
        <v>44.940078644407976</v>
      </c>
      <c r="AX258" s="26">
        <v>93.764078644407988</v>
      </c>
      <c r="AY258" s="26">
        <v>60.752078644407973</v>
      </c>
      <c r="AZ258" s="26">
        <v>10.844878644407977</v>
      </c>
      <c r="BA258" s="26">
        <v>55.671078644407977</v>
      </c>
      <c r="BB258" s="26">
        <v>48.445078644407978</v>
      </c>
      <c r="BC258" s="26">
        <v>62.999078644407973</v>
      </c>
      <c r="BD258" s="26">
        <v>47.703078644407974</v>
      </c>
      <c r="BE258" s="26">
        <v>57.769078644407976</v>
      </c>
      <c r="BF258" s="26">
        <v>56.421078644407977</v>
      </c>
      <c r="BG258" s="26">
        <v>42.039078644407972</v>
      </c>
      <c r="BH258" s="26">
        <v>25.193078644407979</v>
      </c>
      <c r="BI258" s="26">
        <v>64.627078644407973</v>
      </c>
      <c r="BJ258" s="26">
        <v>79.880078644407988</v>
      </c>
      <c r="BK258" s="26">
        <v>53.376078644407976</v>
      </c>
      <c r="BL258" s="26">
        <v>50.343078644407974</v>
      </c>
      <c r="BM258" s="26">
        <v>58.562078644407976</v>
      </c>
      <c r="BN258" s="26">
        <v>21.414078644407979</v>
      </c>
      <c r="BO258" s="26">
        <v>79.880078644407988</v>
      </c>
      <c r="BP258" s="26">
        <v>43.258078644407973</v>
      </c>
      <c r="BQ258" s="26">
        <v>58.831078644407974</v>
      </c>
      <c r="BR258" s="26">
        <v>62.999078644407973</v>
      </c>
      <c r="BS258" s="26">
        <v>57.600078644407972</v>
      </c>
      <c r="BT258" s="26">
        <v>60.957078644407979</v>
      </c>
      <c r="BU258" s="26">
        <v>15.485078644407977</v>
      </c>
      <c r="BV258" s="26">
        <v>47.634078644407978</v>
      </c>
      <c r="BW258" s="26">
        <v>57.979078644407977</v>
      </c>
      <c r="BX258" s="26">
        <v>26.64407864440798</v>
      </c>
      <c r="BY258" s="26">
        <v>6.168478644407978</v>
      </c>
      <c r="BZ258" s="26">
        <v>66.224078644407982</v>
      </c>
      <c r="CA258" s="26">
        <v>25.042078644407979</v>
      </c>
      <c r="CB258" s="26">
        <v>71.874078644407987</v>
      </c>
      <c r="CC258" s="26">
        <v>52.434078644407975</v>
      </c>
      <c r="CD258" s="26">
        <v>6.168478644407978</v>
      </c>
      <c r="CE258" s="26">
        <v>49.646078644407979</v>
      </c>
      <c r="CF258" s="26">
        <v>64.202078644407976</v>
      </c>
      <c r="CG258" s="26">
        <v>54.006078644407978</v>
      </c>
      <c r="CH258" s="26">
        <v>14.902178644407979</v>
      </c>
      <c r="CI258" s="26">
        <v>31.945078644407978</v>
      </c>
      <c r="CJ258" s="26">
        <v>31.350078644407979</v>
      </c>
      <c r="CK258" s="26">
        <v>58.444078644407973</v>
      </c>
      <c r="CL258" s="26">
        <v>61.925078644407975</v>
      </c>
      <c r="CM258" s="26">
        <v>60.590078644407974</v>
      </c>
      <c r="CN258" s="26">
        <v>47.685078644407973</v>
      </c>
      <c r="CO258" s="26">
        <v>43.280078644407972</v>
      </c>
      <c r="CP258" s="26">
        <v>44.986078644407975</v>
      </c>
      <c r="CQ258" s="26">
        <v>62.329078644407979</v>
      </c>
      <c r="CR258" s="26">
        <v>63.014078644407974</v>
      </c>
      <c r="CS258" s="26">
        <v>57.314078644407978</v>
      </c>
      <c r="CT258" s="26">
        <v>50.438078644407973</v>
      </c>
      <c r="CU258" s="26">
        <v>60.490078644407973</v>
      </c>
      <c r="CV258" s="26">
        <v>43.028078644407977</v>
      </c>
      <c r="CW258" s="26">
        <v>27.061078644407978</v>
      </c>
      <c r="CX258" s="26">
        <v>43.96</v>
      </c>
      <c r="CY258" s="61"/>
    </row>
    <row r="259" spans="1:16384" s="540" customFormat="1">
      <c r="A259" s="538" t="s">
        <v>126</v>
      </c>
      <c r="B259" s="617">
        <f>AVERAGE(B253:B258)</f>
        <v>65.773013107401326</v>
      </c>
      <c r="C259" s="617">
        <f t="shared" ref="C259:BN259" si="37">AVERAGE(C253:C258)</f>
        <v>71.558846440734655</v>
      </c>
      <c r="D259" s="617">
        <f t="shared" si="37"/>
        <v>17.705113107401328</v>
      </c>
      <c r="E259" s="617">
        <f t="shared" si="37"/>
        <v>41.168513107401331</v>
      </c>
      <c r="F259" s="617">
        <f t="shared" si="37"/>
        <v>35.594563107401321</v>
      </c>
      <c r="G259" s="617">
        <f t="shared" si="37"/>
        <v>24.226346440734662</v>
      </c>
      <c r="H259" s="617">
        <f t="shared" si="37"/>
        <v>22.153013107401332</v>
      </c>
      <c r="I259" s="617">
        <f t="shared" si="37"/>
        <v>73.575346440734663</v>
      </c>
      <c r="J259" s="617">
        <f t="shared" si="37"/>
        <v>68.731679774067985</v>
      </c>
      <c r="K259" s="617">
        <f t="shared" si="37"/>
        <v>42.631529774067992</v>
      </c>
      <c r="L259" s="617">
        <f t="shared" si="37"/>
        <v>28.852513107401325</v>
      </c>
      <c r="M259" s="617">
        <f t="shared" si="37"/>
        <v>47.004329774067998</v>
      </c>
      <c r="N259" s="617">
        <f t="shared" si="37"/>
        <v>43.974679774067994</v>
      </c>
      <c r="O259" s="617">
        <f t="shared" si="37"/>
        <v>96.558013107401337</v>
      </c>
      <c r="P259" s="617">
        <f t="shared" si="37"/>
        <v>60.947513107401335</v>
      </c>
      <c r="Q259" s="617">
        <f t="shared" si="37"/>
        <v>56.282346440734663</v>
      </c>
      <c r="R259" s="617">
        <f t="shared" si="37"/>
        <v>40.218513107401328</v>
      </c>
      <c r="S259" s="617">
        <f t="shared" si="37"/>
        <v>54.742513107401329</v>
      </c>
      <c r="T259" s="617">
        <f t="shared" si="37"/>
        <v>75.678179774067999</v>
      </c>
      <c r="U259" s="617">
        <f t="shared" si="37"/>
        <v>48.449079774067997</v>
      </c>
      <c r="V259" s="617">
        <f t="shared" si="37"/>
        <v>14.417379774067996</v>
      </c>
      <c r="W259" s="617">
        <f t="shared" si="37"/>
        <v>37.872213107401329</v>
      </c>
      <c r="X259" s="617">
        <f t="shared" si="37"/>
        <v>25.702546440734665</v>
      </c>
      <c r="Y259" s="617">
        <f t="shared" si="37"/>
        <v>7.8740631074013292</v>
      </c>
      <c r="Z259" s="617">
        <f t="shared" si="37"/>
        <v>57.292013107401338</v>
      </c>
      <c r="AA259" s="617">
        <f t="shared" si="37"/>
        <v>34.411346440734661</v>
      </c>
      <c r="AB259" s="617">
        <f t="shared" si="37"/>
        <v>38.543179774067994</v>
      </c>
      <c r="AC259" s="617">
        <f t="shared" si="37"/>
        <v>76.508013107401311</v>
      </c>
      <c r="AD259" s="617">
        <f t="shared" si="37"/>
        <v>75.636179774067998</v>
      </c>
      <c r="AE259" s="617">
        <f t="shared" si="37"/>
        <v>13.178229774067995</v>
      </c>
      <c r="AF259" s="617">
        <f t="shared" si="37"/>
        <v>56.032679774067987</v>
      </c>
      <c r="AG259" s="617">
        <f t="shared" si="37"/>
        <v>54.654679774067993</v>
      </c>
      <c r="AH259" s="617">
        <f t="shared" si="37"/>
        <v>59.145846440734665</v>
      </c>
      <c r="AI259" s="617">
        <f t="shared" si="37"/>
        <v>10.250779774067997</v>
      </c>
      <c r="AJ259" s="617">
        <f t="shared" si="37"/>
        <v>107.059179774068</v>
      </c>
      <c r="AK259" s="617">
        <f t="shared" si="37"/>
        <v>54.42801310740132</v>
      </c>
      <c r="AL259" s="617">
        <f t="shared" si="37"/>
        <v>48.910679774068001</v>
      </c>
      <c r="AM259" s="617">
        <f t="shared" si="37"/>
        <v>19.440913107401329</v>
      </c>
      <c r="AN259" s="617">
        <f t="shared" si="37"/>
        <v>72.766179774067993</v>
      </c>
      <c r="AO259" s="617">
        <f t="shared" si="37"/>
        <v>93.885513107401323</v>
      </c>
      <c r="AP259" s="617">
        <f t="shared" si="37"/>
        <v>66.344513107401326</v>
      </c>
      <c r="AQ259" s="617">
        <f t="shared" si="37"/>
        <v>58.143663107401331</v>
      </c>
      <c r="AR259" s="617">
        <f t="shared" si="37"/>
        <v>55.030346440734661</v>
      </c>
      <c r="AS259" s="617">
        <f t="shared" si="37"/>
        <v>49.693513107401323</v>
      </c>
      <c r="AT259" s="617">
        <f t="shared" si="37"/>
        <v>60.564679774067997</v>
      </c>
      <c r="AU259" s="617">
        <f t="shared" si="37"/>
        <v>49.34977977406799</v>
      </c>
      <c r="AV259" s="617">
        <f t="shared" si="37"/>
        <v>10.961029774067995</v>
      </c>
      <c r="AW259" s="617">
        <f t="shared" si="37"/>
        <v>57.881513107401325</v>
      </c>
      <c r="AX259" s="617">
        <f t="shared" si="37"/>
        <v>68.721846440734666</v>
      </c>
      <c r="AY259" s="617">
        <f t="shared" si="37"/>
        <v>38.913513107401336</v>
      </c>
      <c r="AZ259" s="617">
        <f t="shared" si="37"/>
        <v>47.433979774068</v>
      </c>
      <c r="BA259" s="617">
        <f t="shared" si="37"/>
        <v>53.981179774068003</v>
      </c>
      <c r="BB259" s="617">
        <f t="shared" si="37"/>
        <v>38.944746440734662</v>
      </c>
      <c r="BC259" s="617">
        <f t="shared" si="37"/>
        <v>71.218846440734666</v>
      </c>
      <c r="BD259" s="617">
        <f t="shared" si="37"/>
        <v>57.326679774067998</v>
      </c>
      <c r="BE259" s="617">
        <f t="shared" si="37"/>
        <v>43.703346440734656</v>
      </c>
      <c r="BF259" s="617">
        <f t="shared" si="37"/>
        <v>44.166679774068001</v>
      </c>
      <c r="BG259" s="617">
        <f t="shared" si="37"/>
        <v>85.840179774067977</v>
      </c>
      <c r="BH259" s="617">
        <f t="shared" si="37"/>
        <v>30.374196440734664</v>
      </c>
      <c r="BI259" s="617">
        <f t="shared" si="37"/>
        <v>39.304513107401327</v>
      </c>
      <c r="BJ259" s="617">
        <f t="shared" si="37"/>
        <v>68.842179774068001</v>
      </c>
      <c r="BK259" s="617">
        <f t="shared" si="37"/>
        <v>35.37801310740133</v>
      </c>
      <c r="BL259" s="617">
        <f t="shared" si="37"/>
        <v>11.336229774067997</v>
      </c>
      <c r="BM259" s="617">
        <f t="shared" si="37"/>
        <v>46.450513107401328</v>
      </c>
      <c r="BN259" s="617">
        <f t="shared" si="37"/>
        <v>51.182846440734671</v>
      </c>
      <c r="BO259" s="617">
        <f t="shared" ref="BO259:CX259" si="38">AVERAGE(BO253:BO258)</f>
        <v>51.863279774067998</v>
      </c>
      <c r="BP259" s="617">
        <f t="shared" si="38"/>
        <v>69.446013107401328</v>
      </c>
      <c r="BQ259" s="617">
        <f t="shared" si="38"/>
        <v>43.782013107401326</v>
      </c>
      <c r="BR259" s="617">
        <f t="shared" si="38"/>
        <v>45.983346440734664</v>
      </c>
      <c r="BS259" s="617">
        <f t="shared" si="38"/>
        <v>11.198446440734662</v>
      </c>
      <c r="BT259" s="617">
        <f t="shared" si="38"/>
        <v>52.599513107401343</v>
      </c>
      <c r="BU259" s="617">
        <f t="shared" si="38"/>
        <v>12.430796440734662</v>
      </c>
      <c r="BV259" s="617">
        <f t="shared" si="38"/>
        <v>68.788679774068001</v>
      </c>
      <c r="BW259" s="617">
        <f t="shared" si="38"/>
        <v>56.444513107401328</v>
      </c>
      <c r="BX259" s="617">
        <f t="shared" si="38"/>
        <v>32.746546440734669</v>
      </c>
      <c r="BY259" s="617">
        <f t="shared" si="38"/>
        <v>64.850913107401325</v>
      </c>
      <c r="BZ259" s="617">
        <f t="shared" si="38"/>
        <v>49.898229774068</v>
      </c>
      <c r="CA259" s="617">
        <f t="shared" si="38"/>
        <v>48.195513107401325</v>
      </c>
      <c r="CB259" s="617">
        <f t="shared" si="38"/>
        <v>25.19136310740133</v>
      </c>
      <c r="CC259" s="617">
        <f t="shared" si="38"/>
        <v>57.196179774067993</v>
      </c>
      <c r="CD259" s="617">
        <f t="shared" si="38"/>
        <v>38.761813107401331</v>
      </c>
      <c r="CE259" s="617">
        <f t="shared" si="38"/>
        <v>32.642179774068005</v>
      </c>
      <c r="CF259" s="617">
        <f t="shared" si="38"/>
        <v>67.673679774067992</v>
      </c>
      <c r="CG259" s="617">
        <f t="shared" si="38"/>
        <v>69.256846440734662</v>
      </c>
      <c r="CH259" s="617">
        <f t="shared" si="38"/>
        <v>67.903196440734661</v>
      </c>
      <c r="CI259" s="617">
        <f t="shared" si="38"/>
        <v>62.300179774067999</v>
      </c>
      <c r="CJ259" s="617">
        <f t="shared" si="38"/>
        <v>54.868179774068004</v>
      </c>
      <c r="CK259" s="617">
        <f t="shared" si="38"/>
        <v>10.955329774067996</v>
      </c>
      <c r="CL259" s="617">
        <f t="shared" si="38"/>
        <v>62.420679774067992</v>
      </c>
      <c r="CM259" s="617">
        <f t="shared" si="38"/>
        <v>60.973346440734666</v>
      </c>
      <c r="CN259" s="617">
        <f t="shared" si="38"/>
        <v>30.707346440734668</v>
      </c>
      <c r="CO259" s="617">
        <f t="shared" si="38"/>
        <v>12.184846440734661</v>
      </c>
      <c r="CP259" s="617">
        <f t="shared" si="38"/>
        <v>46.406346440734666</v>
      </c>
      <c r="CQ259" s="617">
        <f t="shared" si="38"/>
        <v>52.646046440734658</v>
      </c>
      <c r="CR259" s="617">
        <f t="shared" si="38"/>
        <v>60.254179774068</v>
      </c>
      <c r="CS259" s="617">
        <f t="shared" si="38"/>
        <v>32.324346440734665</v>
      </c>
      <c r="CT259" s="617">
        <f t="shared" si="38"/>
        <v>11.166296440734662</v>
      </c>
      <c r="CU259" s="617">
        <f t="shared" si="38"/>
        <v>54.341346440734661</v>
      </c>
      <c r="CV259" s="617">
        <f t="shared" si="38"/>
        <v>47.932179774067997</v>
      </c>
      <c r="CW259" s="617">
        <f t="shared" si="38"/>
        <v>59.44851310740134</v>
      </c>
      <c r="CX259" s="617">
        <f t="shared" si="38"/>
        <v>60.200499999999998</v>
      </c>
      <c r="CY259" s="537"/>
      <c r="CZ259" s="537"/>
      <c r="DA259" s="537"/>
      <c r="DB259" s="537"/>
      <c r="DC259" s="537"/>
      <c r="DD259" s="537"/>
      <c r="DE259" s="537"/>
      <c r="DF259" s="537"/>
      <c r="DG259" s="537"/>
      <c r="DH259" s="537"/>
      <c r="DI259" s="537"/>
      <c r="DJ259" s="537"/>
      <c r="DK259" s="537"/>
      <c r="DL259" s="537"/>
      <c r="DM259" s="537"/>
      <c r="DN259" s="537"/>
      <c r="DO259" s="537"/>
      <c r="DP259" s="537"/>
      <c r="DQ259" s="537"/>
      <c r="DR259" s="537"/>
      <c r="DS259" s="537"/>
      <c r="DT259" s="537"/>
      <c r="DU259" s="537"/>
      <c r="DV259" s="537"/>
      <c r="DW259" s="537"/>
      <c r="DX259" s="537"/>
      <c r="DY259" s="537"/>
      <c r="DZ259" s="537"/>
      <c r="EA259" s="537"/>
      <c r="EB259" s="537"/>
      <c r="EC259" s="537"/>
      <c r="ED259" s="537"/>
      <c r="EE259" s="537"/>
      <c r="EF259" s="537"/>
      <c r="EG259" s="537"/>
      <c r="EH259" s="537"/>
      <c r="EI259" s="537"/>
      <c r="EJ259" s="537"/>
      <c r="EK259" s="537"/>
      <c r="EL259" s="537"/>
      <c r="EM259" s="537"/>
      <c r="EN259" s="537"/>
      <c r="EO259" s="537"/>
      <c r="EP259" s="537"/>
      <c r="EQ259" s="537"/>
      <c r="ER259" s="537"/>
      <c r="ES259" s="537"/>
      <c r="ET259" s="537"/>
      <c r="EU259" s="537"/>
      <c r="EV259" s="537"/>
      <c r="EW259" s="537"/>
      <c r="EX259" s="537"/>
      <c r="EY259" s="537"/>
      <c r="EZ259" s="537"/>
      <c r="FA259" s="537"/>
      <c r="FB259" s="537"/>
      <c r="FC259" s="537"/>
      <c r="FD259" s="537"/>
      <c r="FE259" s="537"/>
      <c r="FF259" s="537"/>
      <c r="FG259" s="537"/>
      <c r="FH259" s="537"/>
      <c r="FI259" s="537"/>
      <c r="FJ259" s="537"/>
      <c r="FK259" s="537"/>
      <c r="FL259" s="537"/>
      <c r="FM259" s="537"/>
      <c r="FN259" s="537"/>
      <c r="FO259" s="537"/>
      <c r="FP259" s="537"/>
      <c r="FQ259" s="537"/>
      <c r="FR259" s="537"/>
      <c r="FS259" s="537"/>
      <c r="FT259" s="537"/>
      <c r="FU259" s="537"/>
      <c r="FV259" s="537"/>
      <c r="FW259" s="537"/>
      <c r="FX259" s="537"/>
      <c r="FY259" s="537"/>
      <c r="FZ259" s="537"/>
      <c r="GA259" s="537"/>
      <c r="GB259" s="537"/>
      <c r="GC259" s="537"/>
      <c r="GD259" s="537"/>
      <c r="GE259" s="537"/>
      <c r="GF259" s="537"/>
      <c r="GG259" s="537"/>
      <c r="GH259" s="537"/>
      <c r="GI259" s="537"/>
      <c r="GJ259" s="537"/>
      <c r="GK259" s="537"/>
      <c r="GL259" s="537"/>
      <c r="GM259" s="537"/>
      <c r="GN259" s="537"/>
      <c r="GO259" s="537"/>
      <c r="GP259" s="537"/>
      <c r="GQ259" s="537"/>
      <c r="GR259" s="537"/>
      <c r="GS259" s="537"/>
      <c r="GT259" s="537"/>
      <c r="GU259" s="537"/>
      <c r="GV259" s="537"/>
      <c r="GW259" s="537"/>
      <c r="GX259" s="537"/>
      <c r="GY259" s="537"/>
      <c r="GZ259" s="537"/>
      <c r="HA259" s="537"/>
      <c r="HB259" s="537"/>
      <c r="HC259" s="537"/>
      <c r="HD259" s="537"/>
      <c r="HE259" s="537"/>
      <c r="HF259" s="537"/>
      <c r="HG259" s="537"/>
      <c r="HH259" s="537"/>
      <c r="HI259" s="537"/>
      <c r="HJ259" s="537"/>
      <c r="HK259" s="537"/>
      <c r="HL259" s="537"/>
      <c r="HM259" s="537"/>
      <c r="HN259" s="537"/>
      <c r="HO259" s="537"/>
      <c r="HP259" s="537"/>
      <c r="HQ259" s="537"/>
      <c r="HR259" s="537"/>
      <c r="HS259" s="537"/>
      <c r="HT259" s="537"/>
      <c r="HU259" s="537"/>
      <c r="HV259" s="537"/>
      <c r="HW259" s="537"/>
      <c r="HX259" s="537"/>
      <c r="HY259" s="537"/>
      <c r="HZ259" s="537"/>
      <c r="IA259" s="537"/>
      <c r="IB259" s="537"/>
      <c r="IC259" s="537"/>
      <c r="ID259" s="537"/>
      <c r="IE259" s="537"/>
      <c r="IF259" s="537"/>
      <c r="IG259" s="537"/>
      <c r="IH259" s="537"/>
      <c r="II259" s="537"/>
      <c r="IJ259" s="537"/>
      <c r="IK259" s="537"/>
      <c r="IL259" s="537"/>
      <c r="IM259" s="537"/>
      <c r="IN259" s="537"/>
      <c r="IO259" s="537"/>
      <c r="IP259" s="537"/>
      <c r="IQ259" s="537"/>
      <c r="IR259" s="537"/>
      <c r="IS259" s="537"/>
      <c r="IT259" s="537"/>
      <c r="IU259" s="537"/>
      <c r="IV259" s="537"/>
      <c r="IW259" s="537"/>
      <c r="IX259" s="537"/>
      <c r="IY259" s="537"/>
      <c r="IZ259" s="537"/>
      <c r="JA259" s="537"/>
      <c r="JB259" s="537"/>
      <c r="JC259" s="537"/>
      <c r="JD259" s="537"/>
      <c r="JE259" s="537"/>
      <c r="JF259" s="537"/>
      <c r="JG259" s="537"/>
      <c r="JH259" s="537"/>
      <c r="JI259" s="537"/>
      <c r="JJ259" s="537"/>
      <c r="JK259" s="537"/>
      <c r="JL259" s="537"/>
      <c r="JM259" s="537"/>
      <c r="JN259" s="537"/>
      <c r="JO259" s="537"/>
      <c r="JP259" s="537"/>
      <c r="JQ259" s="537"/>
      <c r="JR259" s="537"/>
      <c r="JS259" s="537"/>
      <c r="JT259" s="537"/>
      <c r="JU259" s="537"/>
      <c r="JV259" s="537"/>
      <c r="JW259" s="537"/>
      <c r="JX259" s="537"/>
      <c r="JY259" s="537"/>
      <c r="JZ259" s="537"/>
      <c r="KA259" s="537"/>
      <c r="KB259" s="537"/>
      <c r="KC259" s="537"/>
      <c r="KD259" s="537"/>
      <c r="KE259" s="537"/>
      <c r="KF259" s="537"/>
      <c r="KG259" s="537"/>
      <c r="KH259" s="537"/>
      <c r="KI259" s="537"/>
      <c r="KJ259" s="537"/>
      <c r="KK259" s="537"/>
      <c r="KL259" s="537"/>
      <c r="KM259" s="537"/>
      <c r="KN259" s="537"/>
      <c r="KO259" s="537"/>
      <c r="KP259" s="537"/>
      <c r="KQ259" s="537"/>
      <c r="KR259" s="537"/>
      <c r="KS259" s="537"/>
      <c r="KT259" s="537"/>
      <c r="KU259" s="537"/>
      <c r="KV259" s="537"/>
      <c r="KW259" s="537"/>
      <c r="KX259" s="537"/>
      <c r="KY259" s="537"/>
      <c r="KZ259" s="537"/>
      <c r="LA259" s="537"/>
      <c r="LB259" s="537"/>
      <c r="LC259" s="537"/>
      <c r="LD259" s="537"/>
      <c r="LE259" s="537"/>
      <c r="LF259" s="537"/>
      <c r="LG259" s="537"/>
      <c r="LH259" s="537"/>
      <c r="LI259" s="537"/>
      <c r="LJ259" s="537"/>
      <c r="LK259" s="537"/>
      <c r="LL259" s="537"/>
      <c r="LM259" s="537"/>
      <c r="LN259" s="537"/>
      <c r="LO259" s="537"/>
      <c r="LP259" s="537"/>
      <c r="LQ259" s="537"/>
      <c r="LR259" s="537"/>
      <c r="LS259" s="537"/>
      <c r="LT259" s="537"/>
      <c r="LU259" s="537"/>
      <c r="LV259" s="537"/>
      <c r="LW259" s="537"/>
      <c r="LX259" s="537"/>
      <c r="LY259" s="537"/>
      <c r="LZ259" s="537"/>
      <c r="MA259" s="537"/>
      <c r="MB259" s="537"/>
      <c r="MC259" s="537"/>
      <c r="MD259" s="537"/>
      <c r="ME259" s="537"/>
      <c r="MF259" s="537"/>
      <c r="MG259" s="537"/>
      <c r="MH259" s="537"/>
      <c r="MI259" s="537"/>
      <c r="MJ259" s="537"/>
      <c r="MK259" s="537"/>
      <c r="ML259" s="537"/>
      <c r="MM259" s="537"/>
      <c r="MN259" s="537"/>
      <c r="MO259" s="537"/>
      <c r="MP259" s="537"/>
      <c r="MQ259" s="537"/>
      <c r="MR259" s="537"/>
      <c r="MS259" s="537"/>
      <c r="MT259" s="537"/>
      <c r="MU259" s="537"/>
      <c r="MV259" s="537"/>
      <c r="MW259" s="537"/>
      <c r="MX259" s="537"/>
      <c r="MY259" s="537"/>
      <c r="MZ259" s="537"/>
      <c r="NA259" s="537"/>
      <c r="NB259" s="537"/>
      <c r="NC259" s="537"/>
      <c r="ND259" s="537"/>
      <c r="NE259" s="537"/>
      <c r="NF259" s="537"/>
      <c r="NG259" s="537"/>
      <c r="NH259" s="537"/>
      <c r="NI259" s="537"/>
      <c r="NJ259" s="537"/>
      <c r="NK259" s="537"/>
      <c r="NL259" s="537"/>
      <c r="NM259" s="537"/>
      <c r="NN259" s="537"/>
      <c r="NO259" s="537"/>
      <c r="NP259" s="537"/>
      <c r="NQ259" s="537"/>
      <c r="NR259" s="537"/>
      <c r="NS259" s="537"/>
      <c r="NT259" s="537"/>
      <c r="NU259" s="537"/>
      <c r="NV259" s="537"/>
      <c r="NW259" s="537"/>
      <c r="NX259" s="537"/>
      <c r="NY259" s="537"/>
      <c r="NZ259" s="537"/>
      <c r="OA259" s="537"/>
      <c r="OB259" s="537"/>
      <c r="OC259" s="537"/>
      <c r="OD259" s="537"/>
      <c r="OE259" s="537"/>
      <c r="OF259" s="537"/>
      <c r="OG259" s="537"/>
      <c r="OH259" s="537"/>
      <c r="OI259" s="537"/>
      <c r="OJ259" s="537"/>
      <c r="OK259" s="537"/>
      <c r="OL259" s="537"/>
      <c r="OM259" s="537"/>
      <c r="ON259" s="537"/>
      <c r="OO259" s="537"/>
      <c r="OP259" s="537"/>
      <c r="OQ259" s="537"/>
      <c r="OR259" s="537"/>
      <c r="OS259" s="537"/>
      <c r="OT259" s="537"/>
      <c r="OU259" s="537"/>
      <c r="OV259" s="537"/>
      <c r="OW259" s="537"/>
      <c r="OX259" s="537"/>
      <c r="OY259" s="537"/>
      <c r="OZ259" s="537"/>
      <c r="PA259" s="537"/>
      <c r="PB259" s="537"/>
      <c r="PC259" s="537"/>
      <c r="PD259" s="537"/>
      <c r="PE259" s="537"/>
      <c r="PF259" s="537"/>
      <c r="PG259" s="537"/>
      <c r="PH259" s="537"/>
      <c r="PI259" s="537"/>
      <c r="PJ259" s="537"/>
      <c r="PK259" s="537"/>
      <c r="PL259" s="537"/>
      <c r="PM259" s="537"/>
      <c r="PN259" s="537"/>
      <c r="PO259" s="537"/>
      <c r="PP259" s="537"/>
      <c r="PQ259" s="537"/>
      <c r="PR259" s="537"/>
      <c r="PS259" s="537"/>
      <c r="PT259" s="537"/>
      <c r="PU259" s="537"/>
      <c r="PV259" s="537"/>
      <c r="PW259" s="537"/>
      <c r="PX259" s="537"/>
      <c r="PY259" s="537"/>
      <c r="PZ259" s="537"/>
      <c r="QA259" s="537"/>
      <c r="QB259" s="537"/>
      <c r="QC259" s="537"/>
      <c r="QD259" s="537"/>
      <c r="QE259" s="537"/>
      <c r="QF259" s="537"/>
      <c r="QG259" s="537"/>
      <c r="QH259" s="537"/>
      <c r="QI259" s="537"/>
      <c r="QJ259" s="537"/>
      <c r="QK259" s="537"/>
      <c r="QL259" s="537"/>
      <c r="QM259" s="537"/>
      <c r="QN259" s="537"/>
      <c r="QO259" s="537"/>
      <c r="QP259" s="537"/>
      <c r="QQ259" s="537"/>
      <c r="QR259" s="537"/>
      <c r="QS259" s="537"/>
      <c r="QT259" s="537"/>
      <c r="QU259" s="537"/>
      <c r="QV259" s="537"/>
      <c r="QW259" s="537"/>
      <c r="QX259" s="537"/>
      <c r="QY259" s="537"/>
      <c r="QZ259" s="537"/>
      <c r="RA259" s="537"/>
      <c r="RB259" s="537"/>
      <c r="RC259" s="537"/>
      <c r="RD259" s="537"/>
      <c r="RE259" s="537"/>
      <c r="RF259" s="537"/>
      <c r="RG259" s="537"/>
      <c r="RH259" s="537"/>
      <c r="RI259" s="537"/>
      <c r="RJ259" s="537"/>
      <c r="RK259" s="537"/>
      <c r="RL259" s="537"/>
      <c r="RM259" s="537"/>
      <c r="RN259" s="537"/>
      <c r="RO259" s="537"/>
      <c r="RP259" s="537"/>
      <c r="RQ259" s="537"/>
      <c r="RR259" s="537"/>
      <c r="RS259" s="537"/>
      <c r="RT259" s="537"/>
      <c r="RU259" s="537"/>
      <c r="RV259" s="537"/>
      <c r="RW259" s="537"/>
      <c r="RX259" s="537"/>
      <c r="RY259" s="537"/>
      <c r="RZ259" s="537"/>
      <c r="SA259" s="537"/>
      <c r="SB259" s="537"/>
      <c r="SC259" s="537"/>
      <c r="SD259" s="537"/>
      <c r="SE259" s="537"/>
      <c r="SF259" s="537"/>
      <c r="SG259" s="537"/>
      <c r="SH259" s="537"/>
      <c r="SI259" s="537"/>
      <c r="SJ259" s="537"/>
      <c r="SK259" s="537"/>
      <c r="SL259" s="537"/>
      <c r="SM259" s="537"/>
      <c r="SN259" s="537"/>
      <c r="SO259" s="537"/>
      <c r="SP259" s="537"/>
      <c r="SQ259" s="537"/>
      <c r="SR259" s="537"/>
      <c r="SS259" s="537"/>
      <c r="ST259" s="537"/>
      <c r="SU259" s="537"/>
      <c r="SV259" s="537"/>
      <c r="SW259" s="537"/>
      <c r="SX259" s="537"/>
      <c r="SY259" s="537"/>
      <c r="SZ259" s="537"/>
      <c r="TA259" s="537"/>
      <c r="TB259" s="537"/>
      <c r="TC259" s="537"/>
      <c r="TD259" s="537"/>
      <c r="TE259" s="537"/>
      <c r="TF259" s="537"/>
      <c r="TG259" s="537"/>
      <c r="TH259" s="537"/>
      <c r="TI259" s="537"/>
      <c r="TJ259" s="537"/>
      <c r="TK259" s="537"/>
      <c r="TL259" s="537"/>
      <c r="TM259" s="537"/>
      <c r="TN259" s="537"/>
      <c r="TO259" s="537"/>
      <c r="TP259" s="537"/>
      <c r="TQ259" s="537"/>
      <c r="TR259" s="537"/>
      <c r="TS259" s="537"/>
      <c r="TT259" s="537"/>
      <c r="TU259" s="537"/>
      <c r="TV259" s="537"/>
      <c r="TW259" s="537"/>
      <c r="TX259" s="537"/>
      <c r="TY259" s="537"/>
      <c r="TZ259" s="537"/>
      <c r="UA259" s="537"/>
      <c r="UB259" s="537"/>
      <c r="UC259" s="537"/>
      <c r="UD259" s="537"/>
      <c r="UE259" s="537"/>
      <c r="UF259" s="537"/>
      <c r="UG259" s="537"/>
      <c r="UH259" s="537"/>
      <c r="UI259" s="537"/>
      <c r="UJ259" s="537"/>
      <c r="UK259" s="537"/>
      <c r="UL259" s="537"/>
      <c r="UM259" s="537"/>
      <c r="UN259" s="537"/>
      <c r="UO259" s="537"/>
      <c r="UP259" s="537"/>
      <c r="UQ259" s="537"/>
      <c r="UR259" s="537"/>
      <c r="US259" s="537"/>
      <c r="UT259" s="537"/>
      <c r="UU259" s="537"/>
      <c r="UV259" s="537"/>
      <c r="UW259" s="537"/>
      <c r="UX259" s="537"/>
      <c r="UY259" s="537"/>
      <c r="UZ259" s="537"/>
      <c r="VA259" s="537"/>
      <c r="VB259" s="537"/>
      <c r="VC259" s="537"/>
      <c r="VD259" s="537"/>
      <c r="VE259" s="537"/>
      <c r="VF259" s="537"/>
      <c r="VG259" s="537"/>
      <c r="VH259" s="537"/>
      <c r="VI259" s="537"/>
      <c r="VJ259" s="537"/>
      <c r="VK259" s="537"/>
      <c r="VL259" s="537"/>
      <c r="VM259" s="537"/>
      <c r="VN259" s="537"/>
      <c r="VO259" s="537"/>
      <c r="VP259" s="537"/>
      <c r="VQ259" s="537"/>
      <c r="VR259" s="537"/>
      <c r="VS259" s="537"/>
      <c r="VT259" s="537"/>
      <c r="VU259" s="537"/>
      <c r="VV259" s="537"/>
      <c r="VW259" s="537"/>
      <c r="VX259" s="537"/>
      <c r="VY259" s="537"/>
      <c r="VZ259" s="537"/>
      <c r="WA259" s="537"/>
      <c r="WB259" s="537"/>
      <c r="WC259" s="537"/>
      <c r="WD259" s="537"/>
      <c r="WE259" s="537"/>
      <c r="WF259" s="537"/>
      <c r="WG259" s="537"/>
      <c r="WH259" s="537"/>
      <c r="WI259" s="537"/>
      <c r="WJ259" s="537"/>
      <c r="WK259" s="537"/>
      <c r="WL259" s="537"/>
      <c r="WM259" s="537"/>
      <c r="WN259" s="537"/>
      <c r="WO259" s="537"/>
      <c r="WP259" s="537"/>
      <c r="WQ259" s="537"/>
      <c r="WR259" s="537"/>
      <c r="WS259" s="537"/>
      <c r="WT259" s="537"/>
      <c r="WU259" s="537"/>
      <c r="WV259" s="537"/>
      <c r="WW259" s="537"/>
      <c r="WX259" s="537"/>
      <c r="WY259" s="537"/>
      <c r="WZ259" s="537"/>
      <c r="XA259" s="537"/>
      <c r="XB259" s="537"/>
      <c r="XC259" s="537"/>
      <c r="XD259" s="537"/>
      <c r="XE259" s="537"/>
      <c r="XF259" s="537"/>
      <c r="XG259" s="537"/>
      <c r="XH259" s="537"/>
      <c r="XI259" s="537"/>
      <c r="XJ259" s="537"/>
      <c r="XK259" s="537"/>
      <c r="XL259" s="537"/>
      <c r="XM259" s="537"/>
      <c r="XN259" s="537"/>
      <c r="XO259" s="537"/>
      <c r="XP259" s="537"/>
      <c r="XQ259" s="537"/>
      <c r="XR259" s="537"/>
      <c r="XS259" s="537"/>
      <c r="XT259" s="537"/>
      <c r="XU259" s="537"/>
      <c r="XV259" s="537"/>
      <c r="XW259" s="537"/>
      <c r="XX259" s="537"/>
      <c r="XY259" s="537"/>
      <c r="XZ259" s="537"/>
      <c r="YA259" s="537"/>
      <c r="YB259" s="537"/>
      <c r="YC259" s="537"/>
      <c r="YD259" s="537"/>
      <c r="YE259" s="537"/>
      <c r="YF259" s="537"/>
      <c r="YG259" s="537"/>
      <c r="YH259" s="537"/>
      <c r="YI259" s="537"/>
      <c r="YJ259" s="537"/>
      <c r="YK259" s="537"/>
      <c r="YL259" s="537"/>
      <c r="YM259" s="537"/>
      <c r="YN259" s="537"/>
      <c r="YO259" s="537"/>
      <c r="YP259" s="537"/>
      <c r="YQ259" s="537"/>
      <c r="YR259" s="537"/>
      <c r="YS259" s="537"/>
      <c r="YT259" s="537"/>
      <c r="YU259" s="537"/>
      <c r="YV259" s="537"/>
      <c r="YW259" s="537"/>
      <c r="YX259" s="537"/>
      <c r="YY259" s="537"/>
      <c r="YZ259" s="537"/>
      <c r="ZA259" s="537"/>
      <c r="ZB259" s="537"/>
      <c r="ZC259" s="537"/>
      <c r="ZD259" s="537"/>
      <c r="ZE259" s="537"/>
      <c r="ZF259" s="537"/>
      <c r="ZG259" s="537"/>
      <c r="ZH259" s="537"/>
      <c r="ZI259" s="537"/>
      <c r="ZJ259" s="537"/>
      <c r="ZK259" s="537"/>
      <c r="ZL259" s="537"/>
      <c r="ZM259" s="537"/>
      <c r="ZN259" s="537"/>
      <c r="ZO259" s="537"/>
      <c r="ZP259" s="537"/>
      <c r="ZQ259" s="537"/>
      <c r="ZR259" s="537"/>
      <c r="ZS259" s="537"/>
      <c r="ZT259" s="537"/>
      <c r="ZU259" s="537"/>
      <c r="ZV259" s="537"/>
      <c r="ZW259" s="537"/>
      <c r="ZX259" s="537"/>
      <c r="ZY259" s="537"/>
      <c r="ZZ259" s="537"/>
      <c r="AAA259" s="537"/>
      <c r="AAB259" s="537"/>
      <c r="AAC259" s="537"/>
      <c r="AAD259" s="537"/>
      <c r="AAE259" s="537"/>
      <c r="AAF259" s="537"/>
      <c r="AAG259" s="537"/>
      <c r="AAH259" s="537"/>
      <c r="AAI259" s="537"/>
      <c r="AAJ259" s="537"/>
      <c r="AAK259" s="537"/>
      <c r="AAL259" s="537"/>
      <c r="AAM259" s="537"/>
      <c r="AAN259" s="537"/>
      <c r="AAO259" s="537"/>
      <c r="AAP259" s="537"/>
      <c r="AAQ259" s="537"/>
      <c r="AAR259" s="537"/>
      <c r="AAS259" s="537"/>
      <c r="AAT259" s="537"/>
      <c r="AAU259" s="537"/>
      <c r="AAV259" s="537"/>
      <c r="AAW259" s="537"/>
      <c r="AAX259" s="537"/>
      <c r="AAY259" s="537"/>
      <c r="AAZ259" s="537"/>
      <c r="ABA259" s="537"/>
      <c r="ABB259" s="537"/>
      <c r="ABC259" s="537"/>
      <c r="ABD259" s="537"/>
      <c r="ABE259" s="537"/>
      <c r="ABF259" s="537"/>
      <c r="ABG259" s="537"/>
      <c r="ABH259" s="537"/>
      <c r="ABI259" s="537"/>
      <c r="ABJ259" s="537"/>
      <c r="ABK259" s="537"/>
      <c r="ABL259" s="537"/>
      <c r="ABM259" s="537"/>
      <c r="ABN259" s="537"/>
      <c r="ABO259" s="537"/>
      <c r="ABP259" s="537"/>
      <c r="ABQ259" s="537"/>
      <c r="ABR259" s="537"/>
      <c r="ABS259" s="537"/>
      <c r="ABT259" s="537"/>
      <c r="ABU259" s="537"/>
      <c r="ABV259" s="537"/>
      <c r="ABW259" s="537"/>
      <c r="ABX259" s="537"/>
      <c r="ABY259" s="537"/>
      <c r="ABZ259" s="537"/>
      <c r="ACA259" s="537"/>
      <c r="ACB259" s="537"/>
      <c r="ACC259" s="537"/>
      <c r="ACD259" s="537"/>
      <c r="ACE259" s="537"/>
      <c r="ACF259" s="537"/>
      <c r="ACG259" s="537"/>
      <c r="ACH259" s="537"/>
      <c r="ACI259" s="537"/>
      <c r="ACJ259" s="537"/>
      <c r="ACK259" s="537"/>
      <c r="ACL259" s="537"/>
      <c r="ACM259" s="537"/>
      <c r="ACN259" s="537"/>
      <c r="ACO259" s="537"/>
      <c r="ACP259" s="537"/>
      <c r="ACQ259" s="537"/>
      <c r="ACR259" s="537"/>
      <c r="ACS259" s="537"/>
      <c r="ACT259" s="537"/>
      <c r="ACU259" s="537"/>
      <c r="ACV259" s="537"/>
      <c r="ACW259" s="537"/>
      <c r="ACX259" s="537"/>
      <c r="ACY259" s="537"/>
      <c r="ACZ259" s="537"/>
      <c r="ADA259" s="537"/>
      <c r="ADB259" s="537"/>
      <c r="ADC259" s="537"/>
      <c r="ADD259" s="537"/>
      <c r="ADE259" s="537"/>
      <c r="ADF259" s="537"/>
      <c r="ADG259" s="537"/>
      <c r="ADH259" s="537"/>
      <c r="ADI259" s="537"/>
      <c r="ADJ259" s="537"/>
      <c r="ADK259" s="537"/>
      <c r="ADL259" s="537"/>
      <c r="ADM259" s="537"/>
      <c r="ADN259" s="537"/>
      <c r="ADO259" s="537"/>
      <c r="ADP259" s="537"/>
      <c r="ADQ259" s="537"/>
      <c r="ADR259" s="537"/>
      <c r="ADS259" s="537"/>
      <c r="ADT259" s="537"/>
      <c r="ADU259" s="537"/>
      <c r="ADV259" s="537"/>
      <c r="ADW259" s="537"/>
      <c r="ADX259" s="537"/>
      <c r="ADY259" s="537"/>
      <c r="ADZ259" s="537"/>
      <c r="AEA259" s="537"/>
      <c r="AEB259" s="537"/>
      <c r="AEC259" s="537"/>
      <c r="AED259" s="537"/>
      <c r="AEE259" s="537"/>
      <c r="AEF259" s="537"/>
      <c r="AEG259" s="537"/>
      <c r="AEH259" s="537"/>
      <c r="AEI259" s="537"/>
      <c r="AEJ259" s="537"/>
      <c r="AEK259" s="537"/>
      <c r="AEL259" s="537"/>
      <c r="AEM259" s="537"/>
      <c r="AEN259" s="537"/>
      <c r="AEO259" s="537"/>
      <c r="AEP259" s="537"/>
      <c r="AEQ259" s="537"/>
      <c r="AER259" s="537"/>
      <c r="AES259" s="537"/>
      <c r="AET259" s="537"/>
      <c r="AEU259" s="537"/>
      <c r="AEV259" s="537"/>
      <c r="AEW259" s="537"/>
      <c r="AEX259" s="537"/>
      <c r="AEY259" s="537"/>
      <c r="AEZ259" s="537"/>
      <c r="AFA259" s="537"/>
      <c r="AFB259" s="537"/>
      <c r="AFC259" s="537"/>
      <c r="AFD259" s="537"/>
      <c r="AFE259" s="537"/>
      <c r="AFF259" s="537"/>
      <c r="AFG259" s="537"/>
      <c r="AFH259" s="537"/>
      <c r="AFI259" s="537"/>
      <c r="AFJ259" s="537"/>
      <c r="AFK259" s="537"/>
      <c r="AFL259" s="537"/>
      <c r="AFM259" s="537"/>
      <c r="AFN259" s="537"/>
      <c r="AFO259" s="537"/>
      <c r="AFP259" s="537"/>
      <c r="AFQ259" s="537"/>
      <c r="AFR259" s="537"/>
      <c r="AFS259" s="537"/>
      <c r="AFT259" s="537"/>
      <c r="AFU259" s="537"/>
      <c r="AFV259" s="537"/>
      <c r="AFW259" s="537"/>
      <c r="AFX259" s="537"/>
      <c r="AFY259" s="537"/>
      <c r="AFZ259" s="537"/>
      <c r="AGA259" s="537"/>
      <c r="AGB259" s="537"/>
      <c r="AGC259" s="537"/>
      <c r="AGD259" s="537"/>
      <c r="AGE259" s="537"/>
      <c r="AGF259" s="537"/>
      <c r="AGG259" s="537"/>
      <c r="AGH259" s="537"/>
      <c r="AGI259" s="537"/>
      <c r="AGJ259" s="537"/>
      <c r="AGK259" s="537"/>
      <c r="AGL259" s="537"/>
      <c r="AGM259" s="537"/>
      <c r="AGN259" s="537"/>
      <c r="AGO259" s="537"/>
      <c r="AGP259" s="537"/>
      <c r="AGQ259" s="537"/>
      <c r="AGR259" s="537"/>
      <c r="AGS259" s="537"/>
      <c r="AGT259" s="537"/>
      <c r="AGU259" s="537"/>
      <c r="AGV259" s="537"/>
      <c r="AGW259" s="537"/>
      <c r="AGX259" s="537"/>
      <c r="AGY259" s="537"/>
      <c r="AGZ259" s="537"/>
      <c r="AHA259" s="537"/>
      <c r="AHB259" s="537"/>
      <c r="AHC259" s="537"/>
      <c r="AHD259" s="537"/>
      <c r="AHE259" s="537"/>
      <c r="AHF259" s="537"/>
      <c r="AHG259" s="537"/>
      <c r="AHH259" s="537"/>
      <c r="AHI259" s="537"/>
      <c r="AHJ259" s="537"/>
      <c r="AHK259" s="537"/>
      <c r="AHL259" s="537"/>
      <c r="AHM259" s="537"/>
      <c r="AHN259" s="537"/>
      <c r="AHO259" s="537"/>
      <c r="AHP259" s="537"/>
      <c r="AHQ259" s="537"/>
      <c r="AHR259" s="537"/>
      <c r="AHS259" s="537"/>
      <c r="AHT259" s="537"/>
      <c r="AHU259" s="537"/>
      <c r="AHV259" s="537"/>
      <c r="AHW259" s="537"/>
      <c r="AHX259" s="537"/>
      <c r="AHY259" s="537"/>
      <c r="AHZ259" s="537"/>
      <c r="AIA259" s="537"/>
      <c r="AIB259" s="537"/>
      <c r="AIC259" s="537"/>
      <c r="AID259" s="537"/>
      <c r="AIE259" s="537"/>
      <c r="AIF259" s="537"/>
      <c r="AIG259" s="537"/>
      <c r="AIH259" s="537"/>
      <c r="AII259" s="537"/>
      <c r="AIJ259" s="537"/>
      <c r="AIK259" s="537"/>
      <c r="AIL259" s="537"/>
      <c r="AIM259" s="537"/>
      <c r="AIN259" s="537"/>
      <c r="AIO259" s="537"/>
      <c r="AIP259" s="537"/>
      <c r="AIQ259" s="537"/>
      <c r="AIR259" s="537"/>
      <c r="AIS259" s="537"/>
      <c r="AIT259" s="537"/>
      <c r="AIU259" s="537"/>
      <c r="AIV259" s="537"/>
      <c r="AIW259" s="537"/>
      <c r="AIX259" s="537"/>
      <c r="AIY259" s="537"/>
      <c r="AIZ259" s="537"/>
      <c r="AJA259" s="537"/>
      <c r="AJB259" s="537"/>
      <c r="AJC259" s="537"/>
      <c r="AJD259" s="537"/>
      <c r="AJE259" s="537"/>
      <c r="AJF259" s="537"/>
      <c r="AJG259" s="537"/>
      <c r="AJH259" s="537"/>
      <c r="AJI259" s="537"/>
      <c r="AJJ259" s="537"/>
      <c r="AJK259" s="537"/>
      <c r="AJL259" s="537"/>
      <c r="AJM259" s="537"/>
      <c r="AJN259" s="537"/>
      <c r="AJO259" s="537"/>
      <c r="AJP259" s="537"/>
      <c r="AJQ259" s="537"/>
      <c r="AJR259" s="537"/>
      <c r="AJS259" s="537"/>
      <c r="AJT259" s="537"/>
      <c r="AJU259" s="537"/>
      <c r="AJV259" s="537"/>
      <c r="AJW259" s="537"/>
      <c r="AJX259" s="537"/>
      <c r="AJY259" s="537"/>
      <c r="AJZ259" s="537"/>
      <c r="AKA259" s="537"/>
      <c r="AKB259" s="537"/>
      <c r="AKC259" s="537"/>
      <c r="AKD259" s="537"/>
      <c r="AKE259" s="537"/>
      <c r="AKF259" s="537"/>
      <c r="AKG259" s="537"/>
      <c r="AKH259" s="537"/>
      <c r="AKI259" s="537"/>
      <c r="AKJ259" s="537"/>
      <c r="AKK259" s="537"/>
      <c r="AKL259" s="537"/>
      <c r="AKM259" s="537"/>
      <c r="AKN259" s="537"/>
      <c r="AKO259" s="537"/>
      <c r="AKP259" s="537"/>
      <c r="AKQ259" s="537"/>
      <c r="AKR259" s="537"/>
      <c r="AKS259" s="537"/>
      <c r="AKT259" s="537"/>
      <c r="AKU259" s="537"/>
      <c r="AKV259" s="537"/>
      <c r="AKW259" s="537"/>
      <c r="AKX259" s="537"/>
      <c r="AKY259" s="537"/>
      <c r="AKZ259" s="537"/>
      <c r="ALA259" s="537"/>
      <c r="ALB259" s="537"/>
      <c r="ALC259" s="537"/>
      <c r="ALD259" s="537"/>
      <c r="ALE259" s="537"/>
      <c r="ALF259" s="537"/>
      <c r="ALG259" s="537"/>
      <c r="ALH259" s="537"/>
      <c r="ALI259" s="537"/>
      <c r="ALJ259" s="537"/>
      <c r="ALK259" s="537"/>
      <c r="ALL259" s="537"/>
      <c r="ALM259" s="537"/>
      <c r="ALN259" s="537"/>
      <c r="ALO259" s="537"/>
      <c r="ALP259" s="537"/>
      <c r="ALQ259" s="537"/>
      <c r="ALR259" s="537"/>
      <c r="ALS259" s="537"/>
      <c r="ALT259" s="537"/>
      <c r="ALU259" s="537"/>
      <c r="ALV259" s="537"/>
      <c r="ALW259" s="537"/>
      <c r="ALX259" s="537"/>
      <c r="ALY259" s="537"/>
      <c r="ALZ259" s="537"/>
      <c r="AMA259" s="537"/>
      <c r="AMB259" s="537"/>
      <c r="AMC259" s="537"/>
      <c r="AMD259" s="537"/>
      <c r="AME259" s="537"/>
      <c r="AMF259" s="537"/>
      <c r="AMG259" s="537"/>
      <c r="AMH259" s="537"/>
      <c r="AMI259" s="537"/>
      <c r="AMJ259" s="537"/>
      <c r="AMK259" s="537"/>
      <c r="AML259" s="537"/>
      <c r="AMM259" s="537"/>
      <c r="AMN259" s="537"/>
      <c r="AMO259" s="537"/>
      <c r="AMP259" s="537"/>
      <c r="AMQ259" s="537"/>
      <c r="AMR259" s="537"/>
      <c r="AMS259" s="537"/>
      <c r="AMT259" s="537"/>
      <c r="AMU259" s="537"/>
      <c r="AMV259" s="537"/>
      <c r="AMW259" s="537"/>
      <c r="AMX259" s="537"/>
      <c r="AMY259" s="537"/>
      <c r="AMZ259" s="537"/>
      <c r="ANA259" s="537"/>
      <c r="ANB259" s="537"/>
      <c r="ANC259" s="537"/>
      <c r="AND259" s="537"/>
      <c r="ANE259" s="537"/>
      <c r="ANF259" s="537"/>
      <c r="ANG259" s="537"/>
      <c r="ANH259" s="537"/>
      <c r="ANI259" s="537"/>
      <c r="ANJ259" s="537"/>
      <c r="ANK259" s="537"/>
      <c r="ANL259" s="537"/>
      <c r="ANM259" s="537"/>
      <c r="ANN259" s="537"/>
      <c r="ANO259" s="537"/>
      <c r="ANP259" s="537"/>
      <c r="ANQ259" s="537"/>
      <c r="ANR259" s="537"/>
      <c r="ANS259" s="537"/>
      <c r="ANT259" s="537"/>
      <c r="ANU259" s="537"/>
      <c r="ANV259" s="537"/>
      <c r="ANW259" s="537"/>
      <c r="ANX259" s="537"/>
      <c r="ANY259" s="537"/>
      <c r="ANZ259" s="537"/>
      <c r="AOA259" s="537"/>
      <c r="AOB259" s="537"/>
      <c r="AOC259" s="537"/>
      <c r="AOD259" s="537"/>
      <c r="AOE259" s="537"/>
      <c r="AOF259" s="537"/>
      <c r="AOG259" s="537"/>
      <c r="AOH259" s="537"/>
      <c r="AOI259" s="537"/>
      <c r="AOJ259" s="537"/>
      <c r="AOK259" s="537"/>
      <c r="AOL259" s="537"/>
      <c r="AOM259" s="537"/>
      <c r="AON259" s="537"/>
      <c r="AOO259" s="537"/>
      <c r="AOP259" s="537"/>
      <c r="AOQ259" s="537"/>
      <c r="AOR259" s="537"/>
      <c r="AOS259" s="537"/>
      <c r="AOT259" s="537"/>
      <c r="AOU259" s="537"/>
      <c r="AOV259" s="537"/>
      <c r="AOW259" s="537"/>
      <c r="AOX259" s="537"/>
      <c r="AOY259" s="537"/>
      <c r="AOZ259" s="537"/>
      <c r="APA259" s="537"/>
      <c r="APB259" s="537"/>
      <c r="APC259" s="537"/>
      <c r="APD259" s="537"/>
      <c r="APE259" s="537"/>
      <c r="APF259" s="537"/>
      <c r="APG259" s="537"/>
      <c r="APH259" s="537"/>
      <c r="API259" s="537"/>
      <c r="APJ259" s="537"/>
      <c r="APK259" s="537"/>
      <c r="APL259" s="537"/>
      <c r="APM259" s="537"/>
      <c r="APN259" s="537"/>
      <c r="APO259" s="537"/>
      <c r="APP259" s="537"/>
      <c r="APQ259" s="537"/>
      <c r="APR259" s="537"/>
      <c r="APS259" s="537"/>
      <c r="APT259" s="537"/>
      <c r="APU259" s="537"/>
      <c r="APV259" s="537"/>
      <c r="APW259" s="537"/>
      <c r="APX259" s="537"/>
      <c r="APY259" s="537"/>
      <c r="APZ259" s="537"/>
      <c r="AQA259" s="537"/>
      <c r="AQB259" s="537"/>
      <c r="AQC259" s="537"/>
      <c r="AQD259" s="537"/>
      <c r="AQE259" s="537"/>
      <c r="AQF259" s="537"/>
      <c r="AQG259" s="537"/>
      <c r="AQH259" s="537"/>
      <c r="AQI259" s="537"/>
      <c r="AQJ259" s="537"/>
      <c r="AQK259" s="537"/>
      <c r="AQL259" s="537"/>
      <c r="AQM259" s="537"/>
      <c r="AQN259" s="537"/>
      <c r="AQO259" s="537"/>
      <c r="AQP259" s="537"/>
      <c r="AQQ259" s="537"/>
      <c r="AQR259" s="537"/>
      <c r="AQS259" s="537"/>
      <c r="AQT259" s="537"/>
      <c r="AQU259" s="537"/>
      <c r="AQV259" s="537"/>
      <c r="AQW259" s="537"/>
      <c r="AQX259" s="537"/>
      <c r="AQY259" s="537"/>
      <c r="AQZ259" s="537"/>
      <c r="ARA259" s="537"/>
      <c r="ARB259" s="537"/>
      <c r="ARC259" s="537"/>
      <c r="ARD259" s="537"/>
      <c r="ARE259" s="537"/>
      <c r="ARF259" s="537"/>
      <c r="ARG259" s="537"/>
      <c r="ARH259" s="537"/>
      <c r="ARI259" s="537"/>
      <c r="ARJ259" s="537"/>
      <c r="ARK259" s="537"/>
      <c r="ARL259" s="537"/>
      <c r="ARM259" s="537"/>
      <c r="ARN259" s="537"/>
      <c r="ARO259" s="537"/>
      <c r="ARP259" s="537"/>
      <c r="ARQ259" s="537"/>
      <c r="ARR259" s="537"/>
      <c r="ARS259" s="537"/>
      <c r="ART259" s="537"/>
      <c r="ARU259" s="537"/>
      <c r="ARV259" s="537"/>
      <c r="ARW259" s="537"/>
      <c r="ARX259" s="537"/>
      <c r="ARY259" s="537"/>
      <c r="ARZ259" s="537"/>
      <c r="ASA259" s="537"/>
      <c r="ASB259" s="537"/>
      <c r="ASC259" s="537"/>
      <c r="ASD259" s="537"/>
      <c r="ASE259" s="537"/>
      <c r="ASF259" s="537"/>
      <c r="ASG259" s="537"/>
      <c r="ASH259" s="537"/>
      <c r="ASI259" s="537"/>
      <c r="ASJ259" s="537"/>
      <c r="ASK259" s="537"/>
      <c r="ASL259" s="537"/>
      <c r="ASM259" s="537"/>
      <c r="ASN259" s="537"/>
      <c r="ASO259" s="537"/>
      <c r="ASP259" s="537"/>
      <c r="ASQ259" s="537"/>
      <c r="ASR259" s="537"/>
      <c r="ASS259" s="537"/>
      <c r="AST259" s="537"/>
      <c r="ASU259" s="537"/>
      <c r="ASV259" s="537"/>
      <c r="ASW259" s="537"/>
      <c r="ASX259" s="537"/>
      <c r="ASY259" s="537"/>
      <c r="ASZ259" s="537"/>
      <c r="ATA259" s="537"/>
      <c r="ATB259" s="537"/>
      <c r="ATC259" s="537"/>
      <c r="ATD259" s="537"/>
      <c r="ATE259" s="537"/>
      <c r="ATF259" s="537"/>
      <c r="ATG259" s="537"/>
      <c r="ATH259" s="537"/>
      <c r="ATI259" s="537"/>
      <c r="ATJ259" s="537"/>
      <c r="ATK259" s="537"/>
      <c r="ATL259" s="537"/>
      <c r="ATM259" s="537"/>
      <c r="ATN259" s="537"/>
      <c r="ATO259" s="537"/>
      <c r="ATP259" s="537"/>
      <c r="ATQ259" s="537"/>
      <c r="ATR259" s="537"/>
      <c r="ATS259" s="537"/>
      <c r="ATT259" s="537"/>
      <c r="ATU259" s="537"/>
      <c r="ATV259" s="537"/>
      <c r="ATW259" s="537"/>
      <c r="ATX259" s="537"/>
      <c r="ATY259" s="537"/>
      <c r="ATZ259" s="537"/>
      <c r="AUA259" s="537"/>
      <c r="AUB259" s="537"/>
      <c r="AUC259" s="537"/>
      <c r="AUD259" s="537"/>
      <c r="AUE259" s="537"/>
      <c r="AUF259" s="537"/>
      <c r="AUG259" s="537"/>
      <c r="AUH259" s="537"/>
      <c r="AUI259" s="537"/>
      <c r="AUJ259" s="537"/>
      <c r="AUK259" s="537"/>
      <c r="AUL259" s="537"/>
      <c r="AUM259" s="537"/>
      <c r="AUN259" s="537"/>
      <c r="AUO259" s="537"/>
      <c r="AUP259" s="537"/>
      <c r="AUQ259" s="537"/>
      <c r="AUR259" s="537"/>
      <c r="AUS259" s="537"/>
      <c r="AUT259" s="537"/>
      <c r="AUU259" s="537"/>
      <c r="AUV259" s="537"/>
      <c r="AUW259" s="537"/>
      <c r="AUX259" s="537"/>
      <c r="AUY259" s="537"/>
      <c r="AUZ259" s="537"/>
      <c r="AVA259" s="537"/>
      <c r="AVB259" s="537"/>
      <c r="AVC259" s="537"/>
      <c r="AVD259" s="537"/>
      <c r="AVE259" s="537"/>
      <c r="AVF259" s="537"/>
      <c r="AVG259" s="537"/>
      <c r="AVH259" s="537"/>
      <c r="AVI259" s="537"/>
      <c r="AVJ259" s="537"/>
      <c r="AVK259" s="537"/>
      <c r="AVL259" s="537"/>
      <c r="AVM259" s="537"/>
      <c r="AVN259" s="537"/>
      <c r="AVO259" s="537"/>
      <c r="AVP259" s="537"/>
      <c r="AVQ259" s="537"/>
      <c r="AVR259" s="537"/>
      <c r="AVS259" s="537"/>
      <c r="AVT259" s="537"/>
      <c r="AVU259" s="537"/>
      <c r="AVV259" s="537"/>
      <c r="AVW259" s="537"/>
      <c r="AVX259" s="537"/>
      <c r="AVY259" s="537"/>
      <c r="AVZ259" s="537"/>
      <c r="AWA259" s="537"/>
      <c r="AWB259" s="537"/>
      <c r="AWC259" s="537"/>
      <c r="AWD259" s="537"/>
      <c r="AWE259" s="537"/>
      <c r="AWF259" s="537"/>
      <c r="AWG259" s="537"/>
      <c r="AWH259" s="537"/>
      <c r="AWI259" s="537"/>
      <c r="AWJ259" s="537"/>
      <c r="AWK259" s="537"/>
      <c r="AWL259" s="537"/>
      <c r="AWM259" s="537"/>
      <c r="AWN259" s="537"/>
      <c r="AWO259" s="537"/>
      <c r="AWP259" s="537"/>
      <c r="AWQ259" s="537"/>
      <c r="AWR259" s="537"/>
      <c r="AWS259" s="537"/>
      <c r="AWT259" s="537"/>
      <c r="AWU259" s="537"/>
      <c r="AWV259" s="537"/>
      <c r="AWW259" s="537"/>
      <c r="AWX259" s="537"/>
      <c r="AWY259" s="537"/>
      <c r="AWZ259" s="537"/>
      <c r="AXA259" s="537"/>
      <c r="AXB259" s="537"/>
      <c r="AXC259" s="537"/>
      <c r="AXD259" s="537"/>
      <c r="AXE259" s="537"/>
      <c r="AXF259" s="537"/>
      <c r="AXG259" s="537"/>
      <c r="AXH259" s="537"/>
      <c r="AXI259" s="537"/>
      <c r="AXJ259" s="537"/>
      <c r="AXK259" s="537"/>
      <c r="AXL259" s="537"/>
      <c r="AXM259" s="537"/>
      <c r="AXN259" s="537"/>
      <c r="AXO259" s="537"/>
      <c r="AXP259" s="537"/>
      <c r="AXQ259" s="537"/>
      <c r="AXR259" s="537"/>
      <c r="AXS259" s="537"/>
      <c r="AXT259" s="537"/>
      <c r="AXU259" s="537"/>
      <c r="AXV259" s="537"/>
      <c r="AXW259" s="537"/>
      <c r="AXX259" s="537"/>
      <c r="AXY259" s="537"/>
      <c r="AXZ259" s="537"/>
      <c r="AYA259" s="537"/>
      <c r="AYB259" s="537"/>
      <c r="AYC259" s="537"/>
      <c r="AYD259" s="537"/>
      <c r="AYE259" s="537"/>
      <c r="AYF259" s="537"/>
      <c r="AYG259" s="537"/>
      <c r="AYH259" s="537"/>
      <c r="AYI259" s="537"/>
      <c r="AYJ259" s="537"/>
      <c r="AYK259" s="537"/>
      <c r="AYL259" s="537"/>
      <c r="AYM259" s="537"/>
      <c r="AYN259" s="537"/>
      <c r="AYO259" s="537"/>
      <c r="AYP259" s="537"/>
      <c r="AYQ259" s="537"/>
      <c r="AYR259" s="537"/>
      <c r="AYS259" s="537"/>
      <c r="AYT259" s="537"/>
      <c r="AYU259" s="537"/>
      <c r="AYV259" s="537"/>
      <c r="AYW259" s="537"/>
      <c r="AYX259" s="537"/>
      <c r="AYY259" s="537"/>
      <c r="AYZ259" s="537"/>
      <c r="AZA259" s="537"/>
      <c r="AZB259" s="537"/>
      <c r="AZC259" s="537"/>
      <c r="AZD259" s="537"/>
      <c r="AZE259" s="537"/>
      <c r="AZF259" s="537"/>
      <c r="AZG259" s="537"/>
      <c r="AZH259" s="537"/>
      <c r="AZI259" s="537"/>
      <c r="AZJ259" s="537"/>
      <c r="AZK259" s="537"/>
      <c r="AZL259" s="537"/>
      <c r="AZM259" s="537"/>
      <c r="AZN259" s="537"/>
      <c r="AZO259" s="537"/>
      <c r="AZP259" s="537"/>
      <c r="AZQ259" s="537"/>
      <c r="AZR259" s="537"/>
      <c r="AZS259" s="537"/>
      <c r="AZT259" s="537"/>
      <c r="AZU259" s="537"/>
      <c r="AZV259" s="537"/>
      <c r="AZW259" s="537"/>
      <c r="AZX259" s="537"/>
      <c r="AZY259" s="537"/>
      <c r="AZZ259" s="537"/>
      <c r="BAA259" s="537"/>
      <c r="BAB259" s="537"/>
      <c r="BAC259" s="537"/>
      <c r="BAD259" s="537"/>
      <c r="BAE259" s="537"/>
      <c r="BAF259" s="537"/>
      <c r="BAG259" s="537"/>
      <c r="BAH259" s="537"/>
      <c r="BAI259" s="537"/>
      <c r="BAJ259" s="537"/>
      <c r="BAK259" s="537"/>
      <c r="BAL259" s="537"/>
      <c r="BAM259" s="537"/>
      <c r="BAN259" s="537"/>
      <c r="BAO259" s="537"/>
      <c r="BAP259" s="537"/>
      <c r="BAQ259" s="537"/>
      <c r="BAR259" s="537"/>
      <c r="BAS259" s="537"/>
      <c r="BAT259" s="537"/>
      <c r="BAU259" s="537"/>
      <c r="BAV259" s="537"/>
      <c r="BAW259" s="537"/>
      <c r="BAX259" s="537"/>
      <c r="BAY259" s="537"/>
      <c r="BAZ259" s="537"/>
      <c r="BBA259" s="537"/>
      <c r="BBB259" s="537"/>
      <c r="BBC259" s="537"/>
      <c r="BBD259" s="537"/>
      <c r="BBE259" s="537"/>
      <c r="BBF259" s="537"/>
      <c r="BBG259" s="537"/>
      <c r="BBH259" s="537"/>
      <c r="BBI259" s="537"/>
      <c r="BBJ259" s="537"/>
      <c r="BBK259" s="537"/>
      <c r="BBL259" s="537"/>
      <c r="BBM259" s="537"/>
      <c r="BBN259" s="537"/>
      <c r="BBO259" s="537"/>
      <c r="BBP259" s="537"/>
      <c r="BBQ259" s="537"/>
      <c r="BBR259" s="537"/>
      <c r="BBS259" s="537"/>
      <c r="BBT259" s="537"/>
      <c r="BBU259" s="537"/>
      <c r="BBV259" s="537"/>
      <c r="BBW259" s="537"/>
      <c r="BBX259" s="537"/>
      <c r="BBY259" s="537"/>
      <c r="BBZ259" s="537"/>
      <c r="BCA259" s="537"/>
      <c r="BCB259" s="537"/>
      <c r="BCC259" s="537"/>
      <c r="BCD259" s="537"/>
      <c r="BCE259" s="537"/>
      <c r="BCF259" s="537"/>
      <c r="BCG259" s="537"/>
      <c r="BCH259" s="537"/>
      <c r="BCI259" s="537"/>
      <c r="BCJ259" s="537"/>
      <c r="BCK259" s="537"/>
      <c r="BCL259" s="537"/>
      <c r="BCM259" s="537"/>
      <c r="BCN259" s="537"/>
      <c r="BCO259" s="537"/>
      <c r="BCP259" s="537"/>
      <c r="BCQ259" s="537"/>
      <c r="BCR259" s="537"/>
      <c r="BCS259" s="537"/>
      <c r="BCT259" s="537"/>
      <c r="BCU259" s="537"/>
      <c r="BCV259" s="537"/>
      <c r="BCW259" s="537"/>
      <c r="BCX259" s="537"/>
      <c r="BCY259" s="537"/>
      <c r="BCZ259" s="537"/>
      <c r="BDA259" s="537"/>
      <c r="BDB259" s="537"/>
      <c r="BDC259" s="537"/>
      <c r="BDD259" s="537"/>
      <c r="BDE259" s="537"/>
      <c r="BDF259" s="537"/>
      <c r="BDG259" s="537"/>
      <c r="BDH259" s="537"/>
      <c r="BDI259" s="537"/>
      <c r="BDJ259" s="537"/>
      <c r="BDK259" s="537"/>
      <c r="BDL259" s="537"/>
      <c r="BDM259" s="537"/>
      <c r="BDN259" s="537"/>
      <c r="BDO259" s="537"/>
      <c r="BDP259" s="537"/>
      <c r="BDQ259" s="537"/>
      <c r="BDR259" s="537"/>
      <c r="BDS259" s="537"/>
      <c r="BDT259" s="537"/>
      <c r="BDU259" s="537"/>
      <c r="BDV259" s="537"/>
      <c r="BDW259" s="537"/>
      <c r="BDX259" s="537"/>
      <c r="BDY259" s="537"/>
      <c r="BDZ259" s="537"/>
      <c r="BEA259" s="537"/>
      <c r="BEB259" s="537"/>
      <c r="BEC259" s="537"/>
      <c r="BED259" s="537"/>
      <c r="BEE259" s="537"/>
      <c r="BEF259" s="537"/>
      <c r="BEG259" s="537"/>
      <c r="BEH259" s="537"/>
      <c r="BEI259" s="537"/>
      <c r="BEJ259" s="537"/>
      <c r="BEK259" s="537"/>
      <c r="BEL259" s="537"/>
      <c r="BEM259" s="537"/>
      <c r="BEN259" s="537"/>
      <c r="BEO259" s="537"/>
      <c r="BEP259" s="537"/>
      <c r="BEQ259" s="537"/>
      <c r="BER259" s="537"/>
      <c r="BES259" s="537"/>
      <c r="BET259" s="537"/>
      <c r="BEU259" s="537"/>
      <c r="BEV259" s="537"/>
      <c r="BEW259" s="537"/>
      <c r="BEX259" s="537"/>
      <c r="BEY259" s="537"/>
      <c r="BEZ259" s="537"/>
      <c r="BFA259" s="537"/>
      <c r="BFB259" s="537"/>
      <c r="BFC259" s="537"/>
      <c r="BFD259" s="537"/>
      <c r="BFE259" s="537"/>
      <c r="BFF259" s="537"/>
      <c r="BFG259" s="537"/>
      <c r="BFH259" s="537"/>
      <c r="BFI259" s="537"/>
      <c r="BFJ259" s="537"/>
      <c r="BFK259" s="537"/>
      <c r="BFL259" s="537"/>
      <c r="BFM259" s="537"/>
      <c r="BFN259" s="537"/>
      <c r="BFO259" s="537"/>
      <c r="BFP259" s="537"/>
      <c r="BFQ259" s="537"/>
      <c r="BFR259" s="537"/>
      <c r="BFS259" s="537"/>
      <c r="BFT259" s="537"/>
      <c r="BFU259" s="537"/>
      <c r="BFV259" s="537"/>
      <c r="BFW259" s="537"/>
      <c r="BFX259" s="537"/>
      <c r="BFY259" s="537"/>
      <c r="BFZ259" s="537"/>
      <c r="BGA259" s="537"/>
      <c r="BGB259" s="537"/>
      <c r="BGC259" s="537"/>
      <c r="BGD259" s="537"/>
      <c r="BGE259" s="537"/>
      <c r="BGF259" s="537"/>
      <c r="BGG259" s="537"/>
      <c r="BGH259" s="537"/>
      <c r="BGI259" s="537"/>
      <c r="BGJ259" s="537"/>
      <c r="BGK259" s="537"/>
      <c r="BGL259" s="537"/>
      <c r="BGM259" s="537"/>
      <c r="BGN259" s="537"/>
      <c r="BGO259" s="537"/>
      <c r="BGP259" s="537"/>
      <c r="BGQ259" s="537"/>
      <c r="BGR259" s="537"/>
      <c r="BGS259" s="537"/>
      <c r="BGT259" s="537"/>
      <c r="BGU259" s="537"/>
      <c r="BGV259" s="537"/>
      <c r="BGW259" s="537"/>
      <c r="BGX259" s="537"/>
      <c r="BGY259" s="537"/>
      <c r="BGZ259" s="537"/>
      <c r="BHA259" s="537"/>
      <c r="BHB259" s="537"/>
      <c r="BHC259" s="537"/>
      <c r="BHD259" s="537"/>
      <c r="BHE259" s="537"/>
      <c r="BHF259" s="537"/>
      <c r="BHG259" s="537"/>
      <c r="BHH259" s="537"/>
      <c r="BHI259" s="537"/>
      <c r="BHJ259" s="537"/>
      <c r="BHK259" s="537"/>
      <c r="BHL259" s="537"/>
      <c r="BHM259" s="537"/>
      <c r="BHN259" s="537"/>
      <c r="BHO259" s="537"/>
      <c r="BHP259" s="537"/>
      <c r="BHQ259" s="537"/>
      <c r="BHR259" s="537"/>
      <c r="BHS259" s="537"/>
      <c r="BHT259" s="537"/>
      <c r="BHU259" s="537"/>
      <c r="BHV259" s="537"/>
      <c r="BHW259" s="537"/>
      <c r="BHX259" s="537"/>
      <c r="BHY259" s="537"/>
      <c r="BHZ259" s="537"/>
      <c r="BIA259" s="537"/>
      <c r="BIB259" s="537"/>
      <c r="BIC259" s="537"/>
      <c r="BID259" s="537"/>
      <c r="BIE259" s="537"/>
      <c r="BIF259" s="537"/>
      <c r="BIG259" s="537"/>
      <c r="BIH259" s="537"/>
      <c r="BII259" s="537"/>
      <c r="BIJ259" s="537"/>
      <c r="BIK259" s="537"/>
      <c r="BIL259" s="537"/>
      <c r="BIM259" s="537"/>
      <c r="BIN259" s="537"/>
      <c r="BIO259" s="537"/>
      <c r="BIP259" s="537"/>
      <c r="BIQ259" s="537"/>
      <c r="BIR259" s="537"/>
      <c r="BIS259" s="537"/>
      <c r="BIT259" s="537"/>
      <c r="BIU259" s="537"/>
      <c r="BIV259" s="537"/>
      <c r="BIW259" s="537"/>
      <c r="BIX259" s="537"/>
      <c r="BIY259" s="537"/>
      <c r="BIZ259" s="537"/>
      <c r="BJA259" s="537"/>
      <c r="BJB259" s="537"/>
      <c r="BJC259" s="537"/>
      <c r="BJD259" s="537"/>
      <c r="BJE259" s="537"/>
      <c r="BJF259" s="537"/>
      <c r="BJG259" s="537"/>
      <c r="BJH259" s="537"/>
      <c r="BJI259" s="537"/>
      <c r="BJJ259" s="537"/>
      <c r="BJK259" s="537"/>
      <c r="BJL259" s="537"/>
      <c r="BJM259" s="537"/>
      <c r="BJN259" s="537"/>
      <c r="BJO259" s="537"/>
      <c r="BJP259" s="537"/>
      <c r="BJQ259" s="537"/>
      <c r="BJR259" s="537"/>
      <c r="BJS259" s="537"/>
      <c r="BJT259" s="537"/>
      <c r="BJU259" s="537"/>
      <c r="BJV259" s="537"/>
      <c r="BJW259" s="537"/>
      <c r="BJX259" s="537"/>
      <c r="BJY259" s="537"/>
      <c r="BJZ259" s="537"/>
      <c r="BKA259" s="537"/>
      <c r="BKB259" s="537"/>
      <c r="BKC259" s="537"/>
      <c r="BKD259" s="537"/>
      <c r="BKE259" s="537"/>
      <c r="BKF259" s="537"/>
      <c r="BKG259" s="537"/>
      <c r="BKH259" s="537"/>
      <c r="BKI259" s="537"/>
      <c r="BKJ259" s="537"/>
      <c r="BKK259" s="537"/>
      <c r="BKL259" s="537"/>
      <c r="BKM259" s="537"/>
      <c r="BKN259" s="537"/>
      <c r="BKO259" s="537"/>
      <c r="BKP259" s="537"/>
      <c r="BKQ259" s="537"/>
      <c r="BKR259" s="537"/>
      <c r="BKS259" s="537"/>
      <c r="BKT259" s="537"/>
      <c r="BKU259" s="537"/>
      <c r="BKV259" s="537"/>
      <c r="BKW259" s="537"/>
      <c r="BKX259" s="537"/>
      <c r="BKY259" s="537"/>
      <c r="BKZ259" s="537"/>
      <c r="BLA259" s="537"/>
      <c r="BLB259" s="537"/>
      <c r="BLC259" s="537"/>
      <c r="BLD259" s="537"/>
      <c r="BLE259" s="537"/>
      <c r="BLF259" s="537"/>
      <c r="BLG259" s="537"/>
      <c r="BLH259" s="537"/>
      <c r="BLI259" s="537"/>
      <c r="BLJ259" s="537"/>
      <c r="BLK259" s="537"/>
      <c r="BLL259" s="537"/>
      <c r="BLM259" s="537"/>
      <c r="BLN259" s="537"/>
      <c r="BLO259" s="537"/>
      <c r="BLP259" s="537"/>
      <c r="BLQ259" s="537"/>
      <c r="BLR259" s="537"/>
      <c r="BLS259" s="537"/>
      <c r="BLT259" s="537"/>
      <c r="BLU259" s="537"/>
      <c r="BLV259" s="537"/>
      <c r="BLW259" s="537"/>
      <c r="BLX259" s="537"/>
      <c r="BLY259" s="537"/>
      <c r="BLZ259" s="537"/>
      <c r="BMA259" s="537"/>
      <c r="BMB259" s="537"/>
      <c r="BMC259" s="537"/>
      <c r="BMD259" s="537"/>
      <c r="BME259" s="537"/>
      <c r="BMF259" s="537"/>
      <c r="BMG259" s="537"/>
      <c r="BMH259" s="537"/>
      <c r="BMI259" s="537"/>
      <c r="BMJ259" s="537"/>
      <c r="BMK259" s="537"/>
      <c r="BML259" s="537"/>
      <c r="BMM259" s="537"/>
      <c r="BMN259" s="537"/>
      <c r="BMO259" s="537"/>
      <c r="BMP259" s="537"/>
      <c r="BMQ259" s="537"/>
      <c r="BMR259" s="537"/>
      <c r="BMS259" s="537"/>
      <c r="BMT259" s="537"/>
      <c r="BMU259" s="537"/>
      <c r="BMV259" s="537"/>
      <c r="BMW259" s="537"/>
      <c r="BMX259" s="537"/>
      <c r="BMY259" s="537"/>
      <c r="BMZ259" s="537"/>
      <c r="BNA259" s="537"/>
      <c r="BNB259" s="537"/>
      <c r="BNC259" s="537"/>
      <c r="BND259" s="537"/>
      <c r="BNE259" s="537"/>
      <c r="BNF259" s="537"/>
      <c r="BNG259" s="537"/>
      <c r="BNH259" s="537"/>
      <c r="BNI259" s="537"/>
      <c r="BNJ259" s="537"/>
      <c r="BNK259" s="537"/>
      <c r="BNL259" s="537"/>
      <c r="BNM259" s="537"/>
      <c r="BNN259" s="537"/>
      <c r="BNO259" s="537"/>
      <c r="BNP259" s="537"/>
      <c r="BNQ259" s="537"/>
      <c r="BNR259" s="537"/>
      <c r="BNS259" s="537"/>
      <c r="BNT259" s="537"/>
      <c r="BNU259" s="537"/>
      <c r="BNV259" s="537"/>
      <c r="BNW259" s="537"/>
      <c r="BNX259" s="537"/>
      <c r="BNY259" s="537"/>
      <c r="BNZ259" s="537"/>
      <c r="BOA259" s="537"/>
      <c r="BOB259" s="537"/>
      <c r="BOC259" s="537"/>
      <c r="BOD259" s="537"/>
      <c r="BOE259" s="537"/>
      <c r="BOF259" s="537"/>
      <c r="BOG259" s="537"/>
      <c r="BOH259" s="537"/>
      <c r="BOI259" s="537"/>
      <c r="BOJ259" s="537"/>
      <c r="BOK259" s="537"/>
      <c r="BOL259" s="537"/>
      <c r="BOM259" s="537"/>
      <c r="BON259" s="537"/>
      <c r="BOO259" s="537"/>
      <c r="BOP259" s="537"/>
      <c r="BOQ259" s="537"/>
      <c r="BOR259" s="537"/>
      <c r="BOS259" s="537"/>
      <c r="BOT259" s="537"/>
      <c r="BOU259" s="537"/>
      <c r="BOV259" s="537"/>
      <c r="BOW259" s="537"/>
      <c r="BOX259" s="537"/>
      <c r="BOY259" s="537"/>
      <c r="BOZ259" s="537"/>
      <c r="BPA259" s="537"/>
      <c r="BPB259" s="537"/>
      <c r="BPC259" s="537"/>
      <c r="BPD259" s="537"/>
      <c r="BPE259" s="537"/>
      <c r="BPF259" s="537"/>
      <c r="BPG259" s="537"/>
      <c r="BPH259" s="537"/>
      <c r="BPI259" s="537"/>
      <c r="BPJ259" s="537"/>
      <c r="BPK259" s="537"/>
      <c r="BPL259" s="537"/>
      <c r="BPM259" s="537"/>
      <c r="BPN259" s="537"/>
      <c r="BPO259" s="537"/>
      <c r="BPP259" s="537"/>
      <c r="BPQ259" s="537"/>
      <c r="BPR259" s="537"/>
      <c r="BPS259" s="537"/>
      <c r="BPT259" s="537"/>
      <c r="BPU259" s="537"/>
      <c r="BPV259" s="537"/>
      <c r="BPW259" s="537"/>
      <c r="BPX259" s="537"/>
      <c r="BPY259" s="537"/>
      <c r="BPZ259" s="537"/>
      <c r="BQA259" s="537"/>
      <c r="BQB259" s="537"/>
      <c r="BQC259" s="537"/>
      <c r="BQD259" s="537"/>
      <c r="BQE259" s="537"/>
      <c r="BQF259" s="537"/>
      <c r="BQG259" s="537"/>
      <c r="BQH259" s="537"/>
      <c r="BQI259" s="537"/>
      <c r="BQJ259" s="537"/>
      <c r="BQK259" s="537"/>
      <c r="BQL259" s="537"/>
      <c r="BQM259" s="537"/>
      <c r="BQN259" s="537"/>
      <c r="BQO259" s="537"/>
      <c r="BQP259" s="537"/>
      <c r="BQQ259" s="537"/>
      <c r="BQR259" s="537"/>
      <c r="BQS259" s="537"/>
      <c r="BQT259" s="537"/>
      <c r="BQU259" s="537"/>
      <c r="BQV259" s="537"/>
      <c r="BQW259" s="537"/>
      <c r="BQX259" s="537"/>
      <c r="BQY259" s="537"/>
      <c r="BQZ259" s="537"/>
      <c r="BRA259" s="537"/>
      <c r="BRB259" s="537"/>
      <c r="BRC259" s="537"/>
      <c r="BRD259" s="537"/>
      <c r="BRE259" s="537"/>
      <c r="BRF259" s="537"/>
      <c r="BRG259" s="537"/>
      <c r="BRH259" s="537"/>
      <c r="BRI259" s="537"/>
      <c r="BRJ259" s="537"/>
      <c r="BRK259" s="537"/>
      <c r="BRL259" s="537"/>
      <c r="BRM259" s="537"/>
      <c r="BRN259" s="537"/>
      <c r="BRO259" s="537"/>
      <c r="BRP259" s="537"/>
      <c r="BRQ259" s="537"/>
      <c r="BRR259" s="537"/>
      <c r="BRS259" s="537"/>
      <c r="BRT259" s="537"/>
      <c r="BRU259" s="537"/>
      <c r="BRV259" s="537"/>
      <c r="BRW259" s="537"/>
      <c r="BRX259" s="537"/>
      <c r="BRY259" s="537"/>
      <c r="BRZ259" s="537"/>
      <c r="BSA259" s="537"/>
      <c r="BSB259" s="537"/>
      <c r="BSC259" s="537"/>
      <c r="BSD259" s="537"/>
      <c r="BSE259" s="537"/>
      <c r="BSF259" s="537"/>
      <c r="BSG259" s="537"/>
      <c r="BSH259" s="537"/>
      <c r="BSI259" s="537"/>
      <c r="BSJ259" s="537"/>
      <c r="BSK259" s="537"/>
      <c r="BSL259" s="537"/>
      <c r="BSM259" s="537"/>
      <c r="BSN259" s="537"/>
      <c r="BSO259" s="537"/>
      <c r="BSP259" s="537"/>
      <c r="BSQ259" s="537"/>
      <c r="BSR259" s="537"/>
      <c r="BSS259" s="537"/>
      <c r="BST259" s="537"/>
      <c r="BSU259" s="537"/>
      <c r="BSV259" s="537"/>
      <c r="BSW259" s="537"/>
      <c r="BSX259" s="537"/>
      <c r="BSY259" s="537"/>
      <c r="BSZ259" s="537"/>
      <c r="BTA259" s="537"/>
      <c r="BTB259" s="537"/>
      <c r="BTC259" s="537"/>
      <c r="BTD259" s="537"/>
      <c r="BTE259" s="537"/>
      <c r="BTF259" s="537"/>
      <c r="BTG259" s="537"/>
      <c r="BTH259" s="537"/>
      <c r="BTI259" s="537"/>
      <c r="BTJ259" s="537"/>
      <c r="BTK259" s="537"/>
      <c r="BTL259" s="537"/>
      <c r="BTM259" s="537"/>
      <c r="BTN259" s="537"/>
      <c r="BTO259" s="537"/>
      <c r="BTP259" s="537"/>
      <c r="BTQ259" s="537"/>
      <c r="BTR259" s="537"/>
      <c r="BTS259" s="537"/>
      <c r="BTT259" s="537"/>
      <c r="BTU259" s="537"/>
      <c r="BTV259" s="537"/>
      <c r="BTW259" s="537"/>
      <c r="BTX259" s="537"/>
      <c r="BTY259" s="537"/>
      <c r="BTZ259" s="537"/>
      <c r="BUA259" s="537"/>
      <c r="BUB259" s="537"/>
      <c r="BUC259" s="537"/>
      <c r="BUD259" s="537"/>
      <c r="BUE259" s="537"/>
      <c r="BUF259" s="537"/>
      <c r="BUG259" s="537"/>
      <c r="BUH259" s="537"/>
      <c r="BUI259" s="537"/>
      <c r="BUJ259" s="537"/>
      <c r="BUK259" s="537"/>
      <c r="BUL259" s="537"/>
      <c r="BUM259" s="537"/>
      <c r="BUN259" s="537"/>
      <c r="BUO259" s="537"/>
      <c r="BUP259" s="537"/>
      <c r="BUQ259" s="537"/>
      <c r="BUR259" s="537"/>
      <c r="BUS259" s="537"/>
      <c r="BUT259" s="537"/>
      <c r="BUU259" s="537"/>
      <c r="BUV259" s="537"/>
      <c r="BUW259" s="537"/>
      <c r="BUX259" s="537"/>
      <c r="BUY259" s="537"/>
      <c r="BUZ259" s="537"/>
      <c r="BVA259" s="537"/>
      <c r="BVB259" s="537"/>
      <c r="BVC259" s="537"/>
      <c r="BVD259" s="537"/>
      <c r="BVE259" s="537"/>
      <c r="BVF259" s="537"/>
      <c r="BVG259" s="537"/>
      <c r="BVH259" s="537"/>
      <c r="BVI259" s="537"/>
      <c r="BVJ259" s="537"/>
      <c r="BVK259" s="537"/>
      <c r="BVL259" s="537"/>
      <c r="BVM259" s="537"/>
      <c r="BVN259" s="537"/>
      <c r="BVO259" s="537"/>
      <c r="BVP259" s="537"/>
      <c r="BVQ259" s="537"/>
      <c r="BVR259" s="537"/>
      <c r="BVS259" s="537"/>
      <c r="BVT259" s="537"/>
      <c r="BVU259" s="537"/>
      <c r="BVV259" s="537"/>
      <c r="BVW259" s="537"/>
      <c r="BVX259" s="537"/>
      <c r="BVY259" s="537"/>
      <c r="BVZ259" s="537"/>
      <c r="BWA259" s="537"/>
      <c r="BWB259" s="537"/>
      <c r="BWC259" s="537"/>
      <c r="BWD259" s="537"/>
      <c r="BWE259" s="537"/>
      <c r="BWF259" s="537"/>
      <c r="BWG259" s="537"/>
      <c r="BWH259" s="537"/>
      <c r="BWI259" s="537"/>
      <c r="BWJ259" s="537"/>
      <c r="BWK259" s="537"/>
      <c r="BWL259" s="537"/>
      <c r="BWM259" s="537"/>
      <c r="BWN259" s="537"/>
      <c r="BWO259" s="537"/>
      <c r="BWP259" s="537"/>
      <c r="BWQ259" s="537"/>
      <c r="BWR259" s="537"/>
      <c r="BWS259" s="537"/>
      <c r="BWT259" s="537"/>
      <c r="BWU259" s="537"/>
      <c r="BWV259" s="537"/>
      <c r="BWW259" s="537"/>
      <c r="BWX259" s="537"/>
      <c r="BWY259" s="537"/>
      <c r="BWZ259" s="537"/>
      <c r="BXA259" s="537"/>
      <c r="BXB259" s="537"/>
      <c r="BXC259" s="537"/>
      <c r="BXD259" s="537"/>
      <c r="BXE259" s="537"/>
      <c r="BXF259" s="537"/>
      <c r="BXG259" s="537"/>
      <c r="BXH259" s="537"/>
      <c r="BXI259" s="537"/>
      <c r="BXJ259" s="537"/>
      <c r="BXK259" s="537"/>
      <c r="BXL259" s="537"/>
      <c r="BXM259" s="537"/>
      <c r="BXN259" s="537"/>
      <c r="BXO259" s="537"/>
      <c r="BXP259" s="537"/>
      <c r="BXQ259" s="537"/>
      <c r="BXR259" s="537"/>
      <c r="BXS259" s="537"/>
      <c r="BXT259" s="537"/>
      <c r="BXU259" s="537"/>
      <c r="BXV259" s="537"/>
      <c r="BXW259" s="537"/>
      <c r="BXX259" s="537"/>
      <c r="BXY259" s="537"/>
      <c r="BXZ259" s="537"/>
      <c r="BYA259" s="537"/>
      <c r="BYB259" s="537"/>
      <c r="BYC259" s="537"/>
      <c r="BYD259" s="537"/>
      <c r="BYE259" s="537"/>
      <c r="BYF259" s="537"/>
      <c r="BYG259" s="537"/>
      <c r="BYH259" s="537"/>
      <c r="BYI259" s="537"/>
      <c r="BYJ259" s="537"/>
      <c r="BYK259" s="537"/>
      <c r="BYL259" s="537"/>
      <c r="BYM259" s="537"/>
      <c r="BYN259" s="537"/>
      <c r="BYO259" s="537"/>
      <c r="BYP259" s="537"/>
      <c r="BYQ259" s="537"/>
      <c r="BYR259" s="537"/>
      <c r="BYS259" s="537"/>
      <c r="BYT259" s="537"/>
      <c r="BYU259" s="537"/>
      <c r="BYV259" s="537"/>
      <c r="BYW259" s="537"/>
      <c r="BYX259" s="537"/>
      <c r="BYY259" s="537"/>
      <c r="BYZ259" s="537"/>
      <c r="BZA259" s="537"/>
      <c r="BZB259" s="537"/>
      <c r="BZC259" s="537"/>
      <c r="BZD259" s="537"/>
      <c r="BZE259" s="537"/>
      <c r="BZF259" s="537"/>
      <c r="BZG259" s="537"/>
      <c r="BZH259" s="537"/>
      <c r="BZI259" s="537"/>
      <c r="BZJ259" s="537"/>
      <c r="BZK259" s="537"/>
      <c r="BZL259" s="537"/>
      <c r="BZM259" s="537"/>
      <c r="BZN259" s="537"/>
      <c r="BZO259" s="537"/>
      <c r="BZP259" s="537"/>
      <c r="BZQ259" s="537"/>
      <c r="BZR259" s="537"/>
      <c r="BZS259" s="537"/>
      <c r="BZT259" s="537"/>
      <c r="BZU259" s="537"/>
      <c r="BZV259" s="537"/>
      <c r="BZW259" s="537"/>
      <c r="BZX259" s="537"/>
      <c r="BZY259" s="537"/>
      <c r="BZZ259" s="537"/>
      <c r="CAA259" s="537"/>
      <c r="CAB259" s="537"/>
      <c r="CAC259" s="537"/>
      <c r="CAD259" s="537"/>
      <c r="CAE259" s="537"/>
      <c r="CAF259" s="537"/>
      <c r="CAG259" s="537"/>
      <c r="CAH259" s="537"/>
      <c r="CAI259" s="537"/>
      <c r="CAJ259" s="537"/>
      <c r="CAK259" s="537"/>
      <c r="CAL259" s="537"/>
      <c r="CAM259" s="537"/>
      <c r="CAN259" s="537"/>
      <c r="CAO259" s="537"/>
      <c r="CAP259" s="537"/>
      <c r="CAQ259" s="537"/>
      <c r="CAR259" s="537"/>
      <c r="CAS259" s="537"/>
      <c r="CAT259" s="537"/>
      <c r="CAU259" s="537"/>
      <c r="CAV259" s="537"/>
      <c r="CAW259" s="537"/>
      <c r="CAX259" s="537"/>
      <c r="CAY259" s="537"/>
      <c r="CAZ259" s="537"/>
      <c r="CBA259" s="537"/>
      <c r="CBB259" s="537"/>
      <c r="CBC259" s="537"/>
      <c r="CBD259" s="537"/>
      <c r="CBE259" s="537"/>
      <c r="CBF259" s="537"/>
      <c r="CBG259" s="537"/>
      <c r="CBH259" s="537"/>
      <c r="CBI259" s="537"/>
      <c r="CBJ259" s="537"/>
      <c r="CBK259" s="537"/>
      <c r="CBL259" s="537"/>
      <c r="CBM259" s="537"/>
      <c r="CBN259" s="537"/>
      <c r="CBO259" s="537"/>
      <c r="CBP259" s="537"/>
      <c r="CBQ259" s="537"/>
      <c r="CBR259" s="537"/>
      <c r="CBS259" s="537"/>
      <c r="CBT259" s="537"/>
      <c r="CBU259" s="537"/>
      <c r="CBV259" s="537"/>
      <c r="CBW259" s="537"/>
      <c r="CBX259" s="537"/>
      <c r="CBY259" s="537"/>
      <c r="CBZ259" s="537"/>
      <c r="CCA259" s="537"/>
      <c r="CCB259" s="537"/>
      <c r="CCC259" s="537"/>
      <c r="CCD259" s="537"/>
      <c r="CCE259" s="537"/>
      <c r="CCF259" s="537"/>
      <c r="CCG259" s="537"/>
      <c r="CCH259" s="537"/>
      <c r="CCI259" s="537"/>
      <c r="CCJ259" s="537"/>
      <c r="CCK259" s="537"/>
      <c r="CCL259" s="537"/>
      <c r="CCM259" s="537"/>
      <c r="CCN259" s="537"/>
      <c r="CCO259" s="537"/>
      <c r="CCP259" s="537"/>
      <c r="CCQ259" s="537"/>
      <c r="CCR259" s="537"/>
      <c r="CCS259" s="537"/>
      <c r="CCT259" s="537"/>
      <c r="CCU259" s="537"/>
      <c r="CCV259" s="537"/>
      <c r="CCW259" s="537"/>
      <c r="CCX259" s="537"/>
      <c r="CCY259" s="537"/>
      <c r="CCZ259" s="537"/>
      <c r="CDA259" s="537"/>
      <c r="CDB259" s="537"/>
      <c r="CDC259" s="537"/>
      <c r="CDD259" s="537"/>
      <c r="CDE259" s="537"/>
      <c r="CDF259" s="537"/>
      <c r="CDG259" s="537"/>
      <c r="CDH259" s="537"/>
      <c r="CDI259" s="537"/>
      <c r="CDJ259" s="537"/>
      <c r="CDK259" s="537"/>
      <c r="CDL259" s="537"/>
      <c r="CDM259" s="537"/>
      <c r="CDN259" s="537"/>
      <c r="CDO259" s="537"/>
      <c r="CDP259" s="537"/>
      <c r="CDQ259" s="537"/>
      <c r="CDR259" s="537"/>
      <c r="CDS259" s="537"/>
      <c r="CDT259" s="537"/>
      <c r="CDU259" s="537"/>
      <c r="CDV259" s="537"/>
      <c r="CDW259" s="537"/>
      <c r="CDX259" s="537"/>
      <c r="CDY259" s="537"/>
      <c r="CDZ259" s="537"/>
      <c r="CEA259" s="537"/>
      <c r="CEB259" s="537"/>
      <c r="CEC259" s="537"/>
      <c r="CED259" s="537"/>
      <c r="CEE259" s="537"/>
      <c r="CEF259" s="537"/>
      <c r="CEG259" s="537"/>
      <c r="CEH259" s="537"/>
      <c r="CEI259" s="537"/>
      <c r="CEJ259" s="537"/>
      <c r="CEK259" s="537"/>
      <c r="CEL259" s="537"/>
      <c r="CEM259" s="537"/>
      <c r="CEN259" s="537"/>
      <c r="CEO259" s="537"/>
      <c r="CEP259" s="537"/>
      <c r="CEQ259" s="537"/>
      <c r="CER259" s="537"/>
      <c r="CES259" s="537"/>
      <c r="CET259" s="537"/>
      <c r="CEU259" s="537"/>
      <c r="CEV259" s="537"/>
      <c r="CEW259" s="537"/>
      <c r="CEX259" s="537"/>
      <c r="CEY259" s="537"/>
      <c r="CEZ259" s="537"/>
      <c r="CFA259" s="537"/>
      <c r="CFB259" s="537"/>
      <c r="CFC259" s="537"/>
      <c r="CFD259" s="537"/>
      <c r="CFE259" s="537"/>
      <c r="CFF259" s="537"/>
      <c r="CFG259" s="537"/>
      <c r="CFH259" s="537"/>
      <c r="CFI259" s="537"/>
      <c r="CFJ259" s="537"/>
      <c r="CFK259" s="537"/>
      <c r="CFL259" s="537"/>
      <c r="CFM259" s="537"/>
      <c r="CFN259" s="537"/>
      <c r="CFO259" s="537"/>
      <c r="CFP259" s="537"/>
      <c r="CFQ259" s="537"/>
      <c r="CFR259" s="537"/>
      <c r="CFS259" s="537"/>
      <c r="CFT259" s="537"/>
      <c r="CFU259" s="537"/>
      <c r="CFV259" s="537"/>
      <c r="CFW259" s="537"/>
      <c r="CFX259" s="537"/>
      <c r="CFY259" s="537"/>
      <c r="CFZ259" s="537"/>
      <c r="CGA259" s="537"/>
      <c r="CGB259" s="537"/>
      <c r="CGC259" s="537"/>
      <c r="CGD259" s="537"/>
      <c r="CGE259" s="537"/>
      <c r="CGF259" s="537"/>
      <c r="CGG259" s="537"/>
      <c r="CGH259" s="537"/>
      <c r="CGI259" s="537"/>
      <c r="CGJ259" s="537"/>
      <c r="CGK259" s="537"/>
      <c r="CGL259" s="537"/>
      <c r="CGM259" s="537"/>
      <c r="CGN259" s="537"/>
      <c r="CGO259" s="537"/>
      <c r="CGP259" s="537"/>
      <c r="CGQ259" s="537"/>
      <c r="CGR259" s="537"/>
      <c r="CGS259" s="537"/>
      <c r="CGT259" s="537"/>
      <c r="CGU259" s="537"/>
      <c r="CGV259" s="537"/>
      <c r="CGW259" s="537"/>
      <c r="CGX259" s="537"/>
      <c r="CGY259" s="537"/>
      <c r="CGZ259" s="537"/>
      <c r="CHA259" s="537"/>
      <c r="CHB259" s="537"/>
      <c r="CHC259" s="537"/>
      <c r="CHD259" s="537"/>
      <c r="CHE259" s="537"/>
      <c r="CHF259" s="537"/>
      <c r="CHG259" s="537"/>
      <c r="CHH259" s="537"/>
      <c r="CHI259" s="537"/>
      <c r="CHJ259" s="537"/>
      <c r="CHK259" s="537"/>
      <c r="CHL259" s="537"/>
      <c r="CHM259" s="537"/>
      <c r="CHN259" s="537"/>
      <c r="CHO259" s="537"/>
      <c r="CHP259" s="537"/>
      <c r="CHQ259" s="537"/>
      <c r="CHR259" s="537"/>
      <c r="CHS259" s="537"/>
      <c r="CHT259" s="537"/>
      <c r="CHU259" s="537"/>
      <c r="CHV259" s="537"/>
      <c r="CHW259" s="537"/>
      <c r="CHX259" s="537"/>
      <c r="CHY259" s="537"/>
      <c r="CHZ259" s="537"/>
      <c r="CIA259" s="537"/>
      <c r="CIB259" s="537"/>
      <c r="CIC259" s="537"/>
      <c r="CID259" s="537"/>
      <c r="CIE259" s="537"/>
      <c r="CIF259" s="537"/>
      <c r="CIG259" s="537"/>
      <c r="CIH259" s="537"/>
      <c r="CII259" s="537"/>
      <c r="CIJ259" s="537"/>
      <c r="CIK259" s="537"/>
      <c r="CIL259" s="537"/>
      <c r="CIM259" s="537"/>
      <c r="CIN259" s="537"/>
      <c r="CIO259" s="537"/>
      <c r="CIP259" s="537"/>
      <c r="CIQ259" s="537"/>
      <c r="CIR259" s="537"/>
      <c r="CIS259" s="537"/>
      <c r="CIT259" s="537"/>
      <c r="CIU259" s="537"/>
      <c r="CIV259" s="537"/>
      <c r="CIW259" s="537"/>
      <c r="CIX259" s="537"/>
      <c r="CIY259" s="537"/>
      <c r="CIZ259" s="537"/>
      <c r="CJA259" s="537"/>
      <c r="CJB259" s="537"/>
      <c r="CJC259" s="537"/>
      <c r="CJD259" s="537"/>
      <c r="CJE259" s="537"/>
      <c r="CJF259" s="537"/>
      <c r="CJG259" s="537"/>
      <c r="CJH259" s="537"/>
      <c r="CJI259" s="537"/>
      <c r="CJJ259" s="537"/>
      <c r="CJK259" s="537"/>
      <c r="CJL259" s="537"/>
      <c r="CJM259" s="537"/>
      <c r="CJN259" s="537"/>
      <c r="CJO259" s="537"/>
      <c r="CJP259" s="537"/>
      <c r="CJQ259" s="537"/>
      <c r="CJR259" s="537"/>
      <c r="CJS259" s="537"/>
      <c r="CJT259" s="537"/>
      <c r="CJU259" s="537"/>
      <c r="CJV259" s="537"/>
      <c r="CJW259" s="537"/>
      <c r="CJX259" s="537"/>
      <c r="CJY259" s="537"/>
      <c r="CJZ259" s="537"/>
      <c r="CKA259" s="537"/>
      <c r="CKB259" s="537"/>
      <c r="CKC259" s="537"/>
      <c r="CKD259" s="537"/>
      <c r="CKE259" s="537"/>
      <c r="CKF259" s="537"/>
      <c r="CKG259" s="537"/>
      <c r="CKH259" s="537"/>
      <c r="CKI259" s="537"/>
      <c r="CKJ259" s="537"/>
      <c r="CKK259" s="537"/>
      <c r="CKL259" s="537"/>
      <c r="CKM259" s="537"/>
      <c r="CKN259" s="537"/>
      <c r="CKO259" s="537"/>
      <c r="CKP259" s="537"/>
      <c r="CKQ259" s="537"/>
      <c r="CKR259" s="537"/>
      <c r="CKS259" s="537"/>
      <c r="CKT259" s="537"/>
      <c r="CKU259" s="537"/>
      <c r="CKV259" s="537"/>
      <c r="CKW259" s="537"/>
      <c r="CKX259" s="537"/>
      <c r="CKY259" s="537"/>
      <c r="CKZ259" s="537"/>
      <c r="CLA259" s="537"/>
      <c r="CLB259" s="537"/>
      <c r="CLC259" s="537"/>
      <c r="CLD259" s="537"/>
      <c r="CLE259" s="537"/>
      <c r="CLF259" s="537"/>
      <c r="CLG259" s="537"/>
      <c r="CLH259" s="537"/>
      <c r="CLI259" s="537"/>
      <c r="CLJ259" s="537"/>
      <c r="CLK259" s="537"/>
      <c r="CLL259" s="537"/>
      <c r="CLM259" s="537"/>
      <c r="CLN259" s="537"/>
      <c r="CLO259" s="537"/>
      <c r="CLP259" s="537"/>
      <c r="CLQ259" s="537"/>
      <c r="CLR259" s="537"/>
      <c r="CLS259" s="537"/>
      <c r="CLT259" s="537"/>
      <c r="CLU259" s="537"/>
      <c r="CLV259" s="537"/>
      <c r="CLW259" s="537"/>
      <c r="CLX259" s="537"/>
      <c r="CLY259" s="537"/>
      <c r="CLZ259" s="537"/>
      <c r="CMA259" s="537"/>
      <c r="CMB259" s="537"/>
      <c r="CMC259" s="537"/>
      <c r="CMD259" s="537"/>
      <c r="CME259" s="537"/>
      <c r="CMF259" s="537"/>
      <c r="CMG259" s="537"/>
      <c r="CMH259" s="537"/>
      <c r="CMI259" s="537"/>
      <c r="CMJ259" s="537"/>
      <c r="CMK259" s="537"/>
      <c r="CML259" s="537"/>
      <c r="CMM259" s="537"/>
      <c r="CMN259" s="537"/>
      <c r="CMO259" s="537"/>
      <c r="CMP259" s="537"/>
      <c r="CMQ259" s="537"/>
      <c r="CMR259" s="537"/>
      <c r="CMS259" s="537"/>
      <c r="CMT259" s="537"/>
      <c r="CMU259" s="537"/>
      <c r="CMV259" s="537"/>
      <c r="CMW259" s="537"/>
      <c r="CMX259" s="537"/>
      <c r="CMY259" s="537"/>
      <c r="CMZ259" s="537"/>
      <c r="CNA259" s="537"/>
      <c r="CNB259" s="537"/>
      <c r="CNC259" s="537"/>
      <c r="CND259" s="537"/>
      <c r="CNE259" s="537"/>
      <c r="CNF259" s="537"/>
      <c r="CNG259" s="537"/>
      <c r="CNH259" s="537"/>
      <c r="CNI259" s="537"/>
      <c r="CNJ259" s="537"/>
      <c r="CNK259" s="537"/>
      <c r="CNL259" s="537"/>
      <c r="CNM259" s="537"/>
      <c r="CNN259" s="537"/>
      <c r="CNO259" s="537"/>
      <c r="CNP259" s="537"/>
      <c r="CNQ259" s="537"/>
      <c r="CNR259" s="537"/>
      <c r="CNS259" s="537"/>
      <c r="CNT259" s="537"/>
      <c r="CNU259" s="537"/>
      <c r="CNV259" s="537"/>
      <c r="CNW259" s="537"/>
      <c r="CNX259" s="537"/>
      <c r="CNY259" s="537"/>
      <c r="CNZ259" s="537"/>
      <c r="COA259" s="537"/>
      <c r="COB259" s="537"/>
      <c r="COC259" s="537"/>
      <c r="COD259" s="537"/>
      <c r="COE259" s="537"/>
      <c r="COF259" s="537"/>
      <c r="COG259" s="537"/>
      <c r="COH259" s="537"/>
      <c r="COI259" s="537"/>
      <c r="COJ259" s="537"/>
      <c r="COK259" s="537"/>
      <c r="COL259" s="537"/>
      <c r="COM259" s="537"/>
      <c r="CON259" s="537"/>
      <c r="COO259" s="537"/>
      <c r="COP259" s="537"/>
      <c r="COQ259" s="537"/>
      <c r="COR259" s="537"/>
      <c r="COS259" s="537"/>
      <c r="COT259" s="537"/>
      <c r="COU259" s="537"/>
      <c r="COV259" s="537"/>
      <c r="COW259" s="537"/>
      <c r="COX259" s="537"/>
      <c r="COY259" s="537"/>
      <c r="COZ259" s="537"/>
      <c r="CPA259" s="537"/>
      <c r="CPB259" s="537"/>
      <c r="CPC259" s="537"/>
      <c r="CPD259" s="537"/>
      <c r="CPE259" s="537"/>
      <c r="CPF259" s="537"/>
      <c r="CPG259" s="537"/>
      <c r="CPH259" s="537"/>
      <c r="CPI259" s="537"/>
      <c r="CPJ259" s="537"/>
      <c r="CPK259" s="537"/>
      <c r="CPL259" s="537"/>
      <c r="CPM259" s="537"/>
      <c r="CPN259" s="537"/>
      <c r="CPO259" s="537"/>
      <c r="CPP259" s="537"/>
      <c r="CPQ259" s="537"/>
      <c r="CPR259" s="537"/>
      <c r="CPS259" s="537"/>
      <c r="CPT259" s="537"/>
      <c r="CPU259" s="537"/>
      <c r="CPV259" s="537"/>
      <c r="CPW259" s="537"/>
      <c r="CPX259" s="537"/>
      <c r="CPY259" s="537"/>
      <c r="CPZ259" s="537"/>
      <c r="CQA259" s="537"/>
      <c r="CQB259" s="537"/>
      <c r="CQC259" s="537"/>
      <c r="CQD259" s="537"/>
      <c r="CQE259" s="537"/>
      <c r="CQF259" s="537"/>
      <c r="CQG259" s="537"/>
      <c r="CQH259" s="537"/>
      <c r="CQI259" s="537"/>
      <c r="CQJ259" s="537"/>
      <c r="CQK259" s="537"/>
      <c r="CQL259" s="537"/>
      <c r="CQM259" s="537"/>
      <c r="CQN259" s="537"/>
      <c r="CQO259" s="537"/>
      <c r="CQP259" s="537"/>
      <c r="CQQ259" s="537"/>
      <c r="CQR259" s="537"/>
      <c r="CQS259" s="537"/>
      <c r="CQT259" s="537"/>
      <c r="CQU259" s="537"/>
      <c r="CQV259" s="537"/>
      <c r="CQW259" s="537"/>
      <c r="CQX259" s="537"/>
      <c r="CQY259" s="537"/>
      <c r="CQZ259" s="537"/>
      <c r="CRA259" s="537"/>
      <c r="CRB259" s="537"/>
      <c r="CRC259" s="537"/>
      <c r="CRD259" s="537"/>
      <c r="CRE259" s="537"/>
      <c r="CRF259" s="537"/>
      <c r="CRG259" s="537"/>
      <c r="CRH259" s="537"/>
      <c r="CRI259" s="537"/>
      <c r="CRJ259" s="537"/>
      <c r="CRK259" s="537"/>
      <c r="CRL259" s="537"/>
      <c r="CRM259" s="537"/>
      <c r="CRN259" s="537"/>
      <c r="CRO259" s="537"/>
      <c r="CRP259" s="537"/>
      <c r="CRQ259" s="537"/>
      <c r="CRR259" s="537"/>
      <c r="CRS259" s="537"/>
      <c r="CRT259" s="537"/>
      <c r="CRU259" s="537"/>
      <c r="CRV259" s="537"/>
      <c r="CRW259" s="537"/>
      <c r="CRX259" s="537"/>
      <c r="CRY259" s="537"/>
      <c r="CRZ259" s="537"/>
      <c r="CSA259" s="537"/>
      <c r="CSB259" s="537"/>
      <c r="CSC259" s="537"/>
      <c r="CSD259" s="537"/>
      <c r="CSE259" s="537"/>
      <c r="CSF259" s="537"/>
      <c r="CSG259" s="537"/>
      <c r="CSH259" s="537"/>
      <c r="CSI259" s="537"/>
      <c r="CSJ259" s="537"/>
      <c r="CSK259" s="537"/>
      <c r="CSL259" s="537"/>
      <c r="CSM259" s="537"/>
      <c r="CSN259" s="537"/>
      <c r="CSO259" s="537"/>
      <c r="CSP259" s="537"/>
      <c r="CSQ259" s="537"/>
      <c r="CSR259" s="537"/>
      <c r="CSS259" s="537"/>
      <c r="CST259" s="537"/>
      <c r="CSU259" s="537"/>
      <c r="CSV259" s="537"/>
      <c r="CSW259" s="537"/>
      <c r="CSX259" s="537"/>
      <c r="CSY259" s="537"/>
      <c r="CSZ259" s="537"/>
      <c r="CTA259" s="537"/>
      <c r="CTB259" s="537"/>
      <c r="CTC259" s="537"/>
      <c r="CTD259" s="537"/>
      <c r="CTE259" s="537"/>
      <c r="CTF259" s="537"/>
      <c r="CTG259" s="537"/>
      <c r="CTH259" s="537"/>
      <c r="CTI259" s="537"/>
      <c r="CTJ259" s="537"/>
      <c r="CTK259" s="537"/>
      <c r="CTL259" s="537"/>
      <c r="CTM259" s="537"/>
      <c r="CTN259" s="537"/>
      <c r="CTO259" s="537"/>
      <c r="CTP259" s="537"/>
      <c r="CTQ259" s="537"/>
      <c r="CTR259" s="537"/>
      <c r="CTS259" s="537"/>
      <c r="CTT259" s="537"/>
      <c r="CTU259" s="537"/>
      <c r="CTV259" s="537"/>
      <c r="CTW259" s="537"/>
      <c r="CTX259" s="537"/>
      <c r="CTY259" s="537"/>
      <c r="CTZ259" s="537"/>
      <c r="CUA259" s="537"/>
      <c r="CUB259" s="537"/>
      <c r="CUC259" s="537"/>
      <c r="CUD259" s="537"/>
      <c r="CUE259" s="537"/>
      <c r="CUF259" s="537"/>
      <c r="CUG259" s="537"/>
      <c r="CUH259" s="537"/>
      <c r="CUI259" s="537"/>
      <c r="CUJ259" s="537"/>
      <c r="CUK259" s="537"/>
      <c r="CUL259" s="537"/>
      <c r="CUM259" s="537"/>
      <c r="CUN259" s="537"/>
      <c r="CUO259" s="537"/>
      <c r="CUP259" s="537"/>
      <c r="CUQ259" s="537"/>
      <c r="CUR259" s="537"/>
      <c r="CUS259" s="537"/>
      <c r="CUT259" s="537"/>
      <c r="CUU259" s="537"/>
      <c r="CUV259" s="537"/>
      <c r="CUW259" s="537"/>
      <c r="CUX259" s="537"/>
      <c r="CUY259" s="537"/>
      <c r="CUZ259" s="537"/>
      <c r="CVA259" s="537"/>
      <c r="CVB259" s="537"/>
      <c r="CVC259" s="537"/>
      <c r="CVD259" s="537"/>
      <c r="CVE259" s="537"/>
      <c r="CVF259" s="537"/>
      <c r="CVG259" s="537"/>
      <c r="CVH259" s="537"/>
      <c r="CVI259" s="537"/>
      <c r="CVJ259" s="537"/>
      <c r="CVK259" s="537"/>
      <c r="CVL259" s="537"/>
      <c r="CVM259" s="537"/>
      <c r="CVN259" s="537"/>
      <c r="CVO259" s="537"/>
      <c r="CVP259" s="537"/>
      <c r="CVQ259" s="537"/>
      <c r="CVR259" s="537"/>
      <c r="CVS259" s="537"/>
      <c r="CVT259" s="537"/>
      <c r="CVU259" s="537"/>
      <c r="CVV259" s="537"/>
      <c r="CVW259" s="537"/>
      <c r="CVX259" s="537"/>
      <c r="CVY259" s="537"/>
      <c r="CVZ259" s="537"/>
      <c r="CWA259" s="537"/>
      <c r="CWB259" s="537"/>
      <c r="CWC259" s="537"/>
      <c r="CWD259" s="537"/>
      <c r="CWE259" s="537"/>
      <c r="CWF259" s="537"/>
      <c r="CWG259" s="537"/>
      <c r="CWH259" s="537"/>
      <c r="CWI259" s="537"/>
      <c r="CWJ259" s="537"/>
      <c r="CWK259" s="537"/>
      <c r="CWL259" s="537"/>
      <c r="CWM259" s="537"/>
      <c r="CWN259" s="537"/>
      <c r="CWO259" s="537"/>
      <c r="CWP259" s="537"/>
      <c r="CWQ259" s="537"/>
      <c r="CWR259" s="537"/>
      <c r="CWS259" s="537"/>
      <c r="CWT259" s="537"/>
      <c r="CWU259" s="537"/>
      <c r="CWV259" s="537"/>
      <c r="CWW259" s="537"/>
      <c r="CWX259" s="537"/>
      <c r="CWY259" s="537"/>
      <c r="CWZ259" s="537"/>
      <c r="CXA259" s="537"/>
      <c r="CXB259" s="537"/>
      <c r="CXC259" s="537"/>
      <c r="CXD259" s="537"/>
      <c r="CXE259" s="537"/>
      <c r="CXF259" s="537"/>
      <c r="CXG259" s="537"/>
      <c r="CXH259" s="537"/>
      <c r="CXI259" s="537"/>
      <c r="CXJ259" s="537"/>
      <c r="CXK259" s="537"/>
      <c r="CXL259" s="537"/>
      <c r="CXM259" s="537"/>
      <c r="CXN259" s="537"/>
      <c r="CXO259" s="537"/>
      <c r="CXP259" s="537"/>
      <c r="CXQ259" s="537"/>
      <c r="CXR259" s="537"/>
      <c r="CXS259" s="537"/>
      <c r="CXT259" s="537"/>
      <c r="CXU259" s="537"/>
      <c r="CXV259" s="537"/>
      <c r="CXW259" s="537"/>
      <c r="CXX259" s="537"/>
      <c r="CXY259" s="537"/>
      <c r="CXZ259" s="537"/>
      <c r="CYA259" s="537"/>
      <c r="CYB259" s="537"/>
      <c r="CYC259" s="537"/>
      <c r="CYD259" s="537"/>
      <c r="CYE259" s="537"/>
      <c r="CYF259" s="537"/>
      <c r="CYG259" s="537"/>
      <c r="CYH259" s="537"/>
      <c r="CYI259" s="537"/>
      <c r="CYJ259" s="537"/>
      <c r="CYK259" s="537"/>
      <c r="CYL259" s="537"/>
      <c r="CYM259" s="537"/>
      <c r="CYN259" s="537"/>
      <c r="CYO259" s="537"/>
      <c r="CYP259" s="537"/>
      <c r="CYQ259" s="537"/>
      <c r="CYR259" s="537"/>
      <c r="CYS259" s="537"/>
      <c r="CYT259" s="537"/>
      <c r="CYU259" s="537"/>
      <c r="CYV259" s="537"/>
      <c r="CYW259" s="537"/>
      <c r="CYX259" s="537"/>
      <c r="CYY259" s="537"/>
      <c r="CYZ259" s="537"/>
      <c r="CZA259" s="537"/>
      <c r="CZB259" s="537"/>
      <c r="CZC259" s="537"/>
      <c r="CZD259" s="537"/>
      <c r="CZE259" s="537"/>
      <c r="CZF259" s="537"/>
      <c r="CZG259" s="537"/>
      <c r="CZH259" s="537"/>
      <c r="CZI259" s="537"/>
      <c r="CZJ259" s="537"/>
      <c r="CZK259" s="537"/>
      <c r="CZL259" s="537"/>
      <c r="CZM259" s="537"/>
      <c r="CZN259" s="537"/>
      <c r="CZO259" s="537"/>
      <c r="CZP259" s="537"/>
      <c r="CZQ259" s="537"/>
      <c r="CZR259" s="537"/>
      <c r="CZS259" s="537"/>
      <c r="CZT259" s="537"/>
      <c r="CZU259" s="537"/>
      <c r="CZV259" s="537"/>
      <c r="CZW259" s="537"/>
      <c r="CZX259" s="537"/>
      <c r="CZY259" s="537"/>
      <c r="CZZ259" s="537"/>
      <c r="DAA259" s="537"/>
      <c r="DAB259" s="537"/>
      <c r="DAC259" s="537"/>
      <c r="DAD259" s="537"/>
      <c r="DAE259" s="537"/>
      <c r="DAF259" s="537"/>
      <c r="DAG259" s="537"/>
      <c r="DAH259" s="537"/>
      <c r="DAI259" s="537"/>
      <c r="DAJ259" s="537"/>
      <c r="DAK259" s="537"/>
      <c r="DAL259" s="537"/>
      <c r="DAM259" s="537"/>
      <c r="DAN259" s="537"/>
      <c r="DAO259" s="537"/>
      <c r="DAP259" s="537"/>
      <c r="DAQ259" s="537"/>
      <c r="DAR259" s="537"/>
      <c r="DAS259" s="537"/>
      <c r="DAT259" s="537"/>
      <c r="DAU259" s="537"/>
      <c r="DAV259" s="537"/>
      <c r="DAW259" s="537"/>
      <c r="DAX259" s="537"/>
      <c r="DAY259" s="537"/>
      <c r="DAZ259" s="537"/>
      <c r="DBA259" s="537"/>
      <c r="DBB259" s="537"/>
      <c r="DBC259" s="537"/>
      <c r="DBD259" s="537"/>
      <c r="DBE259" s="537"/>
      <c r="DBF259" s="537"/>
      <c r="DBG259" s="537"/>
      <c r="DBH259" s="537"/>
      <c r="DBI259" s="537"/>
      <c r="DBJ259" s="537"/>
      <c r="DBK259" s="537"/>
      <c r="DBL259" s="537"/>
      <c r="DBM259" s="537"/>
      <c r="DBN259" s="537"/>
      <c r="DBO259" s="537"/>
      <c r="DBP259" s="537"/>
      <c r="DBQ259" s="537"/>
      <c r="DBR259" s="537"/>
      <c r="DBS259" s="537"/>
      <c r="DBT259" s="537"/>
      <c r="DBU259" s="537"/>
      <c r="DBV259" s="537"/>
      <c r="DBW259" s="537"/>
      <c r="DBX259" s="537"/>
      <c r="DBY259" s="537"/>
      <c r="DBZ259" s="537"/>
      <c r="DCA259" s="537"/>
      <c r="DCB259" s="537"/>
      <c r="DCC259" s="537"/>
      <c r="DCD259" s="537"/>
      <c r="DCE259" s="537"/>
      <c r="DCF259" s="537"/>
      <c r="DCG259" s="537"/>
      <c r="DCH259" s="537"/>
      <c r="DCI259" s="537"/>
      <c r="DCJ259" s="537"/>
      <c r="DCK259" s="537"/>
      <c r="DCL259" s="537"/>
      <c r="DCM259" s="537"/>
      <c r="DCN259" s="537"/>
      <c r="DCO259" s="537"/>
      <c r="DCP259" s="537"/>
      <c r="DCQ259" s="537"/>
      <c r="DCR259" s="537"/>
      <c r="DCS259" s="537"/>
      <c r="DCT259" s="537"/>
      <c r="DCU259" s="537"/>
      <c r="DCV259" s="537"/>
      <c r="DCW259" s="537"/>
      <c r="DCX259" s="537"/>
      <c r="DCY259" s="537"/>
      <c r="DCZ259" s="537"/>
      <c r="DDA259" s="537"/>
      <c r="DDB259" s="537"/>
      <c r="DDC259" s="537"/>
      <c r="DDD259" s="537"/>
      <c r="DDE259" s="537"/>
      <c r="DDF259" s="537"/>
      <c r="DDG259" s="537"/>
      <c r="DDH259" s="537"/>
      <c r="DDI259" s="537"/>
      <c r="DDJ259" s="537"/>
      <c r="DDK259" s="537"/>
      <c r="DDL259" s="537"/>
      <c r="DDM259" s="537"/>
      <c r="DDN259" s="537"/>
      <c r="DDO259" s="537"/>
      <c r="DDP259" s="537"/>
      <c r="DDQ259" s="537"/>
      <c r="DDR259" s="537"/>
      <c r="DDS259" s="537"/>
      <c r="DDT259" s="537"/>
      <c r="DDU259" s="537"/>
      <c r="DDV259" s="537"/>
      <c r="DDW259" s="537"/>
      <c r="DDX259" s="537"/>
      <c r="DDY259" s="537"/>
      <c r="DDZ259" s="537"/>
      <c r="DEA259" s="537"/>
      <c r="DEB259" s="537"/>
      <c r="DEC259" s="537"/>
      <c r="DED259" s="537"/>
      <c r="DEE259" s="537"/>
      <c r="DEF259" s="537"/>
      <c r="DEG259" s="537"/>
      <c r="DEH259" s="537"/>
      <c r="DEI259" s="537"/>
      <c r="DEJ259" s="537"/>
      <c r="DEK259" s="537"/>
      <c r="DEL259" s="537"/>
      <c r="DEM259" s="537"/>
      <c r="DEN259" s="537"/>
      <c r="DEO259" s="537"/>
      <c r="DEP259" s="537"/>
      <c r="DEQ259" s="537"/>
      <c r="DER259" s="537"/>
      <c r="DES259" s="537"/>
      <c r="DET259" s="537"/>
      <c r="DEU259" s="537"/>
      <c r="DEV259" s="537"/>
      <c r="DEW259" s="537"/>
      <c r="DEX259" s="537"/>
      <c r="DEY259" s="537"/>
      <c r="DEZ259" s="537"/>
      <c r="DFA259" s="537"/>
      <c r="DFB259" s="537"/>
      <c r="DFC259" s="537"/>
      <c r="DFD259" s="537"/>
      <c r="DFE259" s="537"/>
      <c r="DFF259" s="537"/>
      <c r="DFG259" s="537"/>
      <c r="DFH259" s="537"/>
      <c r="DFI259" s="537"/>
      <c r="DFJ259" s="537"/>
      <c r="DFK259" s="537"/>
      <c r="DFL259" s="537"/>
      <c r="DFM259" s="537"/>
      <c r="DFN259" s="537"/>
      <c r="DFO259" s="537"/>
      <c r="DFP259" s="537"/>
      <c r="DFQ259" s="537"/>
      <c r="DFR259" s="537"/>
      <c r="DFS259" s="537"/>
      <c r="DFT259" s="537"/>
      <c r="DFU259" s="537"/>
      <c r="DFV259" s="537"/>
      <c r="DFW259" s="537"/>
      <c r="DFX259" s="537"/>
      <c r="DFY259" s="537"/>
      <c r="DFZ259" s="537"/>
      <c r="DGA259" s="537"/>
      <c r="DGB259" s="537"/>
      <c r="DGC259" s="537"/>
      <c r="DGD259" s="537"/>
      <c r="DGE259" s="537"/>
      <c r="DGF259" s="537"/>
      <c r="DGG259" s="537"/>
      <c r="DGH259" s="537"/>
      <c r="DGI259" s="537"/>
      <c r="DGJ259" s="537"/>
      <c r="DGK259" s="537"/>
      <c r="DGL259" s="537"/>
      <c r="DGM259" s="537"/>
      <c r="DGN259" s="537"/>
      <c r="DGO259" s="537"/>
      <c r="DGP259" s="537"/>
      <c r="DGQ259" s="537"/>
      <c r="DGR259" s="537"/>
      <c r="DGS259" s="537"/>
      <c r="DGT259" s="537"/>
      <c r="DGU259" s="537"/>
      <c r="DGV259" s="537"/>
      <c r="DGW259" s="537"/>
      <c r="DGX259" s="537"/>
      <c r="DGY259" s="537"/>
      <c r="DGZ259" s="537"/>
      <c r="DHA259" s="537"/>
      <c r="DHB259" s="537"/>
      <c r="DHC259" s="537"/>
      <c r="DHD259" s="537"/>
      <c r="DHE259" s="537"/>
      <c r="DHF259" s="537"/>
      <c r="DHG259" s="537"/>
      <c r="DHH259" s="537"/>
      <c r="DHI259" s="537"/>
      <c r="DHJ259" s="537"/>
      <c r="DHK259" s="537"/>
      <c r="DHL259" s="537"/>
      <c r="DHM259" s="537"/>
      <c r="DHN259" s="537"/>
      <c r="DHO259" s="537"/>
      <c r="DHP259" s="537"/>
      <c r="DHQ259" s="537"/>
      <c r="DHR259" s="537"/>
      <c r="DHS259" s="537"/>
      <c r="DHT259" s="537"/>
      <c r="DHU259" s="537"/>
      <c r="DHV259" s="537"/>
      <c r="DHW259" s="537"/>
      <c r="DHX259" s="537"/>
      <c r="DHY259" s="537"/>
      <c r="DHZ259" s="537"/>
      <c r="DIA259" s="537"/>
      <c r="DIB259" s="537"/>
      <c r="DIC259" s="537"/>
      <c r="DID259" s="537"/>
      <c r="DIE259" s="537"/>
      <c r="DIF259" s="537"/>
      <c r="DIG259" s="537"/>
      <c r="DIH259" s="537"/>
      <c r="DII259" s="537"/>
      <c r="DIJ259" s="537"/>
      <c r="DIK259" s="537"/>
      <c r="DIL259" s="537"/>
      <c r="DIM259" s="537"/>
      <c r="DIN259" s="537"/>
      <c r="DIO259" s="537"/>
      <c r="DIP259" s="537"/>
      <c r="DIQ259" s="537"/>
      <c r="DIR259" s="537"/>
      <c r="DIS259" s="537"/>
      <c r="DIT259" s="537"/>
      <c r="DIU259" s="537"/>
      <c r="DIV259" s="537"/>
      <c r="DIW259" s="537"/>
      <c r="DIX259" s="537"/>
      <c r="DIY259" s="537"/>
      <c r="DIZ259" s="537"/>
      <c r="DJA259" s="537"/>
      <c r="DJB259" s="537"/>
      <c r="DJC259" s="537"/>
      <c r="DJD259" s="537"/>
      <c r="DJE259" s="537"/>
      <c r="DJF259" s="537"/>
      <c r="DJG259" s="537"/>
      <c r="DJH259" s="537"/>
      <c r="DJI259" s="537"/>
      <c r="DJJ259" s="537"/>
      <c r="DJK259" s="537"/>
      <c r="DJL259" s="537"/>
      <c r="DJM259" s="537"/>
      <c r="DJN259" s="537"/>
      <c r="DJO259" s="537"/>
      <c r="DJP259" s="537"/>
      <c r="DJQ259" s="537"/>
      <c r="DJR259" s="537"/>
      <c r="DJS259" s="537"/>
      <c r="DJT259" s="537"/>
      <c r="DJU259" s="537"/>
      <c r="DJV259" s="537"/>
      <c r="DJW259" s="537"/>
      <c r="DJX259" s="537"/>
      <c r="DJY259" s="537"/>
      <c r="DJZ259" s="537"/>
      <c r="DKA259" s="537"/>
      <c r="DKB259" s="537"/>
      <c r="DKC259" s="537"/>
      <c r="DKD259" s="537"/>
      <c r="DKE259" s="537"/>
      <c r="DKF259" s="537"/>
      <c r="DKG259" s="537"/>
      <c r="DKH259" s="537"/>
      <c r="DKI259" s="537"/>
      <c r="DKJ259" s="537"/>
      <c r="DKK259" s="537"/>
      <c r="DKL259" s="537"/>
      <c r="DKM259" s="537"/>
      <c r="DKN259" s="537"/>
      <c r="DKO259" s="537"/>
      <c r="DKP259" s="537"/>
      <c r="DKQ259" s="537"/>
      <c r="DKR259" s="537"/>
      <c r="DKS259" s="537"/>
      <c r="DKT259" s="537"/>
      <c r="DKU259" s="537"/>
      <c r="DKV259" s="537"/>
      <c r="DKW259" s="537"/>
      <c r="DKX259" s="537"/>
      <c r="DKY259" s="537"/>
      <c r="DKZ259" s="537"/>
      <c r="DLA259" s="537"/>
      <c r="DLB259" s="537"/>
      <c r="DLC259" s="537"/>
      <c r="DLD259" s="537"/>
      <c r="DLE259" s="537"/>
      <c r="DLF259" s="537"/>
      <c r="DLG259" s="537"/>
      <c r="DLH259" s="537"/>
      <c r="DLI259" s="537"/>
      <c r="DLJ259" s="537"/>
      <c r="DLK259" s="537"/>
      <c r="DLL259" s="537"/>
      <c r="DLM259" s="537"/>
      <c r="DLN259" s="537"/>
      <c r="DLO259" s="537"/>
      <c r="DLP259" s="537"/>
      <c r="DLQ259" s="537"/>
      <c r="DLR259" s="537"/>
      <c r="DLS259" s="537"/>
      <c r="DLT259" s="537"/>
      <c r="DLU259" s="537"/>
      <c r="DLV259" s="537"/>
      <c r="DLW259" s="537"/>
      <c r="DLX259" s="537"/>
      <c r="DLY259" s="537"/>
      <c r="DLZ259" s="537"/>
      <c r="DMA259" s="537"/>
      <c r="DMB259" s="537"/>
      <c r="DMC259" s="537"/>
      <c r="DMD259" s="537"/>
      <c r="DME259" s="537"/>
      <c r="DMF259" s="537"/>
      <c r="DMG259" s="537"/>
      <c r="DMH259" s="537"/>
      <c r="DMI259" s="537"/>
      <c r="DMJ259" s="537"/>
      <c r="DMK259" s="537"/>
      <c r="DML259" s="537"/>
      <c r="DMM259" s="537"/>
      <c r="DMN259" s="537"/>
      <c r="DMO259" s="537"/>
      <c r="DMP259" s="537"/>
      <c r="DMQ259" s="537"/>
      <c r="DMR259" s="537"/>
      <c r="DMS259" s="537"/>
      <c r="DMT259" s="537"/>
      <c r="DMU259" s="537"/>
      <c r="DMV259" s="537"/>
      <c r="DMW259" s="537"/>
      <c r="DMX259" s="537"/>
      <c r="DMY259" s="537"/>
      <c r="DMZ259" s="537"/>
      <c r="DNA259" s="537"/>
      <c r="DNB259" s="537"/>
      <c r="DNC259" s="537"/>
      <c r="DND259" s="537"/>
      <c r="DNE259" s="537"/>
      <c r="DNF259" s="537"/>
      <c r="DNG259" s="537"/>
      <c r="DNH259" s="537"/>
      <c r="DNI259" s="537"/>
      <c r="DNJ259" s="537"/>
      <c r="DNK259" s="537"/>
      <c r="DNL259" s="537"/>
      <c r="DNM259" s="537"/>
      <c r="DNN259" s="537"/>
      <c r="DNO259" s="537"/>
      <c r="DNP259" s="537"/>
      <c r="DNQ259" s="537"/>
      <c r="DNR259" s="537"/>
      <c r="DNS259" s="537"/>
      <c r="DNT259" s="537"/>
      <c r="DNU259" s="537"/>
      <c r="DNV259" s="537"/>
      <c r="DNW259" s="537"/>
      <c r="DNX259" s="537"/>
      <c r="DNY259" s="537"/>
      <c r="DNZ259" s="537"/>
      <c r="DOA259" s="537"/>
      <c r="DOB259" s="537"/>
      <c r="DOC259" s="537"/>
      <c r="DOD259" s="537"/>
      <c r="DOE259" s="537"/>
      <c r="DOF259" s="537"/>
      <c r="DOG259" s="537"/>
      <c r="DOH259" s="537"/>
      <c r="DOI259" s="537"/>
      <c r="DOJ259" s="537"/>
      <c r="DOK259" s="537"/>
      <c r="DOL259" s="537"/>
      <c r="DOM259" s="537"/>
      <c r="DON259" s="537"/>
      <c r="DOO259" s="537"/>
      <c r="DOP259" s="537"/>
      <c r="DOQ259" s="537"/>
      <c r="DOR259" s="537"/>
      <c r="DOS259" s="537"/>
      <c r="DOT259" s="537"/>
      <c r="DOU259" s="537"/>
      <c r="DOV259" s="537"/>
      <c r="DOW259" s="537"/>
      <c r="DOX259" s="537"/>
      <c r="DOY259" s="537"/>
      <c r="DOZ259" s="537"/>
      <c r="DPA259" s="537"/>
      <c r="DPB259" s="537"/>
      <c r="DPC259" s="537"/>
      <c r="DPD259" s="537"/>
      <c r="DPE259" s="537"/>
      <c r="DPF259" s="537"/>
      <c r="DPG259" s="537"/>
      <c r="DPH259" s="537"/>
      <c r="DPI259" s="537"/>
      <c r="DPJ259" s="537"/>
      <c r="DPK259" s="537"/>
      <c r="DPL259" s="537"/>
      <c r="DPM259" s="537"/>
      <c r="DPN259" s="537"/>
      <c r="DPO259" s="537"/>
      <c r="DPP259" s="537"/>
      <c r="DPQ259" s="537"/>
      <c r="DPR259" s="537"/>
      <c r="DPS259" s="537"/>
      <c r="DPT259" s="537"/>
      <c r="DPU259" s="537"/>
      <c r="DPV259" s="537"/>
      <c r="DPW259" s="537"/>
      <c r="DPX259" s="537"/>
      <c r="DPY259" s="537"/>
      <c r="DPZ259" s="537"/>
      <c r="DQA259" s="537"/>
      <c r="DQB259" s="537"/>
      <c r="DQC259" s="537"/>
      <c r="DQD259" s="537"/>
      <c r="DQE259" s="537"/>
      <c r="DQF259" s="537"/>
      <c r="DQG259" s="537"/>
      <c r="DQH259" s="537"/>
      <c r="DQI259" s="537"/>
      <c r="DQJ259" s="537"/>
      <c r="DQK259" s="537"/>
      <c r="DQL259" s="537"/>
      <c r="DQM259" s="537"/>
      <c r="DQN259" s="537"/>
      <c r="DQO259" s="537"/>
      <c r="DQP259" s="537"/>
      <c r="DQQ259" s="537"/>
      <c r="DQR259" s="537"/>
      <c r="DQS259" s="537"/>
      <c r="DQT259" s="537"/>
      <c r="DQU259" s="537"/>
      <c r="DQV259" s="537"/>
      <c r="DQW259" s="537"/>
      <c r="DQX259" s="537"/>
      <c r="DQY259" s="537"/>
      <c r="DQZ259" s="537"/>
      <c r="DRA259" s="537"/>
      <c r="DRB259" s="537"/>
      <c r="DRC259" s="537"/>
      <c r="DRD259" s="537"/>
      <c r="DRE259" s="537"/>
      <c r="DRF259" s="537"/>
      <c r="DRG259" s="537"/>
      <c r="DRH259" s="537"/>
      <c r="DRI259" s="537"/>
      <c r="DRJ259" s="537"/>
      <c r="DRK259" s="537"/>
      <c r="DRL259" s="537"/>
      <c r="DRM259" s="537"/>
      <c r="DRN259" s="537"/>
      <c r="DRO259" s="537"/>
      <c r="DRP259" s="537"/>
      <c r="DRQ259" s="537"/>
      <c r="DRR259" s="537"/>
      <c r="DRS259" s="537"/>
      <c r="DRT259" s="537"/>
      <c r="DRU259" s="537"/>
      <c r="DRV259" s="537"/>
      <c r="DRW259" s="537"/>
      <c r="DRX259" s="537"/>
      <c r="DRY259" s="537"/>
      <c r="DRZ259" s="537"/>
      <c r="DSA259" s="537"/>
      <c r="DSB259" s="537"/>
      <c r="DSC259" s="537"/>
      <c r="DSD259" s="537"/>
      <c r="DSE259" s="537"/>
      <c r="DSF259" s="537"/>
      <c r="DSG259" s="537"/>
      <c r="DSH259" s="537"/>
      <c r="DSI259" s="537"/>
      <c r="DSJ259" s="537"/>
      <c r="DSK259" s="537"/>
      <c r="DSL259" s="537"/>
      <c r="DSM259" s="537"/>
      <c r="DSN259" s="537"/>
      <c r="DSO259" s="537"/>
      <c r="DSP259" s="537"/>
      <c r="DSQ259" s="537"/>
      <c r="DSR259" s="537"/>
      <c r="DSS259" s="537"/>
      <c r="DST259" s="537"/>
      <c r="DSU259" s="537"/>
      <c r="DSV259" s="537"/>
      <c r="DSW259" s="537"/>
      <c r="DSX259" s="537"/>
      <c r="DSY259" s="537"/>
      <c r="DSZ259" s="537"/>
      <c r="DTA259" s="537"/>
      <c r="DTB259" s="537"/>
      <c r="DTC259" s="537"/>
      <c r="DTD259" s="537"/>
      <c r="DTE259" s="537"/>
      <c r="DTF259" s="537"/>
      <c r="DTG259" s="537"/>
      <c r="DTH259" s="537"/>
      <c r="DTI259" s="537"/>
      <c r="DTJ259" s="537"/>
      <c r="DTK259" s="537"/>
      <c r="DTL259" s="537"/>
      <c r="DTM259" s="537"/>
      <c r="DTN259" s="537"/>
      <c r="DTO259" s="537"/>
      <c r="DTP259" s="537"/>
      <c r="DTQ259" s="537"/>
      <c r="DTR259" s="537"/>
      <c r="DTS259" s="537"/>
      <c r="DTT259" s="537"/>
      <c r="DTU259" s="537"/>
      <c r="DTV259" s="537"/>
      <c r="DTW259" s="537"/>
      <c r="DTX259" s="537"/>
      <c r="DTY259" s="537"/>
      <c r="DTZ259" s="537"/>
      <c r="DUA259" s="537"/>
      <c r="DUB259" s="537"/>
      <c r="DUC259" s="537"/>
      <c r="DUD259" s="537"/>
      <c r="DUE259" s="537"/>
      <c r="DUF259" s="537"/>
      <c r="DUG259" s="537"/>
      <c r="DUH259" s="537"/>
      <c r="DUI259" s="537"/>
      <c r="DUJ259" s="537"/>
      <c r="DUK259" s="537"/>
      <c r="DUL259" s="537"/>
      <c r="DUM259" s="537"/>
      <c r="DUN259" s="537"/>
      <c r="DUO259" s="537"/>
      <c r="DUP259" s="537"/>
      <c r="DUQ259" s="537"/>
      <c r="DUR259" s="537"/>
      <c r="DUS259" s="537"/>
      <c r="DUT259" s="537"/>
      <c r="DUU259" s="537"/>
      <c r="DUV259" s="537"/>
      <c r="DUW259" s="537"/>
      <c r="DUX259" s="537"/>
      <c r="DUY259" s="537"/>
      <c r="DUZ259" s="537"/>
      <c r="DVA259" s="537"/>
      <c r="DVB259" s="537"/>
      <c r="DVC259" s="537"/>
      <c r="DVD259" s="537"/>
      <c r="DVE259" s="537"/>
      <c r="DVF259" s="537"/>
      <c r="DVG259" s="537"/>
      <c r="DVH259" s="537"/>
      <c r="DVI259" s="537"/>
      <c r="DVJ259" s="537"/>
      <c r="DVK259" s="537"/>
      <c r="DVL259" s="537"/>
      <c r="DVM259" s="537"/>
      <c r="DVN259" s="537"/>
      <c r="DVO259" s="537"/>
      <c r="DVP259" s="537"/>
      <c r="DVQ259" s="537"/>
      <c r="DVR259" s="537"/>
      <c r="DVS259" s="537"/>
      <c r="DVT259" s="537"/>
      <c r="DVU259" s="537"/>
      <c r="DVV259" s="537"/>
      <c r="DVW259" s="537"/>
      <c r="DVX259" s="537"/>
      <c r="DVY259" s="537"/>
      <c r="DVZ259" s="537"/>
      <c r="DWA259" s="537"/>
      <c r="DWB259" s="537"/>
      <c r="DWC259" s="537"/>
      <c r="DWD259" s="537"/>
      <c r="DWE259" s="537"/>
      <c r="DWF259" s="537"/>
      <c r="DWG259" s="537"/>
      <c r="DWH259" s="537"/>
      <c r="DWI259" s="537"/>
      <c r="DWJ259" s="537"/>
      <c r="DWK259" s="537"/>
      <c r="DWL259" s="537"/>
      <c r="DWM259" s="537"/>
      <c r="DWN259" s="537"/>
      <c r="DWO259" s="537"/>
      <c r="DWP259" s="537"/>
      <c r="DWQ259" s="537"/>
      <c r="DWR259" s="537"/>
      <c r="DWS259" s="537"/>
      <c r="DWT259" s="537"/>
      <c r="DWU259" s="537"/>
      <c r="DWV259" s="537"/>
      <c r="DWW259" s="537"/>
      <c r="DWX259" s="537"/>
      <c r="DWY259" s="537"/>
      <c r="DWZ259" s="537"/>
      <c r="DXA259" s="537"/>
      <c r="DXB259" s="537"/>
      <c r="DXC259" s="537"/>
      <c r="DXD259" s="537"/>
      <c r="DXE259" s="537"/>
      <c r="DXF259" s="537"/>
      <c r="DXG259" s="537"/>
      <c r="DXH259" s="537"/>
      <c r="DXI259" s="537"/>
      <c r="DXJ259" s="537"/>
      <c r="DXK259" s="537"/>
      <c r="DXL259" s="537"/>
      <c r="DXM259" s="537"/>
      <c r="DXN259" s="537"/>
      <c r="DXO259" s="537"/>
      <c r="DXP259" s="537"/>
      <c r="DXQ259" s="537"/>
      <c r="DXR259" s="537"/>
      <c r="DXS259" s="537"/>
      <c r="DXT259" s="537"/>
      <c r="DXU259" s="537"/>
      <c r="DXV259" s="537"/>
      <c r="DXW259" s="537"/>
      <c r="DXX259" s="537"/>
      <c r="DXY259" s="537"/>
      <c r="DXZ259" s="537"/>
      <c r="DYA259" s="537"/>
      <c r="DYB259" s="537"/>
      <c r="DYC259" s="537"/>
      <c r="DYD259" s="537"/>
      <c r="DYE259" s="537"/>
      <c r="DYF259" s="537"/>
      <c r="DYG259" s="537"/>
      <c r="DYH259" s="537"/>
      <c r="DYI259" s="537"/>
      <c r="DYJ259" s="537"/>
      <c r="DYK259" s="537"/>
      <c r="DYL259" s="537"/>
      <c r="DYM259" s="537"/>
      <c r="DYN259" s="537"/>
      <c r="DYO259" s="537"/>
      <c r="DYP259" s="537"/>
      <c r="DYQ259" s="537"/>
      <c r="DYR259" s="537"/>
      <c r="DYS259" s="537"/>
      <c r="DYT259" s="537"/>
      <c r="DYU259" s="537"/>
      <c r="DYV259" s="537"/>
      <c r="DYW259" s="537"/>
      <c r="DYX259" s="537"/>
      <c r="DYY259" s="537"/>
      <c r="DYZ259" s="537"/>
      <c r="DZA259" s="537"/>
      <c r="DZB259" s="537"/>
      <c r="DZC259" s="537"/>
      <c r="DZD259" s="537"/>
      <c r="DZE259" s="537"/>
      <c r="DZF259" s="537"/>
      <c r="DZG259" s="537"/>
      <c r="DZH259" s="537"/>
      <c r="DZI259" s="537"/>
      <c r="DZJ259" s="537"/>
      <c r="DZK259" s="537"/>
      <c r="DZL259" s="537"/>
      <c r="DZM259" s="537"/>
      <c r="DZN259" s="537"/>
      <c r="DZO259" s="537"/>
      <c r="DZP259" s="537"/>
      <c r="DZQ259" s="537"/>
      <c r="DZR259" s="537"/>
      <c r="DZS259" s="537"/>
      <c r="DZT259" s="537"/>
      <c r="DZU259" s="537"/>
      <c r="DZV259" s="537"/>
      <c r="DZW259" s="537"/>
      <c r="DZX259" s="537"/>
      <c r="DZY259" s="537"/>
      <c r="DZZ259" s="537"/>
      <c r="EAA259" s="537"/>
      <c r="EAB259" s="537"/>
      <c r="EAC259" s="537"/>
      <c r="EAD259" s="537"/>
      <c r="EAE259" s="537"/>
      <c r="EAF259" s="537"/>
      <c r="EAG259" s="537"/>
      <c r="EAH259" s="537"/>
      <c r="EAI259" s="537"/>
      <c r="EAJ259" s="537"/>
      <c r="EAK259" s="537"/>
      <c r="EAL259" s="537"/>
      <c r="EAM259" s="537"/>
      <c r="EAN259" s="537"/>
      <c r="EAO259" s="537"/>
      <c r="EAP259" s="537"/>
      <c r="EAQ259" s="537"/>
      <c r="EAR259" s="537"/>
      <c r="EAS259" s="537"/>
      <c r="EAT259" s="537"/>
      <c r="EAU259" s="537"/>
      <c r="EAV259" s="537"/>
      <c r="EAW259" s="537"/>
      <c r="EAX259" s="537"/>
      <c r="EAY259" s="537"/>
      <c r="EAZ259" s="537"/>
      <c r="EBA259" s="537"/>
      <c r="EBB259" s="537"/>
      <c r="EBC259" s="537"/>
      <c r="EBD259" s="537"/>
      <c r="EBE259" s="537"/>
      <c r="EBF259" s="537"/>
      <c r="EBG259" s="537"/>
      <c r="EBH259" s="537"/>
      <c r="EBI259" s="537"/>
      <c r="EBJ259" s="537"/>
      <c r="EBK259" s="537"/>
      <c r="EBL259" s="537"/>
      <c r="EBM259" s="537"/>
      <c r="EBN259" s="537"/>
      <c r="EBO259" s="537"/>
      <c r="EBP259" s="537"/>
      <c r="EBQ259" s="537"/>
      <c r="EBR259" s="537"/>
      <c r="EBS259" s="537"/>
      <c r="EBT259" s="537"/>
      <c r="EBU259" s="537"/>
      <c r="EBV259" s="537"/>
      <c r="EBW259" s="537"/>
      <c r="EBX259" s="537"/>
      <c r="EBY259" s="537"/>
      <c r="EBZ259" s="537"/>
      <c r="ECA259" s="537"/>
      <c r="ECB259" s="537"/>
      <c r="ECC259" s="537"/>
      <c r="ECD259" s="537"/>
      <c r="ECE259" s="537"/>
      <c r="ECF259" s="537"/>
      <c r="ECG259" s="537"/>
      <c r="ECH259" s="537"/>
      <c r="ECI259" s="537"/>
      <c r="ECJ259" s="537"/>
      <c r="ECK259" s="537"/>
      <c r="ECL259" s="537"/>
      <c r="ECM259" s="537"/>
      <c r="ECN259" s="537"/>
      <c r="ECO259" s="537"/>
      <c r="ECP259" s="537"/>
      <c r="ECQ259" s="537"/>
      <c r="ECR259" s="537"/>
      <c r="ECS259" s="537"/>
      <c r="ECT259" s="537"/>
      <c r="ECU259" s="537"/>
      <c r="ECV259" s="537"/>
      <c r="ECW259" s="537"/>
      <c r="ECX259" s="537"/>
      <c r="ECY259" s="537"/>
      <c r="ECZ259" s="537"/>
      <c r="EDA259" s="537"/>
      <c r="EDB259" s="537"/>
      <c r="EDC259" s="537"/>
      <c r="EDD259" s="537"/>
      <c r="EDE259" s="537"/>
      <c r="EDF259" s="537"/>
      <c r="EDG259" s="537"/>
      <c r="EDH259" s="537"/>
      <c r="EDI259" s="537"/>
      <c r="EDJ259" s="537"/>
      <c r="EDK259" s="537"/>
      <c r="EDL259" s="537"/>
      <c r="EDM259" s="537"/>
      <c r="EDN259" s="537"/>
      <c r="EDO259" s="537"/>
      <c r="EDP259" s="537"/>
      <c r="EDQ259" s="537"/>
      <c r="EDR259" s="537"/>
      <c r="EDS259" s="537"/>
      <c r="EDT259" s="537"/>
      <c r="EDU259" s="537"/>
      <c r="EDV259" s="537"/>
      <c r="EDW259" s="537"/>
      <c r="EDX259" s="537"/>
      <c r="EDY259" s="537"/>
      <c r="EDZ259" s="537"/>
      <c r="EEA259" s="537"/>
      <c r="EEB259" s="537"/>
      <c r="EEC259" s="537"/>
      <c r="EED259" s="537"/>
      <c r="EEE259" s="537"/>
      <c r="EEF259" s="537"/>
      <c r="EEG259" s="537"/>
      <c r="EEH259" s="537"/>
      <c r="EEI259" s="537"/>
      <c r="EEJ259" s="537"/>
      <c r="EEK259" s="537"/>
      <c r="EEL259" s="537"/>
      <c r="EEM259" s="537"/>
      <c r="EEN259" s="537"/>
      <c r="EEO259" s="537"/>
      <c r="EEP259" s="537"/>
      <c r="EEQ259" s="537"/>
      <c r="EER259" s="537"/>
      <c r="EES259" s="537"/>
      <c r="EET259" s="537"/>
      <c r="EEU259" s="537"/>
      <c r="EEV259" s="537"/>
      <c r="EEW259" s="537"/>
      <c r="EEX259" s="537"/>
      <c r="EEY259" s="537"/>
      <c r="EEZ259" s="537"/>
      <c r="EFA259" s="537"/>
      <c r="EFB259" s="537"/>
      <c r="EFC259" s="537"/>
      <c r="EFD259" s="537"/>
      <c r="EFE259" s="537"/>
      <c r="EFF259" s="537"/>
      <c r="EFG259" s="537"/>
      <c r="EFH259" s="537"/>
      <c r="EFI259" s="537"/>
      <c r="EFJ259" s="537"/>
      <c r="EFK259" s="537"/>
      <c r="EFL259" s="537"/>
      <c r="EFM259" s="537"/>
      <c r="EFN259" s="537"/>
      <c r="EFO259" s="537"/>
      <c r="EFP259" s="537"/>
      <c r="EFQ259" s="537"/>
      <c r="EFR259" s="537"/>
      <c r="EFS259" s="537"/>
      <c r="EFT259" s="537"/>
      <c r="EFU259" s="537"/>
      <c r="EFV259" s="537"/>
      <c r="EFW259" s="537"/>
      <c r="EFX259" s="537"/>
      <c r="EFY259" s="537"/>
      <c r="EFZ259" s="537"/>
      <c r="EGA259" s="537"/>
      <c r="EGB259" s="537"/>
      <c r="EGC259" s="537"/>
      <c r="EGD259" s="537"/>
      <c r="EGE259" s="537"/>
      <c r="EGF259" s="537"/>
      <c r="EGG259" s="537"/>
      <c r="EGH259" s="537"/>
      <c r="EGI259" s="537"/>
      <c r="EGJ259" s="537"/>
      <c r="EGK259" s="537"/>
      <c r="EGL259" s="537"/>
      <c r="EGM259" s="537"/>
      <c r="EGN259" s="537"/>
      <c r="EGO259" s="537"/>
      <c r="EGP259" s="537"/>
      <c r="EGQ259" s="537"/>
      <c r="EGR259" s="537"/>
      <c r="EGS259" s="537"/>
      <c r="EGT259" s="537"/>
      <c r="EGU259" s="537"/>
      <c r="EGV259" s="537"/>
      <c r="EGW259" s="537"/>
      <c r="EGX259" s="537"/>
      <c r="EGY259" s="537"/>
      <c r="EGZ259" s="537"/>
      <c r="EHA259" s="537"/>
      <c r="EHB259" s="537"/>
      <c r="EHC259" s="537"/>
      <c r="EHD259" s="537"/>
      <c r="EHE259" s="537"/>
      <c r="EHF259" s="537"/>
      <c r="EHG259" s="537"/>
      <c r="EHH259" s="537"/>
      <c r="EHI259" s="537"/>
      <c r="EHJ259" s="537"/>
      <c r="EHK259" s="537"/>
      <c r="EHL259" s="537"/>
      <c r="EHM259" s="537"/>
      <c r="EHN259" s="537"/>
      <c r="EHO259" s="537"/>
      <c r="EHP259" s="537"/>
      <c r="EHQ259" s="537"/>
      <c r="EHR259" s="537"/>
      <c r="EHS259" s="537"/>
      <c r="EHT259" s="537"/>
      <c r="EHU259" s="537"/>
      <c r="EHV259" s="537"/>
      <c r="EHW259" s="537"/>
      <c r="EHX259" s="537"/>
      <c r="EHY259" s="537"/>
      <c r="EHZ259" s="537"/>
      <c r="EIA259" s="537"/>
      <c r="EIB259" s="537"/>
      <c r="EIC259" s="537"/>
      <c r="EID259" s="537"/>
      <c r="EIE259" s="537"/>
      <c r="EIF259" s="537"/>
      <c r="EIG259" s="537"/>
      <c r="EIH259" s="537"/>
      <c r="EII259" s="537"/>
      <c r="EIJ259" s="537"/>
      <c r="EIK259" s="537"/>
      <c r="EIL259" s="537"/>
      <c r="EIM259" s="537"/>
      <c r="EIN259" s="537"/>
      <c r="EIO259" s="537"/>
      <c r="EIP259" s="537"/>
      <c r="EIQ259" s="537"/>
      <c r="EIR259" s="537"/>
      <c r="EIS259" s="537"/>
      <c r="EIT259" s="537"/>
      <c r="EIU259" s="537"/>
      <c r="EIV259" s="537"/>
      <c r="EIW259" s="537"/>
      <c r="EIX259" s="537"/>
      <c r="EIY259" s="537"/>
      <c r="EIZ259" s="537"/>
      <c r="EJA259" s="537"/>
      <c r="EJB259" s="537"/>
      <c r="EJC259" s="537"/>
      <c r="EJD259" s="537"/>
      <c r="EJE259" s="537"/>
      <c r="EJF259" s="537"/>
      <c r="EJG259" s="537"/>
      <c r="EJH259" s="537"/>
      <c r="EJI259" s="537"/>
      <c r="EJJ259" s="537"/>
      <c r="EJK259" s="537"/>
      <c r="EJL259" s="537"/>
      <c r="EJM259" s="537"/>
      <c r="EJN259" s="537"/>
      <c r="EJO259" s="537"/>
      <c r="EJP259" s="537"/>
      <c r="EJQ259" s="537"/>
      <c r="EJR259" s="537"/>
      <c r="EJS259" s="537"/>
      <c r="EJT259" s="537"/>
      <c r="EJU259" s="537"/>
      <c r="EJV259" s="537"/>
      <c r="EJW259" s="537"/>
      <c r="EJX259" s="537"/>
      <c r="EJY259" s="537"/>
      <c r="EJZ259" s="537"/>
      <c r="EKA259" s="537"/>
      <c r="EKB259" s="537"/>
      <c r="EKC259" s="537"/>
      <c r="EKD259" s="537"/>
      <c r="EKE259" s="537"/>
      <c r="EKF259" s="537"/>
      <c r="EKG259" s="537"/>
      <c r="EKH259" s="537"/>
      <c r="EKI259" s="537"/>
      <c r="EKJ259" s="537"/>
      <c r="EKK259" s="537"/>
      <c r="EKL259" s="537"/>
      <c r="EKM259" s="537"/>
      <c r="EKN259" s="537"/>
      <c r="EKO259" s="537"/>
      <c r="EKP259" s="537"/>
      <c r="EKQ259" s="537"/>
      <c r="EKR259" s="537"/>
      <c r="EKS259" s="537"/>
      <c r="EKT259" s="537"/>
      <c r="EKU259" s="537"/>
      <c r="EKV259" s="537"/>
      <c r="EKW259" s="537"/>
      <c r="EKX259" s="537"/>
      <c r="EKY259" s="537"/>
      <c r="EKZ259" s="537"/>
      <c r="ELA259" s="537"/>
      <c r="ELB259" s="537"/>
      <c r="ELC259" s="537"/>
      <c r="ELD259" s="537"/>
      <c r="ELE259" s="537"/>
      <c r="ELF259" s="537"/>
      <c r="ELG259" s="537"/>
      <c r="ELH259" s="537"/>
      <c r="ELI259" s="537"/>
      <c r="ELJ259" s="537"/>
      <c r="ELK259" s="537"/>
      <c r="ELL259" s="537"/>
      <c r="ELM259" s="537"/>
      <c r="ELN259" s="537"/>
      <c r="ELO259" s="537"/>
      <c r="ELP259" s="537"/>
      <c r="ELQ259" s="537"/>
      <c r="ELR259" s="537"/>
      <c r="ELS259" s="537"/>
      <c r="ELT259" s="537"/>
      <c r="ELU259" s="537"/>
      <c r="ELV259" s="537"/>
      <c r="ELW259" s="537"/>
      <c r="ELX259" s="537"/>
      <c r="ELY259" s="537"/>
      <c r="ELZ259" s="537"/>
      <c r="EMA259" s="537"/>
      <c r="EMB259" s="537"/>
      <c r="EMC259" s="537"/>
      <c r="EMD259" s="537"/>
      <c r="EME259" s="537"/>
      <c r="EMF259" s="537"/>
      <c r="EMG259" s="537"/>
      <c r="EMH259" s="537"/>
      <c r="EMI259" s="537"/>
      <c r="EMJ259" s="537"/>
      <c r="EMK259" s="537"/>
      <c r="EML259" s="537"/>
      <c r="EMM259" s="537"/>
      <c r="EMN259" s="537"/>
      <c r="EMO259" s="537"/>
      <c r="EMP259" s="537"/>
      <c r="EMQ259" s="537"/>
      <c r="EMR259" s="537"/>
      <c r="EMS259" s="537"/>
      <c r="EMT259" s="537"/>
      <c r="EMU259" s="537"/>
      <c r="EMV259" s="537"/>
      <c r="EMW259" s="537"/>
      <c r="EMX259" s="537"/>
      <c r="EMY259" s="537"/>
      <c r="EMZ259" s="537"/>
      <c r="ENA259" s="537"/>
      <c r="ENB259" s="537"/>
      <c r="ENC259" s="537"/>
      <c r="END259" s="537"/>
      <c r="ENE259" s="537"/>
      <c r="ENF259" s="537"/>
      <c r="ENG259" s="537"/>
      <c r="ENH259" s="537"/>
      <c r="ENI259" s="537"/>
      <c r="ENJ259" s="537"/>
      <c r="ENK259" s="537"/>
      <c r="ENL259" s="537"/>
      <c r="ENM259" s="537"/>
      <c r="ENN259" s="537"/>
      <c r="ENO259" s="537"/>
      <c r="ENP259" s="537"/>
      <c r="ENQ259" s="537"/>
      <c r="ENR259" s="537"/>
      <c r="ENS259" s="537"/>
      <c r="ENT259" s="537"/>
      <c r="ENU259" s="537"/>
      <c r="ENV259" s="537"/>
      <c r="ENW259" s="537"/>
      <c r="ENX259" s="537"/>
      <c r="ENY259" s="537"/>
      <c r="ENZ259" s="537"/>
      <c r="EOA259" s="537"/>
      <c r="EOB259" s="537"/>
      <c r="EOC259" s="537"/>
      <c r="EOD259" s="537"/>
      <c r="EOE259" s="537"/>
      <c r="EOF259" s="537"/>
      <c r="EOG259" s="537"/>
      <c r="EOH259" s="537"/>
      <c r="EOI259" s="537"/>
      <c r="EOJ259" s="537"/>
      <c r="EOK259" s="537"/>
      <c r="EOL259" s="537"/>
      <c r="EOM259" s="537"/>
      <c r="EON259" s="537"/>
      <c r="EOO259" s="537"/>
      <c r="EOP259" s="537"/>
      <c r="EOQ259" s="537"/>
      <c r="EOR259" s="537"/>
      <c r="EOS259" s="537"/>
      <c r="EOT259" s="537"/>
      <c r="EOU259" s="537"/>
      <c r="EOV259" s="537"/>
      <c r="EOW259" s="537"/>
      <c r="EOX259" s="537"/>
      <c r="EOY259" s="537"/>
      <c r="EOZ259" s="537"/>
      <c r="EPA259" s="537"/>
      <c r="EPB259" s="537"/>
      <c r="EPC259" s="537"/>
      <c r="EPD259" s="537"/>
      <c r="EPE259" s="537"/>
      <c r="EPF259" s="537"/>
      <c r="EPG259" s="537"/>
      <c r="EPH259" s="537"/>
      <c r="EPI259" s="537"/>
      <c r="EPJ259" s="537"/>
      <c r="EPK259" s="537"/>
      <c r="EPL259" s="537"/>
      <c r="EPM259" s="537"/>
      <c r="EPN259" s="537"/>
      <c r="EPO259" s="537"/>
      <c r="EPP259" s="537"/>
      <c r="EPQ259" s="537"/>
      <c r="EPR259" s="537"/>
      <c r="EPS259" s="537"/>
      <c r="EPT259" s="537"/>
      <c r="EPU259" s="537"/>
      <c r="EPV259" s="537"/>
      <c r="EPW259" s="537"/>
      <c r="EPX259" s="537"/>
      <c r="EPY259" s="537"/>
      <c r="EPZ259" s="537"/>
      <c r="EQA259" s="537"/>
      <c r="EQB259" s="537"/>
      <c r="EQC259" s="537"/>
      <c r="EQD259" s="537"/>
      <c r="EQE259" s="537"/>
      <c r="EQF259" s="537"/>
      <c r="EQG259" s="537"/>
      <c r="EQH259" s="537"/>
      <c r="EQI259" s="537"/>
      <c r="EQJ259" s="537"/>
      <c r="EQK259" s="537"/>
      <c r="EQL259" s="537"/>
      <c r="EQM259" s="537"/>
      <c r="EQN259" s="537"/>
      <c r="EQO259" s="537"/>
      <c r="EQP259" s="537"/>
      <c r="EQQ259" s="537"/>
      <c r="EQR259" s="537"/>
      <c r="EQS259" s="537"/>
      <c r="EQT259" s="537"/>
      <c r="EQU259" s="537"/>
      <c r="EQV259" s="537"/>
      <c r="EQW259" s="537"/>
      <c r="EQX259" s="537"/>
      <c r="EQY259" s="537"/>
      <c r="EQZ259" s="537"/>
      <c r="ERA259" s="537"/>
      <c r="ERB259" s="537"/>
      <c r="ERC259" s="537"/>
      <c r="ERD259" s="537"/>
      <c r="ERE259" s="537"/>
      <c r="ERF259" s="537"/>
      <c r="ERG259" s="537"/>
      <c r="ERH259" s="537"/>
      <c r="ERI259" s="537"/>
      <c r="ERJ259" s="537"/>
      <c r="ERK259" s="537"/>
      <c r="ERL259" s="537"/>
      <c r="ERM259" s="537"/>
      <c r="ERN259" s="537"/>
      <c r="ERO259" s="537"/>
      <c r="ERP259" s="537"/>
      <c r="ERQ259" s="537"/>
      <c r="ERR259" s="537"/>
      <c r="ERS259" s="537"/>
      <c r="ERT259" s="537"/>
      <c r="ERU259" s="537"/>
      <c r="ERV259" s="537"/>
      <c r="ERW259" s="537"/>
      <c r="ERX259" s="537"/>
      <c r="ERY259" s="537"/>
      <c r="ERZ259" s="537"/>
      <c r="ESA259" s="537"/>
      <c r="ESB259" s="537"/>
      <c r="ESC259" s="537"/>
      <c r="ESD259" s="537"/>
      <c r="ESE259" s="537"/>
      <c r="ESF259" s="537"/>
      <c r="ESG259" s="537"/>
      <c r="ESH259" s="537"/>
      <c r="ESI259" s="537"/>
      <c r="ESJ259" s="537"/>
      <c r="ESK259" s="537"/>
      <c r="ESL259" s="537"/>
      <c r="ESM259" s="537"/>
      <c r="ESN259" s="537"/>
      <c r="ESO259" s="537"/>
      <c r="ESP259" s="537"/>
      <c r="ESQ259" s="537"/>
      <c r="ESR259" s="537"/>
      <c r="ESS259" s="537"/>
      <c r="EST259" s="537"/>
      <c r="ESU259" s="537"/>
      <c r="ESV259" s="537"/>
      <c r="ESW259" s="537"/>
      <c r="ESX259" s="537"/>
      <c r="ESY259" s="537"/>
      <c r="ESZ259" s="537"/>
      <c r="ETA259" s="537"/>
      <c r="ETB259" s="537"/>
      <c r="ETC259" s="537"/>
      <c r="ETD259" s="537"/>
      <c r="ETE259" s="537"/>
      <c r="ETF259" s="537"/>
      <c r="ETG259" s="537"/>
      <c r="ETH259" s="537"/>
      <c r="ETI259" s="537"/>
      <c r="ETJ259" s="537"/>
      <c r="ETK259" s="537"/>
      <c r="ETL259" s="537"/>
      <c r="ETM259" s="537"/>
      <c r="ETN259" s="537"/>
      <c r="ETO259" s="537"/>
      <c r="ETP259" s="537"/>
      <c r="ETQ259" s="537"/>
      <c r="ETR259" s="537"/>
      <c r="ETS259" s="537"/>
      <c r="ETT259" s="537"/>
      <c r="ETU259" s="537"/>
      <c r="ETV259" s="537"/>
      <c r="ETW259" s="537"/>
      <c r="ETX259" s="537"/>
      <c r="ETY259" s="537"/>
      <c r="ETZ259" s="537"/>
      <c r="EUA259" s="537"/>
      <c r="EUB259" s="537"/>
      <c r="EUC259" s="537"/>
      <c r="EUD259" s="537"/>
      <c r="EUE259" s="537"/>
      <c r="EUF259" s="537"/>
      <c r="EUG259" s="537"/>
      <c r="EUH259" s="537"/>
      <c r="EUI259" s="537"/>
      <c r="EUJ259" s="537"/>
      <c r="EUK259" s="537"/>
      <c r="EUL259" s="537"/>
      <c r="EUM259" s="537"/>
      <c r="EUN259" s="537"/>
      <c r="EUO259" s="537"/>
      <c r="EUP259" s="537"/>
      <c r="EUQ259" s="537"/>
      <c r="EUR259" s="537"/>
      <c r="EUS259" s="537"/>
      <c r="EUT259" s="537"/>
      <c r="EUU259" s="537"/>
      <c r="EUV259" s="537"/>
      <c r="EUW259" s="537"/>
      <c r="EUX259" s="537"/>
      <c r="EUY259" s="537"/>
      <c r="EUZ259" s="537"/>
      <c r="EVA259" s="537"/>
      <c r="EVB259" s="537"/>
      <c r="EVC259" s="537"/>
      <c r="EVD259" s="537"/>
      <c r="EVE259" s="537"/>
      <c r="EVF259" s="537"/>
      <c r="EVG259" s="537"/>
      <c r="EVH259" s="537"/>
      <c r="EVI259" s="537"/>
      <c r="EVJ259" s="537"/>
      <c r="EVK259" s="537"/>
      <c r="EVL259" s="537"/>
      <c r="EVM259" s="537"/>
      <c r="EVN259" s="537"/>
      <c r="EVO259" s="537"/>
      <c r="EVP259" s="537"/>
      <c r="EVQ259" s="537"/>
      <c r="EVR259" s="537"/>
      <c r="EVS259" s="537"/>
      <c r="EVT259" s="537"/>
      <c r="EVU259" s="537"/>
      <c r="EVV259" s="537"/>
      <c r="EVW259" s="537"/>
      <c r="EVX259" s="537"/>
      <c r="EVY259" s="537"/>
      <c r="EVZ259" s="537"/>
      <c r="EWA259" s="537"/>
      <c r="EWB259" s="537"/>
      <c r="EWC259" s="537"/>
      <c r="EWD259" s="537"/>
      <c r="EWE259" s="537"/>
      <c r="EWF259" s="537"/>
      <c r="EWG259" s="537"/>
      <c r="EWH259" s="537"/>
      <c r="EWI259" s="537"/>
      <c r="EWJ259" s="537"/>
      <c r="EWK259" s="537"/>
      <c r="EWL259" s="537"/>
      <c r="EWM259" s="537"/>
      <c r="EWN259" s="537"/>
      <c r="EWO259" s="537"/>
      <c r="EWP259" s="537"/>
      <c r="EWQ259" s="537"/>
      <c r="EWR259" s="537"/>
      <c r="EWS259" s="537"/>
      <c r="EWT259" s="537"/>
      <c r="EWU259" s="537"/>
      <c r="EWV259" s="537"/>
      <c r="EWW259" s="537"/>
      <c r="EWX259" s="537"/>
      <c r="EWY259" s="537"/>
      <c r="EWZ259" s="537"/>
      <c r="EXA259" s="537"/>
      <c r="EXB259" s="537"/>
      <c r="EXC259" s="537"/>
      <c r="EXD259" s="537"/>
      <c r="EXE259" s="537"/>
      <c r="EXF259" s="537"/>
      <c r="EXG259" s="537"/>
      <c r="EXH259" s="537"/>
      <c r="EXI259" s="537"/>
      <c r="EXJ259" s="537"/>
      <c r="EXK259" s="537"/>
      <c r="EXL259" s="537"/>
      <c r="EXM259" s="537"/>
      <c r="EXN259" s="537"/>
      <c r="EXO259" s="537"/>
      <c r="EXP259" s="537"/>
      <c r="EXQ259" s="537"/>
      <c r="EXR259" s="537"/>
      <c r="EXS259" s="537"/>
      <c r="EXT259" s="537"/>
      <c r="EXU259" s="537"/>
      <c r="EXV259" s="537"/>
      <c r="EXW259" s="537"/>
      <c r="EXX259" s="537"/>
      <c r="EXY259" s="537"/>
      <c r="EXZ259" s="537"/>
      <c r="EYA259" s="537"/>
      <c r="EYB259" s="537"/>
      <c r="EYC259" s="537"/>
      <c r="EYD259" s="537"/>
      <c r="EYE259" s="537"/>
      <c r="EYF259" s="537"/>
      <c r="EYG259" s="537"/>
      <c r="EYH259" s="537"/>
      <c r="EYI259" s="537"/>
      <c r="EYJ259" s="537"/>
      <c r="EYK259" s="537"/>
      <c r="EYL259" s="537"/>
      <c r="EYM259" s="537"/>
      <c r="EYN259" s="537"/>
      <c r="EYO259" s="537"/>
      <c r="EYP259" s="537"/>
      <c r="EYQ259" s="537"/>
      <c r="EYR259" s="537"/>
      <c r="EYS259" s="537"/>
      <c r="EYT259" s="537"/>
      <c r="EYU259" s="537"/>
      <c r="EYV259" s="537"/>
      <c r="EYW259" s="537"/>
      <c r="EYX259" s="537"/>
      <c r="EYY259" s="537"/>
      <c r="EYZ259" s="537"/>
      <c r="EZA259" s="537"/>
      <c r="EZB259" s="537"/>
      <c r="EZC259" s="537"/>
      <c r="EZD259" s="537"/>
      <c r="EZE259" s="537"/>
      <c r="EZF259" s="537"/>
      <c r="EZG259" s="537"/>
      <c r="EZH259" s="537"/>
      <c r="EZI259" s="537"/>
      <c r="EZJ259" s="537"/>
      <c r="EZK259" s="537"/>
      <c r="EZL259" s="537"/>
      <c r="EZM259" s="537"/>
      <c r="EZN259" s="537"/>
      <c r="EZO259" s="537"/>
      <c r="EZP259" s="537"/>
      <c r="EZQ259" s="537"/>
      <c r="EZR259" s="537"/>
      <c r="EZS259" s="537"/>
      <c r="EZT259" s="537"/>
      <c r="EZU259" s="537"/>
      <c r="EZV259" s="537"/>
      <c r="EZW259" s="537"/>
      <c r="EZX259" s="537"/>
      <c r="EZY259" s="537"/>
      <c r="EZZ259" s="537"/>
      <c r="FAA259" s="537"/>
      <c r="FAB259" s="537"/>
      <c r="FAC259" s="537"/>
      <c r="FAD259" s="537"/>
      <c r="FAE259" s="537"/>
      <c r="FAF259" s="537"/>
      <c r="FAG259" s="537"/>
      <c r="FAH259" s="537"/>
      <c r="FAI259" s="537"/>
      <c r="FAJ259" s="537"/>
      <c r="FAK259" s="537"/>
      <c r="FAL259" s="537"/>
      <c r="FAM259" s="537"/>
      <c r="FAN259" s="537"/>
      <c r="FAO259" s="537"/>
      <c r="FAP259" s="537"/>
      <c r="FAQ259" s="537"/>
      <c r="FAR259" s="537"/>
      <c r="FAS259" s="537"/>
      <c r="FAT259" s="537"/>
      <c r="FAU259" s="537"/>
      <c r="FAV259" s="537"/>
      <c r="FAW259" s="537"/>
      <c r="FAX259" s="537"/>
      <c r="FAY259" s="537"/>
      <c r="FAZ259" s="537"/>
      <c r="FBA259" s="537"/>
      <c r="FBB259" s="537"/>
      <c r="FBC259" s="537"/>
      <c r="FBD259" s="537"/>
      <c r="FBE259" s="537"/>
      <c r="FBF259" s="537"/>
      <c r="FBG259" s="537"/>
      <c r="FBH259" s="537"/>
      <c r="FBI259" s="537"/>
      <c r="FBJ259" s="537"/>
      <c r="FBK259" s="537"/>
      <c r="FBL259" s="537"/>
      <c r="FBM259" s="537"/>
      <c r="FBN259" s="537"/>
      <c r="FBO259" s="537"/>
      <c r="FBP259" s="537"/>
      <c r="FBQ259" s="537"/>
      <c r="FBR259" s="537"/>
      <c r="FBS259" s="537"/>
      <c r="FBT259" s="537"/>
      <c r="FBU259" s="537"/>
      <c r="FBV259" s="537"/>
      <c r="FBW259" s="537"/>
      <c r="FBX259" s="537"/>
      <c r="FBY259" s="537"/>
      <c r="FBZ259" s="537"/>
      <c r="FCA259" s="537"/>
      <c r="FCB259" s="537"/>
      <c r="FCC259" s="537"/>
      <c r="FCD259" s="537"/>
      <c r="FCE259" s="537"/>
      <c r="FCF259" s="537"/>
      <c r="FCG259" s="537"/>
      <c r="FCH259" s="537"/>
      <c r="FCI259" s="537"/>
      <c r="FCJ259" s="537"/>
      <c r="FCK259" s="537"/>
      <c r="FCL259" s="537"/>
      <c r="FCM259" s="537"/>
      <c r="FCN259" s="537"/>
      <c r="FCO259" s="537"/>
      <c r="FCP259" s="537"/>
      <c r="FCQ259" s="537"/>
      <c r="FCR259" s="537"/>
      <c r="FCS259" s="537"/>
      <c r="FCT259" s="537"/>
      <c r="FCU259" s="537"/>
      <c r="FCV259" s="537"/>
      <c r="FCW259" s="537"/>
      <c r="FCX259" s="537"/>
      <c r="FCY259" s="537"/>
      <c r="FCZ259" s="537"/>
      <c r="FDA259" s="537"/>
      <c r="FDB259" s="537"/>
      <c r="FDC259" s="537"/>
      <c r="FDD259" s="537"/>
      <c r="FDE259" s="537"/>
      <c r="FDF259" s="537"/>
      <c r="FDG259" s="537"/>
      <c r="FDH259" s="537"/>
      <c r="FDI259" s="537"/>
      <c r="FDJ259" s="537"/>
      <c r="FDK259" s="537"/>
      <c r="FDL259" s="537"/>
      <c r="FDM259" s="537"/>
      <c r="FDN259" s="537"/>
      <c r="FDO259" s="537"/>
      <c r="FDP259" s="537"/>
      <c r="FDQ259" s="537"/>
      <c r="FDR259" s="537"/>
      <c r="FDS259" s="537"/>
      <c r="FDT259" s="537"/>
      <c r="FDU259" s="537"/>
      <c r="FDV259" s="537"/>
      <c r="FDW259" s="537"/>
      <c r="FDX259" s="537"/>
      <c r="FDY259" s="537"/>
      <c r="FDZ259" s="537"/>
      <c r="FEA259" s="537"/>
      <c r="FEB259" s="537"/>
      <c r="FEC259" s="537"/>
      <c r="FED259" s="537"/>
      <c r="FEE259" s="537"/>
      <c r="FEF259" s="537"/>
      <c r="FEG259" s="537"/>
      <c r="FEH259" s="537"/>
      <c r="FEI259" s="537"/>
      <c r="FEJ259" s="537"/>
      <c r="FEK259" s="537"/>
      <c r="FEL259" s="537"/>
      <c r="FEM259" s="537"/>
      <c r="FEN259" s="537"/>
      <c r="FEO259" s="537"/>
      <c r="FEP259" s="537"/>
      <c r="FEQ259" s="537"/>
      <c r="FER259" s="537"/>
      <c r="FES259" s="537"/>
      <c r="FET259" s="537"/>
      <c r="FEU259" s="537"/>
      <c r="FEV259" s="537"/>
      <c r="FEW259" s="537"/>
      <c r="FEX259" s="537"/>
      <c r="FEY259" s="537"/>
      <c r="FEZ259" s="537"/>
      <c r="FFA259" s="537"/>
      <c r="FFB259" s="537"/>
      <c r="FFC259" s="537"/>
      <c r="FFD259" s="537"/>
      <c r="FFE259" s="537"/>
      <c r="FFF259" s="537"/>
      <c r="FFG259" s="537"/>
      <c r="FFH259" s="537"/>
      <c r="FFI259" s="537"/>
      <c r="FFJ259" s="537"/>
      <c r="FFK259" s="537"/>
      <c r="FFL259" s="537"/>
      <c r="FFM259" s="537"/>
      <c r="FFN259" s="537"/>
      <c r="FFO259" s="537"/>
      <c r="FFP259" s="537"/>
      <c r="FFQ259" s="537"/>
      <c r="FFR259" s="537"/>
      <c r="FFS259" s="537"/>
      <c r="FFT259" s="537"/>
      <c r="FFU259" s="537"/>
      <c r="FFV259" s="537"/>
      <c r="FFW259" s="537"/>
      <c r="FFX259" s="537"/>
      <c r="FFY259" s="537"/>
      <c r="FFZ259" s="537"/>
      <c r="FGA259" s="537"/>
      <c r="FGB259" s="537"/>
      <c r="FGC259" s="537"/>
      <c r="FGD259" s="537"/>
      <c r="FGE259" s="537"/>
      <c r="FGF259" s="537"/>
      <c r="FGG259" s="537"/>
      <c r="FGH259" s="537"/>
      <c r="FGI259" s="537"/>
      <c r="FGJ259" s="537"/>
      <c r="FGK259" s="537"/>
      <c r="FGL259" s="537"/>
      <c r="FGM259" s="537"/>
      <c r="FGN259" s="537"/>
      <c r="FGO259" s="537"/>
      <c r="FGP259" s="537"/>
      <c r="FGQ259" s="537"/>
      <c r="FGR259" s="537"/>
      <c r="FGS259" s="537"/>
      <c r="FGT259" s="537"/>
      <c r="FGU259" s="537"/>
      <c r="FGV259" s="537"/>
      <c r="FGW259" s="537"/>
      <c r="FGX259" s="537"/>
      <c r="FGY259" s="537"/>
      <c r="FGZ259" s="537"/>
      <c r="FHA259" s="537"/>
      <c r="FHB259" s="537"/>
      <c r="FHC259" s="537"/>
      <c r="FHD259" s="537"/>
      <c r="FHE259" s="537"/>
      <c r="FHF259" s="537"/>
      <c r="FHG259" s="537"/>
      <c r="FHH259" s="537"/>
      <c r="FHI259" s="537"/>
      <c r="FHJ259" s="537"/>
      <c r="FHK259" s="537"/>
      <c r="FHL259" s="537"/>
      <c r="FHM259" s="537"/>
      <c r="FHN259" s="537"/>
      <c r="FHO259" s="537"/>
      <c r="FHP259" s="537"/>
      <c r="FHQ259" s="537"/>
      <c r="FHR259" s="537"/>
      <c r="FHS259" s="537"/>
      <c r="FHT259" s="537"/>
      <c r="FHU259" s="537"/>
      <c r="FHV259" s="537"/>
      <c r="FHW259" s="537"/>
      <c r="FHX259" s="537"/>
      <c r="FHY259" s="537"/>
      <c r="FHZ259" s="537"/>
      <c r="FIA259" s="537"/>
      <c r="FIB259" s="537"/>
      <c r="FIC259" s="537"/>
      <c r="FID259" s="537"/>
      <c r="FIE259" s="537"/>
      <c r="FIF259" s="537"/>
      <c r="FIG259" s="537"/>
      <c r="FIH259" s="537"/>
      <c r="FII259" s="537"/>
      <c r="FIJ259" s="537"/>
      <c r="FIK259" s="537"/>
      <c r="FIL259" s="537"/>
      <c r="FIM259" s="537"/>
      <c r="FIN259" s="537"/>
      <c r="FIO259" s="537"/>
      <c r="FIP259" s="537"/>
      <c r="FIQ259" s="537"/>
      <c r="FIR259" s="537"/>
      <c r="FIS259" s="537"/>
      <c r="FIT259" s="537"/>
      <c r="FIU259" s="537"/>
      <c r="FIV259" s="537"/>
      <c r="FIW259" s="537"/>
      <c r="FIX259" s="537"/>
      <c r="FIY259" s="537"/>
      <c r="FIZ259" s="537"/>
      <c r="FJA259" s="537"/>
      <c r="FJB259" s="537"/>
      <c r="FJC259" s="537"/>
      <c r="FJD259" s="537"/>
      <c r="FJE259" s="537"/>
      <c r="FJF259" s="537"/>
      <c r="FJG259" s="537"/>
      <c r="FJH259" s="537"/>
      <c r="FJI259" s="537"/>
      <c r="FJJ259" s="537"/>
      <c r="FJK259" s="537"/>
      <c r="FJL259" s="537"/>
      <c r="FJM259" s="537"/>
      <c r="FJN259" s="537"/>
      <c r="FJO259" s="537"/>
      <c r="FJP259" s="537"/>
      <c r="FJQ259" s="537"/>
      <c r="FJR259" s="537"/>
      <c r="FJS259" s="537"/>
      <c r="FJT259" s="537"/>
      <c r="FJU259" s="537"/>
      <c r="FJV259" s="537"/>
      <c r="FJW259" s="537"/>
      <c r="FJX259" s="537"/>
      <c r="FJY259" s="537"/>
      <c r="FJZ259" s="537"/>
      <c r="FKA259" s="537"/>
      <c r="FKB259" s="537"/>
      <c r="FKC259" s="537"/>
      <c r="FKD259" s="537"/>
      <c r="FKE259" s="537"/>
      <c r="FKF259" s="537"/>
      <c r="FKG259" s="537"/>
      <c r="FKH259" s="537"/>
      <c r="FKI259" s="537"/>
      <c r="FKJ259" s="537"/>
      <c r="FKK259" s="537"/>
      <c r="FKL259" s="537"/>
      <c r="FKM259" s="537"/>
      <c r="FKN259" s="537"/>
      <c r="FKO259" s="537"/>
      <c r="FKP259" s="537"/>
      <c r="FKQ259" s="537"/>
      <c r="FKR259" s="537"/>
      <c r="FKS259" s="537"/>
      <c r="FKT259" s="537"/>
      <c r="FKU259" s="537"/>
      <c r="FKV259" s="537"/>
      <c r="FKW259" s="537"/>
      <c r="FKX259" s="537"/>
      <c r="FKY259" s="537"/>
      <c r="FKZ259" s="537"/>
      <c r="FLA259" s="537"/>
      <c r="FLB259" s="537"/>
      <c r="FLC259" s="537"/>
      <c r="FLD259" s="537"/>
      <c r="FLE259" s="537"/>
      <c r="FLF259" s="537"/>
      <c r="FLG259" s="537"/>
      <c r="FLH259" s="537"/>
      <c r="FLI259" s="537"/>
      <c r="FLJ259" s="537"/>
      <c r="FLK259" s="537"/>
      <c r="FLL259" s="537"/>
      <c r="FLM259" s="537"/>
      <c r="FLN259" s="537"/>
      <c r="FLO259" s="537"/>
      <c r="FLP259" s="537"/>
      <c r="FLQ259" s="537"/>
      <c r="FLR259" s="537"/>
      <c r="FLS259" s="537"/>
      <c r="FLT259" s="537"/>
      <c r="FLU259" s="537"/>
      <c r="FLV259" s="537"/>
      <c r="FLW259" s="537"/>
      <c r="FLX259" s="537"/>
      <c r="FLY259" s="537"/>
      <c r="FLZ259" s="537"/>
      <c r="FMA259" s="537"/>
      <c r="FMB259" s="537"/>
      <c r="FMC259" s="537"/>
      <c r="FMD259" s="537"/>
      <c r="FME259" s="537"/>
      <c r="FMF259" s="537"/>
      <c r="FMG259" s="537"/>
      <c r="FMH259" s="537"/>
      <c r="FMI259" s="537"/>
      <c r="FMJ259" s="537"/>
      <c r="FMK259" s="537"/>
      <c r="FML259" s="537"/>
      <c r="FMM259" s="537"/>
      <c r="FMN259" s="537"/>
      <c r="FMO259" s="537"/>
      <c r="FMP259" s="537"/>
      <c r="FMQ259" s="537"/>
      <c r="FMR259" s="537"/>
      <c r="FMS259" s="537"/>
      <c r="FMT259" s="537"/>
      <c r="FMU259" s="537"/>
      <c r="FMV259" s="537"/>
      <c r="FMW259" s="537"/>
      <c r="FMX259" s="537"/>
      <c r="FMY259" s="537"/>
      <c r="FMZ259" s="537"/>
      <c r="FNA259" s="537"/>
      <c r="FNB259" s="537"/>
      <c r="FNC259" s="537"/>
      <c r="FND259" s="537"/>
      <c r="FNE259" s="537"/>
      <c r="FNF259" s="537"/>
      <c r="FNG259" s="537"/>
      <c r="FNH259" s="537"/>
      <c r="FNI259" s="537"/>
      <c r="FNJ259" s="537"/>
      <c r="FNK259" s="537"/>
      <c r="FNL259" s="537"/>
      <c r="FNM259" s="537"/>
      <c r="FNN259" s="537"/>
      <c r="FNO259" s="537"/>
      <c r="FNP259" s="537"/>
      <c r="FNQ259" s="537"/>
      <c r="FNR259" s="537"/>
      <c r="FNS259" s="537"/>
      <c r="FNT259" s="537"/>
      <c r="FNU259" s="537"/>
      <c r="FNV259" s="537"/>
      <c r="FNW259" s="537"/>
      <c r="FNX259" s="537"/>
      <c r="FNY259" s="537"/>
      <c r="FNZ259" s="537"/>
      <c r="FOA259" s="537"/>
      <c r="FOB259" s="537"/>
      <c r="FOC259" s="537"/>
      <c r="FOD259" s="537"/>
      <c r="FOE259" s="537"/>
      <c r="FOF259" s="537"/>
      <c r="FOG259" s="537"/>
      <c r="FOH259" s="537"/>
      <c r="FOI259" s="537"/>
      <c r="FOJ259" s="537"/>
      <c r="FOK259" s="537"/>
      <c r="FOL259" s="537"/>
      <c r="FOM259" s="537"/>
      <c r="FON259" s="537"/>
      <c r="FOO259" s="537"/>
      <c r="FOP259" s="537"/>
      <c r="FOQ259" s="537"/>
      <c r="FOR259" s="537"/>
      <c r="FOS259" s="537"/>
      <c r="FOT259" s="537"/>
      <c r="FOU259" s="537"/>
      <c r="FOV259" s="537"/>
      <c r="FOW259" s="537"/>
      <c r="FOX259" s="537"/>
      <c r="FOY259" s="537"/>
      <c r="FOZ259" s="537"/>
      <c r="FPA259" s="537"/>
      <c r="FPB259" s="537"/>
      <c r="FPC259" s="537"/>
      <c r="FPD259" s="537"/>
      <c r="FPE259" s="537"/>
      <c r="FPF259" s="537"/>
      <c r="FPG259" s="537"/>
      <c r="FPH259" s="537"/>
      <c r="FPI259" s="537"/>
      <c r="FPJ259" s="537"/>
      <c r="FPK259" s="537"/>
      <c r="FPL259" s="537"/>
      <c r="FPM259" s="537"/>
      <c r="FPN259" s="537"/>
      <c r="FPO259" s="537"/>
      <c r="FPP259" s="537"/>
      <c r="FPQ259" s="537"/>
      <c r="FPR259" s="537"/>
      <c r="FPS259" s="537"/>
      <c r="FPT259" s="537"/>
      <c r="FPU259" s="537"/>
      <c r="FPV259" s="537"/>
      <c r="FPW259" s="537"/>
      <c r="FPX259" s="537"/>
      <c r="FPY259" s="537"/>
      <c r="FPZ259" s="537"/>
      <c r="FQA259" s="537"/>
      <c r="FQB259" s="537"/>
      <c r="FQC259" s="537"/>
      <c r="FQD259" s="537"/>
      <c r="FQE259" s="537"/>
      <c r="FQF259" s="537"/>
      <c r="FQG259" s="537"/>
      <c r="FQH259" s="537"/>
      <c r="FQI259" s="537"/>
      <c r="FQJ259" s="537"/>
      <c r="FQK259" s="537"/>
      <c r="FQL259" s="537"/>
      <c r="FQM259" s="537"/>
      <c r="FQN259" s="537"/>
      <c r="FQO259" s="537"/>
      <c r="FQP259" s="537"/>
      <c r="FQQ259" s="537"/>
      <c r="FQR259" s="537"/>
      <c r="FQS259" s="537"/>
      <c r="FQT259" s="537"/>
      <c r="FQU259" s="537"/>
      <c r="FQV259" s="537"/>
      <c r="FQW259" s="537"/>
      <c r="FQX259" s="537"/>
      <c r="FQY259" s="537"/>
      <c r="FQZ259" s="537"/>
      <c r="FRA259" s="537"/>
      <c r="FRB259" s="537"/>
      <c r="FRC259" s="537"/>
      <c r="FRD259" s="537"/>
      <c r="FRE259" s="537"/>
      <c r="FRF259" s="537"/>
      <c r="FRG259" s="537"/>
      <c r="FRH259" s="537"/>
      <c r="FRI259" s="537"/>
      <c r="FRJ259" s="537"/>
      <c r="FRK259" s="537"/>
      <c r="FRL259" s="537"/>
      <c r="FRM259" s="537"/>
      <c r="FRN259" s="537"/>
      <c r="FRO259" s="537"/>
      <c r="FRP259" s="537"/>
      <c r="FRQ259" s="537"/>
      <c r="FRR259" s="537"/>
      <c r="FRS259" s="537"/>
      <c r="FRT259" s="537"/>
      <c r="FRU259" s="537"/>
      <c r="FRV259" s="537"/>
      <c r="FRW259" s="537"/>
      <c r="FRX259" s="537"/>
      <c r="FRY259" s="537"/>
      <c r="FRZ259" s="537"/>
      <c r="FSA259" s="537"/>
      <c r="FSB259" s="537"/>
      <c r="FSC259" s="537"/>
      <c r="FSD259" s="537"/>
      <c r="FSE259" s="537"/>
      <c r="FSF259" s="537"/>
      <c r="FSG259" s="537"/>
      <c r="FSH259" s="537"/>
      <c r="FSI259" s="537"/>
      <c r="FSJ259" s="537"/>
      <c r="FSK259" s="537"/>
      <c r="FSL259" s="537"/>
      <c r="FSM259" s="537"/>
      <c r="FSN259" s="537"/>
      <c r="FSO259" s="537"/>
      <c r="FSP259" s="537"/>
      <c r="FSQ259" s="537"/>
      <c r="FSR259" s="537"/>
      <c r="FSS259" s="537"/>
      <c r="FST259" s="537"/>
      <c r="FSU259" s="537"/>
      <c r="FSV259" s="537"/>
      <c r="FSW259" s="537"/>
      <c r="FSX259" s="537"/>
      <c r="FSY259" s="537"/>
      <c r="FSZ259" s="537"/>
      <c r="FTA259" s="537"/>
      <c r="FTB259" s="537"/>
      <c r="FTC259" s="537"/>
      <c r="FTD259" s="537"/>
      <c r="FTE259" s="537"/>
      <c r="FTF259" s="537"/>
      <c r="FTG259" s="537"/>
      <c r="FTH259" s="537"/>
      <c r="FTI259" s="537"/>
      <c r="FTJ259" s="537"/>
      <c r="FTK259" s="537"/>
      <c r="FTL259" s="537"/>
      <c r="FTM259" s="537"/>
      <c r="FTN259" s="537"/>
      <c r="FTO259" s="537"/>
      <c r="FTP259" s="537"/>
      <c r="FTQ259" s="537"/>
      <c r="FTR259" s="537"/>
      <c r="FTS259" s="537"/>
      <c r="FTT259" s="537"/>
      <c r="FTU259" s="537"/>
      <c r="FTV259" s="537"/>
      <c r="FTW259" s="537"/>
      <c r="FTX259" s="537"/>
      <c r="FTY259" s="537"/>
      <c r="FTZ259" s="537"/>
      <c r="FUA259" s="537"/>
      <c r="FUB259" s="537"/>
      <c r="FUC259" s="537"/>
      <c r="FUD259" s="537"/>
      <c r="FUE259" s="537"/>
      <c r="FUF259" s="537"/>
      <c r="FUG259" s="537"/>
      <c r="FUH259" s="537"/>
      <c r="FUI259" s="537"/>
      <c r="FUJ259" s="537"/>
      <c r="FUK259" s="537"/>
      <c r="FUL259" s="537"/>
      <c r="FUM259" s="537"/>
      <c r="FUN259" s="537"/>
      <c r="FUO259" s="537"/>
      <c r="FUP259" s="537"/>
      <c r="FUQ259" s="537"/>
      <c r="FUR259" s="537"/>
      <c r="FUS259" s="537"/>
      <c r="FUT259" s="537"/>
      <c r="FUU259" s="537"/>
      <c r="FUV259" s="537"/>
      <c r="FUW259" s="537"/>
      <c r="FUX259" s="537"/>
      <c r="FUY259" s="537"/>
      <c r="FUZ259" s="537"/>
      <c r="FVA259" s="537"/>
      <c r="FVB259" s="537"/>
      <c r="FVC259" s="537"/>
      <c r="FVD259" s="537"/>
      <c r="FVE259" s="537"/>
      <c r="FVF259" s="537"/>
      <c r="FVG259" s="537"/>
      <c r="FVH259" s="537"/>
      <c r="FVI259" s="537"/>
      <c r="FVJ259" s="537"/>
      <c r="FVK259" s="537"/>
      <c r="FVL259" s="537"/>
      <c r="FVM259" s="537"/>
      <c r="FVN259" s="537"/>
      <c r="FVO259" s="537"/>
      <c r="FVP259" s="537"/>
      <c r="FVQ259" s="537"/>
      <c r="FVR259" s="537"/>
      <c r="FVS259" s="537"/>
      <c r="FVT259" s="537"/>
      <c r="FVU259" s="537"/>
      <c r="FVV259" s="537"/>
      <c r="FVW259" s="537"/>
      <c r="FVX259" s="537"/>
      <c r="FVY259" s="537"/>
      <c r="FVZ259" s="537"/>
      <c r="FWA259" s="537"/>
      <c r="FWB259" s="537"/>
      <c r="FWC259" s="537"/>
      <c r="FWD259" s="537"/>
      <c r="FWE259" s="537"/>
      <c r="FWF259" s="537"/>
      <c r="FWG259" s="537"/>
      <c r="FWH259" s="537"/>
      <c r="FWI259" s="537"/>
      <c r="FWJ259" s="537"/>
      <c r="FWK259" s="537"/>
      <c r="FWL259" s="537"/>
      <c r="FWM259" s="537"/>
      <c r="FWN259" s="537"/>
      <c r="FWO259" s="537"/>
      <c r="FWP259" s="537"/>
      <c r="FWQ259" s="537"/>
      <c r="FWR259" s="537"/>
      <c r="FWS259" s="537"/>
      <c r="FWT259" s="537"/>
      <c r="FWU259" s="537"/>
      <c r="FWV259" s="537"/>
      <c r="FWW259" s="537"/>
      <c r="FWX259" s="537"/>
      <c r="FWY259" s="537"/>
      <c r="FWZ259" s="537"/>
      <c r="FXA259" s="537"/>
      <c r="FXB259" s="537"/>
      <c r="FXC259" s="537"/>
      <c r="FXD259" s="537"/>
      <c r="FXE259" s="537"/>
      <c r="FXF259" s="537"/>
      <c r="FXG259" s="537"/>
      <c r="FXH259" s="537"/>
      <c r="FXI259" s="537"/>
      <c r="FXJ259" s="537"/>
      <c r="FXK259" s="537"/>
      <c r="FXL259" s="537"/>
      <c r="FXM259" s="537"/>
      <c r="FXN259" s="537"/>
      <c r="FXO259" s="537"/>
      <c r="FXP259" s="537"/>
      <c r="FXQ259" s="537"/>
      <c r="FXR259" s="537"/>
      <c r="FXS259" s="537"/>
      <c r="FXT259" s="537"/>
      <c r="FXU259" s="537"/>
      <c r="FXV259" s="537"/>
      <c r="FXW259" s="537"/>
      <c r="FXX259" s="537"/>
      <c r="FXY259" s="537"/>
      <c r="FXZ259" s="537"/>
      <c r="FYA259" s="537"/>
      <c r="FYB259" s="537"/>
      <c r="FYC259" s="537"/>
      <c r="FYD259" s="537"/>
      <c r="FYE259" s="537"/>
      <c r="FYF259" s="537"/>
      <c r="FYG259" s="537"/>
      <c r="FYH259" s="537"/>
      <c r="FYI259" s="537"/>
      <c r="FYJ259" s="537"/>
      <c r="FYK259" s="537"/>
      <c r="FYL259" s="537"/>
      <c r="FYM259" s="537"/>
      <c r="FYN259" s="537"/>
      <c r="FYO259" s="537"/>
      <c r="FYP259" s="537"/>
      <c r="FYQ259" s="537"/>
      <c r="FYR259" s="537"/>
      <c r="FYS259" s="537"/>
      <c r="FYT259" s="537"/>
      <c r="FYU259" s="537"/>
      <c r="FYV259" s="537"/>
      <c r="FYW259" s="537"/>
      <c r="FYX259" s="537"/>
      <c r="FYY259" s="537"/>
      <c r="FYZ259" s="537"/>
      <c r="FZA259" s="537"/>
      <c r="FZB259" s="537"/>
      <c r="FZC259" s="537"/>
      <c r="FZD259" s="537"/>
      <c r="FZE259" s="537"/>
      <c r="FZF259" s="537"/>
      <c r="FZG259" s="537"/>
      <c r="FZH259" s="537"/>
      <c r="FZI259" s="537"/>
      <c r="FZJ259" s="537"/>
      <c r="FZK259" s="537"/>
      <c r="FZL259" s="537"/>
      <c r="FZM259" s="537"/>
      <c r="FZN259" s="537"/>
      <c r="FZO259" s="537"/>
      <c r="FZP259" s="537"/>
      <c r="FZQ259" s="537"/>
      <c r="FZR259" s="537"/>
      <c r="FZS259" s="537"/>
      <c r="FZT259" s="537"/>
      <c r="FZU259" s="537"/>
      <c r="FZV259" s="537"/>
      <c r="FZW259" s="537"/>
      <c r="FZX259" s="537"/>
      <c r="FZY259" s="537"/>
      <c r="FZZ259" s="537"/>
      <c r="GAA259" s="537"/>
      <c r="GAB259" s="537"/>
      <c r="GAC259" s="537"/>
      <c r="GAD259" s="537"/>
      <c r="GAE259" s="537"/>
      <c r="GAF259" s="537"/>
      <c r="GAG259" s="537"/>
      <c r="GAH259" s="537"/>
      <c r="GAI259" s="537"/>
      <c r="GAJ259" s="537"/>
      <c r="GAK259" s="537"/>
      <c r="GAL259" s="537"/>
      <c r="GAM259" s="537"/>
      <c r="GAN259" s="537"/>
      <c r="GAO259" s="537"/>
      <c r="GAP259" s="537"/>
      <c r="GAQ259" s="537"/>
      <c r="GAR259" s="537"/>
      <c r="GAS259" s="537"/>
      <c r="GAT259" s="537"/>
      <c r="GAU259" s="537"/>
      <c r="GAV259" s="537"/>
      <c r="GAW259" s="537"/>
      <c r="GAX259" s="537"/>
      <c r="GAY259" s="537"/>
      <c r="GAZ259" s="537"/>
      <c r="GBA259" s="537"/>
      <c r="GBB259" s="537"/>
      <c r="GBC259" s="537"/>
      <c r="GBD259" s="537"/>
      <c r="GBE259" s="537"/>
      <c r="GBF259" s="537"/>
      <c r="GBG259" s="537"/>
      <c r="GBH259" s="537"/>
      <c r="GBI259" s="537"/>
      <c r="GBJ259" s="537"/>
      <c r="GBK259" s="537"/>
      <c r="GBL259" s="537"/>
      <c r="GBM259" s="537"/>
      <c r="GBN259" s="537"/>
      <c r="GBO259" s="537"/>
      <c r="GBP259" s="537"/>
      <c r="GBQ259" s="537"/>
      <c r="GBR259" s="537"/>
      <c r="GBS259" s="537"/>
      <c r="GBT259" s="537"/>
      <c r="GBU259" s="537"/>
      <c r="GBV259" s="537"/>
      <c r="GBW259" s="537"/>
      <c r="GBX259" s="537"/>
      <c r="GBY259" s="537"/>
      <c r="GBZ259" s="537"/>
      <c r="GCA259" s="537"/>
      <c r="GCB259" s="537"/>
      <c r="GCC259" s="537"/>
      <c r="GCD259" s="537"/>
      <c r="GCE259" s="537"/>
      <c r="GCF259" s="537"/>
      <c r="GCG259" s="537"/>
      <c r="GCH259" s="537"/>
      <c r="GCI259" s="537"/>
      <c r="GCJ259" s="537"/>
      <c r="GCK259" s="537"/>
      <c r="GCL259" s="537"/>
      <c r="GCM259" s="537"/>
      <c r="GCN259" s="537"/>
      <c r="GCO259" s="537"/>
      <c r="GCP259" s="537"/>
      <c r="GCQ259" s="537"/>
      <c r="GCR259" s="537"/>
      <c r="GCS259" s="537"/>
      <c r="GCT259" s="537"/>
      <c r="GCU259" s="537"/>
      <c r="GCV259" s="537"/>
      <c r="GCW259" s="537"/>
      <c r="GCX259" s="537"/>
      <c r="GCY259" s="537"/>
      <c r="GCZ259" s="537"/>
      <c r="GDA259" s="537"/>
      <c r="GDB259" s="537"/>
      <c r="GDC259" s="537"/>
      <c r="GDD259" s="537"/>
      <c r="GDE259" s="537"/>
      <c r="GDF259" s="537"/>
      <c r="GDG259" s="537"/>
      <c r="GDH259" s="537"/>
      <c r="GDI259" s="537"/>
      <c r="GDJ259" s="537"/>
      <c r="GDK259" s="537"/>
      <c r="GDL259" s="537"/>
      <c r="GDM259" s="537"/>
      <c r="GDN259" s="537"/>
      <c r="GDO259" s="537"/>
      <c r="GDP259" s="537"/>
      <c r="GDQ259" s="537"/>
      <c r="GDR259" s="537"/>
      <c r="GDS259" s="537"/>
      <c r="GDT259" s="537"/>
      <c r="GDU259" s="537"/>
      <c r="GDV259" s="537"/>
      <c r="GDW259" s="537"/>
      <c r="GDX259" s="537"/>
      <c r="GDY259" s="537"/>
      <c r="GDZ259" s="537"/>
      <c r="GEA259" s="537"/>
      <c r="GEB259" s="537"/>
      <c r="GEC259" s="537"/>
      <c r="GED259" s="537"/>
      <c r="GEE259" s="537"/>
      <c r="GEF259" s="537"/>
      <c r="GEG259" s="537"/>
      <c r="GEH259" s="537"/>
      <c r="GEI259" s="537"/>
      <c r="GEJ259" s="537"/>
      <c r="GEK259" s="537"/>
      <c r="GEL259" s="537"/>
      <c r="GEM259" s="537"/>
      <c r="GEN259" s="537"/>
      <c r="GEO259" s="537"/>
      <c r="GEP259" s="537"/>
      <c r="GEQ259" s="537"/>
      <c r="GER259" s="537"/>
      <c r="GES259" s="537"/>
      <c r="GET259" s="537"/>
      <c r="GEU259" s="537"/>
      <c r="GEV259" s="537"/>
      <c r="GEW259" s="537"/>
      <c r="GEX259" s="537"/>
      <c r="GEY259" s="537"/>
      <c r="GEZ259" s="537"/>
      <c r="GFA259" s="537"/>
      <c r="GFB259" s="537"/>
      <c r="GFC259" s="537"/>
      <c r="GFD259" s="537"/>
      <c r="GFE259" s="537"/>
      <c r="GFF259" s="537"/>
      <c r="GFG259" s="537"/>
      <c r="GFH259" s="537"/>
      <c r="GFI259" s="537"/>
      <c r="GFJ259" s="537"/>
      <c r="GFK259" s="537"/>
      <c r="GFL259" s="537"/>
      <c r="GFM259" s="537"/>
      <c r="GFN259" s="537"/>
      <c r="GFO259" s="537"/>
      <c r="GFP259" s="537"/>
      <c r="GFQ259" s="537"/>
      <c r="GFR259" s="537"/>
      <c r="GFS259" s="537"/>
      <c r="GFT259" s="537"/>
      <c r="GFU259" s="537"/>
      <c r="GFV259" s="537"/>
      <c r="GFW259" s="537"/>
      <c r="GFX259" s="537"/>
      <c r="GFY259" s="537"/>
      <c r="GFZ259" s="537"/>
      <c r="GGA259" s="537"/>
      <c r="GGB259" s="537"/>
      <c r="GGC259" s="537"/>
      <c r="GGD259" s="537"/>
      <c r="GGE259" s="537"/>
      <c r="GGF259" s="537"/>
      <c r="GGG259" s="537"/>
      <c r="GGH259" s="537"/>
      <c r="GGI259" s="537"/>
      <c r="GGJ259" s="537"/>
      <c r="GGK259" s="537"/>
      <c r="GGL259" s="537"/>
      <c r="GGM259" s="537"/>
      <c r="GGN259" s="537"/>
      <c r="GGO259" s="537"/>
      <c r="GGP259" s="537"/>
      <c r="GGQ259" s="537"/>
      <c r="GGR259" s="537"/>
      <c r="GGS259" s="537"/>
      <c r="GGT259" s="537"/>
      <c r="GGU259" s="537"/>
      <c r="GGV259" s="537"/>
      <c r="GGW259" s="537"/>
      <c r="GGX259" s="537"/>
      <c r="GGY259" s="537"/>
      <c r="GGZ259" s="537"/>
      <c r="GHA259" s="537"/>
      <c r="GHB259" s="537"/>
      <c r="GHC259" s="537"/>
      <c r="GHD259" s="537"/>
      <c r="GHE259" s="537"/>
      <c r="GHF259" s="537"/>
      <c r="GHG259" s="537"/>
      <c r="GHH259" s="537"/>
      <c r="GHI259" s="537"/>
      <c r="GHJ259" s="537"/>
      <c r="GHK259" s="537"/>
      <c r="GHL259" s="537"/>
      <c r="GHM259" s="537"/>
      <c r="GHN259" s="537"/>
      <c r="GHO259" s="537"/>
      <c r="GHP259" s="537"/>
      <c r="GHQ259" s="537"/>
      <c r="GHR259" s="537"/>
      <c r="GHS259" s="537"/>
      <c r="GHT259" s="537"/>
      <c r="GHU259" s="537"/>
      <c r="GHV259" s="537"/>
      <c r="GHW259" s="537"/>
      <c r="GHX259" s="537"/>
      <c r="GHY259" s="537"/>
      <c r="GHZ259" s="537"/>
      <c r="GIA259" s="537"/>
      <c r="GIB259" s="537"/>
      <c r="GIC259" s="537"/>
      <c r="GID259" s="537"/>
      <c r="GIE259" s="537"/>
      <c r="GIF259" s="537"/>
      <c r="GIG259" s="537"/>
      <c r="GIH259" s="537"/>
      <c r="GII259" s="537"/>
      <c r="GIJ259" s="537"/>
      <c r="GIK259" s="537"/>
      <c r="GIL259" s="537"/>
      <c r="GIM259" s="537"/>
      <c r="GIN259" s="537"/>
      <c r="GIO259" s="537"/>
      <c r="GIP259" s="537"/>
      <c r="GIQ259" s="537"/>
      <c r="GIR259" s="537"/>
      <c r="GIS259" s="537"/>
      <c r="GIT259" s="537"/>
      <c r="GIU259" s="537"/>
      <c r="GIV259" s="537"/>
      <c r="GIW259" s="537"/>
      <c r="GIX259" s="537"/>
      <c r="GIY259" s="537"/>
      <c r="GIZ259" s="537"/>
      <c r="GJA259" s="537"/>
      <c r="GJB259" s="537"/>
      <c r="GJC259" s="537"/>
      <c r="GJD259" s="537"/>
      <c r="GJE259" s="537"/>
      <c r="GJF259" s="537"/>
      <c r="GJG259" s="537"/>
      <c r="GJH259" s="537"/>
      <c r="GJI259" s="537"/>
      <c r="GJJ259" s="537"/>
      <c r="GJK259" s="537"/>
      <c r="GJL259" s="537"/>
      <c r="GJM259" s="537"/>
      <c r="GJN259" s="537"/>
      <c r="GJO259" s="537"/>
      <c r="GJP259" s="537"/>
      <c r="GJQ259" s="537"/>
      <c r="GJR259" s="537"/>
      <c r="GJS259" s="537"/>
      <c r="GJT259" s="537"/>
      <c r="GJU259" s="537"/>
      <c r="GJV259" s="537"/>
      <c r="GJW259" s="537"/>
      <c r="GJX259" s="537"/>
      <c r="GJY259" s="537"/>
      <c r="GJZ259" s="537"/>
      <c r="GKA259" s="537"/>
      <c r="GKB259" s="537"/>
      <c r="GKC259" s="537"/>
      <c r="GKD259" s="537"/>
      <c r="GKE259" s="537"/>
      <c r="GKF259" s="537"/>
      <c r="GKG259" s="537"/>
      <c r="GKH259" s="537"/>
      <c r="GKI259" s="537"/>
      <c r="GKJ259" s="537"/>
      <c r="GKK259" s="537"/>
      <c r="GKL259" s="537"/>
      <c r="GKM259" s="537"/>
      <c r="GKN259" s="537"/>
      <c r="GKO259" s="537"/>
      <c r="GKP259" s="537"/>
      <c r="GKQ259" s="537"/>
      <c r="GKR259" s="537"/>
      <c r="GKS259" s="537"/>
      <c r="GKT259" s="537"/>
      <c r="GKU259" s="537"/>
      <c r="GKV259" s="537"/>
      <c r="GKW259" s="537"/>
      <c r="GKX259" s="537"/>
      <c r="GKY259" s="537"/>
      <c r="GKZ259" s="537"/>
      <c r="GLA259" s="537"/>
      <c r="GLB259" s="537"/>
      <c r="GLC259" s="537"/>
      <c r="GLD259" s="537"/>
      <c r="GLE259" s="537"/>
      <c r="GLF259" s="537"/>
      <c r="GLG259" s="537"/>
      <c r="GLH259" s="537"/>
      <c r="GLI259" s="537"/>
      <c r="GLJ259" s="537"/>
      <c r="GLK259" s="537"/>
      <c r="GLL259" s="537"/>
      <c r="GLM259" s="537"/>
      <c r="GLN259" s="537"/>
      <c r="GLO259" s="537"/>
      <c r="GLP259" s="537"/>
      <c r="GLQ259" s="537"/>
      <c r="GLR259" s="537"/>
      <c r="GLS259" s="537"/>
      <c r="GLT259" s="537"/>
      <c r="GLU259" s="537"/>
      <c r="GLV259" s="537"/>
      <c r="GLW259" s="537"/>
      <c r="GLX259" s="537"/>
      <c r="GLY259" s="537"/>
      <c r="GLZ259" s="537"/>
      <c r="GMA259" s="537"/>
      <c r="GMB259" s="537"/>
      <c r="GMC259" s="537"/>
      <c r="GMD259" s="537"/>
      <c r="GME259" s="537"/>
      <c r="GMF259" s="537"/>
      <c r="GMG259" s="537"/>
      <c r="GMH259" s="537"/>
      <c r="GMI259" s="537"/>
      <c r="GMJ259" s="537"/>
      <c r="GMK259" s="537"/>
      <c r="GML259" s="537"/>
      <c r="GMM259" s="537"/>
      <c r="GMN259" s="537"/>
      <c r="GMO259" s="537"/>
      <c r="GMP259" s="537"/>
      <c r="GMQ259" s="537"/>
      <c r="GMR259" s="537"/>
      <c r="GMS259" s="537"/>
      <c r="GMT259" s="537"/>
      <c r="GMU259" s="537"/>
      <c r="GMV259" s="537"/>
      <c r="GMW259" s="537"/>
      <c r="GMX259" s="537"/>
      <c r="GMY259" s="537"/>
      <c r="GMZ259" s="537"/>
      <c r="GNA259" s="537"/>
      <c r="GNB259" s="537"/>
      <c r="GNC259" s="537"/>
      <c r="GND259" s="537"/>
      <c r="GNE259" s="537"/>
      <c r="GNF259" s="537"/>
      <c r="GNG259" s="537"/>
      <c r="GNH259" s="537"/>
      <c r="GNI259" s="537"/>
      <c r="GNJ259" s="537"/>
      <c r="GNK259" s="537"/>
      <c r="GNL259" s="537"/>
      <c r="GNM259" s="537"/>
      <c r="GNN259" s="537"/>
      <c r="GNO259" s="537"/>
      <c r="GNP259" s="537"/>
      <c r="GNQ259" s="537"/>
      <c r="GNR259" s="537"/>
      <c r="GNS259" s="537"/>
      <c r="GNT259" s="537"/>
      <c r="GNU259" s="537"/>
      <c r="GNV259" s="537"/>
      <c r="GNW259" s="537"/>
      <c r="GNX259" s="537"/>
      <c r="GNY259" s="537"/>
      <c r="GNZ259" s="537"/>
      <c r="GOA259" s="537"/>
      <c r="GOB259" s="537"/>
      <c r="GOC259" s="537"/>
      <c r="GOD259" s="537"/>
      <c r="GOE259" s="537"/>
      <c r="GOF259" s="537"/>
      <c r="GOG259" s="537"/>
      <c r="GOH259" s="537"/>
      <c r="GOI259" s="537"/>
      <c r="GOJ259" s="537"/>
      <c r="GOK259" s="537"/>
      <c r="GOL259" s="537"/>
      <c r="GOM259" s="537"/>
      <c r="GON259" s="537"/>
      <c r="GOO259" s="537"/>
      <c r="GOP259" s="537"/>
      <c r="GOQ259" s="537"/>
      <c r="GOR259" s="537"/>
      <c r="GOS259" s="537"/>
      <c r="GOT259" s="537"/>
      <c r="GOU259" s="537"/>
      <c r="GOV259" s="537"/>
      <c r="GOW259" s="537"/>
      <c r="GOX259" s="537"/>
      <c r="GOY259" s="537"/>
      <c r="GOZ259" s="537"/>
      <c r="GPA259" s="537"/>
      <c r="GPB259" s="537"/>
      <c r="GPC259" s="537"/>
      <c r="GPD259" s="537"/>
      <c r="GPE259" s="537"/>
      <c r="GPF259" s="537"/>
      <c r="GPG259" s="537"/>
      <c r="GPH259" s="537"/>
      <c r="GPI259" s="537"/>
      <c r="GPJ259" s="537"/>
      <c r="GPK259" s="537"/>
      <c r="GPL259" s="537"/>
      <c r="GPM259" s="537"/>
      <c r="GPN259" s="537"/>
      <c r="GPO259" s="537"/>
      <c r="GPP259" s="537"/>
      <c r="GPQ259" s="537"/>
      <c r="GPR259" s="537"/>
      <c r="GPS259" s="537"/>
      <c r="GPT259" s="537"/>
      <c r="GPU259" s="537"/>
      <c r="GPV259" s="537"/>
      <c r="GPW259" s="537"/>
      <c r="GPX259" s="537"/>
      <c r="GPY259" s="537"/>
      <c r="GPZ259" s="537"/>
      <c r="GQA259" s="537"/>
      <c r="GQB259" s="537"/>
      <c r="GQC259" s="537"/>
      <c r="GQD259" s="537"/>
      <c r="GQE259" s="537"/>
      <c r="GQF259" s="537"/>
      <c r="GQG259" s="537"/>
      <c r="GQH259" s="537"/>
      <c r="GQI259" s="537"/>
      <c r="GQJ259" s="537"/>
      <c r="GQK259" s="537"/>
      <c r="GQL259" s="537"/>
      <c r="GQM259" s="537"/>
      <c r="GQN259" s="537"/>
      <c r="GQO259" s="537"/>
      <c r="GQP259" s="537"/>
      <c r="GQQ259" s="537"/>
      <c r="GQR259" s="537"/>
      <c r="GQS259" s="537"/>
      <c r="GQT259" s="537"/>
      <c r="GQU259" s="537"/>
      <c r="GQV259" s="537"/>
      <c r="GQW259" s="537"/>
      <c r="GQX259" s="537"/>
      <c r="GQY259" s="537"/>
      <c r="GQZ259" s="537"/>
      <c r="GRA259" s="537"/>
      <c r="GRB259" s="537"/>
      <c r="GRC259" s="537"/>
      <c r="GRD259" s="537"/>
      <c r="GRE259" s="537"/>
      <c r="GRF259" s="537"/>
      <c r="GRG259" s="537"/>
      <c r="GRH259" s="537"/>
      <c r="GRI259" s="537"/>
      <c r="GRJ259" s="537"/>
      <c r="GRK259" s="537"/>
      <c r="GRL259" s="537"/>
      <c r="GRM259" s="537"/>
      <c r="GRN259" s="537"/>
      <c r="GRO259" s="537"/>
      <c r="GRP259" s="537"/>
      <c r="GRQ259" s="537"/>
      <c r="GRR259" s="537"/>
      <c r="GRS259" s="537"/>
      <c r="GRT259" s="537"/>
      <c r="GRU259" s="537"/>
      <c r="GRV259" s="537"/>
      <c r="GRW259" s="537"/>
      <c r="GRX259" s="537"/>
      <c r="GRY259" s="537"/>
      <c r="GRZ259" s="537"/>
      <c r="GSA259" s="537"/>
      <c r="GSB259" s="537"/>
      <c r="GSC259" s="537"/>
      <c r="GSD259" s="537"/>
      <c r="GSE259" s="537"/>
      <c r="GSF259" s="537"/>
      <c r="GSG259" s="537"/>
      <c r="GSH259" s="537"/>
      <c r="GSI259" s="537"/>
      <c r="GSJ259" s="537"/>
      <c r="GSK259" s="537"/>
      <c r="GSL259" s="537"/>
      <c r="GSM259" s="537"/>
      <c r="GSN259" s="537"/>
      <c r="GSO259" s="537"/>
      <c r="GSP259" s="537"/>
      <c r="GSQ259" s="537"/>
      <c r="GSR259" s="537"/>
      <c r="GSS259" s="537"/>
      <c r="GST259" s="537"/>
      <c r="GSU259" s="537"/>
      <c r="GSV259" s="537"/>
      <c r="GSW259" s="537"/>
      <c r="GSX259" s="537"/>
      <c r="GSY259" s="537"/>
      <c r="GSZ259" s="537"/>
      <c r="GTA259" s="537"/>
      <c r="GTB259" s="537"/>
      <c r="GTC259" s="537"/>
      <c r="GTD259" s="537"/>
      <c r="GTE259" s="537"/>
      <c r="GTF259" s="537"/>
      <c r="GTG259" s="537"/>
      <c r="GTH259" s="537"/>
      <c r="GTI259" s="537"/>
      <c r="GTJ259" s="537"/>
      <c r="GTK259" s="537"/>
      <c r="GTL259" s="537"/>
      <c r="GTM259" s="537"/>
      <c r="GTN259" s="537"/>
      <c r="GTO259" s="537"/>
      <c r="GTP259" s="537"/>
      <c r="GTQ259" s="537"/>
      <c r="GTR259" s="537"/>
      <c r="GTS259" s="537"/>
      <c r="GTT259" s="537"/>
      <c r="GTU259" s="537"/>
      <c r="GTV259" s="537"/>
      <c r="GTW259" s="537"/>
      <c r="GTX259" s="537"/>
      <c r="GTY259" s="537"/>
      <c r="GTZ259" s="537"/>
      <c r="GUA259" s="537"/>
      <c r="GUB259" s="537"/>
      <c r="GUC259" s="537"/>
      <c r="GUD259" s="537"/>
      <c r="GUE259" s="537"/>
      <c r="GUF259" s="537"/>
      <c r="GUG259" s="537"/>
      <c r="GUH259" s="537"/>
      <c r="GUI259" s="537"/>
      <c r="GUJ259" s="537"/>
      <c r="GUK259" s="537"/>
      <c r="GUL259" s="537"/>
      <c r="GUM259" s="537"/>
      <c r="GUN259" s="537"/>
      <c r="GUO259" s="537"/>
      <c r="GUP259" s="537"/>
      <c r="GUQ259" s="537"/>
      <c r="GUR259" s="537"/>
      <c r="GUS259" s="537"/>
      <c r="GUT259" s="537"/>
      <c r="GUU259" s="537"/>
      <c r="GUV259" s="537"/>
      <c r="GUW259" s="537"/>
      <c r="GUX259" s="537"/>
      <c r="GUY259" s="537"/>
      <c r="GUZ259" s="537"/>
      <c r="GVA259" s="537"/>
      <c r="GVB259" s="537"/>
      <c r="GVC259" s="537"/>
      <c r="GVD259" s="537"/>
      <c r="GVE259" s="537"/>
      <c r="GVF259" s="537"/>
      <c r="GVG259" s="537"/>
      <c r="GVH259" s="537"/>
      <c r="GVI259" s="537"/>
      <c r="GVJ259" s="537"/>
      <c r="GVK259" s="537"/>
      <c r="GVL259" s="537"/>
      <c r="GVM259" s="537"/>
      <c r="GVN259" s="537"/>
      <c r="GVO259" s="537"/>
      <c r="GVP259" s="537"/>
      <c r="GVQ259" s="537"/>
      <c r="GVR259" s="537"/>
      <c r="GVS259" s="537"/>
      <c r="GVT259" s="537"/>
      <c r="GVU259" s="537"/>
      <c r="GVV259" s="537"/>
      <c r="GVW259" s="537"/>
      <c r="GVX259" s="537"/>
      <c r="GVY259" s="537"/>
      <c r="GVZ259" s="537"/>
      <c r="GWA259" s="537"/>
      <c r="GWB259" s="537"/>
      <c r="GWC259" s="537"/>
      <c r="GWD259" s="537"/>
      <c r="GWE259" s="537"/>
      <c r="GWF259" s="537"/>
      <c r="GWG259" s="537"/>
      <c r="GWH259" s="537"/>
      <c r="GWI259" s="537"/>
      <c r="GWJ259" s="537"/>
      <c r="GWK259" s="537"/>
      <c r="GWL259" s="537"/>
      <c r="GWM259" s="537"/>
      <c r="GWN259" s="537"/>
      <c r="GWO259" s="537"/>
      <c r="GWP259" s="537"/>
      <c r="GWQ259" s="537"/>
      <c r="GWR259" s="537"/>
      <c r="GWS259" s="537"/>
      <c r="GWT259" s="537"/>
      <c r="GWU259" s="537"/>
      <c r="GWV259" s="537"/>
      <c r="GWW259" s="537"/>
      <c r="GWX259" s="537"/>
      <c r="GWY259" s="537"/>
      <c r="GWZ259" s="537"/>
      <c r="GXA259" s="537"/>
      <c r="GXB259" s="537"/>
      <c r="GXC259" s="537"/>
      <c r="GXD259" s="537"/>
      <c r="GXE259" s="537"/>
      <c r="GXF259" s="537"/>
      <c r="GXG259" s="537"/>
      <c r="GXH259" s="537"/>
      <c r="GXI259" s="537"/>
      <c r="GXJ259" s="537"/>
      <c r="GXK259" s="537"/>
      <c r="GXL259" s="537"/>
      <c r="GXM259" s="537"/>
      <c r="GXN259" s="537"/>
      <c r="GXO259" s="537"/>
      <c r="GXP259" s="537"/>
      <c r="GXQ259" s="537"/>
      <c r="GXR259" s="537"/>
      <c r="GXS259" s="537"/>
      <c r="GXT259" s="537"/>
      <c r="GXU259" s="537"/>
      <c r="GXV259" s="537"/>
      <c r="GXW259" s="537"/>
      <c r="GXX259" s="537"/>
      <c r="GXY259" s="537"/>
      <c r="GXZ259" s="537"/>
      <c r="GYA259" s="537"/>
      <c r="GYB259" s="537"/>
      <c r="GYC259" s="537"/>
      <c r="GYD259" s="537"/>
      <c r="GYE259" s="537"/>
      <c r="GYF259" s="537"/>
      <c r="GYG259" s="537"/>
      <c r="GYH259" s="537"/>
      <c r="GYI259" s="537"/>
      <c r="GYJ259" s="537"/>
      <c r="GYK259" s="537"/>
      <c r="GYL259" s="537"/>
      <c r="GYM259" s="537"/>
      <c r="GYN259" s="537"/>
      <c r="GYO259" s="537"/>
      <c r="GYP259" s="537"/>
      <c r="GYQ259" s="537"/>
      <c r="GYR259" s="537"/>
      <c r="GYS259" s="537"/>
      <c r="GYT259" s="537"/>
      <c r="GYU259" s="537"/>
      <c r="GYV259" s="537"/>
      <c r="GYW259" s="537"/>
      <c r="GYX259" s="537"/>
      <c r="GYY259" s="537"/>
      <c r="GYZ259" s="537"/>
      <c r="GZA259" s="537"/>
      <c r="GZB259" s="537"/>
      <c r="GZC259" s="537"/>
      <c r="GZD259" s="537"/>
      <c r="GZE259" s="537"/>
      <c r="GZF259" s="537"/>
      <c r="GZG259" s="537"/>
      <c r="GZH259" s="537"/>
      <c r="GZI259" s="537"/>
      <c r="GZJ259" s="537"/>
      <c r="GZK259" s="537"/>
      <c r="GZL259" s="537"/>
      <c r="GZM259" s="537"/>
      <c r="GZN259" s="537"/>
      <c r="GZO259" s="537"/>
      <c r="GZP259" s="537"/>
      <c r="GZQ259" s="537"/>
      <c r="GZR259" s="537"/>
      <c r="GZS259" s="537"/>
      <c r="GZT259" s="537"/>
      <c r="GZU259" s="537"/>
      <c r="GZV259" s="537"/>
      <c r="GZW259" s="537"/>
      <c r="GZX259" s="537"/>
      <c r="GZY259" s="537"/>
      <c r="GZZ259" s="537"/>
      <c r="HAA259" s="537"/>
      <c r="HAB259" s="537"/>
      <c r="HAC259" s="537"/>
      <c r="HAD259" s="537"/>
      <c r="HAE259" s="537"/>
      <c r="HAF259" s="537"/>
      <c r="HAG259" s="537"/>
      <c r="HAH259" s="537"/>
      <c r="HAI259" s="537"/>
      <c r="HAJ259" s="537"/>
      <c r="HAK259" s="537"/>
      <c r="HAL259" s="537"/>
      <c r="HAM259" s="537"/>
      <c r="HAN259" s="537"/>
      <c r="HAO259" s="537"/>
      <c r="HAP259" s="537"/>
      <c r="HAQ259" s="537"/>
      <c r="HAR259" s="537"/>
      <c r="HAS259" s="537"/>
      <c r="HAT259" s="537"/>
      <c r="HAU259" s="537"/>
      <c r="HAV259" s="537"/>
      <c r="HAW259" s="537"/>
      <c r="HAX259" s="537"/>
      <c r="HAY259" s="537"/>
      <c r="HAZ259" s="537"/>
      <c r="HBA259" s="537"/>
      <c r="HBB259" s="537"/>
      <c r="HBC259" s="537"/>
      <c r="HBD259" s="537"/>
      <c r="HBE259" s="537"/>
      <c r="HBF259" s="537"/>
      <c r="HBG259" s="537"/>
      <c r="HBH259" s="537"/>
      <c r="HBI259" s="537"/>
      <c r="HBJ259" s="537"/>
      <c r="HBK259" s="537"/>
      <c r="HBL259" s="537"/>
      <c r="HBM259" s="537"/>
      <c r="HBN259" s="537"/>
      <c r="HBO259" s="537"/>
      <c r="HBP259" s="537"/>
      <c r="HBQ259" s="537"/>
      <c r="HBR259" s="537"/>
      <c r="HBS259" s="537"/>
      <c r="HBT259" s="537"/>
      <c r="HBU259" s="537"/>
      <c r="HBV259" s="537"/>
      <c r="HBW259" s="537"/>
      <c r="HBX259" s="537"/>
      <c r="HBY259" s="537"/>
      <c r="HBZ259" s="537"/>
      <c r="HCA259" s="537"/>
      <c r="HCB259" s="537"/>
      <c r="HCC259" s="537"/>
      <c r="HCD259" s="537"/>
      <c r="HCE259" s="537"/>
      <c r="HCF259" s="537"/>
      <c r="HCG259" s="537"/>
      <c r="HCH259" s="537"/>
      <c r="HCI259" s="537"/>
      <c r="HCJ259" s="537"/>
      <c r="HCK259" s="537"/>
      <c r="HCL259" s="537"/>
      <c r="HCM259" s="537"/>
      <c r="HCN259" s="537"/>
      <c r="HCO259" s="537"/>
      <c r="HCP259" s="537"/>
      <c r="HCQ259" s="537"/>
      <c r="HCR259" s="537"/>
      <c r="HCS259" s="537"/>
      <c r="HCT259" s="537"/>
      <c r="HCU259" s="537"/>
      <c r="HCV259" s="537"/>
      <c r="HCW259" s="537"/>
      <c r="HCX259" s="537"/>
      <c r="HCY259" s="537"/>
      <c r="HCZ259" s="537"/>
      <c r="HDA259" s="537"/>
      <c r="HDB259" s="537"/>
      <c r="HDC259" s="537"/>
      <c r="HDD259" s="537"/>
      <c r="HDE259" s="537"/>
      <c r="HDF259" s="537"/>
      <c r="HDG259" s="537"/>
      <c r="HDH259" s="537"/>
      <c r="HDI259" s="537"/>
      <c r="HDJ259" s="537"/>
      <c r="HDK259" s="537"/>
      <c r="HDL259" s="537"/>
      <c r="HDM259" s="537"/>
      <c r="HDN259" s="537"/>
      <c r="HDO259" s="537"/>
      <c r="HDP259" s="537"/>
      <c r="HDQ259" s="537"/>
      <c r="HDR259" s="537"/>
      <c r="HDS259" s="537"/>
      <c r="HDT259" s="537"/>
      <c r="HDU259" s="537"/>
      <c r="HDV259" s="537"/>
      <c r="HDW259" s="537"/>
      <c r="HDX259" s="537"/>
      <c r="HDY259" s="537"/>
      <c r="HDZ259" s="537"/>
      <c r="HEA259" s="537"/>
      <c r="HEB259" s="537"/>
      <c r="HEC259" s="537"/>
      <c r="HED259" s="537"/>
      <c r="HEE259" s="537"/>
      <c r="HEF259" s="537"/>
      <c r="HEG259" s="537"/>
      <c r="HEH259" s="537"/>
      <c r="HEI259" s="537"/>
      <c r="HEJ259" s="537"/>
      <c r="HEK259" s="537"/>
      <c r="HEL259" s="537"/>
      <c r="HEM259" s="537"/>
      <c r="HEN259" s="537"/>
      <c r="HEO259" s="537"/>
      <c r="HEP259" s="537"/>
      <c r="HEQ259" s="537"/>
      <c r="HER259" s="537"/>
      <c r="HES259" s="537"/>
      <c r="HET259" s="537"/>
      <c r="HEU259" s="537"/>
      <c r="HEV259" s="537"/>
      <c r="HEW259" s="537"/>
      <c r="HEX259" s="537"/>
      <c r="HEY259" s="537"/>
      <c r="HEZ259" s="537"/>
      <c r="HFA259" s="537"/>
      <c r="HFB259" s="537"/>
      <c r="HFC259" s="537"/>
      <c r="HFD259" s="537"/>
      <c r="HFE259" s="537"/>
      <c r="HFF259" s="537"/>
      <c r="HFG259" s="537"/>
      <c r="HFH259" s="537"/>
      <c r="HFI259" s="537"/>
      <c r="HFJ259" s="537"/>
      <c r="HFK259" s="537"/>
      <c r="HFL259" s="537"/>
      <c r="HFM259" s="537"/>
      <c r="HFN259" s="537"/>
      <c r="HFO259" s="537"/>
      <c r="HFP259" s="537"/>
      <c r="HFQ259" s="537"/>
      <c r="HFR259" s="537"/>
      <c r="HFS259" s="537"/>
      <c r="HFT259" s="537"/>
      <c r="HFU259" s="537"/>
      <c r="HFV259" s="537"/>
      <c r="HFW259" s="537"/>
      <c r="HFX259" s="537"/>
      <c r="HFY259" s="537"/>
      <c r="HFZ259" s="537"/>
      <c r="HGA259" s="537"/>
      <c r="HGB259" s="537"/>
      <c r="HGC259" s="537"/>
      <c r="HGD259" s="537"/>
      <c r="HGE259" s="537"/>
      <c r="HGF259" s="537"/>
      <c r="HGG259" s="537"/>
      <c r="HGH259" s="537"/>
      <c r="HGI259" s="537"/>
      <c r="HGJ259" s="537"/>
      <c r="HGK259" s="537"/>
      <c r="HGL259" s="537"/>
      <c r="HGM259" s="537"/>
      <c r="HGN259" s="537"/>
      <c r="HGO259" s="537"/>
      <c r="HGP259" s="537"/>
      <c r="HGQ259" s="537"/>
      <c r="HGR259" s="537"/>
      <c r="HGS259" s="537"/>
      <c r="HGT259" s="537"/>
      <c r="HGU259" s="537"/>
      <c r="HGV259" s="537"/>
      <c r="HGW259" s="537"/>
      <c r="HGX259" s="537"/>
      <c r="HGY259" s="537"/>
      <c r="HGZ259" s="537"/>
      <c r="HHA259" s="537"/>
      <c r="HHB259" s="537"/>
      <c r="HHC259" s="537"/>
      <c r="HHD259" s="537"/>
      <c r="HHE259" s="537"/>
      <c r="HHF259" s="537"/>
      <c r="HHG259" s="537"/>
      <c r="HHH259" s="537"/>
      <c r="HHI259" s="537"/>
      <c r="HHJ259" s="537"/>
      <c r="HHK259" s="537"/>
      <c r="HHL259" s="537"/>
      <c r="HHM259" s="537"/>
      <c r="HHN259" s="537"/>
      <c r="HHO259" s="537"/>
      <c r="HHP259" s="537"/>
      <c r="HHQ259" s="537"/>
      <c r="HHR259" s="537"/>
      <c r="HHS259" s="537"/>
      <c r="HHT259" s="537"/>
      <c r="HHU259" s="537"/>
      <c r="HHV259" s="537"/>
      <c r="HHW259" s="537"/>
      <c r="HHX259" s="537"/>
      <c r="HHY259" s="537"/>
      <c r="HHZ259" s="537"/>
      <c r="HIA259" s="537"/>
      <c r="HIB259" s="537"/>
      <c r="HIC259" s="537"/>
      <c r="HID259" s="537"/>
      <c r="HIE259" s="537"/>
      <c r="HIF259" s="537"/>
      <c r="HIG259" s="537"/>
      <c r="HIH259" s="537"/>
      <c r="HII259" s="537"/>
      <c r="HIJ259" s="537"/>
      <c r="HIK259" s="537"/>
      <c r="HIL259" s="537"/>
      <c r="HIM259" s="537"/>
      <c r="HIN259" s="537"/>
      <c r="HIO259" s="537"/>
      <c r="HIP259" s="537"/>
      <c r="HIQ259" s="537"/>
      <c r="HIR259" s="537"/>
      <c r="HIS259" s="537"/>
      <c r="HIT259" s="537"/>
      <c r="HIU259" s="537"/>
      <c r="HIV259" s="537"/>
      <c r="HIW259" s="537"/>
      <c r="HIX259" s="537"/>
      <c r="HIY259" s="537"/>
      <c r="HIZ259" s="537"/>
      <c r="HJA259" s="537"/>
      <c r="HJB259" s="537"/>
      <c r="HJC259" s="537"/>
      <c r="HJD259" s="537"/>
      <c r="HJE259" s="537"/>
      <c r="HJF259" s="537"/>
      <c r="HJG259" s="537"/>
      <c r="HJH259" s="537"/>
      <c r="HJI259" s="537"/>
      <c r="HJJ259" s="537"/>
      <c r="HJK259" s="537"/>
      <c r="HJL259" s="537"/>
      <c r="HJM259" s="537"/>
      <c r="HJN259" s="537"/>
      <c r="HJO259" s="537"/>
      <c r="HJP259" s="537"/>
      <c r="HJQ259" s="537"/>
      <c r="HJR259" s="537"/>
      <c r="HJS259" s="537"/>
      <c r="HJT259" s="537"/>
      <c r="HJU259" s="537"/>
      <c r="HJV259" s="537"/>
      <c r="HJW259" s="537"/>
      <c r="HJX259" s="537"/>
      <c r="HJY259" s="537"/>
      <c r="HJZ259" s="537"/>
      <c r="HKA259" s="537"/>
      <c r="HKB259" s="537"/>
      <c r="HKC259" s="537"/>
      <c r="HKD259" s="537"/>
      <c r="HKE259" s="537"/>
      <c r="HKF259" s="537"/>
      <c r="HKG259" s="537"/>
      <c r="HKH259" s="537"/>
      <c r="HKI259" s="537"/>
      <c r="HKJ259" s="537"/>
      <c r="HKK259" s="537"/>
      <c r="HKL259" s="537"/>
      <c r="HKM259" s="537"/>
      <c r="HKN259" s="537"/>
      <c r="HKO259" s="537"/>
      <c r="HKP259" s="537"/>
      <c r="HKQ259" s="537"/>
      <c r="HKR259" s="537"/>
      <c r="HKS259" s="537"/>
      <c r="HKT259" s="537"/>
      <c r="HKU259" s="537"/>
      <c r="HKV259" s="537"/>
      <c r="HKW259" s="537"/>
      <c r="HKX259" s="537"/>
      <c r="HKY259" s="537"/>
      <c r="HKZ259" s="537"/>
      <c r="HLA259" s="537"/>
      <c r="HLB259" s="537"/>
      <c r="HLC259" s="537"/>
      <c r="HLD259" s="537"/>
      <c r="HLE259" s="537"/>
      <c r="HLF259" s="537"/>
      <c r="HLG259" s="537"/>
      <c r="HLH259" s="537"/>
      <c r="HLI259" s="537"/>
      <c r="HLJ259" s="537"/>
      <c r="HLK259" s="537"/>
      <c r="HLL259" s="537"/>
      <c r="HLM259" s="537"/>
      <c r="HLN259" s="537"/>
      <c r="HLO259" s="537"/>
      <c r="HLP259" s="537"/>
      <c r="HLQ259" s="537"/>
      <c r="HLR259" s="537"/>
      <c r="HLS259" s="537"/>
      <c r="HLT259" s="537"/>
      <c r="HLU259" s="537"/>
      <c r="HLV259" s="537"/>
      <c r="HLW259" s="537"/>
      <c r="HLX259" s="537"/>
      <c r="HLY259" s="537"/>
      <c r="HLZ259" s="537"/>
      <c r="HMA259" s="537"/>
      <c r="HMB259" s="537"/>
      <c r="HMC259" s="537"/>
      <c r="HMD259" s="537"/>
      <c r="HME259" s="537"/>
      <c r="HMF259" s="537"/>
      <c r="HMG259" s="537"/>
      <c r="HMH259" s="537"/>
      <c r="HMI259" s="537"/>
      <c r="HMJ259" s="537"/>
      <c r="HMK259" s="537"/>
      <c r="HML259" s="537"/>
      <c r="HMM259" s="537"/>
      <c r="HMN259" s="537"/>
      <c r="HMO259" s="537"/>
      <c r="HMP259" s="537"/>
      <c r="HMQ259" s="537"/>
      <c r="HMR259" s="537"/>
      <c r="HMS259" s="537"/>
      <c r="HMT259" s="537"/>
      <c r="HMU259" s="537"/>
      <c r="HMV259" s="537"/>
      <c r="HMW259" s="537"/>
      <c r="HMX259" s="537"/>
      <c r="HMY259" s="537"/>
      <c r="HMZ259" s="537"/>
      <c r="HNA259" s="537"/>
      <c r="HNB259" s="537"/>
      <c r="HNC259" s="537"/>
      <c r="HND259" s="537"/>
      <c r="HNE259" s="537"/>
      <c r="HNF259" s="537"/>
      <c r="HNG259" s="537"/>
      <c r="HNH259" s="537"/>
      <c r="HNI259" s="537"/>
      <c r="HNJ259" s="537"/>
      <c r="HNK259" s="537"/>
      <c r="HNL259" s="537"/>
      <c r="HNM259" s="537"/>
      <c r="HNN259" s="537"/>
      <c r="HNO259" s="537"/>
      <c r="HNP259" s="537"/>
      <c r="HNQ259" s="537"/>
      <c r="HNR259" s="537"/>
      <c r="HNS259" s="537"/>
      <c r="HNT259" s="537"/>
      <c r="HNU259" s="537"/>
      <c r="HNV259" s="537"/>
      <c r="HNW259" s="537"/>
      <c r="HNX259" s="537"/>
      <c r="HNY259" s="537"/>
      <c r="HNZ259" s="537"/>
      <c r="HOA259" s="537"/>
      <c r="HOB259" s="537"/>
      <c r="HOC259" s="537"/>
      <c r="HOD259" s="537"/>
      <c r="HOE259" s="537"/>
      <c r="HOF259" s="537"/>
      <c r="HOG259" s="537"/>
      <c r="HOH259" s="537"/>
      <c r="HOI259" s="537"/>
      <c r="HOJ259" s="537"/>
      <c r="HOK259" s="537"/>
      <c r="HOL259" s="537"/>
      <c r="HOM259" s="537"/>
      <c r="HON259" s="537"/>
      <c r="HOO259" s="537"/>
      <c r="HOP259" s="537"/>
      <c r="HOQ259" s="537"/>
      <c r="HOR259" s="537"/>
      <c r="HOS259" s="537"/>
      <c r="HOT259" s="537"/>
      <c r="HOU259" s="537"/>
      <c r="HOV259" s="537"/>
      <c r="HOW259" s="537"/>
      <c r="HOX259" s="537"/>
      <c r="HOY259" s="537"/>
      <c r="HOZ259" s="537"/>
      <c r="HPA259" s="537"/>
      <c r="HPB259" s="537"/>
      <c r="HPC259" s="537"/>
      <c r="HPD259" s="537"/>
      <c r="HPE259" s="537"/>
      <c r="HPF259" s="537"/>
      <c r="HPG259" s="537"/>
      <c r="HPH259" s="537"/>
      <c r="HPI259" s="537"/>
      <c r="HPJ259" s="537"/>
      <c r="HPK259" s="537"/>
      <c r="HPL259" s="537"/>
      <c r="HPM259" s="537"/>
      <c r="HPN259" s="537"/>
      <c r="HPO259" s="537"/>
      <c r="HPP259" s="537"/>
      <c r="HPQ259" s="537"/>
      <c r="HPR259" s="537"/>
      <c r="HPS259" s="537"/>
      <c r="HPT259" s="537"/>
      <c r="HPU259" s="537"/>
      <c r="HPV259" s="537"/>
      <c r="HPW259" s="537"/>
      <c r="HPX259" s="537"/>
      <c r="HPY259" s="537"/>
      <c r="HPZ259" s="537"/>
      <c r="HQA259" s="537"/>
      <c r="HQB259" s="537"/>
      <c r="HQC259" s="537"/>
      <c r="HQD259" s="537"/>
      <c r="HQE259" s="537"/>
      <c r="HQF259" s="537"/>
      <c r="HQG259" s="537"/>
      <c r="HQH259" s="537"/>
      <c r="HQI259" s="537"/>
      <c r="HQJ259" s="537"/>
      <c r="HQK259" s="537"/>
      <c r="HQL259" s="537"/>
      <c r="HQM259" s="537"/>
      <c r="HQN259" s="537"/>
      <c r="HQO259" s="537"/>
      <c r="HQP259" s="537"/>
      <c r="HQQ259" s="537"/>
      <c r="HQR259" s="537"/>
      <c r="HQS259" s="537"/>
      <c r="HQT259" s="537"/>
      <c r="HQU259" s="537"/>
      <c r="HQV259" s="537"/>
      <c r="HQW259" s="537"/>
      <c r="HQX259" s="537"/>
      <c r="HQY259" s="537"/>
      <c r="HQZ259" s="537"/>
      <c r="HRA259" s="537"/>
      <c r="HRB259" s="537"/>
      <c r="HRC259" s="537"/>
      <c r="HRD259" s="537"/>
      <c r="HRE259" s="537"/>
      <c r="HRF259" s="537"/>
      <c r="HRG259" s="537"/>
      <c r="HRH259" s="537"/>
      <c r="HRI259" s="537"/>
      <c r="HRJ259" s="537"/>
      <c r="HRK259" s="537"/>
      <c r="HRL259" s="537"/>
      <c r="HRM259" s="537"/>
      <c r="HRN259" s="537"/>
      <c r="HRO259" s="537"/>
      <c r="HRP259" s="537"/>
      <c r="HRQ259" s="537"/>
      <c r="HRR259" s="537"/>
      <c r="HRS259" s="537"/>
      <c r="HRT259" s="537"/>
      <c r="HRU259" s="537"/>
      <c r="HRV259" s="537"/>
      <c r="HRW259" s="537"/>
      <c r="HRX259" s="537"/>
      <c r="HRY259" s="537"/>
      <c r="HRZ259" s="537"/>
      <c r="HSA259" s="537"/>
      <c r="HSB259" s="537"/>
      <c r="HSC259" s="537"/>
      <c r="HSD259" s="537"/>
      <c r="HSE259" s="537"/>
      <c r="HSF259" s="537"/>
      <c r="HSG259" s="537"/>
      <c r="HSH259" s="537"/>
      <c r="HSI259" s="537"/>
      <c r="HSJ259" s="537"/>
      <c r="HSK259" s="537"/>
      <c r="HSL259" s="537"/>
      <c r="HSM259" s="537"/>
      <c r="HSN259" s="537"/>
      <c r="HSO259" s="537"/>
      <c r="HSP259" s="537"/>
      <c r="HSQ259" s="537"/>
      <c r="HSR259" s="537"/>
      <c r="HSS259" s="537"/>
      <c r="HST259" s="537"/>
      <c r="HSU259" s="537"/>
      <c r="HSV259" s="537"/>
      <c r="HSW259" s="537"/>
      <c r="HSX259" s="537"/>
      <c r="HSY259" s="537"/>
      <c r="HSZ259" s="537"/>
      <c r="HTA259" s="537"/>
      <c r="HTB259" s="537"/>
      <c r="HTC259" s="537"/>
      <c r="HTD259" s="537"/>
      <c r="HTE259" s="537"/>
      <c r="HTF259" s="537"/>
      <c r="HTG259" s="537"/>
      <c r="HTH259" s="537"/>
      <c r="HTI259" s="537"/>
      <c r="HTJ259" s="537"/>
      <c r="HTK259" s="537"/>
      <c r="HTL259" s="537"/>
      <c r="HTM259" s="537"/>
      <c r="HTN259" s="537"/>
      <c r="HTO259" s="537"/>
      <c r="HTP259" s="537"/>
      <c r="HTQ259" s="537"/>
      <c r="HTR259" s="537"/>
      <c r="HTS259" s="537"/>
      <c r="HTT259" s="537"/>
      <c r="HTU259" s="537"/>
      <c r="HTV259" s="537"/>
      <c r="HTW259" s="537"/>
      <c r="HTX259" s="537"/>
      <c r="HTY259" s="537"/>
      <c r="HTZ259" s="537"/>
      <c r="HUA259" s="537"/>
      <c r="HUB259" s="537"/>
      <c r="HUC259" s="537"/>
      <c r="HUD259" s="537"/>
      <c r="HUE259" s="537"/>
      <c r="HUF259" s="537"/>
      <c r="HUG259" s="537"/>
      <c r="HUH259" s="537"/>
      <c r="HUI259" s="537"/>
      <c r="HUJ259" s="537"/>
      <c r="HUK259" s="537"/>
      <c r="HUL259" s="537"/>
      <c r="HUM259" s="537"/>
      <c r="HUN259" s="537"/>
      <c r="HUO259" s="537"/>
      <c r="HUP259" s="537"/>
      <c r="HUQ259" s="537"/>
      <c r="HUR259" s="537"/>
      <c r="HUS259" s="537"/>
      <c r="HUT259" s="537"/>
      <c r="HUU259" s="537"/>
      <c r="HUV259" s="537"/>
      <c r="HUW259" s="537"/>
      <c r="HUX259" s="537"/>
      <c r="HUY259" s="537"/>
      <c r="HUZ259" s="537"/>
      <c r="HVA259" s="537"/>
      <c r="HVB259" s="537"/>
      <c r="HVC259" s="537"/>
      <c r="HVD259" s="537"/>
      <c r="HVE259" s="537"/>
      <c r="HVF259" s="537"/>
      <c r="HVG259" s="537"/>
      <c r="HVH259" s="537"/>
      <c r="HVI259" s="537"/>
      <c r="HVJ259" s="537"/>
      <c r="HVK259" s="537"/>
      <c r="HVL259" s="537"/>
      <c r="HVM259" s="537"/>
      <c r="HVN259" s="537"/>
      <c r="HVO259" s="537"/>
      <c r="HVP259" s="537"/>
      <c r="HVQ259" s="537"/>
      <c r="HVR259" s="537"/>
      <c r="HVS259" s="537"/>
      <c r="HVT259" s="537"/>
      <c r="HVU259" s="537"/>
      <c r="HVV259" s="537"/>
      <c r="HVW259" s="537"/>
      <c r="HVX259" s="537"/>
      <c r="HVY259" s="537"/>
      <c r="HVZ259" s="537"/>
      <c r="HWA259" s="537"/>
      <c r="HWB259" s="537"/>
      <c r="HWC259" s="537"/>
      <c r="HWD259" s="537"/>
      <c r="HWE259" s="537"/>
      <c r="HWF259" s="537"/>
      <c r="HWG259" s="537"/>
      <c r="HWH259" s="537"/>
      <c r="HWI259" s="537"/>
      <c r="HWJ259" s="537"/>
      <c r="HWK259" s="537"/>
      <c r="HWL259" s="537"/>
      <c r="HWM259" s="537"/>
      <c r="HWN259" s="537"/>
      <c r="HWO259" s="537"/>
      <c r="HWP259" s="537"/>
      <c r="HWQ259" s="537"/>
      <c r="HWR259" s="537"/>
      <c r="HWS259" s="537"/>
      <c r="HWT259" s="537"/>
      <c r="HWU259" s="537"/>
      <c r="HWV259" s="537"/>
      <c r="HWW259" s="537"/>
      <c r="HWX259" s="537"/>
      <c r="HWY259" s="537"/>
      <c r="HWZ259" s="537"/>
      <c r="HXA259" s="537"/>
      <c r="HXB259" s="537"/>
      <c r="HXC259" s="537"/>
      <c r="HXD259" s="537"/>
      <c r="HXE259" s="537"/>
      <c r="HXF259" s="537"/>
      <c r="HXG259" s="537"/>
      <c r="HXH259" s="537"/>
      <c r="HXI259" s="537"/>
      <c r="HXJ259" s="537"/>
      <c r="HXK259" s="537"/>
      <c r="HXL259" s="537"/>
      <c r="HXM259" s="537"/>
      <c r="HXN259" s="537"/>
      <c r="HXO259" s="537"/>
      <c r="HXP259" s="537"/>
      <c r="HXQ259" s="537"/>
      <c r="HXR259" s="537"/>
      <c r="HXS259" s="537"/>
      <c r="HXT259" s="537"/>
      <c r="HXU259" s="537"/>
      <c r="HXV259" s="537"/>
      <c r="HXW259" s="537"/>
      <c r="HXX259" s="537"/>
      <c r="HXY259" s="537"/>
      <c r="HXZ259" s="537"/>
      <c r="HYA259" s="537"/>
      <c r="HYB259" s="537"/>
      <c r="HYC259" s="537"/>
      <c r="HYD259" s="537"/>
      <c r="HYE259" s="537"/>
      <c r="HYF259" s="537"/>
      <c r="HYG259" s="537"/>
      <c r="HYH259" s="537"/>
      <c r="HYI259" s="537"/>
      <c r="HYJ259" s="537"/>
      <c r="HYK259" s="537"/>
      <c r="HYL259" s="537"/>
      <c r="HYM259" s="537"/>
      <c r="HYN259" s="537"/>
      <c r="HYO259" s="537"/>
      <c r="HYP259" s="537"/>
      <c r="HYQ259" s="537"/>
      <c r="HYR259" s="537"/>
      <c r="HYS259" s="537"/>
      <c r="HYT259" s="537"/>
      <c r="HYU259" s="537"/>
      <c r="HYV259" s="537"/>
      <c r="HYW259" s="537"/>
      <c r="HYX259" s="537"/>
      <c r="HYY259" s="537"/>
      <c r="HYZ259" s="537"/>
      <c r="HZA259" s="537"/>
      <c r="HZB259" s="537"/>
      <c r="HZC259" s="537"/>
      <c r="HZD259" s="537"/>
      <c r="HZE259" s="537"/>
      <c r="HZF259" s="537"/>
      <c r="HZG259" s="537"/>
      <c r="HZH259" s="537"/>
      <c r="HZI259" s="537"/>
      <c r="HZJ259" s="537"/>
      <c r="HZK259" s="537"/>
      <c r="HZL259" s="537"/>
      <c r="HZM259" s="537"/>
      <c r="HZN259" s="537"/>
      <c r="HZO259" s="537"/>
      <c r="HZP259" s="537"/>
      <c r="HZQ259" s="537"/>
      <c r="HZR259" s="537"/>
      <c r="HZS259" s="537"/>
      <c r="HZT259" s="537"/>
      <c r="HZU259" s="537"/>
      <c r="HZV259" s="537"/>
      <c r="HZW259" s="537"/>
      <c r="HZX259" s="537"/>
      <c r="HZY259" s="537"/>
      <c r="HZZ259" s="537"/>
      <c r="IAA259" s="537"/>
      <c r="IAB259" s="537"/>
      <c r="IAC259" s="537"/>
      <c r="IAD259" s="537"/>
      <c r="IAE259" s="537"/>
      <c r="IAF259" s="537"/>
      <c r="IAG259" s="537"/>
      <c r="IAH259" s="537"/>
      <c r="IAI259" s="537"/>
      <c r="IAJ259" s="537"/>
      <c r="IAK259" s="537"/>
      <c r="IAL259" s="537"/>
      <c r="IAM259" s="537"/>
      <c r="IAN259" s="537"/>
      <c r="IAO259" s="537"/>
      <c r="IAP259" s="537"/>
      <c r="IAQ259" s="537"/>
      <c r="IAR259" s="537"/>
      <c r="IAS259" s="537"/>
      <c r="IAT259" s="537"/>
      <c r="IAU259" s="537"/>
      <c r="IAV259" s="537"/>
      <c r="IAW259" s="537"/>
      <c r="IAX259" s="537"/>
      <c r="IAY259" s="537"/>
      <c r="IAZ259" s="537"/>
      <c r="IBA259" s="537"/>
      <c r="IBB259" s="537"/>
      <c r="IBC259" s="537"/>
      <c r="IBD259" s="537"/>
      <c r="IBE259" s="537"/>
      <c r="IBF259" s="537"/>
      <c r="IBG259" s="537"/>
      <c r="IBH259" s="537"/>
      <c r="IBI259" s="537"/>
      <c r="IBJ259" s="537"/>
      <c r="IBK259" s="537"/>
      <c r="IBL259" s="537"/>
      <c r="IBM259" s="537"/>
      <c r="IBN259" s="537"/>
      <c r="IBO259" s="537"/>
      <c r="IBP259" s="537"/>
      <c r="IBQ259" s="537"/>
      <c r="IBR259" s="537"/>
      <c r="IBS259" s="537"/>
      <c r="IBT259" s="537"/>
      <c r="IBU259" s="537"/>
      <c r="IBV259" s="537"/>
      <c r="IBW259" s="537"/>
      <c r="IBX259" s="537"/>
      <c r="IBY259" s="537"/>
      <c r="IBZ259" s="537"/>
      <c r="ICA259" s="537"/>
      <c r="ICB259" s="537"/>
      <c r="ICC259" s="537"/>
      <c r="ICD259" s="537"/>
      <c r="ICE259" s="537"/>
      <c r="ICF259" s="537"/>
      <c r="ICG259" s="537"/>
      <c r="ICH259" s="537"/>
      <c r="ICI259" s="537"/>
      <c r="ICJ259" s="537"/>
      <c r="ICK259" s="537"/>
      <c r="ICL259" s="537"/>
      <c r="ICM259" s="537"/>
      <c r="ICN259" s="537"/>
      <c r="ICO259" s="537"/>
      <c r="ICP259" s="537"/>
      <c r="ICQ259" s="537"/>
      <c r="ICR259" s="537"/>
      <c r="ICS259" s="537"/>
      <c r="ICT259" s="537"/>
      <c r="ICU259" s="537"/>
      <c r="ICV259" s="537"/>
      <c r="ICW259" s="537"/>
      <c r="ICX259" s="537"/>
      <c r="ICY259" s="537"/>
      <c r="ICZ259" s="537"/>
      <c r="IDA259" s="537"/>
      <c r="IDB259" s="537"/>
      <c r="IDC259" s="537"/>
      <c r="IDD259" s="537"/>
      <c r="IDE259" s="537"/>
      <c r="IDF259" s="537"/>
      <c r="IDG259" s="537"/>
      <c r="IDH259" s="537"/>
      <c r="IDI259" s="537"/>
      <c r="IDJ259" s="537"/>
      <c r="IDK259" s="537"/>
      <c r="IDL259" s="537"/>
      <c r="IDM259" s="537"/>
      <c r="IDN259" s="537"/>
      <c r="IDO259" s="537"/>
      <c r="IDP259" s="537"/>
      <c r="IDQ259" s="537"/>
      <c r="IDR259" s="537"/>
      <c r="IDS259" s="537"/>
      <c r="IDT259" s="537"/>
      <c r="IDU259" s="537"/>
      <c r="IDV259" s="537"/>
      <c r="IDW259" s="537"/>
      <c r="IDX259" s="537"/>
      <c r="IDY259" s="537"/>
      <c r="IDZ259" s="537"/>
      <c r="IEA259" s="537"/>
      <c r="IEB259" s="537"/>
      <c r="IEC259" s="537"/>
      <c r="IED259" s="537"/>
      <c r="IEE259" s="537"/>
      <c r="IEF259" s="537"/>
      <c r="IEG259" s="537"/>
      <c r="IEH259" s="537"/>
      <c r="IEI259" s="537"/>
      <c r="IEJ259" s="537"/>
      <c r="IEK259" s="537"/>
      <c r="IEL259" s="537"/>
      <c r="IEM259" s="537"/>
      <c r="IEN259" s="537"/>
      <c r="IEO259" s="537"/>
      <c r="IEP259" s="537"/>
      <c r="IEQ259" s="537"/>
      <c r="IER259" s="537"/>
      <c r="IES259" s="537"/>
      <c r="IET259" s="537"/>
      <c r="IEU259" s="537"/>
      <c r="IEV259" s="537"/>
      <c r="IEW259" s="537"/>
      <c r="IEX259" s="537"/>
      <c r="IEY259" s="537"/>
      <c r="IEZ259" s="537"/>
      <c r="IFA259" s="537"/>
      <c r="IFB259" s="537"/>
      <c r="IFC259" s="537"/>
      <c r="IFD259" s="537"/>
      <c r="IFE259" s="537"/>
      <c r="IFF259" s="537"/>
      <c r="IFG259" s="537"/>
      <c r="IFH259" s="537"/>
      <c r="IFI259" s="537"/>
      <c r="IFJ259" s="537"/>
      <c r="IFK259" s="537"/>
      <c r="IFL259" s="537"/>
      <c r="IFM259" s="537"/>
      <c r="IFN259" s="537"/>
      <c r="IFO259" s="537"/>
      <c r="IFP259" s="537"/>
      <c r="IFQ259" s="537"/>
      <c r="IFR259" s="537"/>
      <c r="IFS259" s="537"/>
      <c r="IFT259" s="537"/>
      <c r="IFU259" s="537"/>
      <c r="IFV259" s="537"/>
      <c r="IFW259" s="537"/>
      <c r="IFX259" s="537"/>
      <c r="IFY259" s="537"/>
      <c r="IFZ259" s="537"/>
      <c r="IGA259" s="537"/>
      <c r="IGB259" s="537"/>
      <c r="IGC259" s="537"/>
      <c r="IGD259" s="537"/>
      <c r="IGE259" s="537"/>
      <c r="IGF259" s="537"/>
      <c r="IGG259" s="537"/>
      <c r="IGH259" s="537"/>
      <c r="IGI259" s="537"/>
      <c r="IGJ259" s="537"/>
      <c r="IGK259" s="537"/>
      <c r="IGL259" s="537"/>
      <c r="IGM259" s="537"/>
      <c r="IGN259" s="537"/>
      <c r="IGO259" s="537"/>
      <c r="IGP259" s="537"/>
      <c r="IGQ259" s="537"/>
      <c r="IGR259" s="537"/>
      <c r="IGS259" s="537"/>
      <c r="IGT259" s="537"/>
      <c r="IGU259" s="537"/>
      <c r="IGV259" s="537"/>
      <c r="IGW259" s="537"/>
      <c r="IGX259" s="537"/>
      <c r="IGY259" s="537"/>
      <c r="IGZ259" s="537"/>
      <c r="IHA259" s="537"/>
      <c r="IHB259" s="537"/>
      <c r="IHC259" s="537"/>
      <c r="IHD259" s="537"/>
      <c r="IHE259" s="537"/>
      <c r="IHF259" s="537"/>
      <c r="IHG259" s="537"/>
      <c r="IHH259" s="537"/>
      <c r="IHI259" s="537"/>
      <c r="IHJ259" s="537"/>
      <c r="IHK259" s="537"/>
      <c r="IHL259" s="537"/>
      <c r="IHM259" s="537"/>
      <c r="IHN259" s="537"/>
      <c r="IHO259" s="537"/>
      <c r="IHP259" s="537"/>
      <c r="IHQ259" s="537"/>
      <c r="IHR259" s="537"/>
      <c r="IHS259" s="537"/>
      <c r="IHT259" s="537"/>
      <c r="IHU259" s="537"/>
      <c r="IHV259" s="537"/>
      <c r="IHW259" s="537"/>
      <c r="IHX259" s="537"/>
      <c r="IHY259" s="537"/>
      <c r="IHZ259" s="537"/>
      <c r="IIA259" s="537"/>
      <c r="IIB259" s="537"/>
      <c r="IIC259" s="537"/>
      <c r="IID259" s="537"/>
      <c r="IIE259" s="537"/>
      <c r="IIF259" s="537"/>
      <c r="IIG259" s="537"/>
      <c r="IIH259" s="537"/>
      <c r="III259" s="537"/>
      <c r="IIJ259" s="537"/>
      <c r="IIK259" s="537"/>
      <c r="IIL259" s="537"/>
      <c r="IIM259" s="537"/>
      <c r="IIN259" s="537"/>
      <c r="IIO259" s="537"/>
      <c r="IIP259" s="537"/>
      <c r="IIQ259" s="537"/>
      <c r="IIR259" s="537"/>
      <c r="IIS259" s="537"/>
      <c r="IIT259" s="537"/>
      <c r="IIU259" s="537"/>
      <c r="IIV259" s="537"/>
      <c r="IIW259" s="537"/>
      <c r="IIX259" s="537"/>
      <c r="IIY259" s="537"/>
      <c r="IIZ259" s="537"/>
      <c r="IJA259" s="537"/>
      <c r="IJB259" s="537"/>
      <c r="IJC259" s="537"/>
      <c r="IJD259" s="537"/>
      <c r="IJE259" s="537"/>
      <c r="IJF259" s="537"/>
      <c r="IJG259" s="537"/>
      <c r="IJH259" s="537"/>
      <c r="IJI259" s="537"/>
      <c r="IJJ259" s="537"/>
      <c r="IJK259" s="537"/>
      <c r="IJL259" s="537"/>
      <c r="IJM259" s="537"/>
      <c r="IJN259" s="537"/>
      <c r="IJO259" s="537"/>
      <c r="IJP259" s="537"/>
      <c r="IJQ259" s="537"/>
      <c r="IJR259" s="537"/>
      <c r="IJS259" s="537"/>
      <c r="IJT259" s="537"/>
      <c r="IJU259" s="537"/>
      <c r="IJV259" s="537"/>
      <c r="IJW259" s="537"/>
      <c r="IJX259" s="537"/>
      <c r="IJY259" s="537"/>
      <c r="IJZ259" s="537"/>
      <c r="IKA259" s="537"/>
      <c r="IKB259" s="537"/>
      <c r="IKC259" s="537"/>
      <c r="IKD259" s="537"/>
      <c r="IKE259" s="537"/>
      <c r="IKF259" s="537"/>
      <c r="IKG259" s="537"/>
      <c r="IKH259" s="537"/>
      <c r="IKI259" s="537"/>
      <c r="IKJ259" s="537"/>
      <c r="IKK259" s="537"/>
      <c r="IKL259" s="537"/>
      <c r="IKM259" s="537"/>
      <c r="IKN259" s="537"/>
      <c r="IKO259" s="537"/>
      <c r="IKP259" s="537"/>
      <c r="IKQ259" s="537"/>
      <c r="IKR259" s="537"/>
      <c r="IKS259" s="537"/>
      <c r="IKT259" s="537"/>
      <c r="IKU259" s="537"/>
      <c r="IKV259" s="537"/>
      <c r="IKW259" s="537"/>
      <c r="IKX259" s="537"/>
      <c r="IKY259" s="537"/>
      <c r="IKZ259" s="537"/>
      <c r="ILA259" s="537"/>
      <c r="ILB259" s="537"/>
      <c r="ILC259" s="537"/>
      <c r="ILD259" s="537"/>
      <c r="ILE259" s="537"/>
      <c r="ILF259" s="537"/>
      <c r="ILG259" s="537"/>
      <c r="ILH259" s="537"/>
      <c r="ILI259" s="537"/>
      <c r="ILJ259" s="537"/>
      <c r="ILK259" s="537"/>
      <c r="ILL259" s="537"/>
      <c r="ILM259" s="537"/>
      <c r="ILN259" s="537"/>
      <c r="ILO259" s="537"/>
      <c r="ILP259" s="537"/>
      <c r="ILQ259" s="537"/>
      <c r="ILR259" s="537"/>
      <c r="ILS259" s="537"/>
      <c r="ILT259" s="537"/>
      <c r="ILU259" s="537"/>
      <c r="ILV259" s="537"/>
      <c r="ILW259" s="537"/>
      <c r="ILX259" s="537"/>
      <c r="ILY259" s="537"/>
      <c r="ILZ259" s="537"/>
      <c r="IMA259" s="537"/>
      <c r="IMB259" s="537"/>
      <c r="IMC259" s="537"/>
      <c r="IMD259" s="537"/>
      <c r="IME259" s="537"/>
      <c r="IMF259" s="537"/>
      <c r="IMG259" s="537"/>
      <c r="IMH259" s="537"/>
      <c r="IMI259" s="537"/>
      <c r="IMJ259" s="537"/>
      <c r="IMK259" s="537"/>
      <c r="IML259" s="537"/>
      <c r="IMM259" s="537"/>
      <c r="IMN259" s="537"/>
      <c r="IMO259" s="537"/>
      <c r="IMP259" s="537"/>
      <c r="IMQ259" s="537"/>
      <c r="IMR259" s="537"/>
      <c r="IMS259" s="537"/>
      <c r="IMT259" s="537"/>
      <c r="IMU259" s="537"/>
      <c r="IMV259" s="537"/>
      <c r="IMW259" s="537"/>
      <c r="IMX259" s="537"/>
      <c r="IMY259" s="537"/>
      <c r="IMZ259" s="537"/>
      <c r="INA259" s="537"/>
      <c r="INB259" s="537"/>
      <c r="INC259" s="537"/>
      <c r="IND259" s="537"/>
      <c r="INE259" s="537"/>
      <c r="INF259" s="537"/>
      <c r="ING259" s="537"/>
      <c r="INH259" s="537"/>
      <c r="INI259" s="537"/>
      <c r="INJ259" s="537"/>
      <c r="INK259" s="537"/>
      <c r="INL259" s="537"/>
      <c r="INM259" s="537"/>
      <c r="INN259" s="537"/>
      <c r="INO259" s="537"/>
      <c r="INP259" s="537"/>
      <c r="INQ259" s="537"/>
      <c r="INR259" s="537"/>
      <c r="INS259" s="537"/>
      <c r="INT259" s="537"/>
      <c r="INU259" s="537"/>
      <c r="INV259" s="537"/>
      <c r="INW259" s="537"/>
      <c r="INX259" s="537"/>
      <c r="INY259" s="537"/>
      <c r="INZ259" s="537"/>
      <c r="IOA259" s="537"/>
      <c r="IOB259" s="537"/>
      <c r="IOC259" s="537"/>
      <c r="IOD259" s="537"/>
      <c r="IOE259" s="537"/>
      <c r="IOF259" s="537"/>
      <c r="IOG259" s="537"/>
      <c r="IOH259" s="537"/>
      <c r="IOI259" s="537"/>
      <c r="IOJ259" s="537"/>
      <c r="IOK259" s="537"/>
      <c r="IOL259" s="537"/>
      <c r="IOM259" s="537"/>
      <c r="ION259" s="537"/>
      <c r="IOO259" s="537"/>
      <c r="IOP259" s="537"/>
      <c r="IOQ259" s="537"/>
      <c r="IOR259" s="537"/>
      <c r="IOS259" s="537"/>
      <c r="IOT259" s="537"/>
      <c r="IOU259" s="537"/>
      <c r="IOV259" s="537"/>
      <c r="IOW259" s="537"/>
      <c r="IOX259" s="537"/>
      <c r="IOY259" s="537"/>
      <c r="IOZ259" s="537"/>
      <c r="IPA259" s="537"/>
      <c r="IPB259" s="537"/>
      <c r="IPC259" s="537"/>
      <c r="IPD259" s="537"/>
      <c r="IPE259" s="537"/>
      <c r="IPF259" s="537"/>
      <c r="IPG259" s="537"/>
      <c r="IPH259" s="537"/>
      <c r="IPI259" s="537"/>
      <c r="IPJ259" s="537"/>
      <c r="IPK259" s="537"/>
      <c r="IPL259" s="537"/>
      <c r="IPM259" s="537"/>
      <c r="IPN259" s="537"/>
      <c r="IPO259" s="537"/>
      <c r="IPP259" s="537"/>
      <c r="IPQ259" s="537"/>
      <c r="IPR259" s="537"/>
      <c r="IPS259" s="537"/>
      <c r="IPT259" s="537"/>
      <c r="IPU259" s="537"/>
      <c r="IPV259" s="537"/>
      <c r="IPW259" s="537"/>
      <c r="IPX259" s="537"/>
      <c r="IPY259" s="537"/>
      <c r="IPZ259" s="537"/>
      <c r="IQA259" s="537"/>
      <c r="IQB259" s="537"/>
      <c r="IQC259" s="537"/>
      <c r="IQD259" s="537"/>
      <c r="IQE259" s="537"/>
      <c r="IQF259" s="537"/>
      <c r="IQG259" s="537"/>
      <c r="IQH259" s="537"/>
      <c r="IQI259" s="537"/>
      <c r="IQJ259" s="537"/>
      <c r="IQK259" s="537"/>
      <c r="IQL259" s="537"/>
      <c r="IQM259" s="537"/>
      <c r="IQN259" s="537"/>
      <c r="IQO259" s="537"/>
      <c r="IQP259" s="537"/>
      <c r="IQQ259" s="537"/>
      <c r="IQR259" s="537"/>
      <c r="IQS259" s="537"/>
      <c r="IQT259" s="537"/>
      <c r="IQU259" s="537"/>
      <c r="IQV259" s="537"/>
      <c r="IQW259" s="537"/>
      <c r="IQX259" s="537"/>
      <c r="IQY259" s="537"/>
      <c r="IQZ259" s="537"/>
      <c r="IRA259" s="537"/>
      <c r="IRB259" s="537"/>
      <c r="IRC259" s="537"/>
      <c r="IRD259" s="537"/>
      <c r="IRE259" s="537"/>
      <c r="IRF259" s="537"/>
      <c r="IRG259" s="537"/>
      <c r="IRH259" s="537"/>
      <c r="IRI259" s="537"/>
      <c r="IRJ259" s="537"/>
      <c r="IRK259" s="537"/>
      <c r="IRL259" s="537"/>
      <c r="IRM259" s="537"/>
      <c r="IRN259" s="537"/>
      <c r="IRO259" s="537"/>
      <c r="IRP259" s="537"/>
      <c r="IRQ259" s="537"/>
      <c r="IRR259" s="537"/>
      <c r="IRS259" s="537"/>
      <c r="IRT259" s="537"/>
      <c r="IRU259" s="537"/>
      <c r="IRV259" s="537"/>
      <c r="IRW259" s="537"/>
      <c r="IRX259" s="537"/>
      <c r="IRY259" s="537"/>
      <c r="IRZ259" s="537"/>
      <c r="ISA259" s="537"/>
      <c r="ISB259" s="537"/>
      <c r="ISC259" s="537"/>
      <c r="ISD259" s="537"/>
      <c r="ISE259" s="537"/>
      <c r="ISF259" s="537"/>
      <c r="ISG259" s="537"/>
      <c r="ISH259" s="537"/>
      <c r="ISI259" s="537"/>
      <c r="ISJ259" s="537"/>
      <c r="ISK259" s="537"/>
      <c r="ISL259" s="537"/>
      <c r="ISM259" s="537"/>
      <c r="ISN259" s="537"/>
      <c r="ISO259" s="537"/>
      <c r="ISP259" s="537"/>
      <c r="ISQ259" s="537"/>
      <c r="ISR259" s="537"/>
      <c r="ISS259" s="537"/>
      <c r="IST259" s="537"/>
      <c r="ISU259" s="537"/>
      <c r="ISV259" s="537"/>
      <c r="ISW259" s="537"/>
      <c r="ISX259" s="537"/>
      <c r="ISY259" s="537"/>
      <c r="ISZ259" s="537"/>
      <c r="ITA259" s="537"/>
      <c r="ITB259" s="537"/>
      <c r="ITC259" s="537"/>
      <c r="ITD259" s="537"/>
      <c r="ITE259" s="537"/>
      <c r="ITF259" s="537"/>
      <c r="ITG259" s="537"/>
      <c r="ITH259" s="537"/>
      <c r="ITI259" s="537"/>
      <c r="ITJ259" s="537"/>
      <c r="ITK259" s="537"/>
      <c r="ITL259" s="537"/>
      <c r="ITM259" s="537"/>
      <c r="ITN259" s="537"/>
      <c r="ITO259" s="537"/>
      <c r="ITP259" s="537"/>
      <c r="ITQ259" s="537"/>
      <c r="ITR259" s="537"/>
      <c r="ITS259" s="537"/>
      <c r="ITT259" s="537"/>
      <c r="ITU259" s="537"/>
      <c r="ITV259" s="537"/>
      <c r="ITW259" s="537"/>
      <c r="ITX259" s="537"/>
      <c r="ITY259" s="537"/>
      <c r="ITZ259" s="537"/>
      <c r="IUA259" s="537"/>
      <c r="IUB259" s="537"/>
      <c r="IUC259" s="537"/>
      <c r="IUD259" s="537"/>
      <c r="IUE259" s="537"/>
      <c r="IUF259" s="537"/>
      <c r="IUG259" s="537"/>
      <c r="IUH259" s="537"/>
      <c r="IUI259" s="537"/>
      <c r="IUJ259" s="537"/>
      <c r="IUK259" s="537"/>
      <c r="IUL259" s="537"/>
      <c r="IUM259" s="537"/>
      <c r="IUN259" s="537"/>
      <c r="IUO259" s="537"/>
      <c r="IUP259" s="537"/>
      <c r="IUQ259" s="537"/>
      <c r="IUR259" s="537"/>
      <c r="IUS259" s="537"/>
      <c r="IUT259" s="537"/>
      <c r="IUU259" s="537"/>
      <c r="IUV259" s="537"/>
      <c r="IUW259" s="537"/>
      <c r="IUX259" s="537"/>
      <c r="IUY259" s="537"/>
      <c r="IUZ259" s="537"/>
      <c r="IVA259" s="537"/>
      <c r="IVB259" s="537"/>
      <c r="IVC259" s="537"/>
      <c r="IVD259" s="537"/>
      <c r="IVE259" s="537"/>
      <c r="IVF259" s="537"/>
      <c r="IVG259" s="537"/>
      <c r="IVH259" s="537"/>
      <c r="IVI259" s="537"/>
      <c r="IVJ259" s="537"/>
      <c r="IVK259" s="537"/>
      <c r="IVL259" s="537"/>
      <c r="IVM259" s="537"/>
      <c r="IVN259" s="537"/>
      <c r="IVO259" s="537"/>
      <c r="IVP259" s="537"/>
      <c r="IVQ259" s="537"/>
      <c r="IVR259" s="537"/>
      <c r="IVS259" s="537"/>
      <c r="IVT259" s="537"/>
      <c r="IVU259" s="537"/>
      <c r="IVV259" s="537"/>
      <c r="IVW259" s="537"/>
      <c r="IVX259" s="537"/>
      <c r="IVY259" s="537"/>
      <c r="IVZ259" s="537"/>
      <c r="IWA259" s="537"/>
      <c r="IWB259" s="537"/>
      <c r="IWC259" s="537"/>
      <c r="IWD259" s="537"/>
      <c r="IWE259" s="537"/>
      <c r="IWF259" s="537"/>
      <c r="IWG259" s="537"/>
      <c r="IWH259" s="537"/>
      <c r="IWI259" s="537"/>
      <c r="IWJ259" s="537"/>
      <c r="IWK259" s="537"/>
      <c r="IWL259" s="537"/>
      <c r="IWM259" s="537"/>
      <c r="IWN259" s="537"/>
      <c r="IWO259" s="537"/>
      <c r="IWP259" s="537"/>
      <c r="IWQ259" s="537"/>
      <c r="IWR259" s="537"/>
      <c r="IWS259" s="537"/>
      <c r="IWT259" s="537"/>
      <c r="IWU259" s="537"/>
      <c r="IWV259" s="537"/>
      <c r="IWW259" s="537"/>
      <c r="IWX259" s="537"/>
      <c r="IWY259" s="537"/>
      <c r="IWZ259" s="537"/>
      <c r="IXA259" s="537"/>
      <c r="IXB259" s="537"/>
      <c r="IXC259" s="537"/>
      <c r="IXD259" s="537"/>
      <c r="IXE259" s="537"/>
      <c r="IXF259" s="537"/>
      <c r="IXG259" s="537"/>
      <c r="IXH259" s="537"/>
      <c r="IXI259" s="537"/>
      <c r="IXJ259" s="537"/>
      <c r="IXK259" s="537"/>
      <c r="IXL259" s="537"/>
      <c r="IXM259" s="537"/>
      <c r="IXN259" s="537"/>
      <c r="IXO259" s="537"/>
      <c r="IXP259" s="537"/>
      <c r="IXQ259" s="537"/>
      <c r="IXR259" s="537"/>
      <c r="IXS259" s="537"/>
      <c r="IXT259" s="537"/>
      <c r="IXU259" s="537"/>
      <c r="IXV259" s="537"/>
      <c r="IXW259" s="537"/>
      <c r="IXX259" s="537"/>
      <c r="IXY259" s="537"/>
      <c r="IXZ259" s="537"/>
      <c r="IYA259" s="537"/>
      <c r="IYB259" s="537"/>
      <c r="IYC259" s="537"/>
      <c r="IYD259" s="537"/>
      <c r="IYE259" s="537"/>
      <c r="IYF259" s="537"/>
      <c r="IYG259" s="537"/>
      <c r="IYH259" s="537"/>
      <c r="IYI259" s="537"/>
      <c r="IYJ259" s="537"/>
      <c r="IYK259" s="537"/>
      <c r="IYL259" s="537"/>
      <c r="IYM259" s="537"/>
      <c r="IYN259" s="537"/>
      <c r="IYO259" s="537"/>
      <c r="IYP259" s="537"/>
      <c r="IYQ259" s="537"/>
      <c r="IYR259" s="537"/>
      <c r="IYS259" s="537"/>
      <c r="IYT259" s="537"/>
      <c r="IYU259" s="537"/>
      <c r="IYV259" s="537"/>
      <c r="IYW259" s="537"/>
      <c r="IYX259" s="537"/>
      <c r="IYY259" s="537"/>
      <c r="IYZ259" s="537"/>
      <c r="IZA259" s="537"/>
      <c r="IZB259" s="537"/>
      <c r="IZC259" s="537"/>
      <c r="IZD259" s="537"/>
      <c r="IZE259" s="537"/>
      <c r="IZF259" s="537"/>
      <c r="IZG259" s="537"/>
      <c r="IZH259" s="537"/>
      <c r="IZI259" s="537"/>
      <c r="IZJ259" s="537"/>
      <c r="IZK259" s="537"/>
      <c r="IZL259" s="537"/>
      <c r="IZM259" s="537"/>
      <c r="IZN259" s="537"/>
      <c r="IZO259" s="537"/>
      <c r="IZP259" s="537"/>
      <c r="IZQ259" s="537"/>
      <c r="IZR259" s="537"/>
      <c r="IZS259" s="537"/>
      <c r="IZT259" s="537"/>
      <c r="IZU259" s="537"/>
      <c r="IZV259" s="537"/>
      <c r="IZW259" s="537"/>
      <c r="IZX259" s="537"/>
      <c r="IZY259" s="537"/>
      <c r="IZZ259" s="537"/>
      <c r="JAA259" s="537"/>
      <c r="JAB259" s="537"/>
      <c r="JAC259" s="537"/>
      <c r="JAD259" s="537"/>
      <c r="JAE259" s="537"/>
      <c r="JAF259" s="537"/>
      <c r="JAG259" s="537"/>
      <c r="JAH259" s="537"/>
      <c r="JAI259" s="537"/>
      <c r="JAJ259" s="537"/>
      <c r="JAK259" s="537"/>
      <c r="JAL259" s="537"/>
      <c r="JAM259" s="537"/>
      <c r="JAN259" s="537"/>
      <c r="JAO259" s="537"/>
      <c r="JAP259" s="537"/>
      <c r="JAQ259" s="537"/>
      <c r="JAR259" s="537"/>
      <c r="JAS259" s="537"/>
      <c r="JAT259" s="537"/>
      <c r="JAU259" s="537"/>
      <c r="JAV259" s="537"/>
      <c r="JAW259" s="537"/>
      <c r="JAX259" s="537"/>
      <c r="JAY259" s="537"/>
      <c r="JAZ259" s="537"/>
      <c r="JBA259" s="537"/>
      <c r="JBB259" s="537"/>
      <c r="JBC259" s="537"/>
      <c r="JBD259" s="537"/>
      <c r="JBE259" s="537"/>
      <c r="JBF259" s="537"/>
      <c r="JBG259" s="537"/>
      <c r="JBH259" s="537"/>
      <c r="JBI259" s="537"/>
      <c r="JBJ259" s="537"/>
      <c r="JBK259" s="537"/>
      <c r="JBL259" s="537"/>
      <c r="JBM259" s="537"/>
      <c r="JBN259" s="537"/>
      <c r="JBO259" s="537"/>
      <c r="JBP259" s="537"/>
      <c r="JBQ259" s="537"/>
      <c r="JBR259" s="537"/>
      <c r="JBS259" s="537"/>
      <c r="JBT259" s="537"/>
      <c r="JBU259" s="537"/>
      <c r="JBV259" s="537"/>
      <c r="JBW259" s="537"/>
      <c r="JBX259" s="537"/>
      <c r="JBY259" s="537"/>
      <c r="JBZ259" s="537"/>
      <c r="JCA259" s="537"/>
      <c r="JCB259" s="537"/>
      <c r="JCC259" s="537"/>
      <c r="JCD259" s="537"/>
      <c r="JCE259" s="537"/>
      <c r="JCF259" s="537"/>
      <c r="JCG259" s="537"/>
      <c r="JCH259" s="537"/>
      <c r="JCI259" s="537"/>
      <c r="JCJ259" s="537"/>
      <c r="JCK259" s="537"/>
      <c r="JCL259" s="537"/>
      <c r="JCM259" s="537"/>
      <c r="JCN259" s="537"/>
      <c r="JCO259" s="537"/>
      <c r="JCP259" s="537"/>
      <c r="JCQ259" s="537"/>
      <c r="JCR259" s="537"/>
      <c r="JCS259" s="537"/>
      <c r="JCT259" s="537"/>
      <c r="JCU259" s="537"/>
      <c r="JCV259" s="537"/>
      <c r="JCW259" s="537"/>
      <c r="JCX259" s="537"/>
      <c r="JCY259" s="537"/>
      <c r="JCZ259" s="537"/>
      <c r="JDA259" s="537"/>
      <c r="JDB259" s="537"/>
      <c r="JDC259" s="537"/>
      <c r="JDD259" s="537"/>
      <c r="JDE259" s="537"/>
      <c r="JDF259" s="537"/>
      <c r="JDG259" s="537"/>
      <c r="JDH259" s="537"/>
      <c r="JDI259" s="537"/>
      <c r="JDJ259" s="537"/>
      <c r="JDK259" s="537"/>
      <c r="JDL259" s="537"/>
      <c r="JDM259" s="537"/>
      <c r="JDN259" s="537"/>
      <c r="JDO259" s="537"/>
      <c r="JDP259" s="537"/>
      <c r="JDQ259" s="537"/>
      <c r="JDR259" s="537"/>
      <c r="JDS259" s="537"/>
      <c r="JDT259" s="537"/>
      <c r="JDU259" s="537"/>
      <c r="JDV259" s="537"/>
      <c r="JDW259" s="537"/>
      <c r="JDX259" s="537"/>
      <c r="JDY259" s="537"/>
      <c r="JDZ259" s="537"/>
      <c r="JEA259" s="537"/>
      <c r="JEB259" s="537"/>
      <c r="JEC259" s="537"/>
      <c r="JED259" s="537"/>
      <c r="JEE259" s="537"/>
      <c r="JEF259" s="537"/>
      <c r="JEG259" s="537"/>
      <c r="JEH259" s="537"/>
      <c r="JEI259" s="537"/>
      <c r="JEJ259" s="537"/>
      <c r="JEK259" s="537"/>
      <c r="JEL259" s="537"/>
      <c r="JEM259" s="537"/>
      <c r="JEN259" s="537"/>
      <c r="JEO259" s="537"/>
      <c r="JEP259" s="537"/>
      <c r="JEQ259" s="537"/>
      <c r="JER259" s="537"/>
      <c r="JES259" s="537"/>
      <c r="JET259" s="537"/>
      <c r="JEU259" s="537"/>
      <c r="JEV259" s="537"/>
      <c r="JEW259" s="537"/>
      <c r="JEX259" s="537"/>
      <c r="JEY259" s="537"/>
      <c r="JEZ259" s="537"/>
      <c r="JFA259" s="537"/>
      <c r="JFB259" s="537"/>
      <c r="JFC259" s="537"/>
      <c r="JFD259" s="537"/>
      <c r="JFE259" s="537"/>
      <c r="JFF259" s="537"/>
      <c r="JFG259" s="537"/>
      <c r="JFH259" s="537"/>
      <c r="JFI259" s="537"/>
      <c r="JFJ259" s="537"/>
      <c r="JFK259" s="537"/>
      <c r="JFL259" s="537"/>
      <c r="JFM259" s="537"/>
      <c r="JFN259" s="537"/>
      <c r="JFO259" s="537"/>
      <c r="JFP259" s="537"/>
      <c r="JFQ259" s="537"/>
      <c r="JFR259" s="537"/>
      <c r="JFS259" s="537"/>
      <c r="JFT259" s="537"/>
      <c r="JFU259" s="537"/>
      <c r="JFV259" s="537"/>
      <c r="JFW259" s="537"/>
      <c r="JFX259" s="537"/>
      <c r="JFY259" s="537"/>
      <c r="JFZ259" s="537"/>
      <c r="JGA259" s="537"/>
      <c r="JGB259" s="537"/>
      <c r="JGC259" s="537"/>
      <c r="JGD259" s="537"/>
      <c r="JGE259" s="537"/>
      <c r="JGF259" s="537"/>
      <c r="JGG259" s="537"/>
      <c r="JGH259" s="537"/>
      <c r="JGI259" s="537"/>
      <c r="JGJ259" s="537"/>
      <c r="JGK259" s="537"/>
      <c r="JGL259" s="537"/>
      <c r="JGM259" s="537"/>
      <c r="JGN259" s="537"/>
      <c r="JGO259" s="537"/>
      <c r="JGP259" s="537"/>
      <c r="JGQ259" s="537"/>
      <c r="JGR259" s="537"/>
      <c r="JGS259" s="537"/>
      <c r="JGT259" s="537"/>
      <c r="JGU259" s="537"/>
      <c r="JGV259" s="537"/>
      <c r="JGW259" s="537"/>
      <c r="JGX259" s="537"/>
      <c r="JGY259" s="537"/>
      <c r="JGZ259" s="537"/>
      <c r="JHA259" s="537"/>
      <c r="JHB259" s="537"/>
      <c r="JHC259" s="537"/>
      <c r="JHD259" s="537"/>
      <c r="JHE259" s="537"/>
      <c r="JHF259" s="537"/>
      <c r="JHG259" s="537"/>
      <c r="JHH259" s="537"/>
      <c r="JHI259" s="537"/>
      <c r="JHJ259" s="537"/>
      <c r="JHK259" s="537"/>
      <c r="JHL259" s="537"/>
      <c r="JHM259" s="537"/>
      <c r="JHN259" s="537"/>
      <c r="JHO259" s="537"/>
      <c r="JHP259" s="537"/>
      <c r="JHQ259" s="537"/>
      <c r="JHR259" s="537"/>
      <c r="JHS259" s="537"/>
      <c r="JHT259" s="537"/>
      <c r="JHU259" s="537"/>
      <c r="JHV259" s="537"/>
      <c r="JHW259" s="537"/>
      <c r="JHX259" s="537"/>
      <c r="JHY259" s="537"/>
      <c r="JHZ259" s="537"/>
      <c r="JIA259" s="537"/>
      <c r="JIB259" s="537"/>
      <c r="JIC259" s="537"/>
      <c r="JID259" s="537"/>
      <c r="JIE259" s="537"/>
      <c r="JIF259" s="537"/>
      <c r="JIG259" s="537"/>
      <c r="JIH259" s="537"/>
      <c r="JII259" s="537"/>
      <c r="JIJ259" s="537"/>
      <c r="JIK259" s="537"/>
      <c r="JIL259" s="537"/>
      <c r="JIM259" s="537"/>
      <c r="JIN259" s="537"/>
      <c r="JIO259" s="537"/>
      <c r="JIP259" s="537"/>
      <c r="JIQ259" s="537"/>
      <c r="JIR259" s="537"/>
      <c r="JIS259" s="537"/>
      <c r="JIT259" s="537"/>
      <c r="JIU259" s="537"/>
      <c r="JIV259" s="537"/>
      <c r="JIW259" s="537"/>
      <c r="JIX259" s="537"/>
      <c r="JIY259" s="537"/>
      <c r="JIZ259" s="537"/>
      <c r="JJA259" s="537"/>
      <c r="JJB259" s="537"/>
      <c r="JJC259" s="537"/>
      <c r="JJD259" s="537"/>
      <c r="JJE259" s="537"/>
      <c r="JJF259" s="537"/>
      <c r="JJG259" s="537"/>
      <c r="JJH259" s="537"/>
      <c r="JJI259" s="537"/>
      <c r="JJJ259" s="537"/>
      <c r="JJK259" s="537"/>
      <c r="JJL259" s="537"/>
      <c r="JJM259" s="537"/>
      <c r="JJN259" s="537"/>
      <c r="JJO259" s="537"/>
      <c r="JJP259" s="537"/>
      <c r="JJQ259" s="537"/>
      <c r="JJR259" s="537"/>
      <c r="JJS259" s="537"/>
      <c r="JJT259" s="537"/>
      <c r="JJU259" s="537"/>
      <c r="JJV259" s="537"/>
      <c r="JJW259" s="537"/>
      <c r="JJX259" s="537"/>
      <c r="JJY259" s="537"/>
      <c r="JJZ259" s="537"/>
      <c r="JKA259" s="537"/>
      <c r="JKB259" s="537"/>
      <c r="JKC259" s="537"/>
      <c r="JKD259" s="537"/>
      <c r="JKE259" s="537"/>
      <c r="JKF259" s="537"/>
      <c r="JKG259" s="537"/>
      <c r="JKH259" s="537"/>
      <c r="JKI259" s="537"/>
      <c r="JKJ259" s="537"/>
      <c r="JKK259" s="537"/>
      <c r="JKL259" s="537"/>
      <c r="JKM259" s="537"/>
      <c r="JKN259" s="537"/>
      <c r="JKO259" s="537"/>
      <c r="JKP259" s="537"/>
      <c r="JKQ259" s="537"/>
      <c r="JKR259" s="537"/>
      <c r="JKS259" s="537"/>
      <c r="JKT259" s="537"/>
      <c r="JKU259" s="537"/>
      <c r="JKV259" s="537"/>
      <c r="JKW259" s="537"/>
      <c r="JKX259" s="537"/>
      <c r="JKY259" s="537"/>
      <c r="JKZ259" s="537"/>
      <c r="JLA259" s="537"/>
      <c r="JLB259" s="537"/>
      <c r="JLC259" s="537"/>
      <c r="JLD259" s="537"/>
      <c r="JLE259" s="537"/>
      <c r="JLF259" s="537"/>
      <c r="JLG259" s="537"/>
      <c r="JLH259" s="537"/>
      <c r="JLI259" s="537"/>
      <c r="JLJ259" s="537"/>
      <c r="JLK259" s="537"/>
      <c r="JLL259" s="537"/>
      <c r="JLM259" s="537"/>
      <c r="JLN259" s="537"/>
      <c r="JLO259" s="537"/>
      <c r="JLP259" s="537"/>
      <c r="JLQ259" s="537"/>
      <c r="JLR259" s="537"/>
      <c r="JLS259" s="537"/>
      <c r="JLT259" s="537"/>
      <c r="JLU259" s="537"/>
      <c r="JLV259" s="537"/>
      <c r="JLW259" s="537"/>
      <c r="JLX259" s="537"/>
      <c r="JLY259" s="537"/>
      <c r="JLZ259" s="537"/>
      <c r="JMA259" s="537"/>
      <c r="JMB259" s="537"/>
      <c r="JMC259" s="537"/>
      <c r="JMD259" s="537"/>
      <c r="JME259" s="537"/>
      <c r="JMF259" s="537"/>
      <c r="JMG259" s="537"/>
      <c r="JMH259" s="537"/>
      <c r="JMI259" s="537"/>
      <c r="JMJ259" s="537"/>
      <c r="JMK259" s="537"/>
      <c r="JML259" s="537"/>
      <c r="JMM259" s="537"/>
      <c r="JMN259" s="537"/>
      <c r="JMO259" s="537"/>
      <c r="JMP259" s="537"/>
      <c r="JMQ259" s="537"/>
      <c r="JMR259" s="537"/>
      <c r="JMS259" s="537"/>
      <c r="JMT259" s="537"/>
      <c r="JMU259" s="537"/>
      <c r="JMV259" s="537"/>
      <c r="JMW259" s="537"/>
      <c r="JMX259" s="537"/>
      <c r="JMY259" s="537"/>
      <c r="JMZ259" s="537"/>
      <c r="JNA259" s="537"/>
      <c r="JNB259" s="537"/>
      <c r="JNC259" s="537"/>
      <c r="JND259" s="537"/>
      <c r="JNE259" s="537"/>
      <c r="JNF259" s="537"/>
      <c r="JNG259" s="537"/>
      <c r="JNH259" s="537"/>
      <c r="JNI259" s="537"/>
      <c r="JNJ259" s="537"/>
      <c r="JNK259" s="537"/>
      <c r="JNL259" s="537"/>
      <c r="JNM259" s="537"/>
      <c r="JNN259" s="537"/>
      <c r="JNO259" s="537"/>
      <c r="JNP259" s="537"/>
      <c r="JNQ259" s="537"/>
      <c r="JNR259" s="537"/>
      <c r="JNS259" s="537"/>
      <c r="JNT259" s="537"/>
      <c r="JNU259" s="537"/>
      <c r="JNV259" s="537"/>
      <c r="JNW259" s="537"/>
      <c r="JNX259" s="537"/>
      <c r="JNY259" s="537"/>
      <c r="JNZ259" s="537"/>
      <c r="JOA259" s="537"/>
      <c r="JOB259" s="537"/>
      <c r="JOC259" s="537"/>
      <c r="JOD259" s="537"/>
      <c r="JOE259" s="537"/>
      <c r="JOF259" s="537"/>
      <c r="JOG259" s="537"/>
      <c r="JOH259" s="537"/>
      <c r="JOI259" s="537"/>
      <c r="JOJ259" s="537"/>
      <c r="JOK259" s="537"/>
      <c r="JOL259" s="537"/>
      <c r="JOM259" s="537"/>
      <c r="JON259" s="537"/>
      <c r="JOO259" s="537"/>
      <c r="JOP259" s="537"/>
      <c r="JOQ259" s="537"/>
      <c r="JOR259" s="537"/>
      <c r="JOS259" s="537"/>
      <c r="JOT259" s="537"/>
      <c r="JOU259" s="537"/>
      <c r="JOV259" s="537"/>
      <c r="JOW259" s="537"/>
      <c r="JOX259" s="537"/>
      <c r="JOY259" s="537"/>
      <c r="JOZ259" s="537"/>
      <c r="JPA259" s="537"/>
      <c r="JPB259" s="537"/>
      <c r="JPC259" s="537"/>
      <c r="JPD259" s="537"/>
      <c r="JPE259" s="537"/>
      <c r="JPF259" s="537"/>
      <c r="JPG259" s="537"/>
      <c r="JPH259" s="537"/>
      <c r="JPI259" s="537"/>
      <c r="JPJ259" s="537"/>
      <c r="JPK259" s="537"/>
      <c r="JPL259" s="537"/>
      <c r="JPM259" s="537"/>
      <c r="JPN259" s="537"/>
      <c r="JPO259" s="537"/>
      <c r="JPP259" s="537"/>
      <c r="JPQ259" s="537"/>
      <c r="JPR259" s="537"/>
      <c r="JPS259" s="537"/>
      <c r="JPT259" s="537"/>
      <c r="JPU259" s="537"/>
      <c r="JPV259" s="537"/>
      <c r="JPW259" s="537"/>
      <c r="JPX259" s="537"/>
      <c r="JPY259" s="537"/>
      <c r="JPZ259" s="537"/>
      <c r="JQA259" s="537"/>
      <c r="JQB259" s="537"/>
      <c r="JQC259" s="537"/>
      <c r="JQD259" s="537"/>
      <c r="JQE259" s="537"/>
      <c r="JQF259" s="537"/>
      <c r="JQG259" s="537"/>
      <c r="JQH259" s="537"/>
      <c r="JQI259" s="537"/>
      <c r="JQJ259" s="537"/>
      <c r="JQK259" s="537"/>
      <c r="JQL259" s="537"/>
      <c r="JQM259" s="537"/>
      <c r="JQN259" s="537"/>
      <c r="JQO259" s="537"/>
      <c r="JQP259" s="537"/>
      <c r="JQQ259" s="537"/>
      <c r="JQR259" s="537"/>
      <c r="JQS259" s="537"/>
      <c r="JQT259" s="537"/>
      <c r="JQU259" s="537"/>
      <c r="JQV259" s="537"/>
      <c r="JQW259" s="537"/>
      <c r="JQX259" s="537"/>
      <c r="JQY259" s="537"/>
      <c r="JQZ259" s="537"/>
      <c r="JRA259" s="537"/>
      <c r="JRB259" s="537"/>
      <c r="JRC259" s="537"/>
      <c r="JRD259" s="537"/>
      <c r="JRE259" s="537"/>
      <c r="JRF259" s="537"/>
      <c r="JRG259" s="537"/>
      <c r="JRH259" s="537"/>
      <c r="JRI259" s="537"/>
      <c r="JRJ259" s="537"/>
      <c r="JRK259" s="537"/>
      <c r="JRL259" s="537"/>
      <c r="JRM259" s="537"/>
      <c r="JRN259" s="537"/>
      <c r="JRO259" s="537"/>
      <c r="JRP259" s="537"/>
      <c r="JRQ259" s="537"/>
      <c r="JRR259" s="537"/>
      <c r="JRS259" s="537"/>
      <c r="JRT259" s="537"/>
      <c r="JRU259" s="537"/>
      <c r="JRV259" s="537"/>
      <c r="JRW259" s="537"/>
      <c r="JRX259" s="537"/>
      <c r="JRY259" s="537"/>
      <c r="JRZ259" s="537"/>
      <c r="JSA259" s="537"/>
      <c r="JSB259" s="537"/>
      <c r="JSC259" s="537"/>
      <c r="JSD259" s="537"/>
      <c r="JSE259" s="537"/>
      <c r="JSF259" s="537"/>
      <c r="JSG259" s="537"/>
      <c r="JSH259" s="537"/>
      <c r="JSI259" s="537"/>
      <c r="JSJ259" s="537"/>
      <c r="JSK259" s="537"/>
      <c r="JSL259" s="537"/>
      <c r="JSM259" s="537"/>
      <c r="JSN259" s="537"/>
      <c r="JSO259" s="537"/>
      <c r="JSP259" s="537"/>
      <c r="JSQ259" s="537"/>
      <c r="JSR259" s="537"/>
      <c r="JSS259" s="537"/>
      <c r="JST259" s="537"/>
      <c r="JSU259" s="537"/>
      <c r="JSV259" s="537"/>
      <c r="JSW259" s="537"/>
      <c r="JSX259" s="537"/>
      <c r="JSY259" s="537"/>
      <c r="JSZ259" s="537"/>
      <c r="JTA259" s="537"/>
      <c r="JTB259" s="537"/>
      <c r="JTC259" s="537"/>
      <c r="JTD259" s="537"/>
      <c r="JTE259" s="537"/>
      <c r="JTF259" s="537"/>
      <c r="JTG259" s="537"/>
      <c r="JTH259" s="537"/>
      <c r="JTI259" s="537"/>
      <c r="JTJ259" s="537"/>
      <c r="JTK259" s="537"/>
      <c r="JTL259" s="537"/>
      <c r="JTM259" s="537"/>
      <c r="JTN259" s="537"/>
      <c r="JTO259" s="537"/>
      <c r="JTP259" s="537"/>
      <c r="JTQ259" s="537"/>
      <c r="JTR259" s="537"/>
      <c r="JTS259" s="537"/>
      <c r="JTT259" s="537"/>
      <c r="JTU259" s="537"/>
      <c r="JTV259" s="537"/>
      <c r="JTW259" s="537"/>
      <c r="JTX259" s="537"/>
      <c r="JTY259" s="537"/>
      <c r="JTZ259" s="537"/>
      <c r="JUA259" s="537"/>
      <c r="JUB259" s="537"/>
      <c r="JUC259" s="537"/>
      <c r="JUD259" s="537"/>
      <c r="JUE259" s="537"/>
      <c r="JUF259" s="537"/>
      <c r="JUG259" s="537"/>
      <c r="JUH259" s="537"/>
      <c r="JUI259" s="537"/>
      <c r="JUJ259" s="537"/>
      <c r="JUK259" s="537"/>
      <c r="JUL259" s="537"/>
      <c r="JUM259" s="537"/>
      <c r="JUN259" s="537"/>
      <c r="JUO259" s="537"/>
      <c r="JUP259" s="537"/>
      <c r="JUQ259" s="537"/>
      <c r="JUR259" s="537"/>
      <c r="JUS259" s="537"/>
      <c r="JUT259" s="537"/>
      <c r="JUU259" s="537"/>
      <c r="JUV259" s="537"/>
      <c r="JUW259" s="537"/>
      <c r="JUX259" s="537"/>
      <c r="JUY259" s="537"/>
      <c r="JUZ259" s="537"/>
      <c r="JVA259" s="537"/>
      <c r="JVB259" s="537"/>
      <c r="JVC259" s="537"/>
      <c r="JVD259" s="537"/>
      <c r="JVE259" s="537"/>
      <c r="JVF259" s="537"/>
      <c r="JVG259" s="537"/>
      <c r="JVH259" s="537"/>
      <c r="JVI259" s="537"/>
      <c r="JVJ259" s="537"/>
      <c r="JVK259" s="537"/>
      <c r="JVL259" s="537"/>
      <c r="JVM259" s="537"/>
      <c r="JVN259" s="537"/>
      <c r="JVO259" s="537"/>
      <c r="JVP259" s="537"/>
      <c r="JVQ259" s="537"/>
      <c r="JVR259" s="537"/>
      <c r="JVS259" s="537"/>
      <c r="JVT259" s="537"/>
      <c r="JVU259" s="537"/>
      <c r="JVV259" s="537"/>
      <c r="JVW259" s="537"/>
      <c r="JVX259" s="537"/>
      <c r="JVY259" s="537"/>
      <c r="JVZ259" s="537"/>
      <c r="JWA259" s="537"/>
      <c r="JWB259" s="537"/>
      <c r="JWC259" s="537"/>
      <c r="JWD259" s="537"/>
      <c r="JWE259" s="537"/>
      <c r="JWF259" s="537"/>
      <c r="JWG259" s="537"/>
      <c r="JWH259" s="537"/>
      <c r="JWI259" s="537"/>
      <c r="JWJ259" s="537"/>
      <c r="JWK259" s="537"/>
      <c r="JWL259" s="537"/>
      <c r="JWM259" s="537"/>
      <c r="JWN259" s="537"/>
      <c r="JWO259" s="537"/>
      <c r="JWP259" s="537"/>
      <c r="JWQ259" s="537"/>
      <c r="JWR259" s="537"/>
      <c r="JWS259" s="537"/>
      <c r="JWT259" s="537"/>
      <c r="JWU259" s="537"/>
      <c r="JWV259" s="537"/>
      <c r="JWW259" s="537"/>
      <c r="JWX259" s="537"/>
      <c r="JWY259" s="537"/>
      <c r="JWZ259" s="537"/>
      <c r="JXA259" s="537"/>
      <c r="JXB259" s="537"/>
      <c r="JXC259" s="537"/>
      <c r="JXD259" s="537"/>
      <c r="JXE259" s="537"/>
      <c r="JXF259" s="537"/>
      <c r="JXG259" s="537"/>
      <c r="JXH259" s="537"/>
      <c r="JXI259" s="537"/>
      <c r="JXJ259" s="537"/>
      <c r="JXK259" s="537"/>
      <c r="JXL259" s="537"/>
      <c r="JXM259" s="537"/>
      <c r="JXN259" s="537"/>
      <c r="JXO259" s="537"/>
      <c r="JXP259" s="537"/>
      <c r="JXQ259" s="537"/>
      <c r="JXR259" s="537"/>
      <c r="JXS259" s="537"/>
      <c r="JXT259" s="537"/>
      <c r="JXU259" s="537"/>
      <c r="JXV259" s="537"/>
      <c r="JXW259" s="537"/>
      <c r="JXX259" s="537"/>
      <c r="JXY259" s="537"/>
      <c r="JXZ259" s="537"/>
      <c r="JYA259" s="537"/>
      <c r="JYB259" s="537"/>
      <c r="JYC259" s="537"/>
      <c r="JYD259" s="537"/>
      <c r="JYE259" s="537"/>
      <c r="JYF259" s="537"/>
      <c r="JYG259" s="537"/>
      <c r="JYH259" s="537"/>
      <c r="JYI259" s="537"/>
      <c r="JYJ259" s="537"/>
      <c r="JYK259" s="537"/>
      <c r="JYL259" s="537"/>
      <c r="JYM259" s="537"/>
      <c r="JYN259" s="537"/>
      <c r="JYO259" s="537"/>
      <c r="JYP259" s="537"/>
      <c r="JYQ259" s="537"/>
      <c r="JYR259" s="537"/>
      <c r="JYS259" s="537"/>
      <c r="JYT259" s="537"/>
      <c r="JYU259" s="537"/>
      <c r="JYV259" s="537"/>
      <c r="JYW259" s="537"/>
      <c r="JYX259" s="537"/>
      <c r="JYY259" s="537"/>
      <c r="JYZ259" s="537"/>
      <c r="JZA259" s="537"/>
      <c r="JZB259" s="537"/>
      <c r="JZC259" s="537"/>
      <c r="JZD259" s="537"/>
      <c r="JZE259" s="537"/>
      <c r="JZF259" s="537"/>
      <c r="JZG259" s="537"/>
      <c r="JZH259" s="537"/>
      <c r="JZI259" s="537"/>
      <c r="JZJ259" s="537"/>
      <c r="JZK259" s="537"/>
      <c r="JZL259" s="537"/>
      <c r="JZM259" s="537"/>
      <c r="JZN259" s="537"/>
      <c r="JZO259" s="537"/>
      <c r="JZP259" s="537"/>
      <c r="JZQ259" s="537"/>
      <c r="JZR259" s="537"/>
      <c r="JZS259" s="537"/>
      <c r="JZT259" s="537"/>
      <c r="JZU259" s="537"/>
      <c r="JZV259" s="537"/>
      <c r="JZW259" s="537"/>
      <c r="JZX259" s="537"/>
      <c r="JZY259" s="537"/>
      <c r="JZZ259" s="537"/>
      <c r="KAA259" s="537"/>
      <c r="KAB259" s="537"/>
      <c r="KAC259" s="537"/>
      <c r="KAD259" s="537"/>
      <c r="KAE259" s="537"/>
      <c r="KAF259" s="537"/>
      <c r="KAG259" s="537"/>
      <c r="KAH259" s="537"/>
      <c r="KAI259" s="537"/>
      <c r="KAJ259" s="537"/>
      <c r="KAK259" s="537"/>
      <c r="KAL259" s="537"/>
      <c r="KAM259" s="537"/>
      <c r="KAN259" s="537"/>
      <c r="KAO259" s="537"/>
      <c r="KAP259" s="537"/>
      <c r="KAQ259" s="537"/>
      <c r="KAR259" s="537"/>
      <c r="KAS259" s="537"/>
      <c r="KAT259" s="537"/>
      <c r="KAU259" s="537"/>
      <c r="KAV259" s="537"/>
      <c r="KAW259" s="537"/>
      <c r="KAX259" s="537"/>
      <c r="KAY259" s="537"/>
      <c r="KAZ259" s="537"/>
      <c r="KBA259" s="537"/>
      <c r="KBB259" s="537"/>
      <c r="KBC259" s="537"/>
      <c r="KBD259" s="537"/>
      <c r="KBE259" s="537"/>
      <c r="KBF259" s="537"/>
      <c r="KBG259" s="537"/>
      <c r="KBH259" s="537"/>
      <c r="KBI259" s="537"/>
      <c r="KBJ259" s="537"/>
      <c r="KBK259" s="537"/>
      <c r="KBL259" s="537"/>
      <c r="KBM259" s="537"/>
      <c r="KBN259" s="537"/>
      <c r="KBO259" s="537"/>
      <c r="KBP259" s="537"/>
      <c r="KBQ259" s="537"/>
      <c r="KBR259" s="537"/>
      <c r="KBS259" s="537"/>
      <c r="KBT259" s="537"/>
      <c r="KBU259" s="537"/>
      <c r="KBV259" s="537"/>
      <c r="KBW259" s="537"/>
      <c r="KBX259" s="537"/>
      <c r="KBY259" s="537"/>
      <c r="KBZ259" s="537"/>
      <c r="KCA259" s="537"/>
      <c r="KCB259" s="537"/>
      <c r="KCC259" s="537"/>
      <c r="KCD259" s="537"/>
      <c r="KCE259" s="537"/>
      <c r="KCF259" s="537"/>
      <c r="KCG259" s="537"/>
      <c r="KCH259" s="537"/>
      <c r="KCI259" s="537"/>
      <c r="KCJ259" s="537"/>
      <c r="KCK259" s="537"/>
      <c r="KCL259" s="537"/>
      <c r="KCM259" s="537"/>
      <c r="KCN259" s="537"/>
      <c r="KCO259" s="537"/>
      <c r="KCP259" s="537"/>
      <c r="KCQ259" s="537"/>
      <c r="KCR259" s="537"/>
      <c r="KCS259" s="537"/>
      <c r="KCT259" s="537"/>
      <c r="KCU259" s="537"/>
      <c r="KCV259" s="537"/>
      <c r="KCW259" s="537"/>
      <c r="KCX259" s="537"/>
      <c r="KCY259" s="537"/>
      <c r="KCZ259" s="537"/>
      <c r="KDA259" s="537"/>
      <c r="KDB259" s="537"/>
      <c r="KDC259" s="537"/>
      <c r="KDD259" s="537"/>
      <c r="KDE259" s="537"/>
      <c r="KDF259" s="537"/>
      <c r="KDG259" s="537"/>
      <c r="KDH259" s="537"/>
      <c r="KDI259" s="537"/>
      <c r="KDJ259" s="537"/>
      <c r="KDK259" s="537"/>
      <c r="KDL259" s="537"/>
      <c r="KDM259" s="537"/>
      <c r="KDN259" s="537"/>
      <c r="KDO259" s="537"/>
      <c r="KDP259" s="537"/>
      <c r="KDQ259" s="537"/>
      <c r="KDR259" s="537"/>
      <c r="KDS259" s="537"/>
      <c r="KDT259" s="537"/>
      <c r="KDU259" s="537"/>
      <c r="KDV259" s="537"/>
      <c r="KDW259" s="537"/>
      <c r="KDX259" s="537"/>
      <c r="KDY259" s="537"/>
      <c r="KDZ259" s="537"/>
      <c r="KEA259" s="537"/>
      <c r="KEB259" s="537"/>
      <c r="KEC259" s="537"/>
      <c r="KED259" s="537"/>
      <c r="KEE259" s="537"/>
      <c r="KEF259" s="537"/>
      <c r="KEG259" s="537"/>
      <c r="KEH259" s="537"/>
      <c r="KEI259" s="537"/>
      <c r="KEJ259" s="537"/>
      <c r="KEK259" s="537"/>
      <c r="KEL259" s="537"/>
      <c r="KEM259" s="537"/>
      <c r="KEN259" s="537"/>
      <c r="KEO259" s="537"/>
      <c r="KEP259" s="537"/>
      <c r="KEQ259" s="537"/>
      <c r="KER259" s="537"/>
      <c r="KES259" s="537"/>
      <c r="KET259" s="537"/>
      <c r="KEU259" s="537"/>
      <c r="KEV259" s="537"/>
      <c r="KEW259" s="537"/>
      <c r="KEX259" s="537"/>
      <c r="KEY259" s="537"/>
      <c r="KEZ259" s="537"/>
      <c r="KFA259" s="537"/>
      <c r="KFB259" s="537"/>
      <c r="KFC259" s="537"/>
      <c r="KFD259" s="537"/>
      <c r="KFE259" s="537"/>
      <c r="KFF259" s="537"/>
      <c r="KFG259" s="537"/>
      <c r="KFH259" s="537"/>
      <c r="KFI259" s="537"/>
      <c r="KFJ259" s="537"/>
      <c r="KFK259" s="537"/>
      <c r="KFL259" s="537"/>
      <c r="KFM259" s="537"/>
      <c r="KFN259" s="537"/>
      <c r="KFO259" s="537"/>
      <c r="KFP259" s="537"/>
      <c r="KFQ259" s="537"/>
      <c r="KFR259" s="537"/>
      <c r="KFS259" s="537"/>
      <c r="KFT259" s="537"/>
      <c r="KFU259" s="537"/>
      <c r="KFV259" s="537"/>
      <c r="KFW259" s="537"/>
      <c r="KFX259" s="537"/>
      <c r="KFY259" s="537"/>
      <c r="KFZ259" s="537"/>
      <c r="KGA259" s="537"/>
      <c r="KGB259" s="537"/>
      <c r="KGC259" s="537"/>
      <c r="KGD259" s="537"/>
      <c r="KGE259" s="537"/>
      <c r="KGF259" s="537"/>
      <c r="KGG259" s="537"/>
      <c r="KGH259" s="537"/>
      <c r="KGI259" s="537"/>
      <c r="KGJ259" s="537"/>
      <c r="KGK259" s="537"/>
      <c r="KGL259" s="537"/>
      <c r="KGM259" s="537"/>
      <c r="KGN259" s="537"/>
      <c r="KGO259" s="537"/>
      <c r="KGP259" s="537"/>
      <c r="KGQ259" s="537"/>
      <c r="KGR259" s="537"/>
      <c r="KGS259" s="537"/>
      <c r="KGT259" s="537"/>
      <c r="KGU259" s="537"/>
      <c r="KGV259" s="537"/>
      <c r="KGW259" s="537"/>
      <c r="KGX259" s="537"/>
      <c r="KGY259" s="537"/>
      <c r="KGZ259" s="537"/>
      <c r="KHA259" s="537"/>
      <c r="KHB259" s="537"/>
      <c r="KHC259" s="537"/>
      <c r="KHD259" s="537"/>
      <c r="KHE259" s="537"/>
      <c r="KHF259" s="537"/>
      <c r="KHG259" s="537"/>
      <c r="KHH259" s="537"/>
      <c r="KHI259" s="537"/>
      <c r="KHJ259" s="537"/>
      <c r="KHK259" s="537"/>
      <c r="KHL259" s="537"/>
      <c r="KHM259" s="537"/>
      <c r="KHN259" s="537"/>
      <c r="KHO259" s="537"/>
      <c r="KHP259" s="537"/>
      <c r="KHQ259" s="537"/>
      <c r="KHR259" s="537"/>
      <c r="KHS259" s="537"/>
      <c r="KHT259" s="537"/>
      <c r="KHU259" s="537"/>
      <c r="KHV259" s="537"/>
      <c r="KHW259" s="537"/>
      <c r="KHX259" s="537"/>
      <c r="KHY259" s="537"/>
      <c r="KHZ259" s="537"/>
      <c r="KIA259" s="537"/>
      <c r="KIB259" s="537"/>
      <c r="KIC259" s="537"/>
      <c r="KID259" s="537"/>
      <c r="KIE259" s="537"/>
      <c r="KIF259" s="537"/>
      <c r="KIG259" s="537"/>
      <c r="KIH259" s="537"/>
      <c r="KII259" s="537"/>
      <c r="KIJ259" s="537"/>
      <c r="KIK259" s="537"/>
      <c r="KIL259" s="537"/>
      <c r="KIM259" s="537"/>
      <c r="KIN259" s="537"/>
      <c r="KIO259" s="537"/>
      <c r="KIP259" s="537"/>
      <c r="KIQ259" s="537"/>
      <c r="KIR259" s="537"/>
      <c r="KIS259" s="537"/>
      <c r="KIT259" s="537"/>
      <c r="KIU259" s="537"/>
      <c r="KIV259" s="537"/>
      <c r="KIW259" s="537"/>
      <c r="KIX259" s="537"/>
      <c r="KIY259" s="537"/>
      <c r="KIZ259" s="537"/>
      <c r="KJA259" s="537"/>
      <c r="KJB259" s="537"/>
      <c r="KJC259" s="537"/>
      <c r="KJD259" s="537"/>
      <c r="KJE259" s="537"/>
      <c r="KJF259" s="537"/>
      <c r="KJG259" s="537"/>
      <c r="KJH259" s="537"/>
      <c r="KJI259" s="537"/>
      <c r="KJJ259" s="537"/>
      <c r="KJK259" s="537"/>
      <c r="KJL259" s="537"/>
      <c r="KJM259" s="537"/>
      <c r="KJN259" s="537"/>
      <c r="KJO259" s="537"/>
      <c r="KJP259" s="537"/>
      <c r="KJQ259" s="537"/>
      <c r="KJR259" s="537"/>
      <c r="KJS259" s="537"/>
      <c r="KJT259" s="537"/>
      <c r="KJU259" s="537"/>
      <c r="KJV259" s="537"/>
      <c r="KJW259" s="537"/>
      <c r="KJX259" s="537"/>
      <c r="KJY259" s="537"/>
      <c r="KJZ259" s="537"/>
      <c r="KKA259" s="537"/>
      <c r="KKB259" s="537"/>
      <c r="KKC259" s="537"/>
      <c r="KKD259" s="537"/>
      <c r="KKE259" s="537"/>
      <c r="KKF259" s="537"/>
      <c r="KKG259" s="537"/>
      <c r="KKH259" s="537"/>
      <c r="KKI259" s="537"/>
      <c r="KKJ259" s="537"/>
      <c r="KKK259" s="537"/>
      <c r="KKL259" s="537"/>
      <c r="KKM259" s="537"/>
      <c r="KKN259" s="537"/>
      <c r="KKO259" s="537"/>
      <c r="KKP259" s="537"/>
      <c r="KKQ259" s="537"/>
      <c r="KKR259" s="537"/>
      <c r="KKS259" s="537"/>
      <c r="KKT259" s="537"/>
      <c r="KKU259" s="537"/>
      <c r="KKV259" s="537"/>
      <c r="KKW259" s="537"/>
      <c r="KKX259" s="537"/>
      <c r="KKY259" s="537"/>
      <c r="KKZ259" s="537"/>
      <c r="KLA259" s="537"/>
      <c r="KLB259" s="537"/>
      <c r="KLC259" s="537"/>
      <c r="KLD259" s="537"/>
      <c r="KLE259" s="537"/>
      <c r="KLF259" s="537"/>
      <c r="KLG259" s="537"/>
      <c r="KLH259" s="537"/>
      <c r="KLI259" s="537"/>
      <c r="KLJ259" s="537"/>
      <c r="KLK259" s="537"/>
      <c r="KLL259" s="537"/>
      <c r="KLM259" s="537"/>
      <c r="KLN259" s="537"/>
      <c r="KLO259" s="537"/>
      <c r="KLP259" s="537"/>
      <c r="KLQ259" s="537"/>
      <c r="KLR259" s="537"/>
      <c r="KLS259" s="537"/>
      <c r="KLT259" s="537"/>
      <c r="KLU259" s="537"/>
      <c r="KLV259" s="537"/>
      <c r="KLW259" s="537"/>
      <c r="KLX259" s="537"/>
      <c r="KLY259" s="537"/>
      <c r="KLZ259" s="537"/>
      <c r="KMA259" s="537"/>
      <c r="KMB259" s="537"/>
      <c r="KMC259" s="537"/>
      <c r="KMD259" s="537"/>
      <c r="KME259" s="537"/>
      <c r="KMF259" s="537"/>
      <c r="KMG259" s="537"/>
      <c r="KMH259" s="537"/>
      <c r="KMI259" s="537"/>
      <c r="KMJ259" s="537"/>
      <c r="KMK259" s="537"/>
      <c r="KML259" s="537"/>
      <c r="KMM259" s="537"/>
      <c r="KMN259" s="537"/>
      <c r="KMO259" s="537"/>
      <c r="KMP259" s="537"/>
      <c r="KMQ259" s="537"/>
      <c r="KMR259" s="537"/>
      <c r="KMS259" s="537"/>
      <c r="KMT259" s="537"/>
      <c r="KMU259" s="537"/>
      <c r="KMV259" s="537"/>
      <c r="KMW259" s="537"/>
      <c r="KMX259" s="537"/>
      <c r="KMY259" s="537"/>
      <c r="KMZ259" s="537"/>
      <c r="KNA259" s="537"/>
      <c r="KNB259" s="537"/>
      <c r="KNC259" s="537"/>
      <c r="KND259" s="537"/>
      <c r="KNE259" s="537"/>
      <c r="KNF259" s="537"/>
      <c r="KNG259" s="537"/>
      <c r="KNH259" s="537"/>
      <c r="KNI259" s="537"/>
      <c r="KNJ259" s="537"/>
      <c r="KNK259" s="537"/>
      <c r="KNL259" s="537"/>
      <c r="KNM259" s="537"/>
      <c r="KNN259" s="537"/>
      <c r="KNO259" s="537"/>
      <c r="KNP259" s="537"/>
      <c r="KNQ259" s="537"/>
      <c r="KNR259" s="537"/>
      <c r="KNS259" s="537"/>
      <c r="KNT259" s="537"/>
      <c r="KNU259" s="537"/>
      <c r="KNV259" s="537"/>
      <c r="KNW259" s="537"/>
      <c r="KNX259" s="537"/>
      <c r="KNY259" s="537"/>
      <c r="KNZ259" s="537"/>
      <c r="KOA259" s="537"/>
      <c r="KOB259" s="537"/>
      <c r="KOC259" s="537"/>
      <c r="KOD259" s="537"/>
      <c r="KOE259" s="537"/>
      <c r="KOF259" s="537"/>
      <c r="KOG259" s="537"/>
      <c r="KOH259" s="537"/>
      <c r="KOI259" s="537"/>
      <c r="KOJ259" s="537"/>
      <c r="KOK259" s="537"/>
      <c r="KOL259" s="537"/>
      <c r="KOM259" s="537"/>
      <c r="KON259" s="537"/>
      <c r="KOO259" s="537"/>
      <c r="KOP259" s="537"/>
      <c r="KOQ259" s="537"/>
      <c r="KOR259" s="537"/>
      <c r="KOS259" s="537"/>
      <c r="KOT259" s="537"/>
      <c r="KOU259" s="537"/>
      <c r="KOV259" s="537"/>
      <c r="KOW259" s="537"/>
      <c r="KOX259" s="537"/>
      <c r="KOY259" s="537"/>
      <c r="KOZ259" s="537"/>
      <c r="KPA259" s="537"/>
      <c r="KPB259" s="537"/>
      <c r="KPC259" s="537"/>
      <c r="KPD259" s="537"/>
      <c r="KPE259" s="537"/>
      <c r="KPF259" s="537"/>
      <c r="KPG259" s="537"/>
      <c r="KPH259" s="537"/>
      <c r="KPI259" s="537"/>
      <c r="KPJ259" s="537"/>
      <c r="KPK259" s="537"/>
      <c r="KPL259" s="537"/>
      <c r="KPM259" s="537"/>
      <c r="KPN259" s="537"/>
      <c r="KPO259" s="537"/>
      <c r="KPP259" s="537"/>
      <c r="KPQ259" s="537"/>
      <c r="KPR259" s="537"/>
      <c r="KPS259" s="537"/>
      <c r="KPT259" s="537"/>
      <c r="KPU259" s="537"/>
      <c r="KPV259" s="537"/>
      <c r="KPW259" s="537"/>
      <c r="KPX259" s="537"/>
      <c r="KPY259" s="537"/>
      <c r="KPZ259" s="537"/>
      <c r="KQA259" s="537"/>
      <c r="KQB259" s="537"/>
      <c r="KQC259" s="537"/>
      <c r="KQD259" s="537"/>
      <c r="KQE259" s="537"/>
      <c r="KQF259" s="537"/>
      <c r="KQG259" s="537"/>
      <c r="KQH259" s="537"/>
      <c r="KQI259" s="537"/>
      <c r="KQJ259" s="537"/>
      <c r="KQK259" s="537"/>
      <c r="KQL259" s="537"/>
      <c r="KQM259" s="537"/>
      <c r="KQN259" s="537"/>
      <c r="KQO259" s="537"/>
      <c r="KQP259" s="537"/>
      <c r="KQQ259" s="537"/>
      <c r="KQR259" s="537"/>
      <c r="KQS259" s="537"/>
      <c r="KQT259" s="537"/>
      <c r="KQU259" s="537"/>
      <c r="KQV259" s="537"/>
      <c r="KQW259" s="537"/>
      <c r="KQX259" s="537"/>
      <c r="KQY259" s="537"/>
      <c r="KQZ259" s="537"/>
      <c r="KRA259" s="537"/>
      <c r="KRB259" s="537"/>
      <c r="KRC259" s="537"/>
      <c r="KRD259" s="537"/>
      <c r="KRE259" s="537"/>
      <c r="KRF259" s="537"/>
      <c r="KRG259" s="537"/>
      <c r="KRH259" s="537"/>
      <c r="KRI259" s="537"/>
      <c r="KRJ259" s="537"/>
      <c r="KRK259" s="537"/>
      <c r="KRL259" s="537"/>
      <c r="KRM259" s="537"/>
      <c r="KRN259" s="537"/>
      <c r="KRO259" s="537"/>
      <c r="KRP259" s="537"/>
      <c r="KRQ259" s="537"/>
      <c r="KRR259" s="537"/>
      <c r="KRS259" s="537"/>
      <c r="KRT259" s="537"/>
      <c r="KRU259" s="537"/>
      <c r="KRV259" s="537"/>
      <c r="KRW259" s="537"/>
      <c r="KRX259" s="537"/>
      <c r="KRY259" s="537"/>
      <c r="KRZ259" s="537"/>
      <c r="KSA259" s="537"/>
      <c r="KSB259" s="537"/>
      <c r="KSC259" s="537"/>
      <c r="KSD259" s="537"/>
      <c r="KSE259" s="537"/>
      <c r="KSF259" s="537"/>
      <c r="KSG259" s="537"/>
      <c r="KSH259" s="537"/>
      <c r="KSI259" s="537"/>
      <c r="KSJ259" s="537"/>
      <c r="KSK259" s="537"/>
      <c r="KSL259" s="537"/>
      <c r="KSM259" s="537"/>
      <c r="KSN259" s="537"/>
      <c r="KSO259" s="537"/>
      <c r="KSP259" s="537"/>
      <c r="KSQ259" s="537"/>
      <c r="KSR259" s="537"/>
      <c r="KSS259" s="537"/>
      <c r="KST259" s="537"/>
      <c r="KSU259" s="537"/>
      <c r="KSV259" s="537"/>
      <c r="KSW259" s="537"/>
      <c r="KSX259" s="537"/>
      <c r="KSY259" s="537"/>
      <c r="KSZ259" s="537"/>
      <c r="KTA259" s="537"/>
      <c r="KTB259" s="537"/>
      <c r="KTC259" s="537"/>
      <c r="KTD259" s="537"/>
      <c r="KTE259" s="537"/>
      <c r="KTF259" s="537"/>
      <c r="KTG259" s="537"/>
      <c r="KTH259" s="537"/>
      <c r="KTI259" s="537"/>
      <c r="KTJ259" s="537"/>
      <c r="KTK259" s="537"/>
      <c r="KTL259" s="537"/>
      <c r="KTM259" s="537"/>
      <c r="KTN259" s="537"/>
      <c r="KTO259" s="537"/>
      <c r="KTP259" s="537"/>
      <c r="KTQ259" s="537"/>
      <c r="KTR259" s="537"/>
      <c r="KTS259" s="537"/>
      <c r="KTT259" s="537"/>
      <c r="KTU259" s="537"/>
      <c r="KTV259" s="537"/>
      <c r="KTW259" s="537"/>
      <c r="KTX259" s="537"/>
      <c r="KTY259" s="537"/>
      <c r="KTZ259" s="537"/>
      <c r="KUA259" s="537"/>
      <c r="KUB259" s="537"/>
      <c r="KUC259" s="537"/>
      <c r="KUD259" s="537"/>
      <c r="KUE259" s="537"/>
      <c r="KUF259" s="537"/>
      <c r="KUG259" s="537"/>
      <c r="KUH259" s="537"/>
      <c r="KUI259" s="537"/>
      <c r="KUJ259" s="537"/>
      <c r="KUK259" s="537"/>
      <c r="KUL259" s="537"/>
      <c r="KUM259" s="537"/>
      <c r="KUN259" s="537"/>
      <c r="KUO259" s="537"/>
      <c r="KUP259" s="537"/>
      <c r="KUQ259" s="537"/>
      <c r="KUR259" s="537"/>
      <c r="KUS259" s="537"/>
      <c r="KUT259" s="537"/>
      <c r="KUU259" s="537"/>
      <c r="KUV259" s="537"/>
      <c r="KUW259" s="537"/>
      <c r="KUX259" s="537"/>
      <c r="KUY259" s="537"/>
      <c r="KUZ259" s="537"/>
      <c r="KVA259" s="537"/>
      <c r="KVB259" s="537"/>
      <c r="KVC259" s="537"/>
      <c r="KVD259" s="537"/>
      <c r="KVE259" s="537"/>
      <c r="KVF259" s="537"/>
      <c r="KVG259" s="537"/>
      <c r="KVH259" s="537"/>
      <c r="KVI259" s="537"/>
      <c r="KVJ259" s="537"/>
      <c r="KVK259" s="537"/>
      <c r="KVL259" s="537"/>
      <c r="KVM259" s="537"/>
      <c r="KVN259" s="537"/>
      <c r="KVO259" s="537"/>
      <c r="KVP259" s="537"/>
      <c r="KVQ259" s="537"/>
      <c r="KVR259" s="537"/>
      <c r="KVS259" s="537"/>
      <c r="KVT259" s="537"/>
      <c r="KVU259" s="537"/>
      <c r="KVV259" s="537"/>
      <c r="KVW259" s="537"/>
      <c r="KVX259" s="537"/>
      <c r="KVY259" s="537"/>
      <c r="KVZ259" s="537"/>
      <c r="KWA259" s="537"/>
      <c r="KWB259" s="537"/>
      <c r="KWC259" s="537"/>
      <c r="KWD259" s="537"/>
      <c r="KWE259" s="537"/>
      <c r="KWF259" s="537"/>
      <c r="KWG259" s="537"/>
      <c r="KWH259" s="537"/>
      <c r="KWI259" s="537"/>
      <c r="KWJ259" s="537"/>
      <c r="KWK259" s="537"/>
      <c r="KWL259" s="537"/>
      <c r="KWM259" s="537"/>
      <c r="KWN259" s="537"/>
      <c r="KWO259" s="537"/>
      <c r="KWP259" s="537"/>
      <c r="KWQ259" s="537"/>
      <c r="KWR259" s="537"/>
      <c r="KWS259" s="537"/>
      <c r="KWT259" s="537"/>
      <c r="KWU259" s="537"/>
      <c r="KWV259" s="537"/>
      <c r="KWW259" s="537"/>
      <c r="KWX259" s="537"/>
      <c r="KWY259" s="537"/>
      <c r="KWZ259" s="537"/>
      <c r="KXA259" s="537"/>
      <c r="KXB259" s="537"/>
      <c r="KXC259" s="537"/>
      <c r="KXD259" s="537"/>
      <c r="KXE259" s="537"/>
      <c r="KXF259" s="537"/>
      <c r="KXG259" s="537"/>
      <c r="KXH259" s="537"/>
      <c r="KXI259" s="537"/>
      <c r="KXJ259" s="537"/>
      <c r="KXK259" s="537"/>
      <c r="KXL259" s="537"/>
      <c r="KXM259" s="537"/>
      <c r="KXN259" s="537"/>
      <c r="KXO259" s="537"/>
      <c r="KXP259" s="537"/>
      <c r="KXQ259" s="537"/>
      <c r="KXR259" s="537"/>
      <c r="KXS259" s="537"/>
      <c r="KXT259" s="537"/>
      <c r="KXU259" s="537"/>
      <c r="KXV259" s="537"/>
      <c r="KXW259" s="537"/>
      <c r="KXX259" s="537"/>
      <c r="KXY259" s="537"/>
      <c r="KXZ259" s="537"/>
      <c r="KYA259" s="537"/>
      <c r="KYB259" s="537"/>
      <c r="KYC259" s="537"/>
      <c r="KYD259" s="537"/>
      <c r="KYE259" s="537"/>
      <c r="KYF259" s="537"/>
      <c r="KYG259" s="537"/>
      <c r="KYH259" s="537"/>
      <c r="KYI259" s="537"/>
      <c r="KYJ259" s="537"/>
      <c r="KYK259" s="537"/>
      <c r="KYL259" s="537"/>
      <c r="KYM259" s="537"/>
      <c r="KYN259" s="537"/>
      <c r="KYO259" s="537"/>
      <c r="KYP259" s="537"/>
      <c r="KYQ259" s="537"/>
      <c r="KYR259" s="537"/>
      <c r="KYS259" s="537"/>
      <c r="KYT259" s="537"/>
      <c r="KYU259" s="537"/>
      <c r="KYV259" s="537"/>
      <c r="KYW259" s="537"/>
      <c r="KYX259" s="537"/>
      <c r="KYY259" s="537"/>
      <c r="KYZ259" s="537"/>
      <c r="KZA259" s="537"/>
      <c r="KZB259" s="537"/>
      <c r="KZC259" s="537"/>
      <c r="KZD259" s="537"/>
      <c r="KZE259" s="537"/>
      <c r="KZF259" s="537"/>
      <c r="KZG259" s="537"/>
      <c r="KZH259" s="537"/>
      <c r="KZI259" s="537"/>
      <c r="KZJ259" s="537"/>
      <c r="KZK259" s="537"/>
      <c r="KZL259" s="537"/>
      <c r="KZM259" s="537"/>
      <c r="KZN259" s="537"/>
      <c r="KZO259" s="537"/>
      <c r="KZP259" s="537"/>
      <c r="KZQ259" s="537"/>
      <c r="KZR259" s="537"/>
      <c r="KZS259" s="537"/>
      <c r="KZT259" s="537"/>
      <c r="KZU259" s="537"/>
      <c r="KZV259" s="537"/>
      <c r="KZW259" s="537"/>
      <c r="KZX259" s="537"/>
      <c r="KZY259" s="537"/>
      <c r="KZZ259" s="537"/>
      <c r="LAA259" s="537"/>
      <c r="LAB259" s="537"/>
      <c r="LAC259" s="537"/>
      <c r="LAD259" s="537"/>
      <c r="LAE259" s="537"/>
      <c r="LAF259" s="537"/>
      <c r="LAG259" s="537"/>
      <c r="LAH259" s="537"/>
      <c r="LAI259" s="537"/>
      <c r="LAJ259" s="537"/>
      <c r="LAK259" s="537"/>
      <c r="LAL259" s="537"/>
      <c r="LAM259" s="537"/>
      <c r="LAN259" s="537"/>
      <c r="LAO259" s="537"/>
      <c r="LAP259" s="537"/>
      <c r="LAQ259" s="537"/>
      <c r="LAR259" s="537"/>
      <c r="LAS259" s="537"/>
      <c r="LAT259" s="537"/>
      <c r="LAU259" s="537"/>
      <c r="LAV259" s="537"/>
      <c r="LAW259" s="537"/>
      <c r="LAX259" s="537"/>
      <c r="LAY259" s="537"/>
      <c r="LAZ259" s="537"/>
      <c r="LBA259" s="537"/>
      <c r="LBB259" s="537"/>
      <c r="LBC259" s="537"/>
      <c r="LBD259" s="537"/>
      <c r="LBE259" s="537"/>
      <c r="LBF259" s="537"/>
      <c r="LBG259" s="537"/>
      <c r="LBH259" s="537"/>
      <c r="LBI259" s="537"/>
      <c r="LBJ259" s="537"/>
      <c r="LBK259" s="537"/>
      <c r="LBL259" s="537"/>
      <c r="LBM259" s="537"/>
      <c r="LBN259" s="537"/>
      <c r="LBO259" s="537"/>
      <c r="LBP259" s="537"/>
      <c r="LBQ259" s="537"/>
      <c r="LBR259" s="537"/>
      <c r="LBS259" s="537"/>
      <c r="LBT259" s="537"/>
      <c r="LBU259" s="537"/>
      <c r="LBV259" s="537"/>
      <c r="LBW259" s="537"/>
      <c r="LBX259" s="537"/>
      <c r="LBY259" s="537"/>
      <c r="LBZ259" s="537"/>
      <c r="LCA259" s="537"/>
      <c r="LCB259" s="537"/>
      <c r="LCC259" s="537"/>
      <c r="LCD259" s="537"/>
      <c r="LCE259" s="537"/>
      <c r="LCF259" s="537"/>
      <c r="LCG259" s="537"/>
      <c r="LCH259" s="537"/>
      <c r="LCI259" s="537"/>
      <c r="LCJ259" s="537"/>
      <c r="LCK259" s="537"/>
      <c r="LCL259" s="537"/>
      <c r="LCM259" s="537"/>
      <c r="LCN259" s="537"/>
      <c r="LCO259" s="537"/>
      <c r="LCP259" s="537"/>
      <c r="LCQ259" s="537"/>
      <c r="LCR259" s="537"/>
      <c r="LCS259" s="537"/>
      <c r="LCT259" s="537"/>
      <c r="LCU259" s="537"/>
      <c r="LCV259" s="537"/>
      <c r="LCW259" s="537"/>
      <c r="LCX259" s="537"/>
      <c r="LCY259" s="537"/>
      <c r="LCZ259" s="537"/>
      <c r="LDA259" s="537"/>
      <c r="LDB259" s="537"/>
      <c r="LDC259" s="537"/>
      <c r="LDD259" s="537"/>
      <c r="LDE259" s="537"/>
      <c r="LDF259" s="537"/>
      <c r="LDG259" s="537"/>
      <c r="LDH259" s="537"/>
      <c r="LDI259" s="537"/>
      <c r="LDJ259" s="537"/>
      <c r="LDK259" s="537"/>
      <c r="LDL259" s="537"/>
      <c r="LDM259" s="537"/>
      <c r="LDN259" s="537"/>
      <c r="LDO259" s="537"/>
      <c r="LDP259" s="537"/>
      <c r="LDQ259" s="537"/>
      <c r="LDR259" s="537"/>
      <c r="LDS259" s="537"/>
      <c r="LDT259" s="537"/>
      <c r="LDU259" s="537"/>
      <c r="LDV259" s="537"/>
      <c r="LDW259" s="537"/>
      <c r="LDX259" s="537"/>
      <c r="LDY259" s="537"/>
      <c r="LDZ259" s="537"/>
      <c r="LEA259" s="537"/>
      <c r="LEB259" s="537"/>
      <c r="LEC259" s="537"/>
      <c r="LED259" s="537"/>
      <c r="LEE259" s="537"/>
      <c r="LEF259" s="537"/>
      <c r="LEG259" s="537"/>
      <c r="LEH259" s="537"/>
      <c r="LEI259" s="537"/>
      <c r="LEJ259" s="537"/>
      <c r="LEK259" s="537"/>
      <c r="LEL259" s="537"/>
      <c r="LEM259" s="537"/>
      <c r="LEN259" s="537"/>
      <c r="LEO259" s="537"/>
      <c r="LEP259" s="537"/>
      <c r="LEQ259" s="537"/>
      <c r="LER259" s="537"/>
      <c r="LES259" s="537"/>
      <c r="LET259" s="537"/>
      <c r="LEU259" s="537"/>
      <c r="LEV259" s="537"/>
      <c r="LEW259" s="537"/>
      <c r="LEX259" s="537"/>
      <c r="LEY259" s="537"/>
      <c r="LEZ259" s="537"/>
      <c r="LFA259" s="537"/>
      <c r="LFB259" s="537"/>
      <c r="LFC259" s="537"/>
      <c r="LFD259" s="537"/>
      <c r="LFE259" s="537"/>
      <c r="LFF259" s="537"/>
      <c r="LFG259" s="537"/>
      <c r="LFH259" s="537"/>
      <c r="LFI259" s="537"/>
      <c r="LFJ259" s="537"/>
      <c r="LFK259" s="537"/>
      <c r="LFL259" s="537"/>
      <c r="LFM259" s="537"/>
      <c r="LFN259" s="537"/>
      <c r="LFO259" s="537"/>
      <c r="LFP259" s="537"/>
      <c r="LFQ259" s="537"/>
      <c r="LFR259" s="537"/>
      <c r="LFS259" s="537"/>
      <c r="LFT259" s="537"/>
      <c r="LFU259" s="537"/>
      <c r="LFV259" s="537"/>
      <c r="LFW259" s="537"/>
      <c r="LFX259" s="537"/>
      <c r="LFY259" s="537"/>
      <c r="LFZ259" s="537"/>
      <c r="LGA259" s="537"/>
      <c r="LGB259" s="537"/>
      <c r="LGC259" s="537"/>
      <c r="LGD259" s="537"/>
      <c r="LGE259" s="537"/>
      <c r="LGF259" s="537"/>
      <c r="LGG259" s="537"/>
      <c r="LGH259" s="537"/>
      <c r="LGI259" s="537"/>
      <c r="LGJ259" s="537"/>
      <c r="LGK259" s="537"/>
      <c r="LGL259" s="537"/>
      <c r="LGM259" s="537"/>
      <c r="LGN259" s="537"/>
      <c r="LGO259" s="537"/>
      <c r="LGP259" s="537"/>
      <c r="LGQ259" s="537"/>
      <c r="LGR259" s="537"/>
      <c r="LGS259" s="537"/>
      <c r="LGT259" s="537"/>
      <c r="LGU259" s="537"/>
      <c r="LGV259" s="537"/>
      <c r="LGW259" s="537"/>
      <c r="LGX259" s="537"/>
      <c r="LGY259" s="537"/>
      <c r="LGZ259" s="537"/>
      <c r="LHA259" s="537"/>
      <c r="LHB259" s="537"/>
      <c r="LHC259" s="537"/>
      <c r="LHD259" s="537"/>
      <c r="LHE259" s="537"/>
      <c r="LHF259" s="537"/>
      <c r="LHG259" s="537"/>
      <c r="LHH259" s="537"/>
      <c r="LHI259" s="537"/>
      <c r="LHJ259" s="537"/>
      <c r="LHK259" s="537"/>
      <c r="LHL259" s="537"/>
      <c r="LHM259" s="537"/>
      <c r="LHN259" s="537"/>
      <c r="LHO259" s="537"/>
      <c r="LHP259" s="537"/>
      <c r="LHQ259" s="537"/>
      <c r="LHR259" s="537"/>
      <c r="LHS259" s="537"/>
      <c r="LHT259" s="537"/>
      <c r="LHU259" s="537"/>
      <c r="LHV259" s="537"/>
      <c r="LHW259" s="537"/>
      <c r="LHX259" s="537"/>
      <c r="LHY259" s="537"/>
      <c r="LHZ259" s="537"/>
      <c r="LIA259" s="537"/>
      <c r="LIB259" s="537"/>
      <c r="LIC259" s="537"/>
      <c r="LID259" s="537"/>
      <c r="LIE259" s="537"/>
      <c r="LIF259" s="537"/>
      <c r="LIG259" s="537"/>
      <c r="LIH259" s="537"/>
      <c r="LII259" s="537"/>
      <c r="LIJ259" s="537"/>
      <c r="LIK259" s="537"/>
      <c r="LIL259" s="537"/>
      <c r="LIM259" s="537"/>
      <c r="LIN259" s="537"/>
      <c r="LIO259" s="537"/>
      <c r="LIP259" s="537"/>
      <c r="LIQ259" s="537"/>
      <c r="LIR259" s="537"/>
      <c r="LIS259" s="537"/>
      <c r="LIT259" s="537"/>
      <c r="LIU259" s="537"/>
      <c r="LIV259" s="537"/>
      <c r="LIW259" s="537"/>
      <c r="LIX259" s="537"/>
      <c r="LIY259" s="537"/>
      <c r="LIZ259" s="537"/>
      <c r="LJA259" s="537"/>
      <c r="LJB259" s="537"/>
      <c r="LJC259" s="537"/>
      <c r="LJD259" s="537"/>
      <c r="LJE259" s="537"/>
      <c r="LJF259" s="537"/>
      <c r="LJG259" s="537"/>
      <c r="LJH259" s="537"/>
      <c r="LJI259" s="537"/>
      <c r="LJJ259" s="537"/>
      <c r="LJK259" s="537"/>
      <c r="LJL259" s="537"/>
      <c r="LJM259" s="537"/>
      <c r="LJN259" s="537"/>
      <c r="LJO259" s="537"/>
      <c r="LJP259" s="537"/>
      <c r="LJQ259" s="537"/>
      <c r="LJR259" s="537"/>
      <c r="LJS259" s="537"/>
      <c r="LJT259" s="537"/>
      <c r="LJU259" s="537"/>
      <c r="LJV259" s="537"/>
      <c r="LJW259" s="537"/>
      <c r="LJX259" s="537"/>
      <c r="LJY259" s="537"/>
      <c r="LJZ259" s="537"/>
      <c r="LKA259" s="537"/>
      <c r="LKB259" s="537"/>
      <c r="LKC259" s="537"/>
      <c r="LKD259" s="537"/>
      <c r="LKE259" s="537"/>
      <c r="LKF259" s="537"/>
      <c r="LKG259" s="537"/>
      <c r="LKH259" s="537"/>
      <c r="LKI259" s="537"/>
      <c r="LKJ259" s="537"/>
      <c r="LKK259" s="537"/>
      <c r="LKL259" s="537"/>
      <c r="LKM259" s="537"/>
      <c r="LKN259" s="537"/>
      <c r="LKO259" s="537"/>
      <c r="LKP259" s="537"/>
      <c r="LKQ259" s="537"/>
      <c r="LKR259" s="537"/>
      <c r="LKS259" s="537"/>
      <c r="LKT259" s="537"/>
      <c r="LKU259" s="537"/>
      <c r="LKV259" s="537"/>
      <c r="LKW259" s="537"/>
      <c r="LKX259" s="537"/>
      <c r="LKY259" s="537"/>
      <c r="LKZ259" s="537"/>
      <c r="LLA259" s="537"/>
      <c r="LLB259" s="537"/>
      <c r="LLC259" s="537"/>
      <c r="LLD259" s="537"/>
      <c r="LLE259" s="537"/>
      <c r="LLF259" s="537"/>
      <c r="LLG259" s="537"/>
      <c r="LLH259" s="537"/>
      <c r="LLI259" s="537"/>
      <c r="LLJ259" s="537"/>
      <c r="LLK259" s="537"/>
      <c r="LLL259" s="537"/>
      <c r="LLM259" s="537"/>
      <c r="LLN259" s="537"/>
      <c r="LLO259" s="537"/>
      <c r="LLP259" s="537"/>
      <c r="LLQ259" s="537"/>
      <c r="LLR259" s="537"/>
      <c r="LLS259" s="537"/>
      <c r="LLT259" s="537"/>
      <c r="LLU259" s="537"/>
      <c r="LLV259" s="537"/>
      <c r="LLW259" s="537"/>
      <c r="LLX259" s="537"/>
      <c r="LLY259" s="537"/>
      <c r="LLZ259" s="537"/>
      <c r="LMA259" s="537"/>
      <c r="LMB259" s="537"/>
      <c r="LMC259" s="537"/>
      <c r="LMD259" s="537"/>
      <c r="LME259" s="537"/>
      <c r="LMF259" s="537"/>
      <c r="LMG259" s="537"/>
      <c r="LMH259" s="537"/>
      <c r="LMI259" s="537"/>
      <c r="LMJ259" s="537"/>
      <c r="LMK259" s="537"/>
      <c r="LML259" s="537"/>
      <c r="LMM259" s="537"/>
      <c r="LMN259" s="537"/>
      <c r="LMO259" s="537"/>
      <c r="LMP259" s="537"/>
      <c r="LMQ259" s="537"/>
      <c r="LMR259" s="537"/>
      <c r="LMS259" s="537"/>
      <c r="LMT259" s="537"/>
      <c r="LMU259" s="537"/>
      <c r="LMV259" s="537"/>
      <c r="LMW259" s="537"/>
      <c r="LMX259" s="537"/>
      <c r="LMY259" s="537"/>
      <c r="LMZ259" s="537"/>
      <c r="LNA259" s="537"/>
      <c r="LNB259" s="537"/>
      <c r="LNC259" s="537"/>
      <c r="LND259" s="537"/>
      <c r="LNE259" s="537"/>
      <c r="LNF259" s="537"/>
      <c r="LNG259" s="537"/>
      <c r="LNH259" s="537"/>
      <c r="LNI259" s="537"/>
      <c r="LNJ259" s="537"/>
      <c r="LNK259" s="537"/>
      <c r="LNL259" s="537"/>
      <c r="LNM259" s="537"/>
      <c r="LNN259" s="537"/>
      <c r="LNO259" s="537"/>
      <c r="LNP259" s="537"/>
      <c r="LNQ259" s="537"/>
      <c r="LNR259" s="537"/>
      <c r="LNS259" s="537"/>
      <c r="LNT259" s="537"/>
      <c r="LNU259" s="537"/>
      <c r="LNV259" s="537"/>
      <c r="LNW259" s="537"/>
      <c r="LNX259" s="537"/>
      <c r="LNY259" s="537"/>
      <c r="LNZ259" s="537"/>
      <c r="LOA259" s="537"/>
      <c r="LOB259" s="537"/>
      <c r="LOC259" s="537"/>
      <c r="LOD259" s="537"/>
      <c r="LOE259" s="537"/>
      <c r="LOF259" s="537"/>
      <c r="LOG259" s="537"/>
      <c r="LOH259" s="537"/>
      <c r="LOI259" s="537"/>
      <c r="LOJ259" s="537"/>
      <c r="LOK259" s="537"/>
      <c r="LOL259" s="537"/>
      <c r="LOM259" s="537"/>
      <c r="LON259" s="537"/>
      <c r="LOO259" s="537"/>
      <c r="LOP259" s="537"/>
      <c r="LOQ259" s="537"/>
      <c r="LOR259" s="537"/>
      <c r="LOS259" s="537"/>
      <c r="LOT259" s="537"/>
      <c r="LOU259" s="537"/>
      <c r="LOV259" s="537"/>
      <c r="LOW259" s="537"/>
      <c r="LOX259" s="537"/>
      <c r="LOY259" s="537"/>
      <c r="LOZ259" s="537"/>
      <c r="LPA259" s="537"/>
      <c r="LPB259" s="537"/>
      <c r="LPC259" s="537"/>
      <c r="LPD259" s="537"/>
      <c r="LPE259" s="537"/>
      <c r="LPF259" s="537"/>
      <c r="LPG259" s="537"/>
      <c r="LPH259" s="537"/>
      <c r="LPI259" s="537"/>
      <c r="LPJ259" s="537"/>
      <c r="LPK259" s="537"/>
      <c r="LPL259" s="537"/>
      <c r="LPM259" s="537"/>
      <c r="LPN259" s="537"/>
      <c r="LPO259" s="537"/>
      <c r="LPP259" s="537"/>
      <c r="LPQ259" s="537"/>
      <c r="LPR259" s="537"/>
      <c r="LPS259" s="537"/>
      <c r="LPT259" s="537"/>
      <c r="LPU259" s="537"/>
      <c r="LPV259" s="537"/>
      <c r="LPW259" s="537"/>
      <c r="LPX259" s="537"/>
      <c r="LPY259" s="537"/>
      <c r="LPZ259" s="537"/>
      <c r="LQA259" s="537"/>
      <c r="LQB259" s="537"/>
      <c r="LQC259" s="537"/>
      <c r="LQD259" s="537"/>
      <c r="LQE259" s="537"/>
      <c r="LQF259" s="537"/>
      <c r="LQG259" s="537"/>
      <c r="LQH259" s="537"/>
      <c r="LQI259" s="537"/>
      <c r="LQJ259" s="537"/>
      <c r="LQK259" s="537"/>
      <c r="LQL259" s="537"/>
      <c r="LQM259" s="537"/>
      <c r="LQN259" s="537"/>
      <c r="LQO259" s="537"/>
      <c r="LQP259" s="537"/>
      <c r="LQQ259" s="537"/>
      <c r="LQR259" s="537"/>
      <c r="LQS259" s="537"/>
      <c r="LQT259" s="537"/>
      <c r="LQU259" s="537"/>
      <c r="LQV259" s="537"/>
      <c r="LQW259" s="537"/>
      <c r="LQX259" s="537"/>
      <c r="LQY259" s="537"/>
      <c r="LQZ259" s="537"/>
      <c r="LRA259" s="537"/>
      <c r="LRB259" s="537"/>
      <c r="LRC259" s="537"/>
      <c r="LRD259" s="537"/>
      <c r="LRE259" s="537"/>
      <c r="LRF259" s="537"/>
      <c r="LRG259" s="537"/>
      <c r="LRH259" s="537"/>
      <c r="LRI259" s="537"/>
      <c r="LRJ259" s="537"/>
      <c r="LRK259" s="537"/>
      <c r="LRL259" s="537"/>
      <c r="LRM259" s="537"/>
      <c r="LRN259" s="537"/>
      <c r="LRO259" s="537"/>
      <c r="LRP259" s="537"/>
      <c r="LRQ259" s="537"/>
      <c r="LRR259" s="537"/>
      <c r="LRS259" s="537"/>
      <c r="LRT259" s="537"/>
      <c r="LRU259" s="537"/>
      <c r="LRV259" s="537"/>
      <c r="LRW259" s="537"/>
      <c r="LRX259" s="537"/>
      <c r="LRY259" s="537"/>
      <c r="LRZ259" s="537"/>
      <c r="LSA259" s="537"/>
      <c r="LSB259" s="537"/>
      <c r="LSC259" s="537"/>
      <c r="LSD259" s="537"/>
      <c r="LSE259" s="537"/>
      <c r="LSF259" s="537"/>
      <c r="LSG259" s="537"/>
      <c r="LSH259" s="537"/>
      <c r="LSI259" s="537"/>
      <c r="LSJ259" s="537"/>
      <c r="LSK259" s="537"/>
      <c r="LSL259" s="537"/>
      <c r="LSM259" s="537"/>
      <c r="LSN259" s="537"/>
      <c r="LSO259" s="537"/>
      <c r="LSP259" s="537"/>
      <c r="LSQ259" s="537"/>
      <c r="LSR259" s="537"/>
      <c r="LSS259" s="537"/>
      <c r="LST259" s="537"/>
      <c r="LSU259" s="537"/>
      <c r="LSV259" s="537"/>
      <c r="LSW259" s="537"/>
      <c r="LSX259" s="537"/>
      <c r="LSY259" s="537"/>
      <c r="LSZ259" s="537"/>
      <c r="LTA259" s="537"/>
      <c r="LTB259" s="537"/>
      <c r="LTC259" s="537"/>
      <c r="LTD259" s="537"/>
      <c r="LTE259" s="537"/>
      <c r="LTF259" s="537"/>
      <c r="LTG259" s="537"/>
      <c r="LTH259" s="537"/>
      <c r="LTI259" s="537"/>
      <c r="LTJ259" s="537"/>
      <c r="LTK259" s="537"/>
      <c r="LTL259" s="537"/>
      <c r="LTM259" s="537"/>
      <c r="LTN259" s="537"/>
      <c r="LTO259" s="537"/>
      <c r="LTP259" s="537"/>
      <c r="LTQ259" s="537"/>
      <c r="LTR259" s="537"/>
      <c r="LTS259" s="537"/>
      <c r="LTT259" s="537"/>
      <c r="LTU259" s="537"/>
      <c r="LTV259" s="537"/>
      <c r="LTW259" s="537"/>
      <c r="LTX259" s="537"/>
      <c r="LTY259" s="537"/>
      <c r="LTZ259" s="537"/>
      <c r="LUA259" s="537"/>
      <c r="LUB259" s="537"/>
      <c r="LUC259" s="537"/>
      <c r="LUD259" s="537"/>
      <c r="LUE259" s="537"/>
      <c r="LUF259" s="537"/>
      <c r="LUG259" s="537"/>
      <c r="LUH259" s="537"/>
      <c r="LUI259" s="537"/>
      <c r="LUJ259" s="537"/>
      <c r="LUK259" s="537"/>
      <c r="LUL259" s="537"/>
      <c r="LUM259" s="537"/>
      <c r="LUN259" s="537"/>
      <c r="LUO259" s="537"/>
      <c r="LUP259" s="537"/>
      <c r="LUQ259" s="537"/>
      <c r="LUR259" s="537"/>
      <c r="LUS259" s="537"/>
      <c r="LUT259" s="537"/>
      <c r="LUU259" s="537"/>
      <c r="LUV259" s="537"/>
      <c r="LUW259" s="537"/>
      <c r="LUX259" s="537"/>
      <c r="LUY259" s="537"/>
      <c r="LUZ259" s="537"/>
      <c r="LVA259" s="537"/>
      <c r="LVB259" s="537"/>
      <c r="LVC259" s="537"/>
      <c r="LVD259" s="537"/>
      <c r="LVE259" s="537"/>
      <c r="LVF259" s="537"/>
      <c r="LVG259" s="537"/>
      <c r="LVH259" s="537"/>
      <c r="LVI259" s="537"/>
      <c r="LVJ259" s="537"/>
      <c r="LVK259" s="537"/>
      <c r="LVL259" s="537"/>
      <c r="LVM259" s="537"/>
      <c r="LVN259" s="537"/>
      <c r="LVO259" s="537"/>
      <c r="LVP259" s="537"/>
      <c r="LVQ259" s="537"/>
      <c r="LVR259" s="537"/>
      <c r="LVS259" s="537"/>
      <c r="LVT259" s="537"/>
      <c r="LVU259" s="537"/>
      <c r="LVV259" s="537"/>
      <c r="LVW259" s="537"/>
      <c r="LVX259" s="537"/>
      <c r="LVY259" s="537"/>
      <c r="LVZ259" s="537"/>
      <c r="LWA259" s="537"/>
      <c r="LWB259" s="537"/>
      <c r="LWC259" s="537"/>
      <c r="LWD259" s="537"/>
      <c r="LWE259" s="537"/>
      <c r="LWF259" s="537"/>
      <c r="LWG259" s="537"/>
      <c r="LWH259" s="537"/>
      <c r="LWI259" s="537"/>
      <c r="LWJ259" s="537"/>
      <c r="LWK259" s="537"/>
      <c r="LWL259" s="537"/>
      <c r="LWM259" s="537"/>
      <c r="LWN259" s="537"/>
      <c r="LWO259" s="537"/>
      <c r="LWP259" s="537"/>
      <c r="LWQ259" s="537"/>
      <c r="LWR259" s="537"/>
      <c r="LWS259" s="537"/>
      <c r="LWT259" s="537"/>
      <c r="LWU259" s="537"/>
      <c r="LWV259" s="537"/>
      <c r="LWW259" s="537"/>
      <c r="LWX259" s="537"/>
      <c r="LWY259" s="537"/>
      <c r="LWZ259" s="537"/>
      <c r="LXA259" s="537"/>
      <c r="LXB259" s="537"/>
      <c r="LXC259" s="537"/>
      <c r="LXD259" s="537"/>
      <c r="LXE259" s="537"/>
      <c r="LXF259" s="537"/>
      <c r="LXG259" s="537"/>
      <c r="LXH259" s="537"/>
      <c r="LXI259" s="537"/>
      <c r="LXJ259" s="537"/>
      <c r="LXK259" s="537"/>
      <c r="LXL259" s="537"/>
      <c r="LXM259" s="537"/>
      <c r="LXN259" s="537"/>
      <c r="LXO259" s="537"/>
      <c r="LXP259" s="537"/>
      <c r="LXQ259" s="537"/>
      <c r="LXR259" s="537"/>
      <c r="LXS259" s="537"/>
      <c r="LXT259" s="537"/>
      <c r="LXU259" s="537"/>
      <c r="LXV259" s="537"/>
      <c r="LXW259" s="537"/>
      <c r="LXX259" s="537"/>
      <c r="LXY259" s="537"/>
      <c r="LXZ259" s="537"/>
      <c r="LYA259" s="537"/>
      <c r="LYB259" s="537"/>
      <c r="LYC259" s="537"/>
      <c r="LYD259" s="537"/>
      <c r="LYE259" s="537"/>
      <c r="LYF259" s="537"/>
      <c r="LYG259" s="537"/>
      <c r="LYH259" s="537"/>
      <c r="LYI259" s="537"/>
      <c r="LYJ259" s="537"/>
      <c r="LYK259" s="537"/>
      <c r="LYL259" s="537"/>
      <c r="LYM259" s="537"/>
      <c r="LYN259" s="537"/>
      <c r="LYO259" s="537"/>
      <c r="LYP259" s="537"/>
      <c r="LYQ259" s="537"/>
      <c r="LYR259" s="537"/>
      <c r="LYS259" s="537"/>
      <c r="LYT259" s="537"/>
      <c r="LYU259" s="537"/>
      <c r="LYV259" s="537"/>
      <c r="LYW259" s="537"/>
      <c r="LYX259" s="537"/>
      <c r="LYY259" s="537"/>
      <c r="LYZ259" s="537"/>
      <c r="LZA259" s="537"/>
      <c r="LZB259" s="537"/>
      <c r="LZC259" s="537"/>
      <c r="LZD259" s="537"/>
      <c r="LZE259" s="537"/>
      <c r="LZF259" s="537"/>
      <c r="LZG259" s="537"/>
      <c r="LZH259" s="537"/>
      <c r="LZI259" s="537"/>
      <c r="LZJ259" s="537"/>
      <c r="LZK259" s="537"/>
      <c r="LZL259" s="537"/>
      <c r="LZM259" s="537"/>
      <c r="LZN259" s="537"/>
      <c r="LZO259" s="537"/>
      <c r="LZP259" s="537"/>
      <c r="LZQ259" s="537"/>
      <c r="LZR259" s="537"/>
      <c r="LZS259" s="537"/>
      <c r="LZT259" s="537"/>
      <c r="LZU259" s="537"/>
      <c r="LZV259" s="537"/>
      <c r="LZW259" s="537"/>
      <c r="LZX259" s="537"/>
      <c r="LZY259" s="537"/>
      <c r="LZZ259" s="537"/>
      <c r="MAA259" s="537"/>
      <c r="MAB259" s="537"/>
      <c r="MAC259" s="537"/>
      <c r="MAD259" s="537"/>
      <c r="MAE259" s="537"/>
      <c r="MAF259" s="537"/>
      <c r="MAG259" s="537"/>
      <c r="MAH259" s="537"/>
      <c r="MAI259" s="537"/>
      <c r="MAJ259" s="537"/>
      <c r="MAK259" s="537"/>
      <c r="MAL259" s="537"/>
      <c r="MAM259" s="537"/>
      <c r="MAN259" s="537"/>
      <c r="MAO259" s="537"/>
      <c r="MAP259" s="537"/>
      <c r="MAQ259" s="537"/>
      <c r="MAR259" s="537"/>
      <c r="MAS259" s="537"/>
      <c r="MAT259" s="537"/>
      <c r="MAU259" s="537"/>
      <c r="MAV259" s="537"/>
      <c r="MAW259" s="537"/>
      <c r="MAX259" s="537"/>
      <c r="MAY259" s="537"/>
      <c r="MAZ259" s="537"/>
      <c r="MBA259" s="537"/>
      <c r="MBB259" s="537"/>
      <c r="MBC259" s="537"/>
      <c r="MBD259" s="537"/>
      <c r="MBE259" s="537"/>
      <c r="MBF259" s="537"/>
      <c r="MBG259" s="537"/>
      <c r="MBH259" s="537"/>
      <c r="MBI259" s="537"/>
      <c r="MBJ259" s="537"/>
      <c r="MBK259" s="537"/>
      <c r="MBL259" s="537"/>
      <c r="MBM259" s="537"/>
      <c r="MBN259" s="537"/>
      <c r="MBO259" s="537"/>
      <c r="MBP259" s="537"/>
      <c r="MBQ259" s="537"/>
      <c r="MBR259" s="537"/>
      <c r="MBS259" s="537"/>
      <c r="MBT259" s="537"/>
      <c r="MBU259" s="537"/>
      <c r="MBV259" s="537"/>
      <c r="MBW259" s="537"/>
      <c r="MBX259" s="537"/>
      <c r="MBY259" s="537"/>
      <c r="MBZ259" s="537"/>
      <c r="MCA259" s="537"/>
      <c r="MCB259" s="537"/>
      <c r="MCC259" s="537"/>
      <c r="MCD259" s="537"/>
      <c r="MCE259" s="537"/>
      <c r="MCF259" s="537"/>
      <c r="MCG259" s="537"/>
      <c r="MCH259" s="537"/>
      <c r="MCI259" s="537"/>
      <c r="MCJ259" s="537"/>
      <c r="MCK259" s="537"/>
      <c r="MCL259" s="537"/>
      <c r="MCM259" s="537"/>
      <c r="MCN259" s="537"/>
      <c r="MCO259" s="537"/>
      <c r="MCP259" s="537"/>
      <c r="MCQ259" s="537"/>
      <c r="MCR259" s="537"/>
      <c r="MCS259" s="537"/>
      <c r="MCT259" s="537"/>
      <c r="MCU259" s="537"/>
      <c r="MCV259" s="537"/>
      <c r="MCW259" s="537"/>
      <c r="MCX259" s="537"/>
      <c r="MCY259" s="537"/>
      <c r="MCZ259" s="537"/>
      <c r="MDA259" s="537"/>
      <c r="MDB259" s="537"/>
      <c r="MDC259" s="537"/>
      <c r="MDD259" s="537"/>
      <c r="MDE259" s="537"/>
      <c r="MDF259" s="537"/>
      <c r="MDG259" s="537"/>
      <c r="MDH259" s="537"/>
      <c r="MDI259" s="537"/>
      <c r="MDJ259" s="537"/>
      <c r="MDK259" s="537"/>
      <c r="MDL259" s="537"/>
      <c r="MDM259" s="537"/>
      <c r="MDN259" s="537"/>
      <c r="MDO259" s="537"/>
      <c r="MDP259" s="537"/>
      <c r="MDQ259" s="537"/>
      <c r="MDR259" s="537"/>
      <c r="MDS259" s="537"/>
      <c r="MDT259" s="537"/>
      <c r="MDU259" s="537"/>
      <c r="MDV259" s="537"/>
      <c r="MDW259" s="537"/>
      <c r="MDX259" s="537"/>
      <c r="MDY259" s="537"/>
      <c r="MDZ259" s="537"/>
      <c r="MEA259" s="537"/>
      <c r="MEB259" s="537"/>
      <c r="MEC259" s="537"/>
      <c r="MED259" s="537"/>
      <c r="MEE259" s="537"/>
      <c r="MEF259" s="537"/>
      <c r="MEG259" s="537"/>
      <c r="MEH259" s="537"/>
      <c r="MEI259" s="537"/>
      <c r="MEJ259" s="537"/>
      <c r="MEK259" s="537"/>
      <c r="MEL259" s="537"/>
      <c r="MEM259" s="537"/>
      <c r="MEN259" s="537"/>
      <c r="MEO259" s="537"/>
      <c r="MEP259" s="537"/>
      <c r="MEQ259" s="537"/>
      <c r="MER259" s="537"/>
      <c r="MES259" s="537"/>
      <c r="MET259" s="537"/>
      <c r="MEU259" s="537"/>
      <c r="MEV259" s="537"/>
      <c r="MEW259" s="537"/>
      <c r="MEX259" s="537"/>
      <c r="MEY259" s="537"/>
      <c r="MEZ259" s="537"/>
      <c r="MFA259" s="537"/>
      <c r="MFB259" s="537"/>
      <c r="MFC259" s="537"/>
      <c r="MFD259" s="537"/>
      <c r="MFE259" s="537"/>
      <c r="MFF259" s="537"/>
      <c r="MFG259" s="537"/>
      <c r="MFH259" s="537"/>
      <c r="MFI259" s="537"/>
      <c r="MFJ259" s="537"/>
      <c r="MFK259" s="537"/>
      <c r="MFL259" s="537"/>
      <c r="MFM259" s="537"/>
      <c r="MFN259" s="537"/>
      <c r="MFO259" s="537"/>
      <c r="MFP259" s="537"/>
      <c r="MFQ259" s="537"/>
      <c r="MFR259" s="537"/>
      <c r="MFS259" s="537"/>
      <c r="MFT259" s="537"/>
      <c r="MFU259" s="537"/>
      <c r="MFV259" s="537"/>
      <c r="MFW259" s="537"/>
      <c r="MFX259" s="537"/>
      <c r="MFY259" s="537"/>
      <c r="MFZ259" s="537"/>
      <c r="MGA259" s="537"/>
      <c r="MGB259" s="537"/>
      <c r="MGC259" s="537"/>
      <c r="MGD259" s="537"/>
      <c r="MGE259" s="537"/>
      <c r="MGF259" s="537"/>
      <c r="MGG259" s="537"/>
      <c r="MGH259" s="537"/>
      <c r="MGI259" s="537"/>
      <c r="MGJ259" s="537"/>
      <c r="MGK259" s="537"/>
      <c r="MGL259" s="537"/>
      <c r="MGM259" s="537"/>
      <c r="MGN259" s="537"/>
      <c r="MGO259" s="537"/>
      <c r="MGP259" s="537"/>
      <c r="MGQ259" s="537"/>
      <c r="MGR259" s="537"/>
      <c r="MGS259" s="537"/>
      <c r="MGT259" s="537"/>
      <c r="MGU259" s="537"/>
      <c r="MGV259" s="537"/>
      <c r="MGW259" s="537"/>
      <c r="MGX259" s="537"/>
      <c r="MGY259" s="537"/>
      <c r="MGZ259" s="537"/>
      <c r="MHA259" s="537"/>
      <c r="MHB259" s="537"/>
      <c r="MHC259" s="537"/>
      <c r="MHD259" s="537"/>
      <c r="MHE259" s="537"/>
      <c r="MHF259" s="537"/>
      <c r="MHG259" s="537"/>
      <c r="MHH259" s="537"/>
      <c r="MHI259" s="537"/>
      <c r="MHJ259" s="537"/>
      <c r="MHK259" s="537"/>
      <c r="MHL259" s="537"/>
      <c r="MHM259" s="537"/>
      <c r="MHN259" s="537"/>
      <c r="MHO259" s="537"/>
      <c r="MHP259" s="537"/>
      <c r="MHQ259" s="537"/>
      <c r="MHR259" s="537"/>
      <c r="MHS259" s="537"/>
      <c r="MHT259" s="537"/>
      <c r="MHU259" s="537"/>
      <c r="MHV259" s="537"/>
      <c r="MHW259" s="537"/>
      <c r="MHX259" s="537"/>
      <c r="MHY259" s="537"/>
      <c r="MHZ259" s="537"/>
      <c r="MIA259" s="537"/>
      <c r="MIB259" s="537"/>
      <c r="MIC259" s="537"/>
      <c r="MID259" s="537"/>
      <c r="MIE259" s="537"/>
      <c r="MIF259" s="537"/>
      <c r="MIG259" s="537"/>
      <c r="MIH259" s="537"/>
      <c r="MII259" s="537"/>
      <c r="MIJ259" s="537"/>
      <c r="MIK259" s="537"/>
      <c r="MIL259" s="537"/>
      <c r="MIM259" s="537"/>
      <c r="MIN259" s="537"/>
      <c r="MIO259" s="537"/>
      <c r="MIP259" s="537"/>
      <c r="MIQ259" s="537"/>
      <c r="MIR259" s="537"/>
      <c r="MIS259" s="537"/>
      <c r="MIT259" s="537"/>
      <c r="MIU259" s="537"/>
      <c r="MIV259" s="537"/>
      <c r="MIW259" s="537"/>
      <c r="MIX259" s="537"/>
      <c r="MIY259" s="537"/>
      <c r="MIZ259" s="537"/>
      <c r="MJA259" s="537"/>
      <c r="MJB259" s="537"/>
      <c r="MJC259" s="537"/>
      <c r="MJD259" s="537"/>
      <c r="MJE259" s="537"/>
      <c r="MJF259" s="537"/>
      <c r="MJG259" s="537"/>
      <c r="MJH259" s="537"/>
      <c r="MJI259" s="537"/>
      <c r="MJJ259" s="537"/>
      <c r="MJK259" s="537"/>
      <c r="MJL259" s="537"/>
      <c r="MJM259" s="537"/>
      <c r="MJN259" s="537"/>
      <c r="MJO259" s="537"/>
      <c r="MJP259" s="537"/>
      <c r="MJQ259" s="537"/>
      <c r="MJR259" s="537"/>
      <c r="MJS259" s="537"/>
      <c r="MJT259" s="537"/>
      <c r="MJU259" s="537"/>
      <c r="MJV259" s="537"/>
      <c r="MJW259" s="537"/>
      <c r="MJX259" s="537"/>
      <c r="MJY259" s="537"/>
      <c r="MJZ259" s="537"/>
      <c r="MKA259" s="537"/>
      <c r="MKB259" s="537"/>
      <c r="MKC259" s="537"/>
      <c r="MKD259" s="537"/>
      <c r="MKE259" s="537"/>
      <c r="MKF259" s="537"/>
      <c r="MKG259" s="537"/>
      <c r="MKH259" s="537"/>
      <c r="MKI259" s="537"/>
      <c r="MKJ259" s="537"/>
      <c r="MKK259" s="537"/>
      <c r="MKL259" s="537"/>
      <c r="MKM259" s="537"/>
      <c r="MKN259" s="537"/>
      <c r="MKO259" s="537"/>
      <c r="MKP259" s="537"/>
      <c r="MKQ259" s="537"/>
      <c r="MKR259" s="537"/>
      <c r="MKS259" s="537"/>
      <c r="MKT259" s="537"/>
      <c r="MKU259" s="537"/>
      <c r="MKV259" s="537"/>
      <c r="MKW259" s="537"/>
      <c r="MKX259" s="537"/>
      <c r="MKY259" s="537"/>
      <c r="MKZ259" s="537"/>
      <c r="MLA259" s="537"/>
      <c r="MLB259" s="537"/>
      <c r="MLC259" s="537"/>
      <c r="MLD259" s="537"/>
      <c r="MLE259" s="537"/>
      <c r="MLF259" s="537"/>
      <c r="MLG259" s="537"/>
      <c r="MLH259" s="537"/>
      <c r="MLI259" s="537"/>
      <c r="MLJ259" s="537"/>
      <c r="MLK259" s="537"/>
      <c r="MLL259" s="537"/>
      <c r="MLM259" s="537"/>
      <c r="MLN259" s="537"/>
      <c r="MLO259" s="537"/>
      <c r="MLP259" s="537"/>
      <c r="MLQ259" s="537"/>
      <c r="MLR259" s="537"/>
      <c r="MLS259" s="537"/>
      <c r="MLT259" s="537"/>
      <c r="MLU259" s="537"/>
      <c r="MLV259" s="537"/>
      <c r="MLW259" s="537"/>
      <c r="MLX259" s="537"/>
      <c r="MLY259" s="537"/>
      <c r="MLZ259" s="537"/>
      <c r="MMA259" s="537"/>
      <c r="MMB259" s="537"/>
      <c r="MMC259" s="537"/>
      <c r="MMD259" s="537"/>
      <c r="MME259" s="537"/>
      <c r="MMF259" s="537"/>
      <c r="MMG259" s="537"/>
      <c r="MMH259" s="537"/>
      <c r="MMI259" s="537"/>
      <c r="MMJ259" s="537"/>
      <c r="MMK259" s="537"/>
      <c r="MML259" s="537"/>
      <c r="MMM259" s="537"/>
      <c r="MMN259" s="537"/>
      <c r="MMO259" s="537"/>
      <c r="MMP259" s="537"/>
      <c r="MMQ259" s="537"/>
      <c r="MMR259" s="537"/>
      <c r="MMS259" s="537"/>
      <c r="MMT259" s="537"/>
      <c r="MMU259" s="537"/>
      <c r="MMV259" s="537"/>
      <c r="MMW259" s="537"/>
      <c r="MMX259" s="537"/>
      <c r="MMY259" s="537"/>
      <c r="MMZ259" s="537"/>
      <c r="MNA259" s="537"/>
      <c r="MNB259" s="537"/>
      <c r="MNC259" s="537"/>
      <c r="MND259" s="537"/>
      <c r="MNE259" s="537"/>
      <c r="MNF259" s="537"/>
      <c r="MNG259" s="537"/>
      <c r="MNH259" s="537"/>
      <c r="MNI259" s="537"/>
      <c r="MNJ259" s="537"/>
      <c r="MNK259" s="537"/>
      <c r="MNL259" s="537"/>
      <c r="MNM259" s="537"/>
      <c r="MNN259" s="537"/>
      <c r="MNO259" s="537"/>
      <c r="MNP259" s="537"/>
      <c r="MNQ259" s="537"/>
      <c r="MNR259" s="537"/>
      <c r="MNS259" s="537"/>
      <c r="MNT259" s="537"/>
      <c r="MNU259" s="537"/>
      <c r="MNV259" s="537"/>
      <c r="MNW259" s="537"/>
      <c r="MNX259" s="537"/>
      <c r="MNY259" s="537"/>
      <c r="MNZ259" s="537"/>
      <c r="MOA259" s="537"/>
      <c r="MOB259" s="537"/>
      <c r="MOC259" s="537"/>
      <c r="MOD259" s="537"/>
      <c r="MOE259" s="537"/>
      <c r="MOF259" s="537"/>
      <c r="MOG259" s="537"/>
      <c r="MOH259" s="537"/>
      <c r="MOI259" s="537"/>
      <c r="MOJ259" s="537"/>
      <c r="MOK259" s="537"/>
      <c r="MOL259" s="537"/>
      <c r="MOM259" s="537"/>
      <c r="MON259" s="537"/>
      <c r="MOO259" s="537"/>
      <c r="MOP259" s="537"/>
      <c r="MOQ259" s="537"/>
      <c r="MOR259" s="537"/>
      <c r="MOS259" s="537"/>
      <c r="MOT259" s="537"/>
      <c r="MOU259" s="537"/>
      <c r="MOV259" s="537"/>
      <c r="MOW259" s="537"/>
      <c r="MOX259" s="537"/>
      <c r="MOY259" s="537"/>
      <c r="MOZ259" s="537"/>
      <c r="MPA259" s="537"/>
      <c r="MPB259" s="537"/>
      <c r="MPC259" s="537"/>
      <c r="MPD259" s="537"/>
      <c r="MPE259" s="537"/>
      <c r="MPF259" s="537"/>
      <c r="MPG259" s="537"/>
      <c r="MPH259" s="537"/>
      <c r="MPI259" s="537"/>
      <c r="MPJ259" s="537"/>
      <c r="MPK259" s="537"/>
      <c r="MPL259" s="537"/>
      <c r="MPM259" s="537"/>
      <c r="MPN259" s="537"/>
      <c r="MPO259" s="537"/>
      <c r="MPP259" s="537"/>
      <c r="MPQ259" s="537"/>
      <c r="MPR259" s="537"/>
      <c r="MPS259" s="537"/>
      <c r="MPT259" s="537"/>
      <c r="MPU259" s="537"/>
      <c r="MPV259" s="537"/>
      <c r="MPW259" s="537"/>
      <c r="MPX259" s="537"/>
      <c r="MPY259" s="537"/>
      <c r="MPZ259" s="537"/>
      <c r="MQA259" s="537"/>
      <c r="MQB259" s="537"/>
      <c r="MQC259" s="537"/>
      <c r="MQD259" s="537"/>
      <c r="MQE259" s="537"/>
      <c r="MQF259" s="537"/>
      <c r="MQG259" s="537"/>
      <c r="MQH259" s="537"/>
      <c r="MQI259" s="537"/>
      <c r="MQJ259" s="537"/>
      <c r="MQK259" s="537"/>
      <c r="MQL259" s="537"/>
      <c r="MQM259" s="537"/>
      <c r="MQN259" s="537"/>
      <c r="MQO259" s="537"/>
      <c r="MQP259" s="537"/>
      <c r="MQQ259" s="537"/>
      <c r="MQR259" s="537"/>
      <c r="MQS259" s="537"/>
      <c r="MQT259" s="537"/>
      <c r="MQU259" s="537"/>
      <c r="MQV259" s="537"/>
      <c r="MQW259" s="537"/>
      <c r="MQX259" s="537"/>
      <c r="MQY259" s="537"/>
      <c r="MQZ259" s="537"/>
      <c r="MRA259" s="537"/>
      <c r="MRB259" s="537"/>
      <c r="MRC259" s="537"/>
      <c r="MRD259" s="537"/>
      <c r="MRE259" s="537"/>
      <c r="MRF259" s="537"/>
      <c r="MRG259" s="537"/>
      <c r="MRH259" s="537"/>
      <c r="MRI259" s="537"/>
      <c r="MRJ259" s="537"/>
      <c r="MRK259" s="537"/>
      <c r="MRL259" s="537"/>
      <c r="MRM259" s="537"/>
      <c r="MRN259" s="537"/>
      <c r="MRO259" s="537"/>
      <c r="MRP259" s="537"/>
      <c r="MRQ259" s="537"/>
      <c r="MRR259" s="537"/>
      <c r="MRS259" s="537"/>
      <c r="MRT259" s="537"/>
      <c r="MRU259" s="537"/>
      <c r="MRV259" s="537"/>
      <c r="MRW259" s="537"/>
      <c r="MRX259" s="537"/>
      <c r="MRY259" s="537"/>
      <c r="MRZ259" s="537"/>
      <c r="MSA259" s="537"/>
      <c r="MSB259" s="537"/>
      <c r="MSC259" s="537"/>
      <c r="MSD259" s="537"/>
      <c r="MSE259" s="537"/>
      <c r="MSF259" s="537"/>
      <c r="MSG259" s="537"/>
      <c r="MSH259" s="537"/>
      <c r="MSI259" s="537"/>
      <c r="MSJ259" s="537"/>
      <c r="MSK259" s="537"/>
      <c r="MSL259" s="537"/>
      <c r="MSM259" s="537"/>
      <c r="MSN259" s="537"/>
      <c r="MSO259" s="537"/>
      <c r="MSP259" s="537"/>
      <c r="MSQ259" s="537"/>
      <c r="MSR259" s="537"/>
      <c r="MSS259" s="537"/>
      <c r="MST259" s="537"/>
      <c r="MSU259" s="537"/>
      <c r="MSV259" s="537"/>
      <c r="MSW259" s="537"/>
      <c r="MSX259" s="537"/>
      <c r="MSY259" s="537"/>
      <c r="MSZ259" s="537"/>
      <c r="MTA259" s="537"/>
      <c r="MTB259" s="537"/>
      <c r="MTC259" s="537"/>
      <c r="MTD259" s="537"/>
      <c r="MTE259" s="537"/>
      <c r="MTF259" s="537"/>
      <c r="MTG259" s="537"/>
      <c r="MTH259" s="537"/>
      <c r="MTI259" s="537"/>
      <c r="MTJ259" s="537"/>
      <c r="MTK259" s="537"/>
      <c r="MTL259" s="537"/>
      <c r="MTM259" s="537"/>
      <c r="MTN259" s="537"/>
      <c r="MTO259" s="537"/>
      <c r="MTP259" s="537"/>
      <c r="MTQ259" s="537"/>
      <c r="MTR259" s="537"/>
      <c r="MTS259" s="537"/>
      <c r="MTT259" s="537"/>
      <c r="MTU259" s="537"/>
      <c r="MTV259" s="537"/>
      <c r="MTW259" s="537"/>
      <c r="MTX259" s="537"/>
      <c r="MTY259" s="537"/>
      <c r="MTZ259" s="537"/>
      <c r="MUA259" s="537"/>
      <c r="MUB259" s="537"/>
      <c r="MUC259" s="537"/>
      <c r="MUD259" s="537"/>
      <c r="MUE259" s="537"/>
      <c r="MUF259" s="537"/>
      <c r="MUG259" s="537"/>
      <c r="MUH259" s="537"/>
      <c r="MUI259" s="537"/>
      <c r="MUJ259" s="537"/>
      <c r="MUK259" s="537"/>
      <c r="MUL259" s="537"/>
      <c r="MUM259" s="537"/>
      <c r="MUN259" s="537"/>
      <c r="MUO259" s="537"/>
      <c r="MUP259" s="537"/>
      <c r="MUQ259" s="537"/>
      <c r="MUR259" s="537"/>
      <c r="MUS259" s="537"/>
      <c r="MUT259" s="537"/>
      <c r="MUU259" s="537"/>
      <c r="MUV259" s="537"/>
      <c r="MUW259" s="537"/>
      <c r="MUX259" s="537"/>
      <c r="MUY259" s="537"/>
      <c r="MUZ259" s="537"/>
      <c r="MVA259" s="537"/>
      <c r="MVB259" s="537"/>
      <c r="MVC259" s="537"/>
      <c r="MVD259" s="537"/>
      <c r="MVE259" s="537"/>
      <c r="MVF259" s="537"/>
      <c r="MVG259" s="537"/>
      <c r="MVH259" s="537"/>
      <c r="MVI259" s="537"/>
      <c r="MVJ259" s="537"/>
      <c r="MVK259" s="537"/>
      <c r="MVL259" s="537"/>
      <c r="MVM259" s="537"/>
      <c r="MVN259" s="537"/>
      <c r="MVO259" s="537"/>
      <c r="MVP259" s="537"/>
      <c r="MVQ259" s="537"/>
      <c r="MVR259" s="537"/>
      <c r="MVS259" s="537"/>
      <c r="MVT259" s="537"/>
      <c r="MVU259" s="537"/>
      <c r="MVV259" s="537"/>
      <c r="MVW259" s="537"/>
      <c r="MVX259" s="537"/>
      <c r="MVY259" s="537"/>
      <c r="MVZ259" s="537"/>
      <c r="MWA259" s="537"/>
      <c r="MWB259" s="537"/>
      <c r="MWC259" s="537"/>
      <c r="MWD259" s="537"/>
      <c r="MWE259" s="537"/>
      <c r="MWF259" s="537"/>
      <c r="MWG259" s="537"/>
      <c r="MWH259" s="537"/>
      <c r="MWI259" s="537"/>
      <c r="MWJ259" s="537"/>
      <c r="MWK259" s="537"/>
      <c r="MWL259" s="537"/>
      <c r="MWM259" s="537"/>
      <c r="MWN259" s="537"/>
      <c r="MWO259" s="537"/>
      <c r="MWP259" s="537"/>
      <c r="MWQ259" s="537"/>
      <c r="MWR259" s="537"/>
      <c r="MWS259" s="537"/>
      <c r="MWT259" s="537"/>
      <c r="MWU259" s="537"/>
      <c r="MWV259" s="537"/>
      <c r="MWW259" s="537"/>
      <c r="MWX259" s="537"/>
      <c r="MWY259" s="537"/>
      <c r="MWZ259" s="537"/>
      <c r="MXA259" s="537"/>
      <c r="MXB259" s="537"/>
      <c r="MXC259" s="537"/>
      <c r="MXD259" s="537"/>
      <c r="MXE259" s="537"/>
      <c r="MXF259" s="537"/>
      <c r="MXG259" s="537"/>
      <c r="MXH259" s="537"/>
      <c r="MXI259" s="537"/>
      <c r="MXJ259" s="537"/>
      <c r="MXK259" s="537"/>
      <c r="MXL259" s="537"/>
      <c r="MXM259" s="537"/>
      <c r="MXN259" s="537"/>
      <c r="MXO259" s="537"/>
      <c r="MXP259" s="537"/>
      <c r="MXQ259" s="537"/>
      <c r="MXR259" s="537"/>
      <c r="MXS259" s="537"/>
      <c r="MXT259" s="537"/>
      <c r="MXU259" s="537"/>
      <c r="MXV259" s="537"/>
      <c r="MXW259" s="537"/>
      <c r="MXX259" s="537"/>
      <c r="MXY259" s="537"/>
      <c r="MXZ259" s="537"/>
      <c r="MYA259" s="537"/>
      <c r="MYB259" s="537"/>
      <c r="MYC259" s="537"/>
      <c r="MYD259" s="537"/>
      <c r="MYE259" s="537"/>
      <c r="MYF259" s="537"/>
      <c r="MYG259" s="537"/>
      <c r="MYH259" s="537"/>
      <c r="MYI259" s="537"/>
      <c r="MYJ259" s="537"/>
      <c r="MYK259" s="537"/>
      <c r="MYL259" s="537"/>
      <c r="MYM259" s="537"/>
      <c r="MYN259" s="537"/>
      <c r="MYO259" s="537"/>
      <c r="MYP259" s="537"/>
      <c r="MYQ259" s="537"/>
      <c r="MYR259" s="537"/>
      <c r="MYS259" s="537"/>
      <c r="MYT259" s="537"/>
      <c r="MYU259" s="537"/>
      <c r="MYV259" s="537"/>
      <c r="MYW259" s="537"/>
      <c r="MYX259" s="537"/>
      <c r="MYY259" s="537"/>
      <c r="MYZ259" s="537"/>
      <c r="MZA259" s="537"/>
      <c r="MZB259" s="537"/>
      <c r="MZC259" s="537"/>
      <c r="MZD259" s="537"/>
      <c r="MZE259" s="537"/>
      <c r="MZF259" s="537"/>
      <c r="MZG259" s="537"/>
      <c r="MZH259" s="537"/>
      <c r="MZI259" s="537"/>
      <c r="MZJ259" s="537"/>
      <c r="MZK259" s="537"/>
      <c r="MZL259" s="537"/>
      <c r="MZM259" s="537"/>
      <c r="MZN259" s="537"/>
      <c r="MZO259" s="537"/>
      <c r="MZP259" s="537"/>
      <c r="MZQ259" s="537"/>
      <c r="MZR259" s="537"/>
      <c r="MZS259" s="537"/>
      <c r="MZT259" s="537"/>
      <c r="MZU259" s="537"/>
      <c r="MZV259" s="537"/>
      <c r="MZW259" s="537"/>
      <c r="MZX259" s="537"/>
      <c r="MZY259" s="537"/>
      <c r="MZZ259" s="537"/>
      <c r="NAA259" s="537"/>
      <c r="NAB259" s="537"/>
      <c r="NAC259" s="537"/>
      <c r="NAD259" s="537"/>
      <c r="NAE259" s="537"/>
      <c r="NAF259" s="537"/>
      <c r="NAG259" s="537"/>
      <c r="NAH259" s="537"/>
      <c r="NAI259" s="537"/>
      <c r="NAJ259" s="537"/>
      <c r="NAK259" s="537"/>
      <c r="NAL259" s="537"/>
      <c r="NAM259" s="537"/>
      <c r="NAN259" s="537"/>
      <c r="NAO259" s="537"/>
      <c r="NAP259" s="537"/>
      <c r="NAQ259" s="537"/>
      <c r="NAR259" s="537"/>
      <c r="NAS259" s="537"/>
      <c r="NAT259" s="537"/>
      <c r="NAU259" s="537"/>
      <c r="NAV259" s="537"/>
      <c r="NAW259" s="537"/>
      <c r="NAX259" s="537"/>
      <c r="NAY259" s="537"/>
      <c r="NAZ259" s="537"/>
      <c r="NBA259" s="537"/>
      <c r="NBB259" s="537"/>
      <c r="NBC259" s="537"/>
      <c r="NBD259" s="537"/>
      <c r="NBE259" s="537"/>
      <c r="NBF259" s="537"/>
      <c r="NBG259" s="537"/>
      <c r="NBH259" s="537"/>
      <c r="NBI259" s="537"/>
      <c r="NBJ259" s="537"/>
      <c r="NBK259" s="537"/>
      <c r="NBL259" s="537"/>
      <c r="NBM259" s="537"/>
      <c r="NBN259" s="537"/>
      <c r="NBO259" s="537"/>
      <c r="NBP259" s="537"/>
      <c r="NBQ259" s="537"/>
      <c r="NBR259" s="537"/>
      <c r="NBS259" s="537"/>
      <c r="NBT259" s="537"/>
      <c r="NBU259" s="537"/>
      <c r="NBV259" s="537"/>
      <c r="NBW259" s="537"/>
      <c r="NBX259" s="537"/>
      <c r="NBY259" s="537"/>
      <c r="NBZ259" s="537"/>
      <c r="NCA259" s="537"/>
      <c r="NCB259" s="537"/>
      <c r="NCC259" s="537"/>
      <c r="NCD259" s="537"/>
      <c r="NCE259" s="537"/>
      <c r="NCF259" s="537"/>
      <c r="NCG259" s="537"/>
      <c r="NCH259" s="537"/>
      <c r="NCI259" s="537"/>
      <c r="NCJ259" s="537"/>
      <c r="NCK259" s="537"/>
      <c r="NCL259" s="537"/>
      <c r="NCM259" s="537"/>
      <c r="NCN259" s="537"/>
      <c r="NCO259" s="537"/>
      <c r="NCP259" s="537"/>
      <c r="NCQ259" s="537"/>
      <c r="NCR259" s="537"/>
      <c r="NCS259" s="537"/>
      <c r="NCT259" s="537"/>
      <c r="NCU259" s="537"/>
      <c r="NCV259" s="537"/>
      <c r="NCW259" s="537"/>
      <c r="NCX259" s="537"/>
      <c r="NCY259" s="537"/>
      <c r="NCZ259" s="537"/>
      <c r="NDA259" s="537"/>
      <c r="NDB259" s="537"/>
      <c r="NDC259" s="537"/>
      <c r="NDD259" s="537"/>
      <c r="NDE259" s="537"/>
      <c r="NDF259" s="537"/>
      <c r="NDG259" s="537"/>
      <c r="NDH259" s="537"/>
      <c r="NDI259" s="537"/>
      <c r="NDJ259" s="537"/>
      <c r="NDK259" s="537"/>
      <c r="NDL259" s="537"/>
      <c r="NDM259" s="537"/>
      <c r="NDN259" s="537"/>
      <c r="NDO259" s="537"/>
      <c r="NDP259" s="537"/>
      <c r="NDQ259" s="537"/>
      <c r="NDR259" s="537"/>
      <c r="NDS259" s="537"/>
      <c r="NDT259" s="537"/>
      <c r="NDU259" s="537"/>
      <c r="NDV259" s="537"/>
      <c r="NDW259" s="537"/>
      <c r="NDX259" s="537"/>
      <c r="NDY259" s="537"/>
      <c r="NDZ259" s="537"/>
      <c r="NEA259" s="537"/>
      <c r="NEB259" s="537"/>
      <c r="NEC259" s="537"/>
      <c r="NED259" s="537"/>
      <c r="NEE259" s="537"/>
      <c r="NEF259" s="537"/>
      <c r="NEG259" s="537"/>
      <c r="NEH259" s="537"/>
      <c r="NEI259" s="537"/>
      <c r="NEJ259" s="537"/>
      <c r="NEK259" s="537"/>
      <c r="NEL259" s="537"/>
      <c r="NEM259" s="537"/>
      <c r="NEN259" s="537"/>
      <c r="NEO259" s="537"/>
      <c r="NEP259" s="537"/>
      <c r="NEQ259" s="537"/>
      <c r="NER259" s="537"/>
      <c r="NES259" s="537"/>
      <c r="NET259" s="537"/>
      <c r="NEU259" s="537"/>
      <c r="NEV259" s="537"/>
      <c r="NEW259" s="537"/>
      <c r="NEX259" s="537"/>
      <c r="NEY259" s="537"/>
      <c r="NEZ259" s="537"/>
      <c r="NFA259" s="537"/>
      <c r="NFB259" s="537"/>
      <c r="NFC259" s="537"/>
      <c r="NFD259" s="537"/>
      <c r="NFE259" s="537"/>
      <c r="NFF259" s="537"/>
      <c r="NFG259" s="537"/>
      <c r="NFH259" s="537"/>
      <c r="NFI259" s="537"/>
      <c r="NFJ259" s="537"/>
      <c r="NFK259" s="537"/>
      <c r="NFL259" s="537"/>
      <c r="NFM259" s="537"/>
      <c r="NFN259" s="537"/>
      <c r="NFO259" s="537"/>
      <c r="NFP259" s="537"/>
      <c r="NFQ259" s="537"/>
      <c r="NFR259" s="537"/>
      <c r="NFS259" s="537"/>
      <c r="NFT259" s="537"/>
      <c r="NFU259" s="537"/>
      <c r="NFV259" s="537"/>
      <c r="NFW259" s="537"/>
      <c r="NFX259" s="537"/>
      <c r="NFY259" s="537"/>
      <c r="NFZ259" s="537"/>
      <c r="NGA259" s="537"/>
      <c r="NGB259" s="537"/>
      <c r="NGC259" s="537"/>
      <c r="NGD259" s="537"/>
      <c r="NGE259" s="537"/>
      <c r="NGF259" s="537"/>
      <c r="NGG259" s="537"/>
      <c r="NGH259" s="537"/>
      <c r="NGI259" s="537"/>
      <c r="NGJ259" s="537"/>
      <c r="NGK259" s="537"/>
      <c r="NGL259" s="537"/>
      <c r="NGM259" s="537"/>
      <c r="NGN259" s="537"/>
      <c r="NGO259" s="537"/>
      <c r="NGP259" s="537"/>
      <c r="NGQ259" s="537"/>
      <c r="NGR259" s="537"/>
      <c r="NGS259" s="537"/>
      <c r="NGT259" s="537"/>
      <c r="NGU259" s="537"/>
      <c r="NGV259" s="537"/>
      <c r="NGW259" s="537"/>
      <c r="NGX259" s="537"/>
      <c r="NGY259" s="537"/>
      <c r="NGZ259" s="537"/>
      <c r="NHA259" s="537"/>
      <c r="NHB259" s="537"/>
      <c r="NHC259" s="537"/>
      <c r="NHD259" s="537"/>
      <c r="NHE259" s="537"/>
      <c r="NHF259" s="537"/>
      <c r="NHG259" s="537"/>
      <c r="NHH259" s="537"/>
      <c r="NHI259" s="537"/>
      <c r="NHJ259" s="537"/>
      <c r="NHK259" s="537"/>
      <c r="NHL259" s="537"/>
      <c r="NHM259" s="537"/>
      <c r="NHN259" s="537"/>
      <c r="NHO259" s="537"/>
      <c r="NHP259" s="537"/>
      <c r="NHQ259" s="537"/>
      <c r="NHR259" s="537"/>
      <c r="NHS259" s="537"/>
      <c r="NHT259" s="537"/>
      <c r="NHU259" s="537"/>
      <c r="NHV259" s="537"/>
      <c r="NHW259" s="537"/>
      <c r="NHX259" s="537"/>
      <c r="NHY259" s="537"/>
      <c r="NHZ259" s="537"/>
      <c r="NIA259" s="537"/>
      <c r="NIB259" s="537"/>
      <c r="NIC259" s="537"/>
      <c r="NID259" s="537"/>
      <c r="NIE259" s="537"/>
      <c r="NIF259" s="537"/>
      <c r="NIG259" s="537"/>
      <c r="NIH259" s="537"/>
      <c r="NII259" s="537"/>
      <c r="NIJ259" s="537"/>
      <c r="NIK259" s="537"/>
      <c r="NIL259" s="537"/>
      <c r="NIM259" s="537"/>
      <c r="NIN259" s="537"/>
      <c r="NIO259" s="537"/>
      <c r="NIP259" s="537"/>
      <c r="NIQ259" s="537"/>
      <c r="NIR259" s="537"/>
      <c r="NIS259" s="537"/>
      <c r="NIT259" s="537"/>
      <c r="NIU259" s="537"/>
      <c r="NIV259" s="537"/>
      <c r="NIW259" s="537"/>
      <c r="NIX259" s="537"/>
      <c r="NIY259" s="537"/>
      <c r="NIZ259" s="537"/>
      <c r="NJA259" s="537"/>
      <c r="NJB259" s="537"/>
      <c r="NJC259" s="537"/>
      <c r="NJD259" s="537"/>
      <c r="NJE259" s="537"/>
      <c r="NJF259" s="537"/>
      <c r="NJG259" s="537"/>
      <c r="NJH259" s="537"/>
      <c r="NJI259" s="537"/>
      <c r="NJJ259" s="537"/>
      <c r="NJK259" s="537"/>
      <c r="NJL259" s="537"/>
      <c r="NJM259" s="537"/>
      <c r="NJN259" s="537"/>
      <c r="NJO259" s="537"/>
      <c r="NJP259" s="537"/>
      <c r="NJQ259" s="537"/>
      <c r="NJR259" s="537"/>
      <c r="NJS259" s="537"/>
      <c r="NJT259" s="537"/>
      <c r="NJU259" s="537"/>
      <c r="NJV259" s="537"/>
      <c r="NJW259" s="537"/>
      <c r="NJX259" s="537"/>
      <c r="NJY259" s="537"/>
      <c r="NJZ259" s="537"/>
      <c r="NKA259" s="537"/>
      <c r="NKB259" s="537"/>
      <c r="NKC259" s="537"/>
      <c r="NKD259" s="537"/>
      <c r="NKE259" s="537"/>
      <c r="NKF259" s="537"/>
      <c r="NKG259" s="537"/>
      <c r="NKH259" s="537"/>
      <c r="NKI259" s="537"/>
      <c r="NKJ259" s="537"/>
      <c r="NKK259" s="537"/>
      <c r="NKL259" s="537"/>
      <c r="NKM259" s="537"/>
      <c r="NKN259" s="537"/>
      <c r="NKO259" s="537"/>
      <c r="NKP259" s="537"/>
      <c r="NKQ259" s="537"/>
      <c r="NKR259" s="537"/>
      <c r="NKS259" s="537"/>
      <c r="NKT259" s="537"/>
      <c r="NKU259" s="537"/>
      <c r="NKV259" s="537"/>
      <c r="NKW259" s="537"/>
      <c r="NKX259" s="537"/>
      <c r="NKY259" s="537"/>
      <c r="NKZ259" s="537"/>
      <c r="NLA259" s="537"/>
      <c r="NLB259" s="537"/>
      <c r="NLC259" s="537"/>
      <c r="NLD259" s="537"/>
      <c r="NLE259" s="537"/>
      <c r="NLF259" s="537"/>
      <c r="NLG259" s="537"/>
      <c r="NLH259" s="537"/>
      <c r="NLI259" s="537"/>
      <c r="NLJ259" s="537"/>
      <c r="NLK259" s="537"/>
      <c r="NLL259" s="537"/>
      <c r="NLM259" s="537"/>
      <c r="NLN259" s="537"/>
      <c r="NLO259" s="537"/>
      <c r="NLP259" s="537"/>
      <c r="NLQ259" s="537"/>
      <c r="NLR259" s="537"/>
      <c r="NLS259" s="537"/>
      <c r="NLT259" s="537"/>
      <c r="NLU259" s="537"/>
      <c r="NLV259" s="537"/>
      <c r="NLW259" s="537"/>
      <c r="NLX259" s="537"/>
      <c r="NLY259" s="537"/>
      <c r="NLZ259" s="537"/>
      <c r="NMA259" s="537"/>
      <c r="NMB259" s="537"/>
      <c r="NMC259" s="537"/>
      <c r="NMD259" s="537"/>
      <c r="NME259" s="537"/>
      <c r="NMF259" s="537"/>
      <c r="NMG259" s="537"/>
      <c r="NMH259" s="537"/>
      <c r="NMI259" s="537"/>
      <c r="NMJ259" s="537"/>
      <c r="NMK259" s="537"/>
      <c r="NML259" s="537"/>
      <c r="NMM259" s="537"/>
      <c r="NMN259" s="537"/>
      <c r="NMO259" s="537"/>
      <c r="NMP259" s="537"/>
      <c r="NMQ259" s="537"/>
      <c r="NMR259" s="537"/>
      <c r="NMS259" s="537"/>
      <c r="NMT259" s="537"/>
      <c r="NMU259" s="537"/>
      <c r="NMV259" s="537"/>
      <c r="NMW259" s="537"/>
      <c r="NMX259" s="537"/>
      <c r="NMY259" s="537"/>
      <c r="NMZ259" s="537"/>
      <c r="NNA259" s="537"/>
      <c r="NNB259" s="537"/>
      <c r="NNC259" s="537"/>
      <c r="NND259" s="537"/>
      <c r="NNE259" s="537"/>
      <c r="NNF259" s="537"/>
      <c r="NNG259" s="537"/>
      <c r="NNH259" s="537"/>
      <c r="NNI259" s="537"/>
      <c r="NNJ259" s="537"/>
      <c r="NNK259" s="537"/>
      <c r="NNL259" s="537"/>
      <c r="NNM259" s="537"/>
      <c r="NNN259" s="537"/>
      <c r="NNO259" s="537"/>
      <c r="NNP259" s="537"/>
      <c r="NNQ259" s="537"/>
      <c r="NNR259" s="537"/>
      <c r="NNS259" s="537"/>
      <c r="NNT259" s="537"/>
      <c r="NNU259" s="537"/>
      <c r="NNV259" s="537"/>
      <c r="NNW259" s="537"/>
      <c r="NNX259" s="537"/>
      <c r="NNY259" s="537"/>
      <c r="NNZ259" s="537"/>
      <c r="NOA259" s="537"/>
      <c r="NOB259" s="537"/>
      <c r="NOC259" s="537"/>
      <c r="NOD259" s="537"/>
      <c r="NOE259" s="537"/>
      <c r="NOF259" s="537"/>
      <c r="NOG259" s="537"/>
      <c r="NOH259" s="537"/>
      <c r="NOI259" s="537"/>
      <c r="NOJ259" s="537"/>
      <c r="NOK259" s="537"/>
      <c r="NOL259" s="537"/>
      <c r="NOM259" s="537"/>
      <c r="NON259" s="537"/>
      <c r="NOO259" s="537"/>
      <c r="NOP259" s="537"/>
      <c r="NOQ259" s="537"/>
      <c r="NOR259" s="537"/>
      <c r="NOS259" s="537"/>
      <c r="NOT259" s="537"/>
      <c r="NOU259" s="537"/>
      <c r="NOV259" s="537"/>
      <c r="NOW259" s="537"/>
      <c r="NOX259" s="537"/>
      <c r="NOY259" s="537"/>
      <c r="NOZ259" s="537"/>
      <c r="NPA259" s="537"/>
      <c r="NPB259" s="537"/>
      <c r="NPC259" s="537"/>
      <c r="NPD259" s="537"/>
      <c r="NPE259" s="537"/>
      <c r="NPF259" s="537"/>
      <c r="NPG259" s="537"/>
      <c r="NPH259" s="537"/>
      <c r="NPI259" s="537"/>
      <c r="NPJ259" s="537"/>
      <c r="NPK259" s="537"/>
      <c r="NPL259" s="537"/>
      <c r="NPM259" s="537"/>
      <c r="NPN259" s="537"/>
      <c r="NPO259" s="537"/>
      <c r="NPP259" s="537"/>
      <c r="NPQ259" s="537"/>
      <c r="NPR259" s="537"/>
      <c r="NPS259" s="537"/>
      <c r="NPT259" s="537"/>
      <c r="NPU259" s="537"/>
      <c r="NPV259" s="537"/>
      <c r="NPW259" s="537"/>
      <c r="NPX259" s="537"/>
      <c r="NPY259" s="537"/>
      <c r="NPZ259" s="537"/>
      <c r="NQA259" s="537"/>
      <c r="NQB259" s="537"/>
      <c r="NQC259" s="537"/>
      <c r="NQD259" s="537"/>
      <c r="NQE259" s="537"/>
      <c r="NQF259" s="537"/>
      <c r="NQG259" s="537"/>
      <c r="NQH259" s="537"/>
      <c r="NQI259" s="537"/>
      <c r="NQJ259" s="537"/>
      <c r="NQK259" s="537"/>
      <c r="NQL259" s="537"/>
      <c r="NQM259" s="537"/>
      <c r="NQN259" s="537"/>
      <c r="NQO259" s="537"/>
      <c r="NQP259" s="537"/>
      <c r="NQQ259" s="537"/>
      <c r="NQR259" s="537"/>
      <c r="NQS259" s="537"/>
      <c r="NQT259" s="537"/>
      <c r="NQU259" s="537"/>
      <c r="NQV259" s="537"/>
      <c r="NQW259" s="537"/>
      <c r="NQX259" s="537"/>
      <c r="NQY259" s="537"/>
      <c r="NQZ259" s="537"/>
      <c r="NRA259" s="537"/>
      <c r="NRB259" s="537"/>
      <c r="NRC259" s="537"/>
      <c r="NRD259" s="537"/>
      <c r="NRE259" s="537"/>
      <c r="NRF259" s="537"/>
      <c r="NRG259" s="537"/>
      <c r="NRH259" s="537"/>
      <c r="NRI259" s="537"/>
      <c r="NRJ259" s="537"/>
      <c r="NRK259" s="537"/>
      <c r="NRL259" s="537"/>
      <c r="NRM259" s="537"/>
      <c r="NRN259" s="537"/>
      <c r="NRO259" s="537"/>
      <c r="NRP259" s="537"/>
      <c r="NRQ259" s="537"/>
      <c r="NRR259" s="537"/>
      <c r="NRS259" s="537"/>
      <c r="NRT259" s="537"/>
      <c r="NRU259" s="537"/>
      <c r="NRV259" s="537"/>
      <c r="NRW259" s="537"/>
      <c r="NRX259" s="537"/>
      <c r="NRY259" s="537"/>
      <c r="NRZ259" s="537"/>
      <c r="NSA259" s="537"/>
      <c r="NSB259" s="537"/>
      <c r="NSC259" s="537"/>
      <c r="NSD259" s="537"/>
      <c r="NSE259" s="537"/>
      <c r="NSF259" s="537"/>
      <c r="NSG259" s="537"/>
      <c r="NSH259" s="537"/>
      <c r="NSI259" s="537"/>
      <c r="NSJ259" s="537"/>
      <c r="NSK259" s="537"/>
      <c r="NSL259" s="537"/>
      <c r="NSM259" s="537"/>
      <c r="NSN259" s="537"/>
      <c r="NSO259" s="537"/>
      <c r="NSP259" s="537"/>
      <c r="NSQ259" s="537"/>
      <c r="NSR259" s="537"/>
      <c r="NSS259" s="537"/>
      <c r="NST259" s="537"/>
      <c r="NSU259" s="537"/>
      <c r="NSV259" s="537"/>
      <c r="NSW259" s="537"/>
      <c r="NSX259" s="537"/>
      <c r="NSY259" s="537"/>
      <c r="NSZ259" s="537"/>
      <c r="NTA259" s="537"/>
      <c r="NTB259" s="537"/>
      <c r="NTC259" s="537"/>
      <c r="NTD259" s="537"/>
      <c r="NTE259" s="537"/>
      <c r="NTF259" s="537"/>
      <c r="NTG259" s="537"/>
      <c r="NTH259" s="537"/>
      <c r="NTI259" s="537"/>
      <c r="NTJ259" s="537"/>
      <c r="NTK259" s="537"/>
      <c r="NTL259" s="537"/>
      <c r="NTM259" s="537"/>
      <c r="NTN259" s="537"/>
      <c r="NTO259" s="537"/>
      <c r="NTP259" s="537"/>
      <c r="NTQ259" s="537"/>
      <c r="NTR259" s="537"/>
      <c r="NTS259" s="537"/>
      <c r="NTT259" s="537"/>
      <c r="NTU259" s="537"/>
      <c r="NTV259" s="537"/>
      <c r="NTW259" s="537"/>
      <c r="NTX259" s="537"/>
      <c r="NTY259" s="537"/>
      <c r="NTZ259" s="537"/>
      <c r="NUA259" s="537"/>
      <c r="NUB259" s="537"/>
      <c r="NUC259" s="537"/>
      <c r="NUD259" s="537"/>
      <c r="NUE259" s="537"/>
      <c r="NUF259" s="537"/>
      <c r="NUG259" s="537"/>
      <c r="NUH259" s="537"/>
      <c r="NUI259" s="537"/>
      <c r="NUJ259" s="537"/>
      <c r="NUK259" s="537"/>
      <c r="NUL259" s="537"/>
      <c r="NUM259" s="537"/>
      <c r="NUN259" s="537"/>
      <c r="NUO259" s="537"/>
      <c r="NUP259" s="537"/>
      <c r="NUQ259" s="537"/>
      <c r="NUR259" s="537"/>
      <c r="NUS259" s="537"/>
      <c r="NUT259" s="537"/>
      <c r="NUU259" s="537"/>
      <c r="NUV259" s="537"/>
      <c r="NUW259" s="537"/>
      <c r="NUX259" s="537"/>
      <c r="NUY259" s="537"/>
      <c r="NUZ259" s="537"/>
      <c r="NVA259" s="537"/>
      <c r="NVB259" s="537"/>
      <c r="NVC259" s="537"/>
      <c r="NVD259" s="537"/>
      <c r="NVE259" s="537"/>
      <c r="NVF259" s="537"/>
      <c r="NVG259" s="537"/>
      <c r="NVH259" s="537"/>
      <c r="NVI259" s="537"/>
      <c r="NVJ259" s="537"/>
      <c r="NVK259" s="537"/>
      <c r="NVL259" s="537"/>
      <c r="NVM259" s="537"/>
      <c r="NVN259" s="537"/>
      <c r="NVO259" s="537"/>
      <c r="NVP259" s="537"/>
      <c r="NVQ259" s="537"/>
      <c r="NVR259" s="537"/>
      <c r="NVS259" s="537"/>
      <c r="NVT259" s="537"/>
      <c r="NVU259" s="537"/>
      <c r="NVV259" s="537"/>
      <c r="NVW259" s="537"/>
      <c r="NVX259" s="537"/>
      <c r="NVY259" s="537"/>
      <c r="NVZ259" s="537"/>
      <c r="NWA259" s="537"/>
      <c r="NWB259" s="537"/>
      <c r="NWC259" s="537"/>
      <c r="NWD259" s="537"/>
      <c r="NWE259" s="537"/>
      <c r="NWF259" s="537"/>
      <c r="NWG259" s="537"/>
      <c r="NWH259" s="537"/>
      <c r="NWI259" s="537"/>
      <c r="NWJ259" s="537"/>
      <c r="NWK259" s="537"/>
      <c r="NWL259" s="537"/>
      <c r="NWM259" s="537"/>
      <c r="NWN259" s="537"/>
      <c r="NWO259" s="537"/>
      <c r="NWP259" s="537"/>
      <c r="NWQ259" s="537"/>
      <c r="NWR259" s="537"/>
      <c r="NWS259" s="537"/>
      <c r="NWT259" s="537"/>
      <c r="NWU259" s="537"/>
      <c r="NWV259" s="537"/>
      <c r="NWW259" s="537"/>
      <c r="NWX259" s="537"/>
      <c r="NWY259" s="537"/>
      <c r="NWZ259" s="537"/>
      <c r="NXA259" s="537"/>
      <c r="NXB259" s="537"/>
      <c r="NXC259" s="537"/>
      <c r="NXD259" s="537"/>
      <c r="NXE259" s="537"/>
      <c r="NXF259" s="537"/>
      <c r="NXG259" s="537"/>
      <c r="NXH259" s="537"/>
      <c r="NXI259" s="537"/>
      <c r="NXJ259" s="537"/>
      <c r="NXK259" s="537"/>
      <c r="NXL259" s="537"/>
      <c r="NXM259" s="537"/>
      <c r="NXN259" s="537"/>
      <c r="NXO259" s="537"/>
      <c r="NXP259" s="537"/>
      <c r="NXQ259" s="537"/>
      <c r="NXR259" s="537"/>
      <c r="NXS259" s="537"/>
      <c r="NXT259" s="537"/>
      <c r="NXU259" s="537"/>
      <c r="NXV259" s="537"/>
      <c r="NXW259" s="537"/>
      <c r="NXX259" s="537"/>
      <c r="NXY259" s="537"/>
      <c r="NXZ259" s="537"/>
      <c r="NYA259" s="537"/>
      <c r="NYB259" s="537"/>
      <c r="NYC259" s="537"/>
      <c r="NYD259" s="537"/>
      <c r="NYE259" s="537"/>
      <c r="NYF259" s="537"/>
      <c r="NYG259" s="537"/>
      <c r="NYH259" s="537"/>
      <c r="NYI259" s="537"/>
      <c r="NYJ259" s="537"/>
      <c r="NYK259" s="537"/>
      <c r="NYL259" s="537"/>
      <c r="NYM259" s="537"/>
      <c r="NYN259" s="537"/>
      <c r="NYO259" s="537"/>
      <c r="NYP259" s="537"/>
      <c r="NYQ259" s="537"/>
      <c r="NYR259" s="537"/>
      <c r="NYS259" s="537"/>
      <c r="NYT259" s="537"/>
      <c r="NYU259" s="537"/>
      <c r="NYV259" s="537"/>
      <c r="NYW259" s="537"/>
      <c r="NYX259" s="537"/>
      <c r="NYY259" s="537"/>
      <c r="NYZ259" s="537"/>
      <c r="NZA259" s="537"/>
      <c r="NZB259" s="537"/>
      <c r="NZC259" s="537"/>
      <c r="NZD259" s="537"/>
      <c r="NZE259" s="537"/>
      <c r="NZF259" s="537"/>
      <c r="NZG259" s="537"/>
      <c r="NZH259" s="537"/>
      <c r="NZI259" s="537"/>
      <c r="NZJ259" s="537"/>
      <c r="NZK259" s="537"/>
      <c r="NZL259" s="537"/>
      <c r="NZM259" s="537"/>
      <c r="NZN259" s="537"/>
      <c r="NZO259" s="537"/>
      <c r="NZP259" s="537"/>
      <c r="NZQ259" s="537"/>
      <c r="NZR259" s="537"/>
      <c r="NZS259" s="537"/>
      <c r="NZT259" s="537"/>
      <c r="NZU259" s="537"/>
      <c r="NZV259" s="537"/>
      <c r="NZW259" s="537"/>
      <c r="NZX259" s="537"/>
      <c r="NZY259" s="537"/>
      <c r="NZZ259" s="537"/>
      <c r="OAA259" s="537"/>
      <c r="OAB259" s="537"/>
      <c r="OAC259" s="537"/>
      <c r="OAD259" s="537"/>
      <c r="OAE259" s="537"/>
      <c r="OAF259" s="537"/>
      <c r="OAG259" s="537"/>
      <c r="OAH259" s="537"/>
      <c r="OAI259" s="537"/>
      <c r="OAJ259" s="537"/>
      <c r="OAK259" s="537"/>
      <c r="OAL259" s="537"/>
      <c r="OAM259" s="537"/>
      <c r="OAN259" s="537"/>
      <c r="OAO259" s="537"/>
      <c r="OAP259" s="537"/>
      <c r="OAQ259" s="537"/>
      <c r="OAR259" s="537"/>
      <c r="OAS259" s="537"/>
      <c r="OAT259" s="537"/>
      <c r="OAU259" s="537"/>
      <c r="OAV259" s="537"/>
      <c r="OAW259" s="537"/>
      <c r="OAX259" s="537"/>
      <c r="OAY259" s="537"/>
      <c r="OAZ259" s="537"/>
      <c r="OBA259" s="537"/>
      <c r="OBB259" s="537"/>
      <c r="OBC259" s="537"/>
      <c r="OBD259" s="537"/>
      <c r="OBE259" s="537"/>
      <c r="OBF259" s="537"/>
      <c r="OBG259" s="537"/>
      <c r="OBH259" s="537"/>
      <c r="OBI259" s="537"/>
      <c r="OBJ259" s="537"/>
      <c r="OBK259" s="537"/>
      <c r="OBL259" s="537"/>
      <c r="OBM259" s="537"/>
      <c r="OBN259" s="537"/>
      <c r="OBO259" s="537"/>
      <c r="OBP259" s="537"/>
      <c r="OBQ259" s="537"/>
      <c r="OBR259" s="537"/>
      <c r="OBS259" s="537"/>
      <c r="OBT259" s="537"/>
      <c r="OBU259" s="537"/>
      <c r="OBV259" s="537"/>
      <c r="OBW259" s="537"/>
      <c r="OBX259" s="537"/>
      <c r="OBY259" s="537"/>
      <c r="OBZ259" s="537"/>
      <c r="OCA259" s="537"/>
      <c r="OCB259" s="537"/>
      <c r="OCC259" s="537"/>
      <c r="OCD259" s="537"/>
      <c r="OCE259" s="537"/>
      <c r="OCF259" s="537"/>
      <c r="OCG259" s="537"/>
      <c r="OCH259" s="537"/>
      <c r="OCI259" s="537"/>
      <c r="OCJ259" s="537"/>
      <c r="OCK259" s="537"/>
      <c r="OCL259" s="537"/>
      <c r="OCM259" s="537"/>
      <c r="OCN259" s="537"/>
      <c r="OCO259" s="537"/>
      <c r="OCP259" s="537"/>
      <c r="OCQ259" s="537"/>
      <c r="OCR259" s="537"/>
      <c r="OCS259" s="537"/>
      <c r="OCT259" s="537"/>
      <c r="OCU259" s="537"/>
      <c r="OCV259" s="537"/>
      <c r="OCW259" s="537"/>
      <c r="OCX259" s="537"/>
      <c r="OCY259" s="537"/>
      <c r="OCZ259" s="537"/>
      <c r="ODA259" s="537"/>
      <c r="ODB259" s="537"/>
      <c r="ODC259" s="537"/>
      <c r="ODD259" s="537"/>
      <c r="ODE259" s="537"/>
      <c r="ODF259" s="537"/>
      <c r="ODG259" s="537"/>
      <c r="ODH259" s="537"/>
      <c r="ODI259" s="537"/>
      <c r="ODJ259" s="537"/>
      <c r="ODK259" s="537"/>
      <c r="ODL259" s="537"/>
      <c r="ODM259" s="537"/>
      <c r="ODN259" s="537"/>
      <c r="ODO259" s="537"/>
      <c r="ODP259" s="537"/>
      <c r="ODQ259" s="537"/>
      <c r="ODR259" s="537"/>
      <c r="ODS259" s="537"/>
      <c r="ODT259" s="537"/>
      <c r="ODU259" s="537"/>
      <c r="ODV259" s="537"/>
      <c r="ODW259" s="537"/>
      <c r="ODX259" s="537"/>
      <c r="ODY259" s="537"/>
      <c r="ODZ259" s="537"/>
      <c r="OEA259" s="537"/>
      <c r="OEB259" s="537"/>
      <c r="OEC259" s="537"/>
      <c r="OED259" s="537"/>
      <c r="OEE259" s="537"/>
      <c r="OEF259" s="537"/>
      <c r="OEG259" s="537"/>
      <c r="OEH259" s="537"/>
      <c r="OEI259" s="537"/>
      <c r="OEJ259" s="537"/>
      <c r="OEK259" s="537"/>
      <c r="OEL259" s="537"/>
      <c r="OEM259" s="537"/>
      <c r="OEN259" s="537"/>
      <c r="OEO259" s="537"/>
      <c r="OEP259" s="537"/>
      <c r="OEQ259" s="537"/>
      <c r="OER259" s="537"/>
      <c r="OES259" s="537"/>
      <c r="OET259" s="537"/>
      <c r="OEU259" s="537"/>
      <c r="OEV259" s="537"/>
      <c r="OEW259" s="537"/>
      <c r="OEX259" s="537"/>
      <c r="OEY259" s="537"/>
      <c r="OEZ259" s="537"/>
      <c r="OFA259" s="537"/>
      <c r="OFB259" s="537"/>
      <c r="OFC259" s="537"/>
      <c r="OFD259" s="537"/>
      <c r="OFE259" s="537"/>
      <c r="OFF259" s="537"/>
      <c r="OFG259" s="537"/>
      <c r="OFH259" s="537"/>
      <c r="OFI259" s="537"/>
      <c r="OFJ259" s="537"/>
      <c r="OFK259" s="537"/>
      <c r="OFL259" s="537"/>
      <c r="OFM259" s="537"/>
      <c r="OFN259" s="537"/>
      <c r="OFO259" s="537"/>
      <c r="OFP259" s="537"/>
      <c r="OFQ259" s="537"/>
      <c r="OFR259" s="537"/>
      <c r="OFS259" s="537"/>
      <c r="OFT259" s="537"/>
      <c r="OFU259" s="537"/>
      <c r="OFV259" s="537"/>
      <c r="OFW259" s="537"/>
      <c r="OFX259" s="537"/>
      <c r="OFY259" s="537"/>
      <c r="OFZ259" s="537"/>
      <c r="OGA259" s="537"/>
      <c r="OGB259" s="537"/>
      <c r="OGC259" s="537"/>
      <c r="OGD259" s="537"/>
      <c r="OGE259" s="537"/>
      <c r="OGF259" s="537"/>
      <c r="OGG259" s="537"/>
      <c r="OGH259" s="537"/>
      <c r="OGI259" s="537"/>
      <c r="OGJ259" s="537"/>
      <c r="OGK259" s="537"/>
      <c r="OGL259" s="537"/>
      <c r="OGM259" s="537"/>
      <c r="OGN259" s="537"/>
      <c r="OGO259" s="537"/>
      <c r="OGP259" s="537"/>
      <c r="OGQ259" s="537"/>
      <c r="OGR259" s="537"/>
      <c r="OGS259" s="537"/>
      <c r="OGT259" s="537"/>
      <c r="OGU259" s="537"/>
      <c r="OGV259" s="537"/>
      <c r="OGW259" s="537"/>
      <c r="OGX259" s="537"/>
      <c r="OGY259" s="537"/>
      <c r="OGZ259" s="537"/>
      <c r="OHA259" s="537"/>
      <c r="OHB259" s="537"/>
      <c r="OHC259" s="537"/>
      <c r="OHD259" s="537"/>
      <c r="OHE259" s="537"/>
      <c r="OHF259" s="537"/>
      <c r="OHG259" s="537"/>
      <c r="OHH259" s="537"/>
      <c r="OHI259" s="537"/>
      <c r="OHJ259" s="537"/>
      <c r="OHK259" s="537"/>
      <c r="OHL259" s="537"/>
      <c r="OHM259" s="537"/>
      <c r="OHN259" s="537"/>
      <c r="OHO259" s="537"/>
      <c r="OHP259" s="537"/>
      <c r="OHQ259" s="537"/>
      <c r="OHR259" s="537"/>
      <c r="OHS259" s="537"/>
      <c r="OHT259" s="537"/>
      <c r="OHU259" s="537"/>
      <c r="OHV259" s="537"/>
      <c r="OHW259" s="537"/>
      <c r="OHX259" s="537"/>
      <c r="OHY259" s="537"/>
      <c r="OHZ259" s="537"/>
      <c r="OIA259" s="537"/>
      <c r="OIB259" s="537"/>
      <c r="OIC259" s="537"/>
      <c r="OID259" s="537"/>
      <c r="OIE259" s="537"/>
      <c r="OIF259" s="537"/>
      <c r="OIG259" s="537"/>
      <c r="OIH259" s="537"/>
      <c r="OII259" s="537"/>
      <c r="OIJ259" s="537"/>
      <c r="OIK259" s="537"/>
      <c r="OIL259" s="537"/>
      <c r="OIM259" s="537"/>
      <c r="OIN259" s="537"/>
      <c r="OIO259" s="537"/>
      <c r="OIP259" s="537"/>
      <c r="OIQ259" s="537"/>
      <c r="OIR259" s="537"/>
      <c r="OIS259" s="537"/>
      <c r="OIT259" s="537"/>
      <c r="OIU259" s="537"/>
      <c r="OIV259" s="537"/>
      <c r="OIW259" s="537"/>
      <c r="OIX259" s="537"/>
      <c r="OIY259" s="537"/>
      <c r="OIZ259" s="537"/>
      <c r="OJA259" s="537"/>
      <c r="OJB259" s="537"/>
      <c r="OJC259" s="537"/>
      <c r="OJD259" s="537"/>
      <c r="OJE259" s="537"/>
      <c r="OJF259" s="537"/>
      <c r="OJG259" s="537"/>
      <c r="OJH259" s="537"/>
      <c r="OJI259" s="537"/>
      <c r="OJJ259" s="537"/>
      <c r="OJK259" s="537"/>
      <c r="OJL259" s="537"/>
      <c r="OJM259" s="537"/>
      <c r="OJN259" s="537"/>
      <c r="OJO259" s="537"/>
      <c r="OJP259" s="537"/>
      <c r="OJQ259" s="537"/>
      <c r="OJR259" s="537"/>
      <c r="OJS259" s="537"/>
      <c r="OJT259" s="537"/>
      <c r="OJU259" s="537"/>
      <c r="OJV259" s="537"/>
      <c r="OJW259" s="537"/>
      <c r="OJX259" s="537"/>
      <c r="OJY259" s="537"/>
      <c r="OJZ259" s="537"/>
      <c r="OKA259" s="537"/>
      <c r="OKB259" s="537"/>
      <c r="OKC259" s="537"/>
      <c r="OKD259" s="537"/>
      <c r="OKE259" s="537"/>
      <c r="OKF259" s="537"/>
      <c r="OKG259" s="537"/>
      <c r="OKH259" s="537"/>
      <c r="OKI259" s="537"/>
      <c r="OKJ259" s="537"/>
      <c r="OKK259" s="537"/>
      <c r="OKL259" s="537"/>
      <c r="OKM259" s="537"/>
      <c r="OKN259" s="537"/>
      <c r="OKO259" s="537"/>
      <c r="OKP259" s="537"/>
      <c r="OKQ259" s="537"/>
      <c r="OKR259" s="537"/>
      <c r="OKS259" s="537"/>
      <c r="OKT259" s="537"/>
      <c r="OKU259" s="537"/>
      <c r="OKV259" s="537"/>
      <c r="OKW259" s="537"/>
      <c r="OKX259" s="537"/>
      <c r="OKY259" s="537"/>
      <c r="OKZ259" s="537"/>
      <c r="OLA259" s="537"/>
      <c r="OLB259" s="537"/>
      <c r="OLC259" s="537"/>
      <c r="OLD259" s="537"/>
      <c r="OLE259" s="537"/>
      <c r="OLF259" s="537"/>
      <c r="OLG259" s="537"/>
      <c r="OLH259" s="537"/>
      <c r="OLI259" s="537"/>
      <c r="OLJ259" s="537"/>
      <c r="OLK259" s="537"/>
      <c r="OLL259" s="537"/>
      <c r="OLM259" s="537"/>
      <c r="OLN259" s="537"/>
      <c r="OLO259" s="537"/>
      <c r="OLP259" s="537"/>
      <c r="OLQ259" s="537"/>
      <c r="OLR259" s="537"/>
      <c r="OLS259" s="537"/>
      <c r="OLT259" s="537"/>
      <c r="OLU259" s="537"/>
      <c r="OLV259" s="537"/>
      <c r="OLW259" s="537"/>
      <c r="OLX259" s="537"/>
      <c r="OLY259" s="537"/>
      <c r="OLZ259" s="537"/>
      <c r="OMA259" s="537"/>
      <c r="OMB259" s="537"/>
      <c r="OMC259" s="537"/>
      <c r="OMD259" s="537"/>
      <c r="OME259" s="537"/>
      <c r="OMF259" s="537"/>
      <c r="OMG259" s="537"/>
      <c r="OMH259" s="537"/>
      <c r="OMI259" s="537"/>
      <c r="OMJ259" s="537"/>
      <c r="OMK259" s="537"/>
      <c r="OML259" s="537"/>
      <c r="OMM259" s="537"/>
      <c r="OMN259" s="537"/>
      <c r="OMO259" s="537"/>
      <c r="OMP259" s="537"/>
      <c r="OMQ259" s="537"/>
      <c r="OMR259" s="537"/>
      <c r="OMS259" s="537"/>
      <c r="OMT259" s="537"/>
      <c r="OMU259" s="537"/>
      <c r="OMV259" s="537"/>
      <c r="OMW259" s="537"/>
      <c r="OMX259" s="537"/>
      <c r="OMY259" s="537"/>
      <c r="OMZ259" s="537"/>
      <c r="ONA259" s="537"/>
      <c r="ONB259" s="537"/>
      <c r="ONC259" s="537"/>
      <c r="OND259" s="537"/>
      <c r="ONE259" s="537"/>
      <c r="ONF259" s="537"/>
      <c r="ONG259" s="537"/>
      <c r="ONH259" s="537"/>
      <c r="ONI259" s="537"/>
      <c r="ONJ259" s="537"/>
      <c r="ONK259" s="537"/>
      <c r="ONL259" s="537"/>
      <c r="ONM259" s="537"/>
      <c r="ONN259" s="537"/>
      <c r="ONO259" s="537"/>
      <c r="ONP259" s="537"/>
      <c r="ONQ259" s="537"/>
      <c r="ONR259" s="537"/>
      <c r="ONS259" s="537"/>
      <c r="ONT259" s="537"/>
      <c r="ONU259" s="537"/>
      <c r="ONV259" s="537"/>
      <c r="ONW259" s="537"/>
      <c r="ONX259" s="537"/>
      <c r="ONY259" s="537"/>
      <c r="ONZ259" s="537"/>
      <c r="OOA259" s="537"/>
      <c r="OOB259" s="537"/>
      <c r="OOC259" s="537"/>
      <c r="OOD259" s="537"/>
      <c r="OOE259" s="537"/>
      <c r="OOF259" s="537"/>
      <c r="OOG259" s="537"/>
      <c r="OOH259" s="537"/>
      <c r="OOI259" s="537"/>
      <c r="OOJ259" s="537"/>
      <c r="OOK259" s="537"/>
      <c r="OOL259" s="537"/>
      <c r="OOM259" s="537"/>
      <c r="OON259" s="537"/>
      <c r="OOO259" s="537"/>
      <c r="OOP259" s="537"/>
      <c r="OOQ259" s="537"/>
      <c r="OOR259" s="537"/>
      <c r="OOS259" s="537"/>
      <c r="OOT259" s="537"/>
      <c r="OOU259" s="537"/>
      <c r="OOV259" s="537"/>
      <c r="OOW259" s="537"/>
      <c r="OOX259" s="537"/>
      <c r="OOY259" s="537"/>
      <c r="OOZ259" s="537"/>
      <c r="OPA259" s="537"/>
      <c r="OPB259" s="537"/>
      <c r="OPC259" s="537"/>
      <c r="OPD259" s="537"/>
      <c r="OPE259" s="537"/>
      <c r="OPF259" s="537"/>
      <c r="OPG259" s="537"/>
      <c r="OPH259" s="537"/>
      <c r="OPI259" s="537"/>
      <c r="OPJ259" s="537"/>
      <c r="OPK259" s="537"/>
      <c r="OPL259" s="537"/>
      <c r="OPM259" s="537"/>
      <c r="OPN259" s="537"/>
      <c r="OPO259" s="537"/>
      <c r="OPP259" s="537"/>
      <c r="OPQ259" s="537"/>
      <c r="OPR259" s="537"/>
      <c r="OPS259" s="537"/>
      <c r="OPT259" s="537"/>
      <c r="OPU259" s="537"/>
      <c r="OPV259" s="537"/>
      <c r="OPW259" s="537"/>
      <c r="OPX259" s="537"/>
      <c r="OPY259" s="537"/>
      <c r="OPZ259" s="537"/>
      <c r="OQA259" s="537"/>
      <c r="OQB259" s="537"/>
      <c r="OQC259" s="537"/>
      <c r="OQD259" s="537"/>
      <c r="OQE259" s="537"/>
      <c r="OQF259" s="537"/>
      <c r="OQG259" s="537"/>
      <c r="OQH259" s="537"/>
      <c r="OQI259" s="537"/>
      <c r="OQJ259" s="537"/>
      <c r="OQK259" s="537"/>
      <c r="OQL259" s="537"/>
      <c r="OQM259" s="537"/>
      <c r="OQN259" s="537"/>
      <c r="OQO259" s="537"/>
      <c r="OQP259" s="537"/>
      <c r="OQQ259" s="537"/>
      <c r="OQR259" s="537"/>
      <c r="OQS259" s="537"/>
      <c r="OQT259" s="537"/>
      <c r="OQU259" s="537"/>
      <c r="OQV259" s="537"/>
      <c r="OQW259" s="537"/>
      <c r="OQX259" s="537"/>
      <c r="OQY259" s="537"/>
      <c r="OQZ259" s="537"/>
      <c r="ORA259" s="537"/>
      <c r="ORB259" s="537"/>
      <c r="ORC259" s="537"/>
      <c r="ORD259" s="537"/>
      <c r="ORE259" s="537"/>
      <c r="ORF259" s="537"/>
      <c r="ORG259" s="537"/>
      <c r="ORH259" s="537"/>
      <c r="ORI259" s="537"/>
      <c r="ORJ259" s="537"/>
      <c r="ORK259" s="537"/>
      <c r="ORL259" s="537"/>
      <c r="ORM259" s="537"/>
      <c r="ORN259" s="537"/>
      <c r="ORO259" s="537"/>
      <c r="ORP259" s="537"/>
      <c r="ORQ259" s="537"/>
      <c r="ORR259" s="537"/>
      <c r="ORS259" s="537"/>
      <c r="ORT259" s="537"/>
      <c r="ORU259" s="537"/>
      <c r="ORV259" s="537"/>
      <c r="ORW259" s="537"/>
      <c r="ORX259" s="537"/>
      <c r="ORY259" s="537"/>
      <c r="ORZ259" s="537"/>
      <c r="OSA259" s="537"/>
      <c r="OSB259" s="537"/>
      <c r="OSC259" s="537"/>
      <c r="OSD259" s="537"/>
      <c r="OSE259" s="537"/>
      <c r="OSF259" s="537"/>
      <c r="OSG259" s="537"/>
      <c r="OSH259" s="537"/>
      <c r="OSI259" s="537"/>
      <c r="OSJ259" s="537"/>
      <c r="OSK259" s="537"/>
      <c r="OSL259" s="537"/>
      <c r="OSM259" s="537"/>
      <c r="OSN259" s="537"/>
      <c r="OSO259" s="537"/>
      <c r="OSP259" s="537"/>
      <c r="OSQ259" s="537"/>
      <c r="OSR259" s="537"/>
      <c r="OSS259" s="537"/>
      <c r="OST259" s="537"/>
      <c r="OSU259" s="537"/>
      <c r="OSV259" s="537"/>
      <c r="OSW259" s="537"/>
      <c r="OSX259" s="537"/>
      <c r="OSY259" s="537"/>
      <c r="OSZ259" s="537"/>
      <c r="OTA259" s="537"/>
      <c r="OTB259" s="537"/>
      <c r="OTC259" s="537"/>
      <c r="OTD259" s="537"/>
      <c r="OTE259" s="537"/>
      <c r="OTF259" s="537"/>
      <c r="OTG259" s="537"/>
      <c r="OTH259" s="537"/>
      <c r="OTI259" s="537"/>
      <c r="OTJ259" s="537"/>
      <c r="OTK259" s="537"/>
      <c r="OTL259" s="537"/>
      <c r="OTM259" s="537"/>
      <c r="OTN259" s="537"/>
      <c r="OTO259" s="537"/>
      <c r="OTP259" s="537"/>
      <c r="OTQ259" s="537"/>
      <c r="OTR259" s="537"/>
      <c r="OTS259" s="537"/>
      <c r="OTT259" s="537"/>
      <c r="OTU259" s="537"/>
      <c r="OTV259" s="537"/>
      <c r="OTW259" s="537"/>
      <c r="OTX259" s="537"/>
      <c r="OTY259" s="537"/>
      <c r="OTZ259" s="537"/>
      <c r="OUA259" s="537"/>
      <c r="OUB259" s="537"/>
      <c r="OUC259" s="537"/>
      <c r="OUD259" s="537"/>
      <c r="OUE259" s="537"/>
      <c r="OUF259" s="537"/>
      <c r="OUG259" s="537"/>
      <c r="OUH259" s="537"/>
      <c r="OUI259" s="537"/>
      <c r="OUJ259" s="537"/>
      <c r="OUK259" s="537"/>
      <c r="OUL259" s="537"/>
      <c r="OUM259" s="537"/>
      <c r="OUN259" s="537"/>
      <c r="OUO259" s="537"/>
      <c r="OUP259" s="537"/>
      <c r="OUQ259" s="537"/>
      <c r="OUR259" s="537"/>
      <c r="OUS259" s="537"/>
      <c r="OUT259" s="537"/>
      <c r="OUU259" s="537"/>
      <c r="OUV259" s="537"/>
      <c r="OUW259" s="537"/>
      <c r="OUX259" s="537"/>
      <c r="OUY259" s="537"/>
      <c r="OUZ259" s="537"/>
      <c r="OVA259" s="537"/>
      <c r="OVB259" s="537"/>
      <c r="OVC259" s="537"/>
      <c r="OVD259" s="537"/>
      <c r="OVE259" s="537"/>
      <c r="OVF259" s="537"/>
      <c r="OVG259" s="537"/>
      <c r="OVH259" s="537"/>
      <c r="OVI259" s="537"/>
      <c r="OVJ259" s="537"/>
      <c r="OVK259" s="537"/>
      <c r="OVL259" s="537"/>
      <c r="OVM259" s="537"/>
      <c r="OVN259" s="537"/>
      <c r="OVO259" s="537"/>
      <c r="OVP259" s="537"/>
      <c r="OVQ259" s="537"/>
      <c r="OVR259" s="537"/>
      <c r="OVS259" s="537"/>
      <c r="OVT259" s="537"/>
      <c r="OVU259" s="537"/>
      <c r="OVV259" s="537"/>
      <c r="OVW259" s="537"/>
      <c r="OVX259" s="537"/>
      <c r="OVY259" s="537"/>
      <c r="OVZ259" s="537"/>
      <c r="OWA259" s="537"/>
      <c r="OWB259" s="537"/>
      <c r="OWC259" s="537"/>
      <c r="OWD259" s="537"/>
      <c r="OWE259" s="537"/>
      <c r="OWF259" s="537"/>
      <c r="OWG259" s="537"/>
      <c r="OWH259" s="537"/>
      <c r="OWI259" s="537"/>
      <c r="OWJ259" s="537"/>
      <c r="OWK259" s="537"/>
      <c r="OWL259" s="537"/>
      <c r="OWM259" s="537"/>
      <c r="OWN259" s="537"/>
      <c r="OWO259" s="537"/>
      <c r="OWP259" s="537"/>
      <c r="OWQ259" s="537"/>
      <c r="OWR259" s="537"/>
      <c r="OWS259" s="537"/>
      <c r="OWT259" s="537"/>
      <c r="OWU259" s="537"/>
      <c r="OWV259" s="537"/>
      <c r="OWW259" s="537"/>
      <c r="OWX259" s="537"/>
      <c r="OWY259" s="537"/>
      <c r="OWZ259" s="537"/>
      <c r="OXA259" s="537"/>
      <c r="OXB259" s="537"/>
      <c r="OXC259" s="537"/>
      <c r="OXD259" s="537"/>
      <c r="OXE259" s="537"/>
      <c r="OXF259" s="537"/>
      <c r="OXG259" s="537"/>
      <c r="OXH259" s="537"/>
      <c r="OXI259" s="537"/>
      <c r="OXJ259" s="537"/>
      <c r="OXK259" s="537"/>
      <c r="OXL259" s="537"/>
      <c r="OXM259" s="537"/>
      <c r="OXN259" s="537"/>
      <c r="OXO259" s="537"/>
      <c r="OXP259" s="537"/>
      <c r="OXQ259" s="537"/>
      <c r="OXR259" s="537"/>
      <c r="OXS259" s="537"/>
      <c r="OXT259" s="537"/>
      <c r="OXU259" s="537"/>
      <c r="OXV259" s="537"/>
      <c r="OXW259" s="537"/>
      <c r="OXX259" s="537"/>
      <c r="OXY259" s="537"/>
      <c r="OXZ259" s="537"/>
      <c r="OYA259" s="537"/>
      <c r="OYB259" s="537"/>
      <c r="OYC259" s="537"/>
      <c r="OYD259" s="537"/>
      <c r="OYE259" s="537"/>
      <c r="OYF259" s="537"/>
      <c r="OYG259" s="537"/>
      <c r="OYH259" s="537"/>
      <c r="OYI259" s="537"/>
      <c r="OYJ259" s="537"/>
      <c r="OYK259" s="537"/>
      <c r="OYL259" s="537"/>
      <c r="OYM259" s="537"/>
      <c r="OYN259" s="537"/>
      <c r="OYO259" s="537"/>
      <c r="OYP259" s="537"/>
      <c r="OYQ259" s="537"/>
      <c r="OYR259" s="537"/>
      <c r="OYS259" s="537"/>
      <c r="OYT259" s="537"/>
      <c r="OYU259" s="537"/>
      <c r="OYV259" s="537"/>
      <c r="OYW259" s="537"/>
      <c r="OYX259" s="537"/>
      <c r="OYY259" s="537"/>
      <c r="OYZ259" s="537"/>
      <c r="OZA259" s="537"/>
      <c r="OZB259" s="537"/>
      <c r="OZC259" s="537"/>
      <c r="OZD259" s="537"/>
      <c r="OZE259" s="537"/>
      <c r="OZF259" s="537"/>
      <c r="OZG259" s="537"/>
      <c r="OZH259" s="537"/>
      <c r="OZI259" s="537"/>
      <c r="OZJ259" s="537"/>
      <c r="OZK259" s="537"/>
      <c r="OZL259" s="537"/>
      <c r="OZM259" s="537"/>
      <c r="OZN259" s="537"/>
      <c r="OZO259" s="537"/>
      <c r="OZP259" s="537"/>
      <c r="OZQ259" s="537"/>
      <c r="OZR259" s="537"/>
      <c r="OZS259" s="537"/>
      <c r="OZT259" s="537"/>
      <c r="OZU259" s="537"/>
      <c r="OZV259" s="537"/>
      <c r="OZW259" s="537"/>
      <c r="OZX259" s="537"/>
      <c r="OZY259" s="537"/>
      <c r="OZZ259" s="537"/>
      <c r="PAA259" s="537"/>
      <c r="PAB259" s="537"/>
      <c r="PAC259" s="537"/>
      <c r="PAD259" s="537"/>
      <c r="PAE259" s="537"/>
      <c r="PAF259" s="537"/>
      <c r="PAG259" s="537"/>
      <c r="PAH259" s="537"/>
      <c r="PAI259" s="537"/>
      <c r="PAJ259" s="537"/>
      <c r="PAK259" s="537"/>
      <c r="PAL259" s="537"/>
      <c r="PAM259" s="537"/>
      <c r="PAN259" s="537"/>
      <c r="PAO259" s="537"/>
      <c r="PAP259" s="537"/>
      <c r="PAQ259" s="537"/>
      <c r="PAR259" s="537"/>
      <c r="PAS259" s="537"/>
      <c r="PAT259" s="537"/>
      <c r="PAU259" s="537"/>
      <c r="PAV259" s="537"/>
      <c r="PAW259" s="537"/>
      <c r="PAX259" s="537"/>
      <c r="PAY259" s="537"/>
      <c r="PAZ259" s="537"/>
      <c r="PBA259" s="537"/>
      <c r="PBB259" s="537"/>
      <c r="PBC259" s="537"/>
      <c r="PBD259" s="537"/>
      <c r="PBE259" s="537"/>
      <c r="PBF259" s="537"/>
      <c r="PBG259" s="537"/>
      <c r="PBH259" s="537"/>
      <c r="PBI259" s="537"/>
      <c r="PBJ259" s="537"/>
      <c r="PBK259" s="537"/>
      <c r="PBL259" s="537"/>
      <c r="PBM259" s="537"/>
      <c r="PBN259" s="537"/>
      <c r="PBO259" s="537"/>
      <c r="PBP259" s="537"/>
      <c r="PBQ259" s="537"/>
      <c r="PBR259" s="537"/>
      <c r="PBS259" s="537"/>
      <c r="PBT259" s="537"/>
      <c r="PBU259" s="537"/>
      <c r="PBV259" s="537"/>
      <c r="PBW259" s="537"/>
      <c r="PBX259" s="537"/>
      <c r="PBY259" s="537"/>
      <c r="PBZ259" s="537"/>
      <c r="PCA259" s="537"/>
      <c r="PCB259" s="537"/>
      <c r="PCC259" s="537"/>
      <c r="PCD259" s="537"/>
      <c r="PCE259" s="537"/>
      <c r="PCF259" s="537"/>
      <c r="PCG259" s="537"/>
      <c r="PCH259" s="537"/>
      <c r="PCI259" s="537"/>
      <c r="PCJ259" s="537"/>
      <c r="PCK259" s="537"/>
      <c r="PCL259" s="537"/>
      <c r="PCM259" s="537"/>
      <c r="PCN259" s="537"/>
      <c r="PCO259" s="537"/>
      <c r="PCP259" s="537"/>
      <c r="PCQ259" s="537"/>
      <c r="PCR259" s="537"/>
      <c r="PCS259" s="537"/>
      <c r="PCT259" s="537"/>
      <c r="PCU259" s="537"/>
      <c r="PCV259" s="537"/>
      <c r="PCW259" s="537"/>
      <c r="PCX259" s="537"/>
      <c r="PCY259" s="537"/>
      <c r="PCZ259" s="537"/>
      <c r="PDA259" s="537"/>
      <c r="PDB259" s="537"/>
      <c r="PDC259" s="537"/>
      <c r="PDD259" s="537"/>
      <c r="PDE259" s="537"/>
      <c r="PDF259" s="537"/>
      <c r="PDG259" s="537"/>
      <c r="PDH259" s="537"/>
      <c r="PDI259" s="537"/>
      <c r="PDJ259" s="537"/>
      <c r="PDK259" s="537"/>
      <c r="PDL259" s="537"/>
      <c r="PDM259" s="537"/>
      <c r="PDN259" s="537"/>
      <c r="PDO259" s="537"/>
      <c r="PDP259" s="537"/>
      <c r="PDQ259" s="537"/>
      <c r="PDR259" s="537"/>
      <c r="PDS259" s="537"/>
      <c r="PDT259" s="537"/>
      <c r="PDU259" s="537"/>
      <c r="PDV259" s="537"/>
      <c r="PDW259" s="537"/>
      <c r="PDX259" s="537"/>
      <c r="PDY259" s="537"/>
      <c r="PDZ259" s="537"/>
      <c r="PEA259" s="537"/>
      <c r="PEB259" s="537"/>
      <c r="PEC259" s="537"/>
      <c r="PED259" s="537"/>
      <c r="PEE259" s="537"/>
      <c r="PEF259" s="537"/>
      <c r="PEG259" s="537"/>
      <c r="PEH259" s="537"/>
      <c r="PEI259" s="537"/>
      <c r="PEJ259" s="537"/>
      <c r="PEK259" s="537"/>
      <c r="PEL259" s="537"/>
      <c r="PEM259" s="537"/>
      <c r="PEN259" s="537"/>
      <c r="PEO259" s="537"/>
      <c r="PEP259" s="537"/>
      <c r="PEQ259" s="537"/>
      <c r="PER259" s="537"/>
      <c r="PES259" s="537"/>
      <c r="PET259" s="537"/>
      <c r="PEU259" s="537"/>
      <c r="PEV259" s="537"/>
      <c r="PEW259" s="537"/>
      <c r="PEX259" s="537"/>
      <c r="PEY259" s="537"/>
      <c r="PEZ259" s="537"/>
      <c r="PFA259" s="537"/>
      <c r="PFB259" s="537"/>
      <c r="PFC259" s="537"/>
      <c r="PFD259" s="537"/>
      <c r="PFE259" s="537"/>
      <c r="PFF259" s="537"/>
      <c r="PFG259" s="537"/>
      <c r="PFH259" s="537"/>
      <c r="PFI259" s="537"/>
      <c r="PFJ259" s="537"/>
      <c r="PFK259" s="537"/>
      <c r="PFL259" s="537"/>
      <c r="PFM259" s="537"/>
      <c r="PFN259" s="537"/>
      <c r="PFO259" s="537"/>
      <c r="PFP259" s="537"/>
      <c r="PFQ259" s="537"/>
      <c r="PFR259" s="537"/>
      <c r="PFS259" s="537"/>
      <c r="PFT259" s="537"/>
      <c r="PFU259" s="537"/>
      <c r="PFV259" s="537"/>
      <c r="PFW259" s="537"/>
      <c r="PFX259" s="537"/>
      <c r="PFY259" s="537"/>
      <c r="PFZ259" s="537"/>
      <c r="PGA259" s="537"/>
      <c r="PGB259" s="537"/>
      <c r="PGC259" s="537"/>
      <c r="PGD259" s="537"/>
      <c r="PGE259" s="537"/>
      <c r="PGF259" s="537"/>
      <c r="PGG259" s="537"/>
      <c r="PGH259" s="537"/>
      <c r="PGI259" s="537"/>
      <c r="PGJ259" s="537"/>
      <c r="PGK259" s="537"/>
      <c r="PGL259" s="537"/>
      <c r="PGM259" s="537"/>
      <c r="PGN259" s="537"/>
      <c r="PGO259" s="537"/>
      <c r="PGP259" s="537"/>
      <c r="PGQ259" s="537"/>
      <c r="PGR259" s="537"/>
      <c r="PGS259" s="537"/>
      <c r="PGT259" s="537"/>
      <c r="PGU259" s="537"/>
      <c r="PGV259" s="537"/>
      <c r="PGW259" s="537"/>
      <c r="PGX259" s="537"/>
      <c r="PGY259" s="537"/>
      <c r="PGZ259" s="537"/>
      <c r="PHA259" s="537"/>
      <c r="PHB259" s="537"/>
      <c r="PHC259" s="537"/>
      <c r="PHD259" s="537"/>
      <c r="PHE259" s="537"/>
      <c r="PHF259" s="537"/>
      <c r="PHG259" s="537"/>
      <c r="PHH259" s="537"/>
      <c r="PHI259" s="537"/>
      <c r="PHJ259" s="537"/>
      <c r="PHK259" s="537"/>
      <c r="PHL259" s="537"/>
      <c r="PHM259" s="537"/>
      <c r="PHN259" s="537"/>
      <c r="PHO259" s="537"/>
      <c r="PHP259" s="537"/>
      <c r="PHQ259" s="537"/>
      <c r="PHR259" s="537"/>
      <c r="PHS259" s="537"/>
      <c r="PHT259" s="537"/>
      <c r="PHU259" s="537"/>
      <c r="PHV259" s="537"/>
      <c r="PHW259" s="537"/>
      <c r="PHX259" s="537"/>
      <c r="PHY259" s="537"/>
      <c r="PHZ259" s="537"/>
      <c r="PIA259" s="537"/>
      <c r="PIB259" s="537"/>
      <c r="PIC259" s="537"/>
      <c r="PID259" s="537"/>
      <c r="PIE259" s="537"/>
      <c r="PIF259" s="537"/>
      <c r="PIG259" s="537"/>
      <c r="PIH259" s="537"/>
      <c r="PII259" s="537"/>
      <c r="PIJ259" s="537"/>
      <c r="PIK259" s="537"/>
      <c r="PIL259" s="537"/>
      <c r="PIM259" s="537"/>
      <c r="PIN259" s="537"/>
      <c r="PIO259" s="537"/>
      <c r="PIP259" s="537"/>
      <c r="PIQ259" s="537"/>
      <c r="PIR259" s="537"/>
      <c r="PIS259" s="537"/>
      <c r="PIT259" s="537"/>
      <c r="PIU259" s="537"/>
      <c r="PIV259" s="537"/>
      <c r="PIW259" s="537"/>
      <c r="PIX259" s="537"/>
      <c r="PIY259" s="537"/>
      <c r="PIZ259" s="537"/>
      <c r="PJA259" s="537"/>
      <c r="PJB259" s="537"/>
      <c r="PJC259" s="537"/>
      <c r="PJD259" s="537"/>
      <c r="PJE259" s="537"/>
      <c r="PJF259" s="537"/>
      <c r="PJG259" s="537"/>
      <c r="PJH259" s="537"/>
      <c r="PJI259" s="537"/>
      <c r="PJJ259" s="537"/>
      <c r="PJK259" s="537"/>
      <c r="PJL259" s="537"/>
      <c r="PJM259" s="537"/>
      <c r="PJN259" s="537"/>
      <c r="PJO259" s="537"/>
      <c r="PJP259" s="537"/>
      <c r="PJQ259" s="537"/>
      <c r="PJR259" s="537"/>
      <c r="PJS259" s="537"/>
      <c r="PJT259" s="537"/>
      <c r="PJU259" s="537"/>
      <c r="PJV259" s="537"/>
      <c r="PJW259" s="537"/>
      <c r="PJX259" s="537"/>
      <c r="PJY259" s="537"/>
      <c r="PJZ259" s="537"/>
      <c r="PKA259" s="537"/>
      <c r="PKB259" s="537"/>
      <c r="PKC259" s="537"/>
      <c r="PKD259" s="537"/>
      <c r="PKE259" s="537"/>
      <c r="PKF259" s="537"/>
      <c r="PKG259" s="537"/>
      <c r="PKH259" s="537"/>
      <c r="PKI259" s="537"/>
      <c r="PKJ259" s="537"/>
      <c r="PKK259" s="537"/>
      <c r="PKL259" s="537"/>
      <c r="PKM259" s="537"/>
      <c r="PKN259" s="537"/>
      <c r="PKO259" s="537"/>
      <c r="PKP259" s="537"/>
      <c r="PKQ259" s="537"/>
      <c r="PKR259" s="537"/>
      <c r="PKS259" s="537"/>
      <c r="PKT259" s="537"/>
      <c r="PKU259" s="537"/>
      <c r="PKV259" s="537"/>
      <c r="PKW259" s="537"/>
      <c r="PKX259" s="537"/>
      <c r="PKY259" s="537"/>
      <c r="PKZ259" s="537"/>
      <c r="PLA259" s="537"/>
      <c r="PLB259" s="537"/>
      <c r="PLC259" s="537"/>
      <c r="PLD259" s="537"/>
      <c r="PLE259" s="537"/>
      <c r="PLF259" s="537"/>
      <c r="PLG259" s="537"/>
      <c r="PLH259" s="537"/>
      <c r="PLI259" s="537"/>
      <c r="PLJ259" s="537"/>
      <c r="PLK259" s="537"/>
      <c r="PLL259" s="537"/>
      <c r="PLM259" s="537"/>
      <c r="PLN259" s="537"/>
      <c r="PLO259" s="537"/>
      <c r="PLP259" s="537"/>
      <c r="PLQ259" s="537"/>
      <c r="PLR259" s="537"/>
      <c r="PLS259" s="537"/>
      <c r="PLT259" s="537"/>
      <c r="PLU259" s="537"/>
      <c r="PLV259" s="537"/>
      <c r="PLW259" s="537"/>
      <c r="PLX259" s="537"/>
      <c r="PLY259" s="537"/>
      <c r="PLZ259" s="537"/>
      <c r="PMA259" s="537"/>
      <c r="PMB259" s="537"/>
      <c r="PMC259" s="537"/>
      <c r="PMD259" s="537"/>
      <c r="PME259" s="537"/>
      <c r="PMF259" s="537"/>
      <c r="PMG259" s="537"/>
      <c r="PMH259" s="537"/>
      <c r="PMI259" s="537"/>
      <c r="PMJ259" s="537"/>
      <c r="PMK259" s="537"/>
      <c r="PML259" s="537"/>
      <c r="PMM259" s="537"/>
      <c r="PMN259" s="537"/>
      <c r="PMO259" s="537"/>
      <c r="PMP259" s="537"/>
      <c r="PMQ259" s="537"/>
      <c r="PMR259" s="537"/>
      <c r="PMS259" s="537"/>
      <c r="PMT259" s="537"/>
      <c r="PMU259" s="537"/>
      <c r="PMV259" s="537"/>
      <c r="PMW259" s="537"/>
      <c r="PMX259" s="537"/>
      <c r="PMY259" s="537"/>
      <c r="PMZ259" s="537"/>
      <c r="PNA259" s="537"/>
      <c r="PNB259" s="537"/>
      <c r="PNC259" s="537"/>
      <c r="PND259" s="537"/>
      <c r="PNE259" s="537"/>
      <c r="PNF259" s="537"/>
      <c r="PNG259" s="537"/>
      <c r="PNH259" s="537"/>
      <c r="PNI259" s="537"/>
      <c r="PNJ259" s="537"/>
      <c r="PNK259" s="537"/>
      <c r="PNL259" s="537"/>
      <c r="PNM259" s="537"/>
      <c r="PNN259" s="537"/>
      <c r="PNO259" s="537"/>
      <c r="PNP259" s="537"/>
      <c r="PNQ259" s="537"/>
      <c r="PNR259" s="537"/>
      <c r="PNS259" s="537"/>
      <c r="PNT259" s="537"/>
      <c r="PNU259" s="537"/>
      <c r="PNV259" s="537"/>
      <c r="PNW259" s="537"/>
      <c r="PNX259" s="537"/>
      <c r="PNY259" s="537"/>
      <c r="PNZ259" s="537"/>
      <c r="POA259" s="537"/>
      <c r="POB259" s="537"/>
      <c r="POC259" s="537"/>
      <c r="POD259" s="537"/>
      <c r="POE259" s="537"/>
      <c r="POF259" s="537"/>
      <c r="POG259" s="537"/>
      <c r="POH259" s="537"/>
      <c r="POI259" s="537"/>
      <c r="POJ259" s="537"/>
      <c r="POK259" s="537"/>
      <c r="POL259" s="537"/>
      <c r="POM259" s="537"/>
      <c r="PON259" s="537"/>
      <c r="POO259" s="537"/>
      <c r="POP259" s="537"/>
      <c r="POQ259" s="537"/>
      <c r="POR259" s="537"/>
      <c r="POS259" s="537"/>
      <c r="POT259" s="537"/>
      <c r="POU259" s="537"/>
      <c r="POV259" s="537"/>
      <c r="POW259" s="537"/>
      <c r="POX259" s="537"/>
      <c r="POY259" s="537"/>
      <c r="POZ259" s="537"/>
      <c r="PPA259" s="537"/>
      <c r="PPB259" s="537"/>
      <c r="PPC259" s="537"/>
      <c r="PPD259" s="537"/>
      <c r="PPE259" s="537"/>
      <c r="PPF259" s="537"/>
      <c r="PPG259" s="537"/>
      <c r="PPH259" s="537"/>
      <c r="PPI259" s="537"/>
      <c r="PPJ259" s="537"/>
      <c r="PPK259" s="537"/>
      <c r="PPL259" s="537"/>
      <c r="PPM259" s="537"/>
      <c r="PPN259" s="537"/>
      <c r="PPO259" s="537"/>
      <c r="PPP259" s="537"/>
      <c r="PPQ259" s="537"/>
      <c r="PPR259" s="537"/>
      <c r="PPS259" s="537"/>
      <c r="PPT259" s="537"/>
      <c r="PPU259" s="537"/>
      <c r="PPV259" s="537"/>
      <c r="PPW259" s="537"/>
      <c r="PPX259" s="537"/>
      <c r="PPY259" s="537"/>
      <c r="PPZ259" s="537"/>
      <c r="PQA259" s="537"/>
      <c r="PQB259" s="537"/>
      <c r="PQC259" s="537"/>
      <c r="PQD259" s="537"/>
      <c r="PQE259" s="537"/>
      <c r="PQF259" s="537"/>
      <c r="PQG259" s="537"/>
      <c r="PQH259" s="537"/>
      <c r="PQI259" s="537"/>
      <c r="PQJ259" s="537"/>
      <c r="PQK259" s="537"/>
      <c r="PQL259" s="537"/>
      <c r="PQM259" s="537"/>
      <c r="PQN259" s="537"/>
      <c r="PQO259" s="537"/>
      <c r="PQP259" s="537"/>
      <c r="PQQ259" s="537"/>
      <c r="PQR259" s="537"/>
      <c r="PQS259" s="537"/>
      <c r="PQT259" s="537"/>
      <c r="PQU259" s="537"/>
      <c r="PQV259" s="537"/>
      <c r="PQW259" s="537"/>
      <c r="PQX259" s="537"/>
      <c r="PQY259" s="537"/>
      <c r="PQZ259" s="537"/>
      <c r="PRA259" s="537"/>
      <c r="PRB259" s="537"/>
      <c r="PRC259" s="537"/>
      <c r="PRD259" s="537"/>
      <c r="PRE259" s="537"/>
      <c r="PRF259" s="537"/>
      <c r="PRG259" s="537"/>
      <c r="PRH259" s="537"/>
      <c r="PRI259" s="537"/>
      <c r="PRJ259" s="537"/>
      <c r="PRK259" s="537"/>
      <c r="PRL259" s="537"/>
      <c r="PRM259" s="537"/>
      <c r="PRN259" s="537"/>
      <c r="PRO259" s="537"/>
      <c r="PRP259" s="537"/>
      <c r="PRQ259" s="537"/>
      <c r="PRR259" s="537"/>
      <c r="PRS259" s="537"/>
      <c r="PRT259" s="537"/>
      <c r="PRU259" s="537"/>
      <c r="PRV259" s="537"/>
      <c r="PRW259" s="537"/>
      <c r="PRX259" s="537"/>
      <c r="PRY259" s="537"/>
      <c r="PRZ259" s="537"/>
      <c r="PSA259" s="537"/>
      <c r="PSB259" s="537"/>
      <c r="PSC259" s="537"/>
      <c r="PSD259" s="537"/>
      <c r="PSE259" s="537"/>
      <c r="PSF259" s="537"/>
      <c r="PSG259" s="537"/>
      <c r="PSH259" s="537"/>
      <c r="PSI259" s="537"/>
      <c r="PSJ259" s="537"/>
      <c r="PSK259" s="537"/>
      <c r="PSL259" s="537"/>
      <c r="PSM259" s="537"/>
      <c r="PSN259" s="537"/>
      <c r="PSO259" s="537"/>
      <c r="PSP259" s="537"/>
      <c r="PSQ259" s="537"/>
      <c r="PSR259" s="537"/>
      <c r="PSS259" s="537"/>
      <c r="PST259" s="537"/>
      <c r="PSU259" s="537"/>
      <c r="PSV259" s="537"/>
      <c r="PSW259" s="537"/>
      <c r="PSX259" s="537"/>
      <c r="PSY259" s="537"/>
      <c r="PSZ259" s="537"/>
      <c r="PTA259" s="537"/>
      <c r="PTB259" s="537"/>
      <c r="PTC259" s="537"/>
      <c r="PTD259" s="537"/>
      <c r="PTE259" s="537"/>
      <c r="PTF259" s="537"/>
      <c r="PTG259" s="537"/>
      <c r="PTH259" s="537"/>
      <c r="PTI259" s="537"/>
      <c r="PTJ259" s="537"/>
      <c r="PTK259" s="537"/>
      <c r="PTL259" s="537"/>
      <c r="PTM259" s="537"/>
      <c r="PTN259" s="537"/>
      <c r="PTO259" s="537"/>
      <c r="PTP259" s="537"/>
      <c r="PTQ259" s="537"/>
      <c r="PTR259" s="537"/>
      <c r="PTS259" s="537"/>
      <c r="PTT259" s="537"/>
      <c r="PTU259" s="537"/>
      <c r="PTV259" s="537"/>
      <c r="PTW259" s="537"/>
      <c r="PTX259" s="537"/>
      <c r="PTY259" s="537"/>
      <c r="PTZ259" s="537"/>
      <c r="PUA259" s="537"/>
      <c r="PUB259" s="537"/>
      <c r="PUC259" s="537"/>
      <c r="PUD259" s="537"/>
      <c r="PUE259" s="537"/>
      <c r="PUF259" s="537"/>
      <c r="PUG259" s="537"/>
      <c r="PUH259" s="537"/>
      <c r="PUI259" s="537"/>
      <c r="PUJ259" s="537"/>
      <c r="PUK259" s="537"/>
      <c r="PUL259" s="537"/>
      <c r="PUM259" s="537"/>
      <c r="PUN259" s="537"/>
      <c r="PUO259" s="537"/>
      <c r="PUP259" s="537"/>
      <c r="PUQ259" s="537"/>
      <c r="PUR259" s="537"/>
      <c r="PUS259" s="537"/>
      <c r="PUT259" s="537"/>
      <c r="PUU259" s="537"/>
      <c r="PUV259" s="537"/>
      <c r="PUW259" s="537"/>
      <c r="PUX259" s="537"/>
      <c r="PUY259" s="537"/>
      <c r="PUZ259" s="537"/>
      <c r="PVA259" s="537"/>
      <c r="PVB259" s="537"/>
      <c r="PVC259" s="537"/>
      <c r="PVD259" s="537"/>
      <c r="PVE259" s="537"/>
      <c r="PVF259" s="537"/>
      <c r="PVG259" s="537"/>
      <c r="PVH259" s="537"/>
      <c r="PVI259" s="537"/>
      <c r="PVJ259" s="537"/>
      <c r="PVK259" s="537"/>
      <c r="PVL259" s="537"/>
      <c r="PVM259" s="537"/>
      <c r="PVN259" s="537"/>
      <c r="PVO259" s="537"/>
      <c r="PVP259" s="537"/>
      <c r="PVQ259" s="537"/>
      <c r="PVR259" s="537"/>
      <c r="PVS259" s="537"/>
      <c r="PVT259" s="537"/>
      <c r="PVU259" s="537"/>
      <c r="PVV259" s="537"/>
      <c r="PVW259" s="537"/>
      <c r="PVX259" s="537"/>
      <c r="PVY259" s="537"/>
      <c r="PVZ259" s="537"/>
      <c r="PWA259" s="537"/>
      <c r="PWB259" s="537"/>
      <c r="PWC259" s="537"/>
      <c r="PWD259" s="537"/>
      <c r="PWE259" s="537"/>
      <c r="PWF259" s="537"/>
      <c r="PWG259" s="537"/>
      <c r="PWH259" s="537"/>
      <c r="PWI259" s="537"/>
      <c r="PWJ259" s="537"/>
      <c r="PWK259" s="537"/>
      <c r="PWL259" s="537"/>
      <c r="PWM259" s="537"/>
      <c r="PWN259" s="537"/>
      <c r="PWO259" s="537"/>
      <c r="PWP259" s="537"/>
      <c r="PWQ259" s="537"/>
      <c r="PWR259" s="537"/>
      <c r="PWS259" s="537"/>
      <c r="PWT259" s="537"/>
      <c r="PWU259" s="537"/>
      <c r="PWV259" s="537"/>
      <c r="PWW259" s="537"/>
      <c r="PWX259" s="537"/>
      <c r="PWY259" s="537"/>
      <c r="PWZ259" s="537"/>
      <c r="PXA259" s="537"/>
      <c r="PXB259" s="537"/>
      <c r="PXC259" s="537"/>
      <c r="PXD259" s="537"/>
      <c r="PXE259" s="537"/>
      <c r="PXF259" s="537"/>
      <c r="PXG259" s="537"/>
      <c r="PXH259" s="537"/>
      <c r="PXI259" s="537"/>
      <c r="PXJ259" s="537"/>
      <c r="PXK259" s="537"/>
      <c r="PXL259" s="537"/>
      <c r="PXM259" s="537"/>
      <c r="PXN259" s="537"/>
      <c r="PXO259" s="537"/>
      <c r="PXP259" s="537"/>
      <c r="PXQ259" s="537"/>
      <c r="PXR259" s="537"/>
      <c r="PXS259" s="537"/>
      <c r="PXT259" s="537"/>
      <c r="PXU259" s="537"/>
      <c r="PXV259" s="537"/>
      <c r="PXW259" s="537"/>
      <c r="PXX259" s="537"/>
      <c r="PXY259" s="537"/>
      <c r="PXZ259" s="537"/>
      <c r="PYA259" s="537"/>
      <c r="PYB259" s="537"/>
      <c r="PYC259" s="537"/>
      <c r="PYD259" s="537"/>
      <c r="PYE259" s="537"/>
      <c r="PYF259" s="537"/>
      <c r="PYG259" s="537"/>
      <c r="PYH259" s="537"/>
      <c r="PYI259" s="537"/>
      <c r="PYJ259" s="537"/>
      <c r="PYK259" s="537"/>
      <c r="PYL259" s="537"/>
      <c r="PYM259" s="537"/>
      <c r="PYN259" s="537"/>
      <c r="PYO259" s="537"/>
      <c r="PYP259" s="537"/>
      <c r="PYQ259" s="537"/>
      <c r="PYR259" s="537"/>
      <c r="PYS259" s="537"/>
      <c r="PYT259" s="537"/>
      <c r="PYU259" s="537"/>
      <c r="PYV259" s="537"/>
      <c r="PYW259" s="537"/>
      <c r="PYX259" s="537"/>
      <c r="PYY259" s="537"/>
      <c r="PYZ259" s="537"/>
      <c r="PZA259" s="537"/>
      <c r="PZB259" s="537"/>
      <c r="PZC259" s="537"/>
      <c r="PZD259" s="537"/>
      <c r="PZE259" s="537"/>
      <c r="PZF259" s="537"/>
      <c r="PZG259" s="537"/>
      <c r="PZH259" s="537"/>
      <c r="PZI259" s="537"/>
      <c r="PZJ259" s="537"/>
      <c r="PZK259" s="537"/>
      <c r="PZL259" s="537"/>
      <c r="PZM259" s="537"/>
      <c r="PZN259" s="537"/>
      <c r="PZO259" s="537"/>
      <c r="PZP259" s="537"/>
      <c r="PZQ259" s="537"/>
      <c r="PZR259" s="537"/>
      <c r="PZS259" s="537"/>
      <c r="PZT259" s="537"/>
      <c r="PZU259" s="537"/>
      <c r="PZV259" s="537"/>
      <c r="PZW259" s="537"/>
      <c r="PZX259" s="537"/>
      <c r="PZY259" s="537"/>
      <c r="PZZ259" s="537"/>
      <c r="QAA259" s="537"/>
      <c r="QAB259" s="537"/>
      <c r="QAC259" s="537"/>
      <c r="QAD259" s="537"/>
      <c r="QAE259" s="537"/>
      <c r="QAF259" s="537"/>
      <c r="QAG259" s="537"/>
      <c r="QAH259" s="537"/>
      <c r="QAI259" s="537"/>
      <c r="QAJ259" s="537"/>
      <c r="QAK259" s="537"/>
      <c r="QAL259" s="537"/>
      <c r="QAM259" s="537"/>
      <c r="QAN259" s="537"/>
      <c r="QAO259" s="537"/>
      <c r="QAP259" s="537"/>
      <c r="QAQ259" s="537"/>
      <c r="QAR259" s="537"/>
      <c r="QAS259" s="537"/>
      <c r="QAT259" s="537"/>
      <c r="QAU259" s="537"/>
      <c r="QAV259" s="537"/>
      <c r="QAW259" s="537"/>
      <c r="QAX259" s="537"/>
      <c r="QAY259" s="537"/>
      <c r="QAZ259" s="537"/>
      <c r="QBA259" s="537"/>
      <c r="QBB259" s="537"/>
      <c r="QBC259" s="537"/>
      <c r="QBD259" s="537"/>
      <c r="QBE259" s="537"/>
      <c r="QBF259" s="537"/>
      <c r="QBG259" s="537"/>
      <c r="QBH259" s="537"/>
      <c r="QBI259" s="537"/>
      <c r="QBJ259" s="537"/>
      <c r="QBK259" s="537"/>
      <c r="QBL259" s="537"/>
      <c r="QBM259" s="537"/>
      <c r="QBN259" s="537"/>
      <c r="QBO259" s="537"/>
      <c r="QBP259" s="537"/>
      <c r="QBQ259" s="537"/>
      <c r="QBR259" s="537"/>
      <c r="QBS259" s="537"/>
      <c r="QBT259" s="537"/>
      <c r="QBU259" s="537"/>
      <c r="QBV259" s="537"/>
      <c r="QBW259" s="537"/>
      <c r="QBX259" s="537"/>
      <c r="QBY259" s="537"/>
      <c r="QBZ259" s="537"/>
      <c r="QCA259" s="537"/>
      <c r="QCB259" s="537"/>
      <c r="QCC259" s="537"/>
      <c r="QCD259" s="537"/>
      <c r="QCE259" s="537"/>
      <c r="QCF259" s="537"/>
      <c r="QCG259" s="537"/>
      <c r="QCH259" s="537"/>
      <c r="QCI259" s="537"/>
      <c r="QCJ259" s="537"/>
      <c r="QCK259" s="537"/>
      <c r="QCL259" s="537"/>
      <c r="QCM259" s="537"/>
      <c r="QCN259" s="537"/>
      <c r="QCO259" s="537"/>
      <c r="QCP259" s="537"/>
      <c r="QCQ259" s="537"/>
      <c r="QCR259" s="537"/>
      <c r="QCS259" s="537"/>
      <c r="QCT259" s="537"/>
      <c r="QCU259" s="537"/>
      <c r="QCV259" s="537"/>
      <c r="QCW259" s="537"/>
      <c r="QCX259" s="537"/>
      <c r="QCY259" s="537"/>
      <c r="QCZ259" s="537"/>
      <c r="QDA259" s="537"/>
      <c r="QDB259" s="537"/>
      <c r="QDC259" s="537"/>
      <c r="QDD259" s="537"/>
      <c r="QDE259" s="537"/>
      <c r="QDF259" s="537"/>
      <c r="QDG259" s="537"/>
      <c r="QDH259" s="537"/>
      <c r="QDI259" s="537"/>
      <c r="QDJ259" s="537"/>
      <c r="QDK259" s="537"/>
      <c r="QDL259" s="537"/>
      <c r="QDM259" s="537"/>
      <c r="QDN259" s="537"/>
      <c r="QDO259" s="537"/>
      <c r="QDP259" s="537"/>
      <c r="QDQ259" s="537"/>
      <c r="QDR259" s="537"/>
      <c r="QDS259" s="537"/>
      <c r="QDT259" s="537"/>
      <c r="QDU259" s="537"/>
      <c r="QDV259" s="537"/>
      <c r="QDW259" s="537"/>
      <c r="QDX259" s="537"/>
      <c r="QDY259" s="537"/>
      <c r="QDZ259" s="537"/>
      <c r="QEA259" s="537"/>
      <c r="QEB259" s="537"/>
      <c r="QEC259" s="537"/>
      <c r="QED259" s="537"/>
      <c r="QEE259" s="537"/>
      <c r="QEF259" s="537"/>
      <c r="QEG259" s="537"/>
      <c r="QEH259" s="537"/>
      <c r="QEI259" s="537"/>
      <c r="QEJ259" s="537"/>
      <c r="QEK259" s="537"/>
      <c r="QEL259" s="537"/>
      <c r="QEM259" s="537"/>
      <c r="QEN259" s="537"/>
      <c r="QEO259" s="537"/>
      <c r="QEP259" s="537"/>
      <c r="QEQ259" s="537"/>
      <c r="QER259" s="537"/>
      <c r="QES259" s="537"/>
      <c r="QET259" s="537"/>
      <c r="QEU259" s="537"/>
      <c r="QEV259" s="537"/>
      <c r="QEW259" s="537"/>
      <c r="QEX259" s="537"/>
      <c r="QEY259" s="537"/>
      <c r="QEZ259" s="537"/>
      <c r="QFA259" s="537"/>
      <c r="QFB259" s="537"/>
      <c r="QFC259" s="537"/>
      <c r="QFD259" s="537"/>
      <c r="QFE259" s="537"/>
      <c r="QFF259" s="537"/>
      <c r="QFG259" s="537"/>
      <c r="QFH259" s="537"/>
      <c r="QFI259" s="537"/>
      <c r="QFJ259" s="537"/>
      <c r="QFK259" s="537"/>
      <c r="QFL259" s="537"/>
      <c r="QFM259" s="537"/>
      <c r="QFN259" s="537"/>
      <c r="QFO259" s="537"/>
      <c r="QFP259" s="537"/>
      <c r="QFQ259" s="537"/>
      <c r="QFR259" s="537"/>
      <c r="QFS259" s="537"/>
      <c r="QFT259" s="537"/>
      <c r="QFU259" s="537"/>
      <c r="QFV259" s="537"/>
      <c r="QFW259" s="537"/>
      <c r="QFX259" s="537"/>
      <c r="QFY259" s="537"/>
      <c r="QFZ259" s="537"/>
      <c r="QGA259" s="537"/>
      <c r="QGB259" s="537"/>
      <c r="QGC259" s="537"/>
      <c r="QGD259" s="537"/>
      <c r="QGE259" s="537"/>
      <c r="QGF259" s="537"/>
      <c r="QGG259" s="537"/>
      <c r="QGH259" s="537"/>
      <c r="QGI259" s="537"/>
      <c r="QGJ259" s="537"/>
      <c r="QGK259" s="537"/>
      <c r="QGL259" s="537"/>
      <c r="QGM259" s="537"/>
      <c r="QGN259" s="537"/>
      <c r="QGO259" s="537"/>
      <c r="QGP259" s="537"/>
      <c r="QGQ259" s="537"/>
      <c r="QGR259" s="537"/>
      <c r="QGS259" s="537"/>
      <c r="QGT259" s="537"/>
      <c r="QGU259" s="537"/>
      <c r="QGV259" s="537"/>
      <c r="QGW259" s="537"/>
      <c r="QGX259" s="537"/>
      <c r="QGY259" s="537"/>
      <c r="QGZ259" s="537"/>
      <c r="QHA259" s="537"/>
      <c r="QHB259" s="537"/>
      <c r="QHC259" s="537"/>
      <c r="QHD259" s="537"/>
      <c r="QHE259" s="537"/>
      <c r="QHF259" s="537"/>
      <c r="QHG259" s="537"/>
      <c r="QHH259" s="537"/>
      <c r="QHI259" s="537"/>
      <c r="QHJ259" s="537"/>
      <c r="QHK259" s="537"/>
      <c r="QHL259" s="537"/>
      <c r="QHM259" s="537"/>
      <c r="QHN259" s="537"/>
      <c r="QHO259" s="537"/>
      <c r="QHP259" s="537"/>
      <c r="QHQ259" s="537"/>
      <c r="QHR259" s="537"/>
      <c r="QHS259" s="537"/>
      <c r="QHT259" s="537"/>
      <c r="QHU259" s="537"/>
      <c r="QHV259" s="537"/>
      <c r="QHW259" s="537"/>
      <c r="QHX259" s="537"/>
      <c r="QHY259" s="537"/>
      <c r="QHZ259" s="537"/>
      <c r="QIA259" s="537"/>
      <c r="QIB259" s="537"/>
      <c r="QIC259" s="537"/>
      <c r="QID259" s="537"/>
      <c r="QIE259" s="537"/>
      <c r="QIF259" s="537"/>
      <c r="QIG259" s="537"/>
      <c r="QIH259" s="537"/>
      <c r="QII259" s="537"/>
      <c r="QIJ259" s="537"/>
      <c r="QIK259" s="537"/>
      <c r="QIL259" s="537"/>
      <c r="QIM259" s="537"/>
      <c r="QIN259" s="537"/>
      <c r="QIO259" s="537"/>
      <c r="QIP259" s="537"/>
      <c r="QIQ259" s="537"/>
      <c r="QIR259" s="537"/>
      <c r="QIS259" s="537"/>
      <c r="QIT259" s="537"/>
      <c r="QIU259" s="537"/>
      <c r="QIV259" s="537"/>
      <c r="QIW259" s="537"/>
      <c r="QIX259" s="537"/>
      <c r="QIY259" s="537"/>
      <c r="QIZ259" s="537"/>
      <c r="QJA259" s="537"/>
      <c r="QJB259" s="537"/>
      <c r="QJC259" s="537"/>
      <c r="QJD259" s="537"/>
      <c r="QJE259" s="537"/>
      <c r="QJF259" s="537"/>
      <c r="QJG259" s="537"/>
      <c r="QJH259" s="537"/>
      <c r="QJI259" s="537"/>
      <c r="QJJ259" s="537"/>
      <c r="QJK259" s="537"/>
      <c r="QJL259" s="537"/>
      <c r="QJM259" s="537"/>
      <c r="QJN259" s="537"/>
      <c r="QJO259" s="537"/>
      <c r="QJP259" s="537"/>
      <c r="QJQ259" s="537"/>
      <c r="QJR259" s="537"/>
      <c r="QJS259" s="537"/>
      <c r="QJT259" s="537"/>
      <c r="QJU259" s="537"/>
      <c r="QJV259" s="537"/>
      <c r="QJW259" s="537"/>
      <c r="QJX259" s="537"/>
      <c r="QJY259" s="537"/>
      <c r="QJZ259" s="537"/>
      <c r="QKA259" s="537"/>
      <c r="QKB259" s="537"/>
      <c r="QKC259" s="537"/>
      <c r="QKD259" s="537"/>
      <c r="QKE259" s="537"/>
      <c r="QKF259" s="537"/>
      <c r="QKG259" s="537"/>
      <c r="QKH259" s="537"/>
      <c r="QKI259" s="537"/>
      <c r="QKJ259" s="537"/>
      <c r="QKK259" s="537"/>
      <c r="QKL259" s="537"/>
      <c r="QKM259" s="537"/>
      <c r="QKN259" s="537"/>
      <c r="QKO259" s="537"/>
      <c r="QKP259" s="537"/>
      <c r="QKQ259" s="537"/>
      <c r="QKR259" s="537"/>
      <c r="QKS259" s="537"/>
      <c r="QKT259" s="537"/>
      <c r="QKU259" s="537"/>
      <c r="QKV259" s="537"/>
      <c r="QKW259" s="537"/>
      <c r="QKX259" s="537"/>
      <c r="QKY259" s="537"/>
      <c r="QKZ259" s="537"/>
      <c r="QLA259" s="537"/>
      <c r="QLB259" s="537"/>
      <c r="QLC259" s="537"/>
      <c r="QLD259" s="537"/>
      <c r="QLE259" s="537"/>
      <c r="QLF259" s="537"/>
      <c r="QLG259" s="537"/>
      <c r="QLH259" s="537"/>
      <c r="QLI259" s="537"/>
      <c r="QLJ259" s="537"/>
      <c r="QLK259" s="537"/>
      <c r="QLL259" s="537"/>
      <c r="QLM259" s="537"/>
      <c r="QLN259" s="537"/>
      <c r="QLO259" s="537"/>
      <c r="QLP259" s="537"/>
      <c r="QLQ259" s="537"/>
      <c r="QLR259" s="537"/>
      <c r="QLS259" s="537"/>
      <c r="QLT259" s="537"/>
      <c r="QLU259" s="537"/>
      <c r="QLV259" s="537"/>
      <c r="QLW259" s="537"/>
      <c r="QLX259" s="537"/>
      <c r="QLY259" s="537"/>
      <c r="QLZ259" s="537"/>
      <c r="QMA259" s="537"/>
      <c r="QMB259" s="537"/>
      <c r="QMC259" s="537"/>
      <c r="QMD259" s="537"/>
      <c r="QME259" s="537"/>
      <c r="QMF259" s="537"/>
      <c r="QMG259" s="537"/>
      <c r="QMH259" s="537"/>
      <c r="QMI259" s="537"/>
      <c r="QMJ259" s="537"/>
      <c r="QMK259" s="537"/>
      <c r="QML259" s="537"/>
      <c r="QMM259" s="537"/>
      <c r="QMN259" s="537"/>
      <c r="QMO259" s="537"/>
      <c r="QMP259" s="537"/>
      <c r="QMQ259" s="537"/>
      <c r="QMR259" s="537"/>
      <c r="QMS259" s="537"/>
      <c r="QMT259" s="537"/>
      <c r="QMU259" s="537"/>
      <c r="QMV259" s="537"/>
      <c r="QMW259" s="537"/>
      <c r="QMX259" s="537"/>
      <c r="QMY259" s="537"/>
      <c r="QMZ259" s="537"/>
      <c r="QNA259" s="537"/>
      <c r="QNB259" s="537"/>
      <c r="QNC259" s="537"/>
      <c r="QND259" s="537"/>
      <c r="QNE259" s="537"/>
      <c r="QNF259" s="537"/>
      <c r="QNG259" s="537"/>
      <c r="QNH259" s="537"/>
      <c r="QNI259" s="537"/>
      <c r="QNJ259" s="537"/>
      <c r="QNK259" s="537"/>
      <c r="QNL259" s="537"/>
      <c r="QNM259" s="537"/>
      <c r="QNN259" s="537"/>
      <c r="QNO259" s="537"/>
      <c r="QNP259" s="537"/>
      <c r="QNQ259" s="537"/>
      <c r="QNR259" s="537"/>
      <c r="QNS259" s="537"/>
      <c r="QNT259" s="537"/>
      <c r="QNU259" s="537"/>
      <c r="QNV259" s="537"/>
      <c r="QNW259" s="537"/>
      <c r="QNX259" s="537"/>
      <c r="QNY259" s="537"/>
      <c r="QNZ259" s="537"/>
      <c r="QOA259" s="537"/>
      <c r="QOB259" s="537"/>
      <c r="QOC259" s="537"/>
      <c r="QOD259" s="537"/>
      <c r="QOE259" s="537"/>
      <c r="QOF259" s="537"/>
      <c r="QOG259" s="537"/>
      <c r="QOH259" s="537"/>
      <c r="QOI259" s="537"/>
      <c r="QOJ259" s="537"/>
      <c r="QOK259" s="537"/>
      <c r="QOL259" s="537"/>
      <c r="QOM259" s="537"/>
      <c r="QON259" s="537"/>
      <c r="QOO259" s="537"/>
      <c r="QOP259" s="537"/>
      <c r="QOQ259" s="537"/>
      <c r="QOR259" s="537"/>
      <c r="QOS259" s="537"/>
      <c r="QOT259" s="537"/>
      <c r="QOU259" s="537"/>
      <c r="QOV259" s="537"/>
      <c r="QOW259" s="537"/>
      <c r="QOX259" s="537"/>
      <c r="QOY259" s="537"/>
      <c r="QOZ259" s="537"/>
      <c r="QPA259" s="537"/>
      <c r="QPB259" s="537"/>
      <c r="QPC259" s="537"/>
      <c r="QPD259" s="537"/>
      <c r="QPE259" s="537"/>
      <c r="QPF259" s="537"/>
      <c r="QPG259" s="537"/>
      <c r="QPH259" s="537"/>
      <c r="QPI259" s="537"/>
      <c r="QPJ259" s="537"/>
      <c r="QPK259" s="537"/>
      <c r="QPL259" s="537"/>
      <c r="QPM259" s="537"/>
      <c r="QPN259" s="537"/>
      <c r="QPO259" s="537"/>
      <c r="QPP259" s="537"/>
      <c r="QPQ259" s="537"/>
      <c r="QPR259" s="537"/>
      <c r="QPS259" s="537"/>
      <c r="QPT259" s="537"/>
      <c r="QPU259" s="537"/>
      <c r="QPV259" s="537"/>
      <c r="QPW259" s="537"/>
      <c r="QPX259" s="537"/>
      <c r="QPY259" s="537"/>
      <c r="QPZ259" s="537"/>
      <c r="QQA259" s="537"/>
      <c r="QQB259" s="537"/>
      <c r="QQC259" s="537"/>
      <c r="QQD259" s="537"/>
      <c r="QQE259" s="537"/>
      <c r="QQF259" s="537"/>
      <c r="QQG259" s="537"/>
      <c r="QQH259" s="537"/>
      <c r="QQI259" s="537"/>
      <c r="QQJ259" s="537"/>
      <c r="QQK259" s="537"/>
      <c r="QQL259" s="537"/>
      <c r="QQM259" s="537"/>
      <c r="QQN259" s="537"/>
      <c r="QQO259" s="537"/>
      <c r="QQP259" s="537"/>
      <c r="QQQ259" s="537"/>
      <c r="QQR259" s="537"/>
      <c r="QQS259" s="537"/>
      <c r="QQT259" s="537"/>
      <c r="QQU259" s="537"/>
      <c r="QQV259" s="537"/>
      <c r="QQW259" s="537"/>
      <c r="QQX259" s="537"/>
      <c r="QQY259" s="537"/>
      <c r="QQZ259" s="537"/>
      <c r="QRA259" s="537"/>
      <c r="QRB259" s="537"/>
      <c r="QRC259" s="537"/>
      <c r="QRD259" s="537"/>
      <c r="QRE259" s="537"/>
      <c r="QRF259" s="537"/>
      <c r="QRG259" s="537"/>
      <c r="QRH259" s="537"/>
      <c r="QRI259" s="537"/>
      <c r="QRJ259" s="537"/>
      <c r="QRK259" s="537"/>
      <c r="QRL259" s="537"/>
      <c r="QRM259" s="537"/>
      <c r="QRN259" s="537"/>
      <c r="QRO259" s="537"/>
      <c r="QRP259" s="537"/>
      <c r="QRQ259" s="537"/>
      <c r="QRR259" s="537"/>
      <c r="QRS259" s="537"/>
      <c r="QRT259" s="537"/>
      <c r="QRU259" s="537"/>
      <c r="QRV259" s="537"/>
      <c r="QRW259" s="537"/>
      <c r="QRX259" s="537"/>
      <c r="QRY259" s="537"/>
      <c r="QRZ259" s="537"/>
      <c r="QSA259" s="537"/>
      <c r="QSB259" s="537"/>
      <c r="QSC259" s="537"/>
      <c r="QSD259" s="537"/>
      <c r="QSE259" s="537"/>
      <c r="QSF259" s="537"/>
      <c r="QSG259" s="537"/>
      <c r="QSH259" s="537"/>
      <c r="QSI259" s="537"/>
      <c r="QSJ259" s="537"/>
      <c r="QSK259" s="537"/>
      <c r="QSL259" s="537"/>
      <c r="QSM259" s="537"/>
      <c r="QSN259" s="537"/>
      <c r="QSO259" s="537"/>
      <c r="QSP259" s="537"/>
      <c r="QSQ259" s="537"/>
      <c r="QSR259" s="537"/>
      <c r="QSS259" s="537"/>
      <c r="QST259" s="537"/>
      <c r="QSU259" s="537"/>
      <c r="QSV259" s="537"/>
      <c r="QSW259" s="537"/>
      <c r="QSX259" s="537"/>
      <c r="QSY259" s="537"/>
      <c r="QSZ259" s="537"/>
      <c r="QTA259" s="537"/>
      <c r="QTB259" s="537"/>
      <c r="QTC259" s="537"/>
      <c r="QTD259" s="537"/>
      <c r="QTE259" s="537"/>
      <c r="QTF259" s="537"/>
      <c r="QTG259" s="537"/>
      <c r="QTH259" s="537"/>
      <c r="QTI259" s="537"/>
      <c r="QTJ259" s="537"/>
      <c r="QTK259" s="537"/>
      <c r="QTL259" s="537"/>
      <c r="QTM259" s="537"/>
      <c r="QTN259" s="537"/>
      <c r="QTO259" s="537"/>
      <c r="QTP259" s="537"/>
      <c r="QTQ259" s="537"/>
      <c r="QTR259" s="537"/>
      <c r="QTS259" s="537"/>
      <c r="QTT259" s="537"/>
      <c r="QTU259" s="537"/>
      <c r="QTV259" s="537"/>
      <c r="QTW259" s="537"/>
      <c r="QTX259" s="537"/>
      <c r="QTY259" s="537"/>
      <c r="QTZ259" s="537"/>
      <c r="QUA259" s="537"/>
      <c r="QUB259" s="537"/>
      <c r="QUC259" s="537"/>
      <c r="QUD259" s="537"/>
      <c r="QUE259" s="537"/>
      <c r="QUF259" s="537"/>
      <c r="QUG259" s="537"/>
      <c r="QUH259" s="537"/>
      <c r="QUI259" s="537"/>
      <c r="QUJ259" s="537"/>
      <c r="QUK259" s="537"/>
      <c r="QUL259" s="537"/>
      <c r="QUM259" s="537"/>
      <c r="QUN259" s="537"/>
      <c r="QUO259" s="537"/>
      <c r="QUP259" s="537"/>
      <c r="QUQ259" s="537"/>
      <c r="QUR259" s="537"/>
      <c r="QUS259" s="537"/>
      <c r="QUT259" s="537"/>
      <c r="QUU259" s="537"/>
      <c r="QUV259" s="537"/>
      <c r="QUW259" s="537"/>
      <c r="QUX259" s="537"/>
      <c r="QUY259" s="537"/>
      <c r="QUZ259" s="537"/>
      <c r="QVA259" s="537"/>
      <c r="QVB259" s="537"/>
      <c r="QVC259" s="537"/>
      <c r="QVD259" s="537"/>
      <c r="QVE259" s="537"/>
      <c r="QVF259" s="537"/>
      <c r="QVG259" s="537"/>
      <c r="QVH259" s="537"/>
      <c r="QVI259" s="537"/>
      <c r="QVJ259" s="537"/>
      <c r="QVK259" s="537"/>
      <c r="QVL259" s="537"/>
      <c r="QVM259" s="537"/>
      <c r="QVN259" s="537"/>
      <c r="QVO259" s="537"/>
      <c r="QVP259" s="537"/>
      <c r="QVQ259" s="537"/>
      <c r="QVR259" s="537"/>
      <c r="QVS259" s="537"/>
      <c r="QVT259" s="537"/>
      <c r="QVU259" s="537"/>
      <c r="QVV259" s="537"/>
      <c r="QVW259" s="537"/>
      <c r="QVX259" s="537"/>
      <c r="QVY259" s="537"/>
      <c r="QVZ259" s="537"/>
      <c r="QWA259" s="537"/>
      <c r="QWB259" s="537"/>
      <c r="QWC259" s="537"/>
      <c r="QWD259" s="537"/>
      <c r="QWE259" s="537"/>
      <c r="QWF259" s="537"/>
      <c r="QWG259" s="537"/>
      <c r="QWH259" s="537"/>
      <c r="QWI259" s="537"/>
      <c r="QWJ259" s="537"/>
      <c r="QWK259" s="537"/>
      <c r="QWL259" s="537"/>
      <c r="QWM259" s="537"/>
      <c r="QWN259" s="537"/>
      <c r="QWO259" s="537"/>
      <c r="QWP259" s="537"/>
      <c r="QWQ259" s="537"/>
      <c r="QWR259" s="537"/>
      <c r="QWS259" s="537"/>
      <c r="QWT259" s="537"/>
      <c r="QWU259" s="537"/>
      <c r="QWV259" s="537"/>
      <c r="QWW259" s="537"/>
      <c r="QWX259" s="537"/>
      <c r="QWY259" s="537"/>
      <c r="QWZ259" s="537"/>
      <c r="QXA259" s="537"/>
      <c r="QXB259" s="537"/>
      <c r="QXC259" s="537"/>
      <c r="QXD259" s="537"/>
      <c r="QXE259" s="537"/>
      <c r="QXF259" s="537"/>
      <c r="QXG259" s="537"/>
      <c r="QXH259" s="537"/>
      <c r="QXI259" s="537"/>
      <c r="QXJ259" s="537"/>
      <c r="QXK259" s="537"/>
      <c r="QXL259" s="537"/>
      <c r="QXM259" s="537"/>
      <c r="QXN259" s="537"/>
      <c r="QXO259" s="537"/>
      <c r="QXP259" s="537"/>
      <c r="QXQ259" s="537"/>
      <c r="QXR259" s="537"/>
      <c r="QXS259" s="537"/>
      <c r="QXT259" s="537"/>
      <c r="QXU259" s="537"/>
      <c r="QXV259" s="537"/>
      <c r="QXW259" s="537"/>
      <c r="QXX259" s="537"/>
      <c r="QXY259" s="537"/>
      <c r="QXZ259" s="537"/>
      <c r="QYA259" s="537"/>
      <c r="QYB259" s="537"/>
      <c r="QYC259" s="537"/>
      <c r="QYD259" s="537"/>
      <c r="QYE259" s="537"/>
      <c r="QYF259" s="537"/>
      <c r="QYG259" s="537"/>
      <c r="QYH259" s="537"/>
      <c r="QYI259" s="537"/>
      <c r="QYJ259" s="537"/>
      <c r="QYK259" s="537"/>
      <c r="QYL259" s="537"/>
      <c r="QYM259" s="537"/>
      <c r="QYN259" s="537"/>
      <c r="QYO259" s="537"/>
      <c r="QYP259" s="537"/>
      <c r="QYQ259" s="537"/>
      <c r="QYR259" s="537"/>
      <c r="QYS259" s="537"/>
      <c r="QYT259" s="537"/>
      <c r="QYU259" s="537"/>
      <c r="QYV259" s="537"/>
      <c r="QYW259" s="537"/>
      <c r="QYX259" s="537"/>
      <c r="QYY259" s="537"/>
      <c r="QYZ259" s="537"/>
      <c r="QZA259" s="537"/>
      <c r="QZB259" s="537"/>
      <c r="QZC259" s="537"/>
      <c r="QZD259" s="537"/>
      <c r="QZE259" s="537"/>
      <c r="QZF259" s="537"/>
      <c r="QZG259" s="537"/>
      <c r="QZH259" s="537"/>
      <c r="QZI259" s="537"/>
      <c r="QZJ259" s="537"/>
      <c r="QZK259" s="537"/>
      <c r="QZL259" s="537"/>
      <c r="QZM259" s="537"/>
      <c r="QZN259" s="537"/>
      <c r="QZO259" s="537"/>
      <c r="QZP259" s="537"/>
      <c r="QZQ259" s="537"/>
      <c r="QZR259" s="537"/>
      <c r="QZS259" s="537"/>
      <c r="QZT259" s="537"/>
      <c r="QZU259" s="537"/>
      <c r="QZV259" s="537"/>
      <c r="QZW259" s="537"/>
      <c r="QZX259" s="537"/>
      <c r="QZY259" s="537"/>
      <c r="QZZ259" s="537"/>
      <c r="RAA259" s="537"/>
      <c r="RAB259" s="537"/>
      <c r="RAC259" s="537"/>
      <c r="RAD259" s="537"/>
      <c r="RAE259" s="537"/>
      <c r="RAF259" s="537"/>
      <c r="RAG259" s="537"/>
      <c r="RAH259" s="537"/>
      <c r="RAI259" s="537"/>
      <c r="RAJ259" s="537"/>
      <c r="RAK259" s="537"/>
      <c r="RAL259" s="537"/>
      <c r="RAM259" s="537"/>
      <c r="RAN259" s="537"/>
      <c r="RAO259" s="537"/>
      <c r="RAP259" s="537"/>
      <c r="RAQ259" s="537"/>
      <c r="RAR259" s="537"/>
      <c r="RAS259" s="537"/>
      <c r="RAT259" s="537"/>
      <c r="RAU259" s="537"/>
      <c r="RAV259" s="537"/>
      <c r="RAW259" s="537"/>
      <c r="RAX259" s="537"/>
      <c r="RAY259" s="537"/>
      <c r="RAZ259" s="537"/>
      <c r="RBA259" s="537"/>
      <c r="RBB259" s="537"/>
      <c r="RBC259" s="537"/>
      <c r="RBD259" s="537"/>
      <c r="RBE259" s="537"/>
      <c r="RBF259" s="537"/>
      <c r="RBG259" s="537"/>
      <c r="RBH259" s="537"/>
      <c r="RBI259" s="537"/>
      <c r="RBJ259" s="537"/>
      <c r="RBK259" s="537"/>
      <c r="RBL259" s="537"/>
      <c r="RBM259" s="537"/>
      <c r="RBN259" s="537"/>
      <c r="RBO259" s="537"/>
      <c r="RBP259" s="537"/>
      <c r="RBQ259" s="537"/>
      <c r="RBR259" s="537"/>
      <c r="RBS259" s="537"/>
      <c r="RBT259" s="537"/>
      <c r="RBU259" s="537"/>
      <c r="RBV259" s="537"/>
      <c r="RBW259" s="537"/>
      <c r="RBX259" s="537"/>
      <c r="RBY259" s="537"/>
      <c r="RBZ259" s="537"/>
      <c r="RCA259" s="537"/>
      <c r="RCB259" s="537"/>
      <c r="RCC259" s="537"/>
      <c r="RCD259" s="537"/>
      <c r="RCE259" s="537"/>
      <c r="RCF259" s="537"/>
      <c r="RCG259" s="537"/>
      <c r="RCH259" s="537"/>
      <c r="RCI259" s="537"/>
      <c r="RCJ259" s="537"/>
      <c r="RCK259" s="537"/>
      <c r="RCL259" s="537"/>
      <c r="RCM259" s="537"/>
      <c r="RCN259" s="537"/>
      <c r="RCO259" s="537"/>
      <c r="RCP259" s="537"/>
      <c r="RCQ259" s="537"/>
      <c r="RCR259" s="537"/>
      <c r="RCS259" s="537"/>
      <c r="RCT259" s="537"/>
      <c r="RCU259" s="537"/>
      <c r="RCV259" s="537"/>
      <c r="RCW259" s="537"/>
      <c r="RCX259" s="537"/>
      <c r="RCY259" s="537"/>
      <c r="RCZ259" s="537"/>
      <c r="RDA259" s="537"/>
      <c r="RDB259" s="537"/>
      <c r="RDC259" s="537"/>
      <c r="RDD259" s="537"/>
      <c r="RDE259" s="537"/>
      <c r="RDF259" s="537"/>
      <c r="RDG259" s="537"/>
      <c r="RDH259" s="537"/>
      <c r="RDI259" s="537"/>
      <c r="RDJ259" s="537"/>
      <c r="RDK259" s="537"/>
      <c r="RDL259" s="537"/>
      <c r="RDM259" s="537"/>
      <c r="RDN259" s="537"/>
      <c r="RDO259" s="537"/>
      <c r="RDP259" s="537"/>
      <c r="RDQ259" s="537"/>
      <c r="RDR259" s="537"/>
      <c r="RDS259" s="537"/>
      <c r="RDT259" s="537"/>
      <c r="RDU259" s="537"/>
      <c r="RDV259" s="537"/>
      <c r="RDW259" s="537"/>
      <c r="RDX259" s="537"/>
      <c r="RDY259" s="537"/>
      <c r="RDZ259" s="537"/>
      <c r="REA259" s="537"/>
      <c r="REB259" s="537"/>
      <c r="REC259" s="537"/>
      <c r="RED259" s="537"/>
      <c r="REE259" s="537"/>
      <c r="REF259" s="537"/>
      <c r="REG259" s="537"/>
      <c r="REH259" s="537"/>
      <c r="REI259" s="537"/>
      <c r="REJ259" s="537"/>
      <c r="REK259" s="537"/>
      <c r="REL259" s="537"/>
      <c r="REM259" s="537"/>
      <c r="REN259" s="537"/>
      <c r="REO259" s="537"/>
      <c r="REP259" s="537"/>
      <c r="REQ259" s="537"/>
      <c r="RER259" s="537"/>
      <c r="RES259" s="537"/>
      <c r="RET259" s="537"/>
      <c r="REU259" s="537"/>
      <c r="REV259" s="537"/>
      <c r="REW259" s="537"/>
      <c r="REX259" s="537"/>
      <c r="REY259" s="537"/>
      <c r="REZ259" s="537"/>
      <c r="RFA259" s="537"/>
      <c r="RFB259" s="537"/>
      <c r="RFC259" s="537"/>
      <c r="RFD259" s="537"/>
      <c r="RFE259" s="537"/>
      <c r="RFF259" s="537"/>
      <c r="RFG259" s="537"/>
      <c r="RFH259" s="537"/>
      <c r="RFI259" s="537"/>
      <c r="RFJ259" s="537"/>
      <c r="RFK259" s="537"/>
      <c r="RFL259" s="537"/>
      <c r="RFM259" s="537"/>
      <c r="RFN259" s="537"/>
      <c r="RFO259" s="537"/>
      <c r="RFP259" s="537"/>
      <c r="RFQ259" s="537"/>
      <c r="RFR259" s="537"/>
      <c r="RFS259" s="537"/>
      <c r="RFT259" s="537"/>
      <c r="RFU259" s="537"/>
      <c r="RFV259" s="537"/>
      <c r="RFW259" s="537"/>
      <c r="RFX259" s="537"/>
      <c r="RFY259" s="537"/>
      <c r="RFZ259" s="537"/>
      <c r="RGA259" s="537"/>
      <c r="RGB259" s="537"/>
      <c r="RGC259" s="537"/>
      <c r="RGD259" s="537"/>
      <c r="RGE259" s="537"/>
      <c r="RGF259" s="537"/>
      <c r="RGG259" s="537"/>
      <c r="RGH259" s="537"/>
      <c r="RGI259" s="537"/>
      <c r="RGJ259" s="537"/>
      <c r="RGK259" s="537"/>
      <c r="RGL259" s="537"/>
      <c r="RGM259" s="537"/>
      <c r="RGN259" s="537"/>
      <c r="RGO259" s="537"/>
      <c r="RGP259" s="537"/>
      <c r="RGQ259" s="537"/>
      <c r="RGR259" s="537"/>
      <c r="RGS259" s="537"/>
      <c r="RGT259" s="537"/>
      <c r="RGU259" s="537"/>
      <c r="RGV259" s="537"/>
      <c r="RGW259" s="537"/>
      <c r="RGX259" s="537"/>
      <c r="RGY259" s="537"/>
      <c r="RGZ259" s="537"/>
      <c r="RHA259" s="537"/>
      <c r="RHB259" s="537"/>
      <c r="RHC259" s="537"/>
      <c r="RHD259" s="537"/>
      <c r="RHE259" s="537"/>
      <c r="RHF259" s="537"/>
      <c r="RHG259" s="537"/>
      <c r="RHH259" s="537"/>
      <c r="RHI259" s="537"/>
      <c r="RHJ259" s="537"/>
      <c r="RHK259" s="537"/>
      <c r="RHL259" s="537"/>
      <c r="RHM259" s="537"/>
      <c r="RHN259" s="537"/>
      <c r="RHO259" s="537"/>
      <c r="RHP259" s="537"/>
      <c r="RHQ259" s="537"/>
      <c r="RHR259" s="537"/>
      <c r="RHS259" s="537"/>
      <c r="RHT259" s="537"/>
      <c r="RHU259" s="537"/>
      <c r="RHV259" s="537"/>
      <c r="RHW259" s="537"/>
      <c r="RHX259" s="537"/>
      <c r="RHY259" s="537"/>
      <c r="RHZ259" s="537"/>
      <c r="RIA259" s="537"/>
      <c r="RIB259" s="537"/>
      <c r="RIC259" s="537"/>
      <c r="RID259" s="537"/>
      <c r="RIE259" s="537"/>
      <c r="RIF259" s="537"/>
      <c r="RIG259" s="537"/>
      <c r="RIH259" s="537"/>
      <c r="RII259" s="537"/>
      <c r="RIJ259" s="537"/>
      <c r="RIK259" s="537"/>
      <c r="RIL259" s="537"/>
      <c r="RIM259" s="537"/>
      <c r="RIN259" s="537"/>
      <c r="RIO259" s="537"/>
      <c r="RIP259" s="537"/>
      <c r="RIQ259" s="537"/>
      <c r="RIR259" s="537"/>
      <c r="RIS259" s="537"/>
      <c r="RIT259" s="537"/>
      <c r="RIU259" s="537"/>
      <c r="RIV259" s="537"/>
      <c r="RIW259" s="537"/>
      <c r="RIX259" s="537"/>
      <c r="RIY259" s="537"/>
      <c r="RIZ259" s="537"/>
      <c r="RJA259" s="537"/>
      <c r="RJB259" s="537"/>
      <c r="RJC259" s="537"/>
      <c r="RJD259" s="537"/>
      <c r="RJE259" s="537"/>
      <c r="RJF259" s="537"/>
      <c r="RJG259" s="537"/>
      <c r="RJH259" s="537"/>
      <c r="RJI259" s="537"/>
      <c r="RJJ259" s="537"/>
      <c r="RJK259" s="537"/>
      <c r="RJL259" s="537"/>
      <c r="RJM259" s="537"/>
      <c r="RJN259" s="537"/>
      <c r="RJO259" s="537"/>
      <c r="RJP259" s="537"/>
      <c r="RJQ259" s="537"/>
      <c r="RJR259" s="537"/>
      <c r="RJS259" s="537"/>
      <c r="RJT259" s="537"/>
      <c r="RJU259" s="537"/>
      <c r="RJV259" s="537"/>
      <c r="RJW259" s="537"/>
      <c r="RJX259" s="537"/>
      <c r="RJY259" s="537"/>
      <c r="RJZ259" s="537"/>
      <c r="RKA259" s="537"/>
      <c r="RKB259" s="537"/>
      <c r="RKC259" s="537"/>
      <c r="RKD259" s="537"/>
      <c r="RKE259" s="537"/>
      <c r="RKF259" s="537"/>
      <c r="RKG259" s="537"/>
      <c r="RKH259" s="537"/>
      <c r="RKI259" s="537"/>
      <c r="RKJ259" s="537"/>
      <c r="RKK259" s="537"/>
      <c r="RKL259" s="537"/>
      <c r="RKM259" s="537"/>
      <c r="RKN259" s="537"/>
      <c r="RKO259" s="537"/>
      <c r="RKP259" s="537"/>
      <c r="RKQ259" s="537"/>
      <c r="RKR259" s="537"/>
      <c r="RKS259" s="537"/>
      <c r="RKT259" s="537"/>
      <c r="RKU259" s="537"/>
      <c r="RKV259" s="537"/>
      <c r="RKW259" s="537"/>
      <c r="RKX259" s="537"/>
      <c r="RKY259" s="537"/>
      <c r="RKZ259" s="537"/>
      <c r="RLA259" s="537"/>
      <c r="RLB259" s="537"/>
      <c r="RLC259" s="537"/>
      <c r="RLD259" s="537"/>
      <c r="RLE259" s="537"/>
      <c r="RLF259" s="537"/>
      <c r="RLG259" s="537"/>
      <c r="RLH259" s="537"/>
      <c r="RLI259" s="537"/>
      <c r="RLJ259" s="537"/>
      <c r="RLK259" s="537"/>
      <c r="RLL259" s="537"/>
      <c r="RLM259" s="537"/>
      <c r="RLN259" s="537"/>
      <c r="RLO259" s="537"/>
      <c r="RLP259" s="537"/>
      <c r="RLQ259" s="537"/>
      <c r="RLR259" s="537"/>
      <c r="RLS259" s="537"/>
      <c r="RLT259" s="537"/>
      <c r="RLU259" s="537"/>
      <c r="RLV259" s="537"/>
      <c r="RLW259" s="537"/>
      <c r="RLX259" s="537"/>
      <c r="RLY259" s="537"/>
      <c r="RLZ259" s="537"/>
      <c r="RMA259" s="537"/>
      <c r="RMB259" s="537"/>
      <c r="RMC259" s="537"/>
      <c r="RMD259" s="537"/>
      <c r="RME259" s="537"/>
      <c r="RMF259" s="537"/>
      <c r="RMG259" s="537"/>
      <c r="RMH259" s="537"/>
      <c r="RMI259" s="537"/>
      <c r="RMJ259" s="537"/>
      <c r="RMK259" s="537"/>
      <c r="RML259" s="537"/>
      <c r="RMM259" s="537"/>
      <c r="RMN259" s="537"/>
      <c r="RMO259" s="537"/>
      <c r="RMP259" s="537"/>
      <c r="RMQ259" s="537"/>
      <c r="RMR259" s="537"/>
      <c r="RMS259" s="537"/>
      <c r="RMT259" s="537"/>
      <c r="RMU259" s="537"/>
      <c r="RMV259" s="537"/>
      <c r="RMW259" s="537"/>
      <c r="RMX259" s="537"/>
      <c r="RMY259" s="537"/>
      <c r="RMZ259" s="537"/>
      <c r="RNA259" s="537"/>
      <c r="RNB259" s="537"/>
      <c r="RNC259" s="537"/>
      <c r="RND259" s="537"/>
      <c r="RNE259" s="537"/>
      <c r="RNF259" s="537"/>
      <c r="RNG259" s="537"/>
      <c r="RNH259" s="537"/>
      <c r="RNI259" s="537"/>
      <c r="RNJ259" s="537"/>
      <c r="RNK259" s="537"/>
      <c r="RNL259" s="537"/>
      <c r="RNM259" s="537"/>
      <c r="RNN259" s="537"/>
      <c r="RNO259" s="537"/>
      <c r="RNP259" s="537"/>
      <c r="RNQ259" s="537"/>
      <c r="RNR259" s="537"/>
      <c r="RNS259" s="537"/>
      <c r="RNT259" s="537"/>
      <c r="RNU259" s="537"/>
      <c r="RNV259" s="537"/>
      <c r="RNW259" s="537"/>
      <c r="RNX259" s="537"/>
      <c r="RNY259" s="537"/>
      <c r="RNZ259" s="537"/>
      <c r="ROA259" s="537"/>
      <c r="ROB259" s="537"/>
      <c r="ROC259" s="537"/>
      <c r="ROD259" s="537"/>
      <c r="ROE259" s="537"/>
      <c r="ROF259" s="537"/>
      <c r="ROG259" s="537"/>
      <c r="ROH259" s="537"/>
      <c r="ROI259" s="537"/>
      <c r="ROJ259" s="537"/>
      <c r="ROK259" s="537"/>
      <c r="ROL259" s="537"/>
      <c r="ROM259" s="537"/>
      <c r="RON259" s="537"/>
      <c r="ROO259" s="537"/>
      <c r="ROP259" s="537"/>
      <c r="ROQ259" s="537"/>
      <c r="ROR259" s="537"/>
      <c r="ROS259" s="537"/>
      <c r="ROT259" s="537"/>
      <c r="ROU259" s="537"/>
      <c r="ROV259" s="537"/>
      <c r="ROW259" s="537"/>
      <c r="ROX259" s="537"/>
      <c r="ROY259" s="537"/>
      <c r="ROZ259" s="537"/>
      <c r="RPA259" s="537"/>
      <c r="RPB259" s="537"/>
      <c r="RPC259" s="537"/>
      <c r="RPD259" s="537"/>
      <c r="RPE259" s="537"/>
      <c r="RPF259" s="537"/>
      <c r="RPG259" s="537"/>
      <c r="RPH259" s="537"/>
      <c r="RPI259" s="537"/>
      <c r="RPJ259" s="537"/>
      <c r="RPK259" s="537"/>
      <c r="RPL259" s="537"/>
      <c r="RPM259" s="537"/>
      <c r="RPN259" s="537"/>
      <c r="RPO259" s="537"/>
      <c r="RPP259" s="537"/>
      <c r="RPQ259" s="537"/>
      <c r="RPR259" s="537"/>
      <c r="RPS259" s="537"/>
      <c r="RPT259" s="537"/>
      <c r="RPU259" s="537"/>
      <c r="RPV259" s="537"/>
      <c r="RPW259" s="537"/>
      <c r="RPX259" s="537"/>
      <c r="RPY259" s="537"/>
      <c r="RPZ259" s="537"/>
      <c r="RQA259" s="537"/>
      <c r="RQB259" s="537"/>
      <c r="RQC259" s="537"/>
      <c r="RQD259" s="537"/>
      <c r="RQE259" s="537"/>
      <c r="RQF259" s="537"/>
      <c r="RQG259" s="537"/>
      <c r="RQH259" s="537"/>
      <c r="RQI259" s="537"/>
      <c r="RQJ259" s="537"/>
      <c r="RQK259" s="537"/>
      <c r="RQL259" s="537"/>
      <c r="RQM259" s="537"/>
      <c r="RQN259" s="537"/>
      <c r="RQO259" s="537"/>
      <c r="RQP259" s="537"/>
      <c r="RQQ259" s="537"/>
      <c r="RQR259" s="537"/>
      <c r="RQS259" s="537"/>
      <c r="RQT259" s="537"/>
      <c r="RQU259" s="537"/>
      <c r="RQV259" s="537"/>
      <c r="RQW259" s="537"/>
      <c r="RQX259" s="537"/>
      <c r="RQY259" s="537"/>
      <c r="RQZ259" s="537"/>
      <c r="RRA259" s="537"/>
      <c r="RRB259" s="537"/>
      <c r="RRC259" s="537"/>
      <c r="RRD259" s="537"/>
      <c r="RRE259" s="537"/>
      <c r="RRF259" s="537"/>
      <c r="RRG259" s="537"/>
      <c r="RRH259" s="537"/>
      <c r="RRI259" s="537"/>
      <c r="RRJ259" s="537"/>
      <c r="RRK259" s="537"/>
      <c r="RRL259" s="537"/>
      <c r="RRM259" s="537"/>
      <c r="RRN259" s="537"/>
      <c r="RRO259" s="537"/>
      <c r="RRP259" s="537"/>
      <c r="RRQ259" s="537"/>
      <c r="RRR259" s="537"/>
      <c r="RRS259" s="537"/>
      <c r="RRT259" s="537"/>
      <c r="RRU259" s="537"/>
      <c r="RRV259" s="537"/>
      <c r="RRW259" s="537"/>
      <c r="RRX259" s="537"/>
      <c r="RRY259" s="537"/>
      <c r="RRZ259" s="537"/>
      <c r="RSA259" s="537"/>
      <c r="RSB259" s="537"/>
      <c r="RSC259" s="537"/>
      <c r="RSD259" s="537"/>
      <c r="RSE259" s="537"/>
      <c r="RSF259" s="537"/>
      <c r="RSG259" s="537"/>
      <c r="RSH259" s="537"/>
      <c r="RSI259" s="537"/>
      <c r="RSJ259" s="537"/>
      <c r="RSK259" s="537"/>
      <c r="RSL259" s="537"/>
      <c r="RSM259" s="537"/>
      <c r="RSN259" s="537"/>
      <c r="RSO259" s="537"/>
      <c r="RSP259" s="537"/>
      <c r="RSQ259" s="537"/>
      <c r="RSR259" s="537"/>
      <c r="RSS259" s="537"/>
      <c r="RST259" s="537"/>
      <c r="RSU259" s="537"/>
      <c r="RSV259" s="537"/>
      <c r="RSW259" s="537"/>
      <c r="RSX259" s="537"/>
      <c r="RSY259" s="537"/>
      <c r="RSZ259" s="537"/>
      <c r="RTA259" s="537"/>
      <c r="RTB259" s="537"/>
      <c r="RTC259" s="537"/>
      <c r="RTD259" s="537"/>
      <c r="RTE259" s="537"/>
      <c r="RTF259" s="537"/>
      <c r="RTG259" s="537"/>
      <c r="RTH259" s="537"/>
      <c r="RTI259" s="537"/>
      <c r="RTJ259" s="537"/>
      <c r="RTK259" s="537"/>
      <c r="RTL259" s="537"/>
      <c r="RTM259" s="537"/>
      <c r="RTN259" s="537"/>
      <c r="RTO259" s="537"/>
      <c r="RTP259" s="537"/>
      <c r="RTQ259" s="537"/>
      <c r="RTR259" s="537"/>
      <c r="RTS259" s="537"/>
      <c r="RTT259" s="537"/>
      <c r="RTU259" s="537"/>
      <c r="RTV259" s="537"/>
      <c r="RTW259" s="537"/>
      <c r="RTX259" s="537"/>
      <c r="RTY259" s="537"/>
      <c r="RTZ259" s="537"/>
      <c r="RUA259" s="537"/>
      <c r="RUB259" s="537"/>
      <c r="RUC259" s="537"/>
      <c r="RUD259" s="537"/>
      <c r="RUE259" s="537"/>
      <c r="RUF259" s="537"/>
      <c r="RUG259" s="537"/>
      <c r="RUH259" s="537"/>
      <c r="RUI259" s="537"/>
      <c r="RUJ259" s="537"/>
      <c r="RUK259" s="537"/>
      <c r="RUL259" s="537"/>
      <c r="RUM259" s="537"/>
      <c r="RUN259" s="537"/>
      <c r="RUO259" s="537"/>
      <c r="RUP259" s="537"/>
      <c r="RUQ259" s="537"/>
      <c r="RUR259" s="537"/>
      <c r="RUS259" s="537"/>
      <c r="RUT259" s="537"/>
      <c r="RUU259" s="537"/>
      <c r="RUV259" s="537"/>
      <c r="RUW259" s="537"/>
      <c r="RUX259" s="537"/>
      <c r="RUY259" s="537"/>
      <c r="RUZ259" s="537"/>
      <c r="RVA259" s="537"/>
      <c r="RVB259" s="537"/>
      <c r="RVC259" s="537"/>
      <c r="RVD259" s="537"/>
      <c r="RVE259" s="537"/>
      <c r="RVF259" s="537"/>
      <c r="RVG259" s="537"/>
      <c r="RVH259" s="537"/>
      <c r="RVI259" s="537"/>
      <c r="RVJ259" s="537"/>
      <c r="RVK259" s="537"/>
      <c r="RVL259" s="537"/>
      <c r="RVM259" s="537"/>
      <c r="RVN259" s="537"/>
      <c r="RVO259" s="537"/>
      <c r="RVP259" s="537"/>
      <c r="RVQ259" s="537"/>
      <c r="RVR259" s="537"/>
      <c r="RVS259" s="537"/>
      <c r="RVT259" s="537"/>
      <c r="RVU259" s="537"/>
      <c r="RVV259" s="537"/>
      <c r="RVW259" s="537"/>
      <c r="RVX259" s="537"/>
      <c r="RVY259" s="537"/>
      <c r="RVZ259" s="537"/>
      <c r="RWA259" s="537"/>
      <c r="RWB259" s="537"/>
      <c r="RWC259" s="537"/>
      <c r="RWD259" s="537"/>
      <c r="RWE259" s="537"/>
      <c r="RWF259" s="537"/>
      <c r="RWG259" s="537"/>
      <c r="RWH259" s="537"/>
      <c r="RWI259" s="537"/>
      <c r="RWJ259" s="537"/>
      <c r="RWK259" s="537"/>
      <c r="RWL259" s="537"/>
      <c r="RWM259" s="537"/>
      <c r="RWN259" s="537"/>
      <c r="RWO259" s="537"/>
      <c r="RWP259" s="537"/>
      <c r="RWQ259" s="537"/>
      <c r="RWR259" s="537"/>
      <c r="RWS259" s="537"/>
      <c r="RWT259" s="537"/>
      <c r="RWU259" s="537"/>
      <c r="RWV259" s="537"/>
      <c r="RWW259" s="537"/>
      <c r="RWX259" s="537"/>
      <c r="RWY259" s="537"/>
      <c r="RWZ259" s="537"/>
      <c r="RXA259" s="537"/>
      <c r="RXB259" s="537"/>
      <c r="RXC259" s="537"/>
      <c r="RXD259" s="537"/>
      <c r="RXE259" s="537"/>
      <c r="RXF259" s="537"/>
      <c r="RXG259" s="537"/>
      <c r="RXH259" s="537"/>
      <c r="RXI259" s="537"/>
      <c r="RXJ259" s="537"/>
      <c r="RXK259" s="537"/>
      <c r="RXL259" s="537"/>
      <c r="RXM259" s="537"/>
      <c r="RXN259" s="537"/>
      <c r="RXO259" s="537"/>
      <c r="RXP259" s="537"/>
      <c r="RXQ259" s="537"/>
      <c r="RXR259" s="537"/>
      <c r="RXS259" s="537"/>
      <c r="RXT259" s="537"/>
      <c r="RXU259" s="537"/>
      <c r="RXV259" s="537"/>
      <c r="RXW259" s="537"/>
      <c r="RXX259" s="537"/>
      <c r="RXY259" s="537"/>
      <c r="RXZ259" s="537"/>
      <c r="RYA259" s="537"/>
      <c r="RYB259" s="537"/>
      <c r="RYC259" s="537"/>
      <c r="RYD259" s="537"/>
      <c r="RYE259" s="537"/>
      <c r="RYF259" s="537"/>
      <c r="RYG259" s="537"/>
      <c r="RYH259" s="537"/>
      <c r="RYI259" s="537"/>
      <c r="RYJ259" s="537"/>
      <c r="RYK259" s="537"/>
      <c r="RYL259" s="537"/>
      <c r="RYM259" s="537"/>
      <c r="RYN259" s="537"/>
      <c r="RYO259" s="537"/>
      <c r="RYP259" s="537"/>
      <c r="RYQ259" s="537"/>
      <c r="RYR259" s="537"/>
      <c r="RYS259" s="537"/>
      <c r="RYT259" s="537"/>
      <c r="RYU259" s="537"/>
      <c r="RYV259" s="537"/>
      <c r="RYW259" s="537"/>
      <c r="RYX259" s="537"/>
      <c r="RYY259" s="537"/>
      <c r="RYZ259" s="537"/>
      <c r="RZA259" s="537"/>
      <c r="RZB259" s="537"/>
      <c r="RZC259" s="537"/>
      <c r="RZD259" s="537"/>
      <c r="RZE259" s="537"/>
      <c r="RZF259" s="537"/>
      <c r="RZG259" s="537"/>
      <c r="RZH259" s="537"/>
      <c r="RZI259" s="537"/>
      <c r="RZJ259" s="537"/>
      <c r="RZK259" s="537"/>
      <c r="RZL259" s="537"/>
      <c r="RZM259" s="537"/>
      <c r="RZN259" s="537"/>
      <c r="RZO259" s="537"/>
      <c r="RZP259" s="537"/>
      <c r="RZQ259" s="537"/>
      <c r="RZR259" s="537"/>
      <c r="RZS259" s="537"/>
      <c r="RZT259" s="537"/>
      <c r="RZU259" s="537"/>
      <c r="RZV259" s="537"/>
      <c r="RZW259" s="537"/>
      <c r="RZX259" s="537"/>
      <c r="RZY259" s="537"/>
      <c r="RZZ259" s="537"/>
      <c r="SAA259" s="537"/>
      <c r="SAB259" s="537"/>
      <c r="SAC259" s="537"/>
      <c r="SAD259" s="537"/>
      <c r="SAE259" s="537"/>
      <c r="SAF259" s="537"/>
      <c r="SAG259" s="537"/>
      <c r="SAH259" s="537"/>
      <c r="SAI259" s="537"/>
      <c r="SAJ259" s="537"/>
      <c r="SAK259" s="537"/>
      <c r="SAL259" s="537"/>
      <c r="SAM259" s="537"/>
      <c r="SAN259" s="537"/>
      <c r="SAO259" s="537"/>
      <c r="SAP259" s="537"/>
      <c r="SAQ259" s="537"/>
      <c r="SAR259" s="537"/>
      <c r="SAS259" s="537"/>
      <c r="SAT259" s="537"/>
      <c r="SAU259" s="537"/>
      <c r="SAV259" s="537"/>
      <c r="SAW259" s="537"/>
      <c r="SAX259" s="537"/>
      <c r="SAY259" s="537"/>
      <c r="SAZ259" s="537"/>
      <c r="SBA259" s="537"/>
      <c r="SBB259" s="537"/>
      <c r="SBC259" s="537"/>
      <c r="SBD259" s="537"/>
      <c r="SBE259" s="537"/>
      <c r="SBF259" s="537"/>
      <c r="SBG259" s="537"/>
      <c r="SBH259" s="537"/>
      <c r="SBI259" s="537"/>
      <c r="SBJ259" s="537"/>
      <c r="SBK259" s="537"/>
      <c r="SBL259" s="537"/>
      <c r="SBM259" s="537"/>
      <c r="SBN259" s="537"/>
      <c r="SBO259" s="537"/>
      <c r="SBP259" s="537"/>
      <c r="SBQ259" s="537"/>
      <c r="SBR259" s="537"/>
      <c r="SBS259" s="537"/>
      <c r="SBT259" s="537"/>
      <c r="SBU259" s="537"/>
      <c r="SBV259" s="537"/>
      <c r="SBW259" s="537"/>
      <c r="SBX259" s="537"/>
      <c r="SBY259" s="537"/>
      <c r="SBZ259" s="537"/>
      <c r="SCA259" s="537"/>
      <c r="SCB259" s="537"/>
      <c r="SCC259" s="537"/>
      <c r="SCD259" s="537"/>
      <c r="SCE259" s="537"/>
      <c r="SCF259" s="537"/>
      <c r="SCG259" s="537"/>
      <c r="SCH259" s="537"/>
      <c r="SCI259" s="537"/>
      <c r="SCJ259" s="537"/>
      <c r="SCK259" s="537"/>
      <c r="SCL259" s="537"/>
      <c r="SCM259" s="537"/>
      <c r="SCN259" s="537"/>
      <c r="SCO259" s="537"/>
      <c r="SCP259" s="537"/>
      <c r="SCQ259" s="537"/>
      <c r="SCR259" s="537"/>
      <c r="SCS259" s="537"/>
      <c r="SCT259" s="537"/>
      <c r="SCU259" s="537"/>
      <c r="SCV259" s="537"/>
      <c r="SCW259" s="537"/>
      <c r="SCX259" s="537"/>
      <c r="SCY259" s="537"/>
      <c r="SCZ259" s="537"/>
      <c r="SDA259" s="537"/>
      <c r="SDB259" s="537"/>
      <c r="SDC259" s="537"/>
      <c r="SDD259" s="537"/>
      <c r="SDE259" s="537"/>
      <c r="SDF259" s="537"/>
      <c r="SDG259" s="537"/>
      <c r="SDH259" s="537"/>
      <c r="SDI259" s="537"/>
      <c r="SDJ259" s="537"/>
      <c r="SDK259" s="537"/>
      <c r="SDL259" s="537"/>
      <c r="SDM259" s="537"/>
      <c r="SDN259" s="537"/>
      <c r="SDO259" s="537"/>
      <c r="SDP259" s="537"/>
      <c r="SDQ259" s="537"/>
      <c r="SDR259" s="537"/>
      <c r="SDS259" s="537"/>
      <c r="SDT259" s="537"/>
      <c r="SDU259" s="537"/>
      <c r="SDV259" s="537"/>
      <c r="SDW259" s="537"/>
      <c r="SDX259" s="537"/>
      <c r="SDY259" s="537"/>
      <c r="SDZ259" s="537"/>
      <c r="SEA259" s="537"/>
      <c r="SEB259" s="537"/>
      <c r="SEC259" s="537"/>
      <c r="SED259" s="537"/>
      <c r="SEE259" s="537"/>
      <c r="SEF259" s="537"/>
      <c r="SEG259" s="537"/>
      <c r="SEH259" s="537"/>
      <c r="SEI259" s="537"/>
      <c r="SEJ259" s="537"/>
      <c r="SEK259" s="537"/>
      <c r="SEL259" s="537"/>
      <c r="SEM259" s="537"/>
      <c r="SEN259" s="537"/>
      <c r="SEO259" s="537"/>
      <c r="SEP259" s="537"/>
      <c r="SEQ259" s="537"/>
      <c r="SER259" s="537"/>
      <c r="SES259" s="537"/>
      <c r="SET259" s="537"/>
      <c r="SEU259" s="537"/>
      <c r="SEV259" s="537"/>
      <c r="SEW259" s="537"/>
      <c r="SEX259" s="537"/>
      <c r="SEY259" s="537"/>
      <c r="SEZ259" s="537"/>
      <c r="SFA259" s="537"/>
      <c r="SFB259" s="537"/>
      <c r="SFC259" s="537"/>
      <c r="SFD259" s="537"/>
      <c r="SFE259" s="537"/>
      <c r="SFF259" s="537"/>
      <c r="SFG259" s="537"/>
      <c r="SFH259" s="537"/>
      <c r="SFI259" s="537"/>
      <c r="SFJ259" s="537"/>
      <c r="SFK259" s="537"/>
      <c r="SFL259" s="537"/>
      <c r="SFM259" s="537"/>
      <c r="SFN259" s="537"/>
      <c r="SFO259" s="537"/>
      <c r="SFP259" s="537"/>
      <c r="SFQ259" s="537"/>
      <c r="SFR259" s="537"/>
      <c r="SFS259" s="537"/>
      <c r="SFT259" s="537"/>
      <c r="SFU259" s="537"/>
      <c r="SFV259" s="537"/>
      <c r="SFW259" s="537"/>
      <c r="SFX259" s="537"/>
      <c r="SFY259" s="537"/>
      <c r="SFZ259" s="537"/>
      <c r="SGA259" s="537"/>
      <c r="SGB259" s="537"/>
      <c r="SGC259" s="537"/>
      <c r="SGD259" s="537"/>
      <c r="SGE259" s="537"/>
      <c r="SGF259" s="537"/>
      <c r="SGG259" s="537"/>
      <c r="SGH259" s="537"/>
      <c r="SGI259" s="537"/>
      <c r="SGJ259" s="537"/>
      <c r="SGK259" s="537"/>
      <c r="SGL259" s="537"/>
      <c r="SGM259" s="537"/>
      <c r="SGN259" s="537"/>
      <c r="SGO259" s="537"/>
      <c r="SGP259" s="537"/>
      <c r="SGQ259" s="537"/>
      <c r="SGR259" s="537"/>
      <c r="SGS259" s="537"/>
      <c r="SGT259" s="537"/>
      <c r="SGU259" s="537"/>
      <c r="SGV259" s="537"/>
      <c r="SGW259" s="537"/>
      <c r="SGX259" s="537"/>
      <c r="SGY259" s="537"/>
      <c r="SGZ259" s="537"/>
      <c r="SHA259" s="537"/>
      <c r="SHB259" s="537"/>
      <c r="SHC259" s="537"/>
      <c r="SHD259" s="537"/>
      <c r="SHE259" s="537"/>
      <c r="SHF259" s="537"/>
      <c r="SHG259" s="537"/>
      <c r="SHH259" s="537"/>
      <c r="SHI259" s="537"/>
      <c r="SHJ259" s="537"/>
      <c r="SHK259" s="537"/>
      <c r="SHL259" s="537"/>
      <c r="SHM259" s="537"/>
      <c r="SHN259" s="537"/>
      <c r="SHO259" s="537"/>
      <c r="SHP259" s="537"/>
      <c r="SHQ259" s="537"/>
      <c r="SHR259" s="537"/>
      <c r="SHS259" s="537"/>
      <c r="SHT259" s="537"/>
      <c r="SHU259" s="537"/>
      <c r="SHV259" s="537"/>
      <c r="SHW259" s="537"/>
      <c r="SHX259" s="537"/>
      <c r="SHY259" s="537"/>
      <c r="SHZ259" s="537"/>
      <c r="SIA259" s="537"/>
      <c r="SIB259" s="537"/>
      <c r="SIC259" s="537"/>
      <c r="SID259" s="537"/>
      <c r="SIE259" s="537"/>
      <c r="SIF259" s="537"/>
      <c r="SIG259" s="537"/>
      <c r="SIH259" s="537"/>
      <c r="SII259" s="537"/>
      <c r="SIJ259" s="537"/>
      <c r="SIK259" s="537"/>
      <c r="SIL259" s="537"/>
      <c r="SIM259" s="537"/>
      <c r="SIN259" s="537"/>
      <c r="SIO259" s="537"/>
      <c r="SIP259" s="537"/>
      <c r="SIQ259" s="537"/>
      <c r="SIR259" s="537"/>
      <c r="SIS259" s="537"/>
      <c r="SIT259" s="537"/>
      <c r="SIU259" s="537"/>
      <c r="SIV259" s="537"/>
      <c r="SIW259" s="537"/>
      <c r="SIX259" s="537"/>
      <c r="SIY259" s="537"/>
      <c r="SIZ259" s="537"/>
      <c r="SJA259" s="537"/>
      <c r="SJB259" s="537"/>
      <c r="SJC259" s="537"/>
      <c r="SJD259" s="537"/>
      <c r="SJE259" s="537"/>
      <c r="SJF259" s="537"/>
      <c r="SJG259" s="537"/>
      <c r="SJH259" s="537"/>
      <c r="SJI259" s="537"/>
      <c r="SJJ259" s="537"/>
      <c r="SJK259" s="537"/>
      <c r="SJL259" s="537"/>
      <c r="SJM259" s="537"/>
      <c r="SJN259" s="537"/>
      <c r="SJO259" s="537"/>
      <c r="SJP259" s="537"/>
      <c r="SJQ259" s="537"/>
      <c r="SJR259" s="537"/>
      <c r="SJS259" s="537"/>
      <c r="SJT259" s="537"/>
      <c r="SJU259" s="537"/>
      <c r="SJV259" s="537"/>
      <c r="SJW259" s="537"/>
      <c r="SJX259" s="537"/>
      <c r="SJY259" s="537"/>
      <c r="SJZ259" s="537"/>
      <c r="SKA259" s="537"/>
      <c r="SKB259" s="537"/>
      <c r="SKC259" s="537"/>
      <c r="SKD259" s="537"/>
      <c r="SKE259" s="537"/>
      <c r="SKF259" s="537"/>
      <c r="SKG259" s="537"/>
      <c r="SKH259" s="537"/>
      <c r="SKI259" s="537"/>
      <c r="SKJ259" s="537"/>
      <c r="SKK259" s="537"/>
      <c r="SKL259" s="537"/>
      <c r="SKM259" s="537"/>
      <c r="SKN259" s="537"/>
      <c r="SKO259" s="537"/>
      <c r="SKP259" s="537"/>
      <c r="SKQ259" s="537"/>
      <c r="SKR259" s="537"/>
      <c r="SKS259" s="537"/>
      <c r="SKT259" s="537"/>
      <c r="SKU259" s="537"/>
      <c r="SKV259" s="537"/>
      <c r="SKW259" s="537"/>
      <c r="SKX259" s="537"/>
      <c r="SKY259" s="537"/>
      <c r="SKZ259" s="537"/>
      <c r="SLA259" s="537"/>
      <c r="SLB259" s="537"/>
      <c r="SLC259" s="537"/>
      <c r="SLD259" s="537"/>
      <c r="SLE259" s="537"/>
      <c r="SLF259" s="537"/>
      <c r="SLG259" s="537"/>
      <c r="SLH259" s="537"/>
      <c r="SLI259" s="537"/>
      <c r="SLJ259" s="537"/>
      <c r="SLK259" s="537"/>
      <c r="SLL259" s="537"/>
      <c r="SLM259" s="537"/>
      <c r="SLN259" s="537"/>
      <c r="SLO259" s="537"/>
      <c r="SLP259" s="537"/>
      <c r="SLQ259" s="537"/>
      <c r="SLR259" s="537"/>
      <c r="SLS259" s="537"/>
      <c r="SLT259" s="537"/>
      <c r="SLU259" s="537"/>
      <c r="SLV259" s="537"/>
      <c r="SLW259" s="537"/>
      <c r="SLX259" s="537"/>
      <c r="SLY259" s="537"/>
      <c r="SLZ259" s="537"/>
      <c r="SMA259" s="537"/>
      <c r="SMB259" s="537"/>
      <c r="SMC259" s="537"/>
      <c r="SMD259" s="537"/>
      <c r="SME259" s="537"/>
      <c r="SMF259" s="537"/>
      <c r="SMG259" s="537"/>
      <c r="SMH259" s="537"/>
      <c r="SMI259" s="537"/>
      <c r="SMJ259" s="537"/>
      <c r="SMK259" s="537"/>
      <c r="SML259" s="537"/>
      <c r="SMM259" s="537"/>
      <c r="SMN259" s="537"/>
      <c r="SMO259" s="537"/>
      <c r="SMP259" s="537"/>
      <c r="SMQ259" s="537"/>
      <c r="SMR259" s="537"/>
      <c r="SMS259" s="537"/>
      <c r="SMT259" s="537"/>
      <c r="SMU259" s="537"/>
      <c r="SMV259" s="537"/>
      <c r="SMW259" s="537"/>
      <c r="SMX259" s="537"/>
      <c r="SMY259" s="537"/>
      <c r="SMZ259" s="537"/>
      <c r="SNA259" s="537"/>
      <c r="SNB259" s="537"/>
      <c r="SNC259" s="537"/>
      <c r="SND259" s="537"/>
      <c r="SNE259" s="537"/>
      <c r="SNF259" s="537"/>
      <c r="SNG259" s="537"/>
      <c r="SNH259" s="537"/>
      <c r="SNI259" s="537"/>
      <c r="SNJ259" s="537"/>
      <c r="SNK259" s="537"/>
      <c r="SNL259" s="537"/>
      <c r="SNM259" s="537"/>
      <c r="SNN259" s="537"/>
      <c r="SNO259" s="537"/>
      <c r="SNP259" s="537"/>
      <c r="SNQ259" s="537"/>
      <c r="SNR259" s="537"/>
      <c r="SNS259" s="537"/>
      <c r="SNT259" s="537"/>
      <c r="SNU259" s="537"/>
      <c r="SNV259" s="537"/>
      <c r="SNW259" s="537"/>
      <c r="SNX259" s="537"/>
      <c r="SNY259" s="537"/>
      <c r="SNZ259" s="537"/>
      <c r="SOA259" s="537"/>
      <c r="SOB259" s="537"/>
      <c r="SOC259" s="537"/>
      <c r="SOD259" s="537"/>
      <c r="SOE259" s="537"/>
      <c r="SOF259" s="537"/>
      <c r="SOG259" s="537"/>
      <c r="SOH259" s="537"/>
      <c r="SOI259" s="537"/>
      <c r="SOJ259" s="537"/>
      <c r="SOK259" s="537"/>
      <c r="SOL259" s="537"/>
      <c r="SOM259" s="537"/>
      <c r="SON259" s="537"/>
      <c r="SOO259" s="537"/>
      <c r="SOP259" s="537"/>
      <c r="SOQ259" s="537"/>
      <c r="SOR259" s="537"/>
      <c r="SOS259" s="537"/>
      <c r="SOT259" s="537"/>
      <c r="SOU259" s="537"/>
      <c r="SOV259" s="537"/>
      <c r="SOW259" s="537"/>
      <c r="SOX259" s="537"/>
      <c r="SOY259" s="537"/>
      <c r="SOZ259" s="537"/>
      <c r="SPA259" s="537"/>
      <c r="SPB259" s="537"/>
      <c r="SPC259" s="537"/>
      <c r="SPD259" s="537"/>
      <c r="SPE259" s="537"/>
      <c r="SPF259" s="537"/>
      <c r="SPG259" s="537"/>
      <c r="SPH259" s="537"/>
      <c r="SPI259" s="537"/>
      <c r="SPJ259" s="537"/>
      <c r="SPK259" s="537"/>
      <c r="SPL259" s="537"/>
      <c r="SPM259" s="537"/>
      <c r="SPN259" s="537"/>
      <c r="SPO259" s="537"/>
      <c r="SPP259" s="537"/>
      <c r="SPQ259" s="537"/>
      <c r="SPR259" s="537"/>
      <c r="SPS259" s="537"/>
      <c r="SPT259" s="537"/>
      <c r="SPU259" s="537"/>
      <c r="SPV259" s="537"/>
      <c r="SPW259" s="537"/>
      <c r="SPX259" s="537"/>
      <c r="SPY259" s="537"/>
      <c r="SPZ259" s="537"/>
      <c r="SQA259" s="537"/>
      <c r="SQB259" s="537"/>
      <c r="SQC259" s="537"/>
      <c r="SQD259" s="537"/>
      <c r="SQE259" s="537"/>
      <c r="SQF259" s="537"/>
      <c r="SQG259" s="537"/>
      <c r="SQH259" s="537"/>
      <c r="SQI259" s="537"/>
      <c r="SQJ259" s="537"/>
      <c r="SQK259" s="537"/>
      <c r="SQL259" s="537"/>
      <c r="SQM259" s="537"/>
      <c r="SQN259" s="537"/>
      <c r="SQO259" s="537"/>
      <c r="SQP259" s="537"/>
      <c r="SQQ259" s="537"/>
      <c r="SQR259" s="537"/>
      <c r="SQS259" s="537"/>
      <c r="SQT259" s="537"/>
      <c r="SQU259" s="537"/>
      <c r="SQV259" s="537"/>
      <c r="SQW259" s="537"/>
      <c r="SQX259" s="537"/>
      <c r="SQY259" s="537"/>
      <c r="SQZ259" s="537"/>
      <c r="SRA259" s="537"/>
      <c r="SRB259" s="537"/>
      <c r="SRC259" s="537"/>
      <c r="SRD259" s="537"/>
      <c r="SRE259" s="537"/>
      <c r="SRF259" s="537"/>
      <c r="SRG259" s="537"/>
      <c r="SRH259" s="537"/>
      <c r="SRI259" s="537"/>
      <c r="SRJ259" s="537"/>
      <c r="SRK259" s="537"/>
      <c r="SRL259" s="537"/>
      <c r="SRM259" s="537"/>
      <c r="SRN259" s="537"/>
      <c r="SRO259" s="537"/>
      <c r="SRP259" s="537"/>
      <c r="SRQ259" s="537"/>
      <c r="SRR259" s="537"/>
      <c r="SRS259" s="537"/>
      <c r="SRT259" s="537"/>
      <c r="SRU259" s="537"/>
      <c r="SRV259" s="537"/>
      <c r="SRW259" s="537"/>
      <c r="SRX259" s="537"/>
      <c r="SRY259" s="537"/>
      <c r="SRZ259" s="537"/>
      <c r="SSA259" s="537"/>
      <c r="SSB259" s="537"/>
      <c r="SSC259" s="537"/>
      <c r="SSD259" s="537"/>
      <c r="SSE259" s="537"/>
      <c r="SSF259" s="537"/>
      <c r="SSG259" s="537"/>
      <c r="SSH259" s="537"/>
      <c r="SSI259" s="537"/>
      <c r="SSJ259" s="537"/>
      <c r="SSK259" s="537"/>
      <c r="SSL259" s="537"/>
      <c r="SSM259" s="537"/>
      <c r="SSN259" s="537"/>
      <c r="SSO259" s="537"/>
      <c r="SSP259" s="537"/>
      <c r="SSQ259" s="537"/>
      <c r="SSR259" s="537"/>
      <c r="SSS259" s="537"/>
      <c r="SST259" s="537"/>
      <c r="SSU259" s="537"/>
      <c r="SSV259" s="537"/>
      <c r="SSW259" s="537"/>
      <c r="SSX259" s="537"/>
      <c r="SSY259" s="537"/>
      <c r="SSZ259" s="537"/>
      <c r="STA259" s="537"/>
      <c r="STB259" s="537"/>
      <c r="STC259" s="537"/>
      <c r="STD259" s="537"/>
      <c r="STE259" s="537"/>
      <c r="STF259" s="537"/>
      <c r="STG259" s="537"/>
      <c r="STH259" s="537"/>
      <c r="STI259" s="537"/>
      <c r="STJ259" s="537"/>
      <c r="STK259" s="537"/>
      <c r="STL259" s="537"/>
      <c r="STM259" s="537"/>
      <c r="STN259" s="537"/>
      <c r="STO259" s="537"/>
      <c r="STP259" s="537"/>
      <c r="STQ259" s="537"/>
      <c r="STR259" s="537"/>
      <c r="STS259" s="537"/>
      <c r="STT259" s="537"/>
      <c r="STU259" s="537"/>
      <c r="STV259" s="537"/>
      <c r="STW259" s="537"/>
      <c r="STX259" s="537"/>
      <c r="STY259" s="537"/>
      <c r="STZ259" s="537"/>
      <c r="SUA259" s="537"/>
      <c r="SUB259" s="537"/>
      <c r="SUC259" s="537"/>
      <c r="SUD259" s="537"/>
      <c r="SUE259" s="537"/>
      <c r="SUF259" s="537"/>
      <c r="SUG259" s="537"/>
      <c r="SUH259" s="537"/>
      <c r="SUI259" s="537"/>
      <c r="SUJ259" s="537"/>
      <c r="SUK259" s="537"/>
      <c r="SUL259" s="537"/>
      <c r="SUM259" s="537"/>
      <c r="SUN259" s="537"/>
      <c r="SUO259" s="537"/>
      <c r="SUP259" s="537"/>
      <c r="SUQ259" s="537"/>
      <c r="SUR259" s="537"/>
      <c r="SUS259" s="537"/>
      <c r="SUT259" s="537"/>
      <c r="SUU259" s="537"/>
      <c r="SUV259" s="537"/>
      <c r="SUW259" s="537"/>
      <c r="SUX259" s="537"/>
      <c r="SUY259" s="537"/>
      <c r="SUZ259" s="537"/>
      <c r="SVA259" s="537"/>
      <c r="SVB259" s="537"/>
      <c r="SVC259" s="537"/>
      <c r="SVD259" s="537"/>
      <c r="SVE259" s="537"/>
      <c r="SVF259" s="537"/>
      <c r="SVG259" s="537"/>
      <c r="SVH259" s="537"/>
      <c r="SVI259" s="537"/>
      <c r="SVJ259" s="537"/>
      <c r="SVK259" s="537"/>
      <c r="SVL259" s="537"/>
      <c r="SVM259" s="537"/>
      <c r="SVN259" s="537"/>
      <c r="SVO259" s="537"/>
      <c r="SVP259" s="537"/>
      <c r="SVQ259" s="537"/>
      <c r="SVR259" s="537"/>
      <c r="SVS259" s="537"/>
      <c r="SVT259" s="537"/>
      <c r="SVU259" s="537"/>
      <c r="SVV259" s="537"/>
      <c r="SVW259" s="537"/>
      <c r="SVX259" s="537"/>
      <c r="SVY259" s="537"/>
      <c r="SVZ259" s="537"/>
      <c r="SWA259" s="537"/>
      <c r="SWB259" s="537"/>
      <c r="SWC259" s="537"/>
      <c r="SWD259" s="537"/>
      <c r="SWE259" s="537"/>
      <c r="SWF259" s="537"/>
      <c r="SWG259" s="537"/>
      <c r="SWH259" s="537"/>
      <c r="SWI259" s="537"/>
      <c r="SWJ259" s="537"/>
      <c r="SWK259" s="537"/>
      <c r="SWL259" s="537"/>
      <c r="SWM259" s="537"/>
      <c r="SWN259" s="537"/>
      <c r="SWO259" s="537"/>
      <c r="SWP259" s="537"/>
      <c r="SWQ259" s="537"/>
      <c r="SWR259" s="537"/>
      <c r="SWS259" s="537"/>
      <c r="SWT259" s="537"/>
      <c r="SWU259" s="537"/>
      <c r="SWV259" s="537"/>
      <c r="SWW259" s="537"/>
      <c r="SWX259" s="537"/>
      <c r="SWY259" s="537"/>
      <c r="SWZ259" s="537"/>
      <c r="SXA259" s="537"/>
      <c r="SXB259" s="537"/>
      <c r="SXC259" s="537"/>
      <c r="SXD259" s="537"/>
      <c r="SXE259" s="537"/>
      <c r="SXF259" s="537"/>
      <c r="SXG259" s="537"/>
      <c r="SXH259" s="537"/>
      <c r="SXI259" s="537"/>
      <c r="SXJ259" s="537"/>
      <c r="SXK259" s="537"/>
      <c r="SXL259" s="537"/>
      <c r="SXM259" s="537"/>
      <c r="SXN259" s="537"/>
      <c r="SXO259" s="537"/>
      <c r="SXP259" s="537"/>
      <c r="SXQ259" s="537"/>
      <c r="SXR259" s="537"/>
      <c r="SXS259" s="537"/>
      <c r="SXT259" s="537"/>
      <c r="SXU259" s="537"/>
      <c r="SXV259" s="537"/>
      <c r="SXW259" s="537"/>
      <c r="SXX259" s="537"/>
      <c r="SXY259" s="537"/>
      <c r="SXZ259" s="537"/>
      <c r="SYA259" s="537"/>
      <c r="SYB259" s="537"/>
      <c r="SYC259" s="537"/>
      <c r="SYD259" s="537"/>
      <c r="SYE259" s="537"/>
      <c r="SYF259" s="537"/>
      <c r="SYG259" s="537"/>
      <c r="SYH259" s="537"/>
      <c r="SYI259" s="537"/>
      <c r="SYJ259" s="537"/>
      <c r="SYK259" s="537"/>
      <c r="SYL259" s="537"/>
      <c r="SYM259" s="537"/>
      <c r="SYN259" s="537"/>
      <c r="SYO259" s="537"/>
      <c r="SYP259" s="537"/>
      <c r="SYQ259" s="537"/>
      <c r="SYR259" s="537"/>
      <c r="SYS259" s="537"/>
      <c r="SYT259" s="537"/>
      <c r="SYU259" s="537"/>
      <c r="SYV259" s="537"/>
      <c r="SYW259" s="537"/>
      <c r="SYX259" s="537"/>
      <c r="SYY259" s="537"/>
      <c r="SYZ259" s="537"/>
      <c r="SZA259" s="537"/>
      <c r="SZB259" s="537"/>
      <c r="SZC259" s="537"/>
      <c r="SZD259" s="537"/>
      <c r="SZE259" s="537"/>
      <c r="SZF259" s="537"/>
      <c r="SZG259" s="537"/>
      <c r="SZH259" s="537"/>
      <c r="SZI259" s="537"/>
      <c r="SZJ259" s="537"/>
      <c r="SZK259" s="537"/>
      <c r="SZL259" s="537"/>
      <c r="SZM259" s="537"/>
      <c r="SZN259" s="537"/>
      <c r="SZO259" s="537"/>
      <c r="SZP259" s="537"/>
      <c r="SZQ259" s="537"/>
      <c r="SZR259" s="537"/>
      <c r="SZS259" s="537"/>
      <c r="SZT259" s="537"/>
      <c r="SZU259" s="537"/>
      <c r="SZV259" s="537"/>
      <c r="SZW259" s="537"/>
      <c r="SZX259" s="537"/>
      <c r="SZY259" s="537"/>
      <c r="SZZ259" s="537"/>
      <c r="TAA259" s="537"/>
      <c r="TAB259" s="537"/>
      <c r="TAC259" s="537"/>
      <c r="TAD259" s="537"/>
      <c r="TAE259" s="537"/>
      <c r="TAF259" s="537"/>
      <c r="TAG259" s="537"/>
      <c r="TAH259" s="537"/>
      <c r="TAI259" s="537"/>
      <c r="TAJ259" s="537"/>
      <c r="TAK259" s="537"/>
      <c r="TAL259" s="537"/>
      <c r="TAM259" s="537"/>
      <c r="TAN259" s="537"/>
      <c r="TAO259" s="537"/>
      <c r="TAP259" s="537"/>
      <c r="TAQ259" s="537"/>
      <c r="TAR259" s="537"/>
      <c r="TAS259" s="537"/>
      <c r="TAT259" s="537"/>
      <c r="TAU259" s="537"/>
      <c r="TAV259" s="537"/>
      <c r="TAW259" s="537"/>
      <c r="TAX259" s="537"/>
      <c r="TAY259" s="537"/>
      <c r="TAZ259" s="537"/>
      <c r="TBA259" s="537"/>
      <c r="TBB259" s="537"/>
      <c r="TBC259" s="537"/>
      <c r="TBD259" s="537"/>
      <c r="TBE259" s="537"/>
      <c r="TBF259" s="537"/>
      <c r="TBG259" s="537"/>
      <c r="TBH259" s="537"/>
      <c r="TBI259" s="537"/>
      <c r="TBJ259" s="537"/>
      <c r="TBK259" s="537"/>
      <c r="TBL259" s="537"/>
      <c r="TBM259" s="537"/>
      <c r="TBN259" s="537"/>
      <c r="TBO259" s="537"/>
      <c r="TBP259" s="537"/>
      <c r="TBQ259" s="537"/>
      <c r="TBR259" s="537"/>
      <c r="TBS259" s="537"/>
      <c r="TBT259" s="537"/>
      <c r="TBU259" s="537"/>
      <c r="TBV259" s="537"/>
      <c r="TBW259" s="537"/>
      <c r="TBX259" s="537"/>
      <c r="TBY259" s="537"/>
      <c r="TBZ259" s="537"/>
      <c r="TCA259" s="537"/>
      <c r="TCB259" s="537"/>
      <c r="TCC259" s="537"/>
      <c r="TCD259" s="537"/>
      <c r="TCE259" s="537"/>
      <c r="TCF259" s="537"/>
      <c r="TCG259" s="537"/>
      <c r="TCH259" s="537"/>
      <c r="TCI259" s="537"/>
      <c r="TCJ259" s="537"/>
      <c r="TCK259" s="537"/>
      <c r="TCL259" s="537"/>
      <c r="TCM259" s="537"/>
      <c r="TCN259" s="537"/>
      <c r="TCO259" s="537"/>
      <c r="TCP259" s="537"/>
      <c r="TCQ259" s="537"/>
      <c r="TCR259" s="537"/>
      <c r="TCS259" s="537"/>
      <c r="TCT259" s="537"/>
      <c r="TCU259" s="537"/>
      <c r="TCV259" s="537"/>
      <c r="TCW259" s="537"/>
      <c r="TCX259" s="537"/>
      <c r="TCY259" s="537"/>
      <c r="TCZ259" s="537"/>
      <c r="TDA259" s="537"/>
      <c r="TDB259" s="537"/>
      <c r="TDC259" s="537"/>
      <c r="TDD259" s="537"/>
      <c r="TDE259" s="537"/>
      <c r="TDF259" s="537"/>
      <c r="TDG259" s="537"/>
      <c r="TDH259" s="537"/>
      <c r="TDI259" s="537"/>
      <c r="TDJ259" s="537"/>
      <c r="TDK259" s="537"/>
      <c r="TDL259" s="537"/>
      <c r="TDM259" s="537"/>
      <c r="TDN259" s="537"/>
      <c r="TDO259" s="537"/>
      <c r="TDP259" s="537"/>
      <c r="TDQ259" s="537"/>
      <c r="TDR259" s="537"/>
      <c r="TDS259" s="537"/>
      <c r="TDT259" s="537"/>
      <c r="TDU259" s="537"/>
      <c r="TDV259" s="537"/>
      <c r="TDW259" s="537"/>
      <c r="TDX259" s="537"/>
      <c r="TDY259" s="537"/>
      <c r="TDZ259" s="537"/>
      <c r="TEA259" s="537"/>
      <c r="TEB259" s="537"/>
      <c r="TEC259" s="537"/>
      <c r="TED259" s="537"/>
      <c r="TEE259" s="537"/>
      <c r="TEF259" s="537"/>
      <c r="TEG259" s="537"/>
      <c r="TEH259" s="537"/>
      <c r="TEI259" s="537"/>
      <c r="TEJ259" s="537"/>
      <c r="TEK259" s="537"/>
      <c r="TEL259" s="537"/>
      <c r="TEM259" s="537"/>
      <c r="TEN259" s="537"/>
      <c r="TEO259" s="537"/>
      <c r="TEP259" s="537"/>
      <c r="TEQ259" s="537"/>
      <c r="TER259" s="537"/>
      <c r="TES259" s="537"/>
      <c r="TET259" s="537"/>
      <c r="TEU259" s="537"/>
      <c r="TEV259" s="537"/>
      <c r="TEW259" s="537"/>
      <c r="TEX259" s="537"/>
      <c r="TEY259" s="537"/>
      <c r="TEZ259" s="537"/>
      <c r="TFA259" s="537"/>
      <c r="TFB259" s="537"/>
      <c r="TFC259" s="537"/>
      <c r="TFD259" s="537"/>
      <c r="TFE259" s="537"/>
      <c r="TFF259" s="537"/>
      <c r="TFG259" s="537"/>
      <c r="TFH259" s="537"/>
      <c r="TFI259" s="537"/>
      <c r="TFJ259" s="537"/>
      <c r="TFK259" s="537"/>
      <c r="TFL259" s="537"/>
      <c r="TFM259" s="537"/>
      <c r="TFN259" s="537"/>
      <c r="TFO259" s="537"/>
      <c r="TFP259" s="537"/>
      <c r="TFQ259" s="537"/>
      <c r="TFR259" s="537"/>
      <c r="TFS259" s="537"/>
      <c r="TFT259" s="537"/>
      <c r="TFU259" s="537"/>
      <c r="TFV259" s="537"/>
      <c r="TFW259" s="537"/>
      <c r="TFX259" s="537"/>
      <c r="TFY259" s="537"/>
      <c r="TFZ259" s="537"/>
      <c r="TGA259" s="537"/>
      <c r="TGB259" s="537"/>
      <c r="TGC259" s="537"/>
      <c r="TGD259" s="537"/>
      <c r="TGE259" s="537"/>
      <c r="TGF259" s="537"/>
      <c r="TGG259" s="537"/>
      <c r="TGH259" s="537"/>
      <c r="TGI259" s="537"/>
      <c r="TGJ259" s="537"/>
      <c r="TGK259" s="537"/>
      <c r="TGL259" s="537"/>
      <c r="TGM259" s="537"/>
      <c r="TGN259" s="537"/>
      <c r="TGO259" s="537"/>
      <c r="TGP259" s="537"/>
      <c r="TGQ259" s="537"/>
      <c r="TGR259" s="537"/>
      <c r="TGS259" s="537"/>
      <c r="TGT259" s="537"/>
      <c r="TGU259" s="537"/>
      <c r="TGV259" s="537"/>
      <c r="TGW259" s="537"/>
      <c r="TGX259" s="537"/>
      <c r="TGY259" s="537"/>
      <c r="TGZ259" s="537"/>
      <c r="THA259" s="537"/>
      <c r="THB259" s="537"/>
      <c r="THC259" s="537"/>
      <c r="THD259" s="537"/>
      <c r="THE259" s="537"/>
      <c r="THF259" s="537"/>
      <c r="THG259" s="537"/>
      <c r="THH259" s="537"/>
      <c r="THI259" s="537"/>
      <c r="THJ259" s="537"/>
      <c r="THK259" s="537"/>
      <c r="THL259" s="537"/>
      <c r="THM259" s="537"/>
      <c r="THN259" s="537"/>
      <c r="THO259" s="537"/>
      <c r="THP259" s="537"/>
      <c r="THQ259" s="537"/>
      <c r="THR259" s="537"/>
      <c r="THS259" s="537"/>
      <c r="THT259" s="537"/>
      <c r="THU259" s="537"/>
      <c r="THV259" s="537"/>
      <c r="THW259" s="537"/>
      <c r="THX259" s="537"/>
      <c r="THY259" s="537"/>
      <c r="THZ259" s="537"/>
      <c r="TIA259" s="537"/>
      <c r="TIB259" s="537"/>
      <c r="TIC259" s="537"/>
      <c r="TID259" s="537"/>
      <c r="TIE259" s="537"/>
      <c r="TIF259" s="537"/>
      <c r="TIG259" s="537"/>
      <c r="TIH259" s="537"/>
      <c r="TII259" s="537"/>
      <c r="TIJ259" s="537"/>
      <c r="TIK259" s="537"/>
      <c r="TIL259" s="537"/>
      <c r="TIM259" s="537"/>
      <c r="TIN259" s="537"/>
      <c r="TIO259" s="537"/>
      <c r="TIP259" s="537"/>
      <c r="TIQ259" s="537"/>
      <c r="TIR259" s="537"/>
      <c r="TIS259" s="537"/>
      <c r="TIT259" s="537"/>
      <c r="TIU259" s="537"/>
      <c r="TIV259" s="537"/>
      <c r="TIW259" s="537"/>
      <c r="TIX259" s="537"/>
      <c r="TIY259" s="537"/>
      <c r="TIZ259" s="537"/>
      <c r="TJA259" s="537"/>
      <c r="TJB259" s="537"/>
      <c r="TJC259" s="537"/>
      <c r="TJD259" s="537"/>
      <c r="TJE259" s="537"/>
      <c r="TJF259" s="537"/>
      <c r="TJG259" s="537"/>
      <c r="TJH259" s="537"/>
      <c r="TJI259" s="537"/>
      <c r="TJJ259" s="537"/>
      <c r="TJK259" s="537"/>
      <c r="TJL259" s="537"/>
      <c r="TJM259" s="537"/>
      <c r="TJN259" s="537"/>
      <c r="TJO259" s="537"/>
      <c r="TJP259" s="537"/>
      <c r="TJQ259" s="537"/>
      <c r="TJR259" s="537"/>
      <c r="TJS259" s="537"/>
      <c r="TJT259" s="537"/>
      <c r="TJU259" s="537"/>
      <c r="TJV259" s="537"/>
      <c r="TJW259" s="537"/>
      <c r="TJX259" s="537"/>
      <c r="TJY259" s="537"/>
      <c r="TJZ259" s="537"/>
      <c r="TKA259" s="537"/>
      <c r="TKB259" s="537"/>
      <c r="TKC259" s="537"/>
      <c r="TKD259" s="537"/>
      <c r="TKE259" s="537"/>
      <c r="TKF259" s="537"/>
      <c r="TKG259" s="537"/>
      <c r="TKH259" s="537"/>
      <c r="TKI259" s="537"/>
      <c r="TKJ259" s="537"/>
      <c r="TKK259" s="537"/>
      <c r="TKL259" s="537"/>
      <c r="TKM259" s="537"/>
      <c r="TKN259" s="537"/>
      <c r="TKO259" s="537"/>
      <c r="TKP259" s="537"/>
      <c r="TKQ259" s="537"/>
      <c r="TKR259" s="537"/>
      <c r="TKS259" s="537"/>
      <c r="TKT259" s="537"/>
      <c r="TKU259" s="537"/>
      <c r="TKV259" s="537"/>
      <c r="TKW259" s="537"/>
      <c r="TKX259" s="537"/>
      <c r="TKY259" s="537"/>
      <c r="TKZ259" s="537"/>
      <c r="TLA259" s="537"/>
      <c r="TLB259" s="537"/>
      <c r="TLC259" s="537"/>
      <c r="TLD259" s="537"/>
      <c r="TLE259" s="537"/>
      <c r="TLF259" s="537"/>
      <c r="TLG259" s="537"/>
      <c r="TLH259" s="537"/>
      <c r="TLI259" s="537"/>
      <c r="TLJ259" s="537"/>
      <c r="TLK259" s="537"/>
      <c r="TLL259" s="537"/>
      <c r="TLM259" s="537"/>
      <c r="TLN259" s="537"/>
      <c r="TLO259" s="537"/>
      <c r="TLP259" s="537"/>
      <c r="TLQ259" s="537"/>
      <c r="TLR259" s="537"/>
      <c r="TLS259" s="537"/>
      <c r="TLT259" s="537"/>
      <c r="TLU259" s="537"/>
      <c r="TLV259" s="537"/>
      <c r="TLW259" s="537"/>
      <c r="TLX259" s="537"/>
      <c r="TLY259" s="537"/>
      <c r="TLZ259" s="537"/>
      <c r="TMA259" s="537"/>
      <c r="TMB259" s="537"/>
      <c r="TMC259" s="537"/>
      <c r="TMD259" s="537"/>
      <c r="TME259" s="537"/>
      <c r="TMF259" s="537"/>
      <c r="TMG259" s="537"/>
      <c r="TMH259" s="537"/>
      <c r="TMI259" s="537"/>
      <c r="TMJ259" s="537"/>
      <c r="TMK259" s="537"/>
      <c r="TML259" s="537"/>
      <c r="TMM259" s="537"/>
      <c r="TMN259" s="537"/>
      <c r="TMO259" s="537"/>
      <c r="TMP259" s="537"/>
      <c r="TMQ259" s="537"/>
      <c r="TMR259" s="537"/>
      <c r="TMS259" s="537"/>
      <c r="TMT259" s="537"/>
      <c r="TMU259" s="537"/>
      <c r="TMV259" s="537"/>
      <c r="TMW259" s="537"/>
      <c r="TMX259" s="537"/>
      <c r="TMY259" s="537"/>
      <c r="TMZ259" s="537"/>
      <c r="TNA259" s="537"/>
      <c r="TNB259" s="537"/>
      <c r="TNC259" s="537"/>
      <c r="TND259" s="537"/>
      <c r="TNE259" s="537"/>
      <c r="TNF259" s="537"/>
      <c r="TNG259" s="537"/>
      <c r="TNH259" s="537"/>
      <c r="TNI259" s="537"/>
      <c r="TNJ259" s="537"/>
      <c r="TNK259" s="537"/>
      <c r="TNL259" s="537"/>
      <c r="TNM259" s="537"/>
      <c r="TNN259" s="537"/>
      <c r="TNO259" s="537"/>
      <c r="TNP259" s="537"/>
      <c r="TNQ259" s="537"/>
      <c r="TNR259" s="537"/>
      <c r="TNS259" s="537"/>
      <c r="TNT259" s="537"/>
      <c r="TNU259" s="537"/>
      <c r="TNV259" s="537"/>
      <c r="TNW259" s="537"/>
      <c r="TNX259" s="537"/>
      <c r="TNY259" s="537"/>
      <c r="TNZ259" s="537"/>
      <c r="TOA259" s="537"/>
      <c r="TOB259" s="537"/>
      <c r="TOC259" s="537"/>
      <c r="TOD259" s="537"/>
      <c r="TOE259" s="537"/>
      <c r="TOF259" s="537"/>
      <c r="TOG259" s="537"/>
      <c r="TOH259" s="537"/>
      <c r="TOI259" s="537"/>
      <c r="TOJ259" s="537"/>
      <c r="TOK259" s="537"/>
      <c r="TOL259" s="537"/>
      <c r="TOM259" s="537"/>
      <c r="TON259" s="537"/>
      <c r="TOO259" s="537"/>
      <c r="TOP259" s="537"/>
      <c r="TOQ259" s="537"/>
      <c r="TOR259" s="537"/>
      <c r="TOS259" s="537"/>
      <c r="TOT259" s="537"/>
      <c r="TOU259" s="537"/>
      <c r="TOV259" s="537"/>
      <c r="TOW259" s="537"/>
      <c r="TOX259" s="537"/>
      <c r="TOY259" s="537"/>
      <c r="TOZ259" s="537"/>
      <c r="TPA259" s="537"/>
      <c r="TPB259" s="537"/>
      <c r="TPC259" s="537"/>
      <c r="TPD259" s="537"/>
      <c r="TPE259" s="537"/>
      <c r="TPF259" s="537"/>
      <c r="TPG259" s="537"/>
      <c r="TPH259" s="537"/>
      <c r="TPI259" s="537"/>
      <c r="TPJ259" s="537"/>
      <c r="TPK259" s="537"/>
      <c r="TPL259" s="537"/>
      <c r="TPM259" s="537"/>
      <c r="TPN259" s="537"/>
      <c r="TPO259" s="537"/>
      <c r="TPP259" s="537"/>
      <c r="TPQ259" s="537"/>
      <c r="TPR259" s="537"/>
      <c r="TPS259" s="537"/>
      <c r="TPT259" s="537"/>
      <c r="TPU259" s="537"/>
      <c r="TPV259" s="537"/>
      <c r="TPW259" s="537"/>
      <c r="TPX259" s="537"/>
      <c r="TPY259" s="537"/>
      <c r="TPZ259" s="537"/>
      <c r="TQA259" s="537"/>
      <c r="TQB259" s="537"/>
      <c r="TQC259" s="537"/>
      <c r="TQD259" s="537"/>
      <c r="TQE259" s="537"/>
      <c r="TQF259" s="537"/>
      <c r="TQG259" s="537"/>
      <c r="TQH259" s="537"/>
      <c r="TQI259" s="537"/>
      <c r="TQJ259" s="537"/>
      <c r="TQK259" s="537"/>
      <c r="TQL259" s="537"/>
      <c r="TQM259" s="537"/>
      <c r="TQN259" s="537"/>
      <c r="TQO259" s="537"/>
      <c r="TQP259" s="537"/>
      <c r="TQQ259" s="537"/>
      <c r="TQR259" s="537"/>
      <c r="TQS259" s="537"/>
      <c r="TQT259" s="537"/>
      <c r="TQU259" s="537"/>
      <c r="TQV259" s="537"/>
      <c r="TQW259" s="537"/>
      <c r="TQX259" s="537"/>
      <c r="TQY259" s="537"/>
      <c r="TQZ259" s="537"/>
      <c r="TRA259" s="537"/>
      <c r="TRB259" s="537"/>
      <c r="TRC259" s="537"/>
      <c r="TRD259" s="537"/>
      <c r="TRE259" s="537"/>
      <c r="TRF259" s="537"/>
      <c r="TRG259" s="537"/>
      <c r="TRH259" s="537"/>
      <c r="TRI259" s="537"/>
      <c r="TRJ259" s="537"/>
      <c r="TRK259" s="537"/>
      <c r="TRL259" s="537"/>
      <c r="TRM259" s="537"/>
      <c r="TRN259" s="537"/>
      <c r="TRO259" s="537"/>
      <c r="TRP259" s="537"/>
      <c r="TRQ259" s="537"/>
      <c r="TRR259" s="537"/>
      <c r="TRS259" s="537"/>
      <c r="TRT259" s="537"/>
      <c r="TRU259" s="537"/>
      <c r="TRV259" s="537"/>
      <c r="TRW259" s="537"/>
      <c r="TRX259" s="537"/>
      <c r="TRY259" s="537"/>
      <c r="TRZ259" s="537"/>
      <c r="TSA259" s="537"/>
      <c r="TSB259" s="537"/>
      <c r="TSC259" s="537"/>
      <c r="TSD259" s="537"/>
      <c r="TSE259" s="537"/>
      <c r="TSF259" s="537"/>
      <c r="TSG259" s="537"/>
      <c r="TSH259" s="537"/>
      <c r="TSI259" s="537"/>
      <c r="TSJ259" s="537"/>
      <c r="TSK259" s="537"/>
      <c r="TSL259" s="537"/>
      <c r="TSM259" s="537"/>
      <c r="TSN259" s="537"/>
      <c r="TSO259" s="537"/>
      <c r="TSP259" s="537"/>
      <c r="TSQ259" s="537"/>
      <c r="TSR259" s="537"/>
      <c r="TSS259" s="537"/>
      <c r="TST259" s="537"/>
      <c r="TSU259" s="537"/>
      <c r="TSV259" s="537"/>
      <c r="TSW259" s="537"/>
      <c r="TSX259" s="537"/>
      <c r="TSY259" s="537"/>
      <c r="TSZ259" s="537"/>
      <c r="TTA259" s="537"/>
      <c r="TTB259" s="537"/>
      <c r="TTC259" s="537"/>
      <c r="TTD259" s="537"/>
      <c r="TTE259" s="537"/>
      <c r="TTF259" s="537"/>
      <c r="TTG259" s="537"/>
      <c r="TTH259" s="537"/>
      <c r="TTI259" s="537"/>
      <c r="TTJ259" s="537"/>
      <c r="TTK259" s="537"/>
      <c r="TTL259" s="537"/>
      <c r="TTM259" s="537"/>
      <c r="TTN259" s="537"/>
      <c r="TTO259" s="537"/>
      <c r="TTP259" s="537"/>
      <c r="TTQ259" s="537"/>
      <c r="TTR259" s="537"/>
      <c r="TTS259" s="537"/>
      <c r="TTT259" s="537"/>
      <c r="TTU259" s="537"/>
      <c r="TTV259" s="537"/>
      <c r="TTW259" s="537"/>
      <c r="TTX259" s="537"/>
      <c r="TTY259" s="537"/>
      <c r="TTZ259" s="537"/>
      <c r="TUA259" s="537"/>
      <c r="TUB259" s="537"/>
      <c r="TUC259" s="537"/>
      <c r="TUD259" s="537"/>
      <c r="TUE259" s="537"/>
      <c r="TUF259" s="537"/>
      <c r="TUG259" s="537"/>
      <c r="TUH259" s="537"/>
      <c r="TUI259" s="537"/>
      <c r="TUJ259" s="537"/>
      <c r="TUK259" s="537"/>
      <c r="TUL259" s="537"/>
      <c r="TUM259" s="537"/>
      <c r="TUN259" s="537"/>
      <c r="TUO259" s="537"/>
      <c r="TUP259" s="537"/>
      <c r="TUQ259" s="537"/>
      <c r="TUR259" s="537"/>
      <c r="TUS259" s="537"/>
      <c r="TUT259" s="537"/>
      <c r="TUU259" s="537"/>
      <c r="TUV259" s="537"/>
      <c r="TUW259" s="537"/>
      <c r="TUX259" s="537"/>
      <c r="TUY259" s="537"/>
      <c r="TUZ259" s="537"/>
      <c r="TVA259" s="537"/>
      <c r="TVB259" s="537"/>
      <c r="TVC259" s="537"/>
      <c r="TVD259" s="537"/>
      <c r="TVE259" s="537"/>
      <c r="TVF259" s="537"/>
      <c r="TVG259" s="537"/>
      <c r="TVH259" s="537"/>
      <c r="TVI259" s="537"/>
      <c r="TVJ259" s="537"/>
      <c r="TVK259" s="537"/>
      <c r="TVL259" s="537"/>
      <c r="TVM259" s="537"/>
      <c r="TVN259" s="537"/>
      <c r="TVO259" s="537"/>
      <c r="TVP259" s="537"/>
      <c r="TVQ259" s="537"/>
      <c r="TVR259" s="537"/>
      <c r="TVS259" s="537"/>
      <c r="TVT259" s="537"/>
      <c r="TVU259" s="537"/>
      <c r="TVV259" s="537"/>
      <c r="TVW259" s="537"/>
      <c r="TVX259" s="537"/>
      <c r="TVY259" s="537"/>
      <c r="TVZ259" s="537"/>
      <c r="TWA259" s="537"/>
      <c r="TWB259" s="537"/>
      <c r="TWC259" s="537"/>
      <c r="TWD259" s="537"/>
      <c r="TWE259" s="537"/>
      <c r="TWF259" s="537"/>
      <c r="TWG259" s="537"/>
      <c r="TWH259" s="537"/>
      <c r="TWI259" s="537"/>
      <c r="TWJ259" s="537"/>
      <c r="TWK259" s="537"/>
      <c r="TWL259" s="537"/>
      <c r="TWM259" s="537"/>
      <c r="TWN259" s="537"/>
      <c r="TWO259" s="537"/>
      <c r="TWP259" s="537"/>
      <c r="TWQ259" s="537"/>
      <c r="TWR259" s="537"/>
      <c r="TWS259" s="537"/>
      <c r="TWT259" s="537"/>
      <c r="TWU259" s="537"/>
      <c r="TWV259" s="537"/>
      <c r="TWW259" s="537"/>
      <c r="TWX259" s="537"/>
      <c r="TWY259" s="537"/>
      <c r="TWZ259" s="537"/>
      <c r="TXA259" s="537"/>
      <c r="TXB259" s="537"/>
      <c r="TXC259" s="537"/>
      <c r="TXD259" s="537"/>
      <c r="TXE259" s="537"/>
      <c r="TXF259" s="537"/>
      <c r="TXG259" s="537"/>
      <c r="TXH259" s="537"/>
      <c r="TXI259" s="537"/>
      <c r="TXJ259" s="537"/>
      <c r="TXK259" s="537"/>
      <c r="TXL259" s="537"/>
      <c r="TXM259" s="537"/>
      <c r="TXN259" s="537"/>
      <c r="TXO259" s="537"/>
      <c r="TXP259" s="537"/>
      <c r="TXQ259" s="537"/>
      <c r="TXR259" s="537"/>
      <c r="TXS259" s="537"/>
      <c r="TXT259" s="537"/>
      <c r="TXU259" s="537"/>
      <c r="TXV259" s="537"/>
      <c r="TXW259" s="537"/>
      <c r="TXX259" s="537"/>
      <c r="TXY259" s="537"/>
      <c r="TXZ259" s="537"/>
      <c r="TYA259" s="537"/>
      <c r="TYB259" s="537"/>
      <c r="TYC259" s="537"/>
      <c r="TYD259" s="537"/>
      <c r="TYE259" s="537"/>
      <c r="TYF259" s="537"/>
      <c r="TYG259" s="537"/>
      <c r="TYH259" s="537"/>
      <c r="TYI259" s="537"/>
      <c r="TYJ259" s="537"/>
      <c r="TYK259" s="537"/>
      <c r="TYL259" s="537"/>
      <c r="TYM259" s="537"/>
      <c r="TYN259" s="537"/>
      <c r="TYO259" s="537"/>
      <c r="TYP259" s="537"/>
      <c r="TYQ259" s="537"/>
      <c r="TYR259" s="537"/>
      <c r="TYS259" s="537"/>
      <c r="TYT259" s="537"/>
      <c r="TYU259" s="537"/>
      <c r="TYV259" s="537"/>
      <c r="TYW259" s="537"/>
      <c r="TYX259" s="537"/>
      <c r="TYY259" s="537"/>
      <c r="TYZ259" s="537"/>
      <c r="TZA259" s="537"/>
      <c r="TZB259" s="537"/>
      <c r="TZC259" s="537"/>
      <c r="TZD259" s="537"/>
      <c r="TZE259" s="537"/>
      <c r="TZF259" s="537"/>
      <c r="TZG259" s="537"/>
      <c r="TZH259" s="537"/>
      <c r="TZI259" s="537"/>
      <c r="TZJ259" s="537"/>
      <c r="TZK259" s="537"/>
      <c r="TZL259" s="537"/>
      <c r="TZM259" s="537"/>
      <c r="TZN259" s="537"/>
      <c r="TZO259" s="537"/>
      <c r="TZP259" s="537"/>
      <c r="TZQ259" s="537"/>
      <c r="TZR259" s="537"/>
      <c r="TZS259" s="537"/>
      <c r="TZT259" s="537"/>
      <c r="TZU259" s="537"/>
      <c r="TZV259" s="537"/>
      <c r="TZW259" s="537"/>
      <c r="TZX259" s="537"/>
      <c r="TZY259" s="537"/>
      <c r="TZZ259" s="537"/>
      <c r="UAA259" s="537"/>
      <c r="UAB259" s="537"/>
      <c r="UAC259" s="537"/>
      <c r="UAD259" s="537"/>
      <c r="UAE259" s="537"/>
      <c r="UAF259" s="537"/>
      <c r="UAG259" s="537"/>
      <c r="UAH259" s="537"/>
      <c r="UAI259" s="537"/>
      <c r="UAJ259" s="537"/>
      <c r="UAK259" s="537"/>
      <c r="UAL259" s="537"/>
      <c r="UAM259" s="537"/>
      <c r="UAN259" s="537"/>
      <c r="UAO259" s="537"/>
      <c r="UAP259" s="537"/>
      <c r="UAQ259" s="537"/>
      <c r="UAR259" s="537"/>
      <c r="UAS259" s="537"/>
      <c r="UAT259" s="537"/>
      <c r="UAU259" s="537"/>
      <c r="UAV259" s="537"/>
      <c r="UAW259" s="537"/>
      <c r="UAX259" s="537"/>
      <c r="UAY259" s="537"/>
      <c r="UAZ259" s="537"/>
      <c r="UBA259" s="537"/>
      <c r="UBB259" s="537"/>
      <c r="UBC259" s="537"/>
      <c r="UBD259" s="537"/>
      <c r="UBE259" s="537"/>
      <c r="UBF259" s="537"/>
      <c r="UBG259" s="537"/>
      <c r="UBH259" s="537"/>
      <c r="UBI259" s="537"/>
      <c r="UBJ259" s="537"/>
      <c r="UBK259" s="537"/>
      <c r="UBL259" s="537"/>
      <c r="UBM259" s="537"/>
      <c r="UBN259" s="537"/>
      <c r="UBO259" s="537"/>
      <c r="UBP259" s="537"/>
      <c r="UBQ259" s="537"/>
      <c r="UBR259" s="537"/>
      <c r="UBS259" s="537"/>
      <c r="UBT259" s="537"/>
      <c r="UBU259" s="537"/>
      <c r="UBV259" s="537"/>
      <c r="UBW259" s="537"/>
      <c r="UBX259" s="537"/>
      <c r="UBY259" s="537"/>
      <c r="UBZ259" s="537"/>
      <c r="UCA259" s="537"/>
      <c r="UCB259" s="537"/>
      <c r="UCC259" s="537"/>
      <c r="UCD259" s="537"/>
      <c r="UCE259" s="537"/>
      <c r="UCF259" s="537"/>
      <c r="UCG259" s="537"/>
      <c r="UCH259" s="537"/>
      <c r="UCI259" s="537"/>
      <c r="UCJ259" s="537"/>
      <c r="UCK259" s="537"/>
      <c r="UCL259" s="537"/>
      <c r="UCM259" s="537"/>
      <c r="UCN259" s="537"/>
      <c r="UCO259" s="537"/>
      <c r="UCP259" s="537"/>
      <c r="UCQ259" s="537"/>
      <c r="UCR259" s="537"/>
      <c r="UCS259" s="537"/>
      <c r="UCT259" s="537"/>
      <c r="UCU259" s="537"/>
      <c r="UCV259" s="537"/>
      <c r="UCW259" s="537"/>
      <c r="UCX259" s="537"/>
      <c r="UCY259" s="537"/>
      <c r="UCZ259" s="537"/>
      <c r="UDA259" s="537"/>
      <c r="UDB259" s="537"/>
      <c r="UDC259" s="537"/>
      <c r="UDD259" s="537"/>
      <c r="UDE259" s="537"/>
      <c r="UDF259" s="537"/>
      <c r="UDG259" s="537"/>
      <c r="UDH259" s="537"/>
      <c r="UDI259" s="537"/>
      <c r="UDJ259" s="537"/>
      <c r="UDK259" s="537"/>
      <c r="UDL259" s="537"/>
      <c r="UDM259" s="537"/>
      <c r="UDN259" s="537"/>
      <c r="UDO259" s="537"/>
      <c r="UDP259" s="537"/>
      <c r="UDQ259" s="537"/>
      <c r="UDR259" s="537"/>
      <c r="UDS259" s="537"/>
      <c r="UDT259" s="537"/>
      <c r="UDU259" s="537"/>
      <c r="UDV259" s="537"/>
      <c r="UDW259" s="537"/>
      <c r="UDX259" s="537"/>
      <c r="UDY259" s="537"/>
      <c r="UDZ259" s="537"/>
      <c r="UEA259" s="537"/>
      <c r="UEB259" s="537"/>
      <c r="UEC259" s="537"/>
      <c r="UED259" s="537"/>
      <c r="UEE259" s="537"/>
      <c r="UEF259" s="537"/>
      <c r="UEG259" s="537"/>
      <c r="UEH259" s="537"/>
      <c r="UEI259" s="537"/>
      <c r="UEJ259" s="537"/>
      <c r="UEK259" s="537"/>
      <c r="UEL259" s="537"/>
      <c r="UEM259" s="537"/>
      <c r="UEN259" s="537"/>
      <c r="UEO259" s="537"/>
      <c r="UEP259" s="537"/>
      <c r="UEQ259" s="537"/>
      <c r="UER259" s="537"/>
      <c r="UES259" s="537"/>
      <c r="UET259" s="537"/>
      <c r="UEU259" s="537"/>
      <c r="UEV259" s="537"/>
      <c r="UEW259" s="537"/>
      <c r="UEX259" s="537"/>
      <c r="UEY259" s="537"/>
      <c r="UEZ259" s="537"/>
      <c r="UFA259" s="537"/>
      <c r="UFB259" s="537"/>
      <c r="UFC259" s="537"/>
      <c r="UFD259" s="537"/>
      <c r="UFE259" s="537"/>
      <c r="UFF259" s="537"/>
      <c r="UFG259" s="537"/>
      <c r="UFH259" s="537"/>
      <c r="UFI259" s="537"/>
      <c r="UFJ259" s="537"/>
      <c r="UFK259" s="537"/>
      <c r="UFL259" s="537"/>
      <c r="UFM259" s="537"/>
      <c r="UFN259" s="537"/>
      <c r="UFO259" s="537"/>
      <c r="UFP259" s="537"/>
      <c r="UFQ259" s="537"/>
      <c r="UFR259" s="537"/>
      <c r="UFS259" s="537"/>
      <c r="UFT259" s="537"/>
      <c r="UFU259" s="537"/>
      <c r="UFV259" s="537"/>
      <c r="UFW259" s="537"/>
      <c r="UFX259" s="537"/>
      <c r="UFY259" s="537"/>
      <c r="UFZ259" s="537"/>
      <c r="UGA259" s="537"/>
      <c r="UGB259" s="537"/>
      <c r="UGC259" s="537"/>
      <c r="UGD259" s="537"/>
      <c r="UGE259" s="537"/>
      <c r="UGF259" s="537"/>
      <c r="UGG259" s="537"/>
      <c r="UGH259" s="537"/>
      <c r="UGI259" s="537"/>
      <c r="UGJ259" s="537"/>
      <c r="UGK259" s="537"/>
      <c r="UGL259" s="537"/>
      <c r="UGM259" s="537"/>
      <c r="UGN259" s="537"/>
      <c r="UGO259" s="537"/>
      <c r="UGP259" s="537"/>
      <c r="UGQ259" s="537"/>
      <c r="UGR259" s="537"/>
      <c r="UGS259" s="537"/>
      <c r="UGT259" s="537"/>
      <c r="UGU259" s="537"/>
      <c r="UGV259" s="537"/>
      <c r="UGW259" s="537"/>
      <c r="UGX259" s="537"/>
      <c r="UGY259" s="537"/>
      <c r="UGZ259" s="537"/>
      <c r="UHA259" s="537"/>
      <c r="UHB259" s="537"/>
      <c r="UHC259" s="537"/>
      <c r="UHD259" s="537"/>
      <c r="UHE259" s="537"/>
      <c r="UHF259" s="537"/>
      <c r="UHG259" s="537"/>
      <c r="UHH259" s="537"/>
      <c r="UHI259" s="537"/>
      <c r="UHJ259" s="537"/>
      <c r="UHK259" s="537"/>
      <c r="UHL259" s="537"/>
      <c r="UHM259" s="537"/>
      <c r="UHN259" s="537"/>
      <c r="UHO259" s="537"/>
      <c r="UHP259" s="537"/>
      <c r="UHQ259" s="537"/>
      <c r="UHR259" s="537"/>
      <c r="UHS259" s="537"/>
      <c r="UHT259" s="537"/>
      <c r="UHU259" s="537"/>
      <c r="UHV259" s="537"/>
      <c r="UHW259" s="537"/>
      <c r="UHX259" s="537"/>
      <c r="UHY259" s="537"/>
      <c r="UHZ259" s="537"/>
      <c r="UIA259" s="537"/>
      <c r="UIB259" s="537"/>
      <c r="UIC259" s="537"/>
      <c r="UID259" s="537"/>
      <c r="UIE259" s="537"/>
      <c r="UIF259" s="537"/>
      <c r="UIG259" s="537"/>
      <c r="UIH259" s="537"/>
      <c r="UII259" s="537"/>
      <c r="UIJ259" s="537"/>
      <c r="UIK259" s="537"/>
      <c r="UIL259" s="537"/>
      <c r="UIM259" s="537"/>
      <c r="UIN259" s="537"/>
      <c r="UIO259" s="537"/>
      <c r="UIP259" s="537"/>
      <c r="UIQ259" s="537"/>
      <c r="UIR259" s="537"/>
      <c r="UIS259" s="537"/>
      <c r="UIT259" s="537"/>
      <c r="UIU259" s="537"/>
      <c r="UIV259" s="537"/>
      <c r="UIW259" s="537"/>
      <c r="UIX259" s="537"/>
      <c r="UIY259" s="537"/>
      <c r="UIZ259" s="537"/>
      <c r="UJA259" s="537"/>
      <c r="UJB259" s="537"/>
      <c r="UJC259" s="537"/>
      <c r="UJD259" s="537"/>
      <c r="UJE259" s="537"/>
      <c r="UJF259" s="537"/>
      <c r="UJG259" s="537"/>
      <c r="UJH259" s="537"/>
      <c r="UJI259" s="537"/>
      <c r="UJJ259" s="537"/>
      <c r="UJK259" s="537"/>
      <c r="UJL259" s="537"/>
      <c r="UJM259" s="537"/>
      <c r="UJN259" s="537"/>
      <c r="UJO259" s="537"/>
      <c r="UJP259" s="537"/>
      <c r="UJQ259" s="537"/>
      <c r="UJR259" s="537"/>
      <c r="UJS259" s="537"/>
      <c r="UJT259" s="537"/>
      <c r="UJU259" s="537"/>
      <c r="UJV259" s="537"/>
      <c r="UJW259" s="537"/>
      <c r="UJX259" s="537"/>
      <c r="UJY259" s="537"/>
      <c r="UJZ259" s="537"/>
      <c r="UKA259" s="537"/>
      <c r="UKB259" s="537"/>
      <c r="UKC259" s="537"/>
      <c r="UKD259" s="537"/>
      <c r="UKE259" s="537"/>
      <c r="UKF259" s="537"/>
      <c r="UKG259" s="537"/>
      <c r="UKH259" s="537"/>
      <c r="UKI259" s="537"/>
      <c r="UKJ259" s="537"/>
      <c r="UKK259" s="537"/>
      <c r="UKL259" s="537"/>
      <c r="UKM259" s="537"/>
      <c r="UKN259" s="537"/>
      <c r="UKO259" s="537"/>
      <c r="UKP259" s="537"/>
      <c r="UKQ259" s="537"/>
      <c r="UKR259" s="537"/>
      <c r="UKS259" s="537"/>
      <c r="UKT259" s="537"/>
      <c r="UKU259" s="537"/>
      <c r="UKV259" s="537"/>
      <c r="UKW259" s="537"/>
      <c r="UKX259" s="537"/>
      <c r="UKY259" s="537"/>
      <c r="UKZ259" s="537"/>
      <c r="ULA259" s="537"/>
      <c r="ULB259" s="537"/>
      <c r="ULC259" s="537"/>
      <c r="ULD259" s="537"/>
      <c r="ULE259" s="537"/>
      <c r="ULF259" s="537"/>
      <c r="ULG259" s="537"/>
      <c r="ULH259" s="537"/>
      <c r="ULI259" s="537"/>
      <c r="ULJ259" s="537"/>
      <c r="ULK259" s="537"/>
      <c r="ULL259" s="537"/>
      <c r="ULM259" s="537"/>
      <c r="ULN259" s="537"/>
      <c r="ULO259" s="537"/>
      <c r="ULP259" s="537"/>
      <c r="ULQ259" s="537"/>
      <c r="ULR259" s="537"/>
      <c r="ULS259" s="537"/>
      <c r="ULT259" s="537"/>
      <c r="ULU259" s="537"/>
      <c r="ULV259" s="537"/>
      <c r="ULW259" s="537"/>
      <c r="ULX259" s="537"/>
      <c r="ULY259" s="537"/>
      <c r="ULZ259" s="537"/>
      <c r="UMA259" s="537"/>
      <c r="UMB259" s="537"/>
      <c r="UMC259" s="537"/>
      <c r="UMD259" s="537"/>
      <c r="UME259" s="537"/>
      <c r="UMF259" s="537"/>
      <c r="UMG259" s="537"/>
      <c r="UMH259" s="537"/>
      <c r="UMI259" s="537"/>
      <c r="UMJ259" s="537"/>
      <c r="UMK259" s="537"/>
      <c r="UML259" s="537"/>
      <c r="UMM259" s="537"/>
      <c r="UMN259" s="537"/>
      <c r="UMO259" s="537"/>
      <c r="UMP259" s="537"/>
      <c r="UMQ259" s="537"/>
      <c r="UMR259" s="537"/>
      <c r="UMS259" s="537"/>
      <c r="UMT259" s="537"/>
      <c r="UMU259" s="537"/>
      <c r="UMV259" s="537"/>
      <c r="UMW259" s="537"/>
      <c r="UMX259" s="537"/>
      <c r="UMY259" s="537"/>
      <c r="UMZ259" s="537"/>
      <c r="UNA259" s="537"/>
      <c r="UNB259" s="537"/>
      <c r="UNC259" s="537"/>
      <c r="UND259" s="537"/>
      <c r="UNE259" s="537"/>
      <c r="UNF259" s="537"/>
      <c r="UNG259" s="537"/>
      <c r="UNH259" s="537"/>
      <c r="UNI259" s="537"/>
      <c r="UNJ259" s="537"/>
      <c r="UNK259" s="537"/>
      <c r="UNL259" s="537"/>
      <c r="UNM259" s="537"/>
      <c r="UNN259" s="537"/>
      <c r="UNO259" s="537"/>
      <c r="UNP259" s="537"/>
      <c r="UNQ259" s="537"/>
      <c r="UNR259" s="537"/>
      <c r="UNS259" s="537"/>
      <c r="UNT259" s="537"/>
      <c r="UNU259" s="537"/>
      <c r="UNV259" s="537"/>
      <c r="UNW259" s="537"/>
      <c r="UNX259" s="537"/>
      <c r="UNY259" s="537"/>
      <c r="UNZ259" s="537"/>
      <c r="UOA259" s="537"/>
      <c r="UOB259" s="537"/>
      <c r="UOC259" s="537"/>
      <c r="UOD259" s="537"/>
      <c r="UOE259" s="537"/>
      <c r="UOF259" s="537"/>
      <c r="UOG259" s="537"/>
      <c r="UOH259" s="537"/>
      <c r="UOI259" s="537"/>
      <c r="UOJ259" s="537"/>
      <c r="UOK259" s="537"/>
      <c r="UOL259" s="537"/>
      <c r="UOM259" s="537"/>
      <c r="UON259" s="537"/>
      <c r="UOO259" s="537"/>
      <c r="UOP259" s="537"/>
      <c r="UOQ259" s="537"/>
      <c r="UOR259" s="537"/>
      <c r="UOS259" s="537"/>
      <c r="UOT259" s="537"/>
      <c r="UOU259" s="537"/>
      <c r="UOV259" s="537"/>
      <c r="UOW259" s="537"/>
      <c r="UOX259" s="537"/>
      <c r="UOY259" s="537"/>
      <c r="UOZ259" s="537"/>
      <c r="UPA259" s="537"/>
      <c r="UPB259" s="537"/>
      <c r="UPC259" s="537"/>
      <c r="UPD259" s="537"/>
      <c r="UPE259" s="537"/>
      <c r="UPF259" s="537"/>
      <c r="UPG259" s="537"/>
      <c r="UPH259" s="537"/>
      <c r="UPI259" s="537"/>
      <c r="UPJ259" s="537"/>
      <c r="UPK259" s="537"/>
      <c r="UPL259" s="537"/>
      <c r="UPM259" s="537"/>
      <c r="UPN259" s="537"/>
      <c r="UPO259" s="537"/>
      <c r="UPP259" s="537"/>
      <c r="UPQ259" s="537"/>
      <c r="UPR259" s="537"/>
      <c r="UPS259" s="537"/>
      <c r="UPT259" s="537"/>
      <c r="UPU259" s="537"/>
      <c r="UPV259" s="537"/>
      <c r="UPW259" s="537"/>
      <c r="UPX259" s="537"/>
      <c r="UPY259" s="537"/>
      <c r="UPZ259" s="537"/>
      <c r="UQA259" s="537"/>
      <c r="UQB259" s="537"/>
      <c r="UQC259" s="537"/>
      <c r="UQD259" s="537"/>
      <c r="UQE259" s="537"/>
      <c r="UQF259" s="537"/>
      <c r="UQG259" s="537"/>
      <c r="UQH259" s="537"/>
      <c r="UQI259" s="537"/>
      <c r="UQJ259" s="537"/>
      <c r="UQK259" s="537"/>
      <c r="UQL259" s="537"/>
      <c r="UQM259" s="537"/>
      <c r="UQN259" s="537"/>
      <c r="UQO259" s="537"/>
      <c r="UQP259" s="537"/>
      <c r="UQQ259" s="537"/>
      <c r="UQR259" s="537"/>
      <c r="UQS259" s="537"/>
      <c r="UQT259" s="537"/>
      <c r="UQU259" s="537"/>
      <c r="UQV259" s="537"/>
      <c r="UQW259" s="537"/>
      <c r="UQX259" s="537"/>
      <c r="UQY259" s="537"/>
      <c r="UQZ259" s="537"/>
      <c r="URA259" s="537"/>
      <c r="URB259" s="537"/>
      <c r="URC259" s="537"/>
      <c r="URD259" s="537"/>
      <c r="URE259" s="537"/>
      <c r="URF259" s="537"/>
      <c r="URG259" s="537"/>
      <c r="URH259" s="537"/>
      <c r="URI259" s="537"/>
      <c r="URJ259" s="537"/>
      <c r="URK259" s="537"/>
      <c r="URL259" s="537"/>
      <c r="URM259" s="537"/>
      <c r="URN259" s="537"/>
      <c r="URO259" s="537"/>
      <c r="URP259" s="537"/>
      <c r="URQ259" s="537"/>
      <c r="URR259" s="537"/>
      <c r="URS259" s="537"/>
      <c r="URT259" s="537"/>
      <c r="URU259" s="537"/>
      <c r="URV259" s="537"/>
      <c r="URW259" s="537"/>
      <c r="URX259" s="537"/>
      <c r="URY259" s="537"/>
      <c r="URZ259" s="537"/>
      <c r="USA259" s="537"/>
      <c r="USB259" s="537"/>
      <c r="USC259" s="537"/>
      <c r="USD259" s="537"/>
      <c r="USE259" s="537"/>
      <c r="USF259" s="537"/>
      <c r="USG259" s="537"/>
      <c r="USH259" s="537"/>
      <c r="USI259" s="537"/>
      <c r="USJ259" s="537"/>
      <c r="USK259" s="537"/>
      <c r="USL259" s="537"/>
      <c r="USM259" s="537"/>
      <c r="USN259" s="537"/>
      <c r="USO259" s="537"/>
      <c r="USP259" s="537"/>
      <c r="USQ259" s="537"/>
      <c r="USR259" s="537"/>
      <c r="USS259" s="537"/>
      <c r="UST259" s="537"/>
      <c r="USU259" s="537"/>
      <c r="USV259" s="537"/>
      <c r="USW259" s="537"/>
      <c r="USX259" s="537"/>
      <c r="USY259" s="537"/>
      <c r="USZ259" s="537"/>
      <c r="UTA259" s="537"/>
      <c r="UTB259" s="537"/>
      <c r="UTC259" s="537"/>
      <c r="UTD259" s="537"/>
      <c r="UTE259" s="537"/>
      <c r="UTF259" s="537"/>
      <c r="UTG259" s="537"/>
      <c r="UTH259" s="537"/>
      <c r="UTI259" s="537"/>
      <c r="UTJ259" s="537"/>
      <c r="UTK259" s="537"/>
      <c r="UTL259" s="537"/>
      <c r="UTM259" s="537"/>
      <c r="UTN259" s="537"/>
      <c r="UTO259" s="537"/>
      <c r="UTP259" s="537"/>
      <c r="UTQ259" s="537"/>
      <c r="UTR259" s="537"/>
      <c r="UTS259" s="537"/>
      <c r="UTT259" s="537"/>
      <c r="UTU259" s="537"/>
      <c r="UTV259" s="537"/>
      <c r="UTW259" s="537"/>
      <c r="UTX259" s="537"/>
      <c r="UTY259" s="537"/>
      <c r="UTZ259" s="537"/>
      <c r="UUA259" s="537"/>
      <c r="UUB259" s="537"/>
      <c r="UUC259" s="537"/>
      <c r="UUD259" s="537"/>
      <c r="UUE259" s="537"/>
      <c r="UUF259" s="537"/>
      <c r="UUG259" s="537"/>
      <c r="UUH259" s="537"/>
      <c r="UUI259" s="537"/>
      <c r="UUJ259" s="537"/>
      <c r="UUK259" s="537"/>
      <c r="UUL259" s="537"/>
      <c r="UUM259" s="537"/>
      <c r="UUN259" s="537"/>
      <c r="UUO259" s="537"/>
      <c r="UUP259" s="537"/>
      <c r="UUQ259" s="537"/>
      <c r="UUR259" s="537"/>
      <c r="UUS259" s="537"/>
      <c r="UUT259" s="537"/>
      <c r="UUU259" s="537"/>
      <c r="UUV259" s="537"/>
      <c r="UUW259" s="537"/>
      <c r="UUX259" s="537"/>
      <c r="UUY259" s="537"/>
      <c r="UUZ259" s="537"/>
      <c r="UVA259" s="537"/>
      <c r="UVB259" s="537"/>
      <c r="UVC259" s="537"/>
      <c r="UVD259" s="537"/>
      <c r="UVE259" s="537"/>
      <c r="UVF259" s="537"/>
      <c r="UVG259" s="537"/>
      <c r="UVH259" s="537"/>
      <c r="UVI259" s="537"/>
      <c r="UVJ259" s="537"/>
      <c r="UVK259" s="537"/>
      <c r="UVL259" s="537"/>
      <c r="UVM259" s="537"/>
      <c r="UVN259" s="537"/>
      <c r="UVO259" s="537"/>
      <c r="UVP259" s="537"/>
      <c r="UVQ259" s="537"/>
      <c r="UVR259" s="537"/>
      <c r="UVS259" s="537"/>
      <c r="UVT259" s="537"/>
      <c r="UVU259" s="537"/>
      <c r="UVV259" s="537"/>
      <c r="UVW259" s="537"/>
      <c r="UVX259" s="537"/>
      <c r="UVY259" s="537"/>
      <c r="UVZ259" s="537"/>
      <c r="UWA259" s="537"/>
      <c r="UWB259" s="537"/>
      <c r="UWC259" s="537"/>
      <c r="UWD259" s="537"/>
      <c r="UWE259" s="537"/>
      <c r="UWF259" s="537"/>
      <c r="UWG259" s="537"/>
      <c r="UWH259" s="537"/>
      <c r="UWI259" s="537"/>
      <c r="UWJ259" s="537"/>
      <c r="UWK259" s="537"/>
      <c r="UWL259" s="537"/>
      <c r="UWM259" s="537"/>
      <c r="UWN259" s="537"/>
      <c r="UWO259" s="537"/>
      <c r="UWP259" s="537"/>
      <c r="UWQ259" s="537"/>
      <c r="UWR259" s="537"/>
      <c r="UWS259" s="537"/>
      <c r="UWT259" s="537"/>
      <c r="UWU259" s="537"/>
      <c r="UWV259" s="537"/>
      <c r="UWW259" s="537"/>
      <c r="UWX259" s="537"/>
      <c r="UWY259" s="537"/>
      <c r="UWZ259" s="537"/>
      <c r="UXA259" s="537"/>
      <c r="UXB259" s="537"/>
      <c r="UXC259" s="537"/>
      <c r="UXD259" s="537"/>
      <c r="UXE259" s="537"/>
      <c r="UXF259" s="537"/>
      <c r="UXG259" s="537"/>
      <c r="UXH259" s="537"/>
      <c r="UXI259" s="537"/>
      <c r="UXJ259" s="537"/>
      <c r="UXK259" s="537"/>
      <c r="UXL259" s="537"/>
      <c r="UXM259" s="537"/>
      <c r="UXN259" s="537"/>
      <c r="UXO259" s="537"/>
      <c r="UXP259" s="537"/>
      <c r="UXQ259" s="537"/>
      <c r="UXR259" s="537"/>
      <c r="UXS259" s="537"/>
      <c r="UXT259" s="537"/>
      <c r="UXU259" s="537"/>
      <c r="UXV259" s="537"/>
      <c r="UXW259" s="537"/>
      <c r="UXX259" s="537"/>
      <c r="UXY259" s="537"/>
      <c r="UXZ259" s="537"/>
      <c r="UYA259" s="537"/>
      <c r="UYB259" s="537"/>
      <c r="UYC259" s="537"/>
      <c r="UYD259" s="537"/>
      <c r="UYE259" s="537"/>
      <c r="UYF259" s="537"/>
      <c r="UYG259" s="537"/>
      <c r="UYH259" s="537"/>
      <c r="UYI259" s="537"/>
      <c r="UYJ259" s="537"/>
      <c r="UYK259" s="537"/>
      <c r="UYL259" s="537"/>
      <c r="UYM259" s="537"/>
      <c r="UYN259" s="537"/>
      <c r="UYO259" s="537"/>
      <c r="UYP259" s="537"/>
      <c r="UYQ259" s="537"/>
      <c r="UYR259" s="537"/>
      <c r="UYS259" s="537"/>
      <c r="UYT259" s="537"/>
      <c r="UYU259" s="537"/>
      <c r="UYV259" s="537"/>
      <c r="UYW259" s="537"/>
      <c r="UYX259" s="537"/>
      <c r="UYY259" s="537"/>
      <c r="UYZ259" s="537"/>
      <c r="UZA259" s="537"/>
      <c r="UZB259" s="537"/>
      <c r="UZC259" s="537"/>
      <c r="UZD259" s="537"/>
      <c r="UZE259" s="537"/>
      <c r="UZF259" s="537"/>
      <c r="UZG259" s="537"/>
      <c r="UZH259" s="537"/>
      <c r="UZI259" s="537"/>
      <c r="UZJ259" s="537"/>
      <c r="UZK259" s="537"/>
      <c r="UZL259" s="537"/>
      <c r="UZM259" s="537"/>
      <c r="UZN259" s="537"/>
      <c r="UZO259" s="537"/>
      <c r="UZP259" s="537"/>
      <c r="UZQ259" s="537"/>
      <c r="UZR259" s="537"/>
      <c r="UZS259" s="537"/>
      <c r="UZT259" s="537"/>
      <c r="UZU259" s="537"/>
      <c r="UZV259" s="537"/>
      <c r="UZW259" s="537"/>
      <c r="UZX259" s="537"/>
      <c r="UZY259" s="537"/>
      <c r="UZZ259" s="537"/>
      <c r="VAA259" s="537"/>
      <c r="VAB259" s="537"/>
      <c r="VAC259" s="537"/>
      <c r="VAD259" s="537"/>
      <c r="VAE259" s="537"/>
      <c r="VAF259" s="537"/>
      <c r="VAG259" s="537"/>
      <c r="VAH259" s="537"/>
      <c r="VAI259" s="537"/>
      <c r="VAJ259" s="537"/>
      <c r="VAK259" s="537"/>
      <c r="VAL259" s="537"/>
      <c r="VAM259" s="537"/>
      <c r="VAN259" s="537"/>
      <c r="VAO259" s="537"/>
      <c r="VAP259" s="537"/>
      <c r="VAQ259" s="537"/>
      <c r="VAR259" s="537"/>
      <c r="VAS259" s="537"/>
      <c r="VAT259" s="537"/>
      <c r="VAU259" s="537"/>
      <c r="VAV259" s="537"/>
      <c r="VAW259" s="537"/>
      <c r="VAX259" s="537"/>
      <c r="VAY259" s="537"/>
      <c r="VAZ259" s="537"/>
      <c r="VBA259" s="537"/>
      <c r="VBB259" s="537"/>
      <c r="VBC259" s="537"/>
      <c r="VBD259" s="537"/>
      <c r="VBE259" s="537"/>
      <c r="VBF259" s="537"/>
      <c r="VBG259" s="537"/>
      <c r="VBH259" s="537"/>
      <c r="VBI259" s="537"/>
      <c r="VBJ259" s="537"/>
      <c r="VBK259" s="537"/>
      <c r="VBL259" s="537"/>
      <c r="VBM259" s="537"/>
      <c r="VBN259" s="537"/>
      <c r="VBO259" s="537"/>
      <c r="VBP259" s="537"/>
      <c r="VBQ259" s="537"/>
      <c r="VBR259" s="537"/>
      <c r="VBS259" s="537"/>
      <c r="VBT259" s="537"/>
      <c r="VBU259" s="537"/>
      <c r="VBV259" s="537"/>
      <c r="VBW259" s="537"/>
      <c r="VBX259" s="537"/>
      <c r="VBY259" s="537"/>
      <c r="VBZ259" s="537"/>
      <c r="VCA259" s="537"/>
      <c r="VCB259" s="537"/>
      <c r="VCC259" s="537"/>
      <c r="VCD259" s="537"/>
      <c r="VCE259" s="537"/>
      <c r="VCF259" s="537"/>
      <c r="VCG259" s="537"/>
      <c r="VCH259" s="537"/>
      <c r="VCI259" s="537"/>
      <c r="VCJ259" s="537"/>
      <c r="VCK259" s="537"/>
      <c r="VCL259" s="537"/>
      <c r="VCM259" s="537"/>
      <c r="VCN259" s="537"/>
      <c r="VCO259" s="537"/>
      <c r="VCP259" s="537"/>
      <c r="VCQ259" s="537"/>
      <c r="VCR259" s="537"/>
      <c r="VCS259" s="537"/>
      <c r="VCT259" s="537"/>
      <c r="VCU259" s="537"/>
      <c r="VCV259" s="537"/>
      <c r="VCW259" s="537"/>
      <c r="VCX259" s="537"/>
      <c r="VCY259" s="537"/>
      <c r="VCZ259" s="537"/>
      <c r="VDA259" s="537"/>
      <c r="VDB259" s="537"/>
      <c r="VDC259" s="537"/>
      <c r="VDD259" s="537"/>
      <c r="VDE259" s="537"/>
      <c r="VDF259" s="537"/>
      <c r="VDG259" s="537"/>
      <c r="VDH259" s="537"/>
      <c r="VDI259" s="537"/>
      <c r="VDJ259" s="537"/>
      <c r="VDK259" s="537"/>
      <c r="VDL259" s="537"/>
      <c r="VDM259" s="537"/>
      <c r="VDN259" s="537"/>
      <c r="VDO259" s="537"/>
      <c r="VDP259" s="537"/>
      <c r="VDQ259" s="537"/>
      <c r="VDR259" s="537"/>
      <c r="VDS259" s="537"/>
      <c r="VDT259" s="537"/>
      <c r="VDU259" s="537"/>
      <c r="VDV259" s="537"/>
      <c r="VDW259" s="537"/>
      <c r="VDX259" s="537"/>
      <c r="VDY259" s="537"/>
      <c r="VDZ259" s="537"/>
      <c r="VEA259" s="537"/>
      <c r="VEB259" s="537"/>
      <c r="VEC259" s="537"/>
      <c r="VED259" s="537"/>
      <c r="VEE259" s="537"/>
      <c r="VEF259" s="537"/>
      <c r="VEG259" s="537"/>
      <c r="VEH259" s="537"/>
      <c r="VEI259" s="537"/>
      <c r="VEJ259" s="537"/>
      <c r="VEK259" s="537"/>
      <c r="VEL259" s="537"/>
      <c r="VEM259" s="537"/>
      <c r="VEN259" s="537"/>
      <c r="VEO259" s="537"/>
      <c r="VEP259" s="537"/>
      <c r="VEQ259" s="537"/>
      <c r="VER259" s="537"/>
      <c r="VES259" s="537"/>
      <c r="VET259" s="537"/>
      <c r="VEU259" s="537"/>
      <c r="VEV259" s="537"/>
      <c r="VEW259" s="537"/>
      <c r="VEX259" s="537"/>
      <c r="VEY259" s="537"/>
      <c r="VEZ259" s="537"/>
      <c r="VFA259" s="537"/>
      <c r="VFB259" s="537"/>
      <c r="VFC259" s="537"/>
      <c r="VFD259" s="537"/>
      <c r="VFE259" s="537"/>
      <c r="VFF259" s="537"/>
      <c r="VFG259" s="537"/>
      <c r="VFH259" s="537"/>
      <c r="VFI259" s="537"/>
      <c r="VFJ259" s="537"/>
      <c r="VFK259" s="537"/>
      <c r="VFL259" s="537"/>
      <c r="VFM259" s="537"/>
      <c r="VFN259" s="537"/>
      <c r="VFO259" s="537"/>
      <c r="VFP259" s="537"/>
      <c r="VFQ259" s="537"/>
      <c r="VFR259" s="537"/>
      <c r="VFS259" s="537"/>
      <c r="VFT259" s="537"/>
      <c r="VFU259" s="537"/>
      <c r="VFV259" s="537"/>
      <c r="VFW259" s="537"/>
      <c r="VFX259" s="537"/>
      <c r="VFY259" s="537"/>
      <c r="VFZ259" s="537"/>
      <c r="VGA259" s="537"/>
      <c r="VGB259" s="537"/>
      <c r="VGC259" s="537"/>
      <c r="VGD259" s="537"/>
      <c r="VGE259" s="537"/>
      <c r="VGF259" s="537"/>
      <c r="VGG259" s="537"/>
      <c r="VGH259" s="537"/>
      <c r="VGI259" s="537"/>
      <c r="VGJ259" s="537"/>
      <c r="VGK259" s="537"/>
      <c r="VGL259" s="537"/>
      <c r="VGM259" s="537"/>
      <c r="VGN259" s="537"/>
      <c r="VGO259" s="537"/>
      <c r="VGP259" s="537"/>
      <c r="VGQ259" s="537"/>
      <c r="VGR259" s="537"/>
      <c r="VGS259" s="537"/>
      <c r="VGT259" s="537"/>
      <c r="VGU259" s="537"/>
      <c r="VGV259" s="537"/>
      <c r="VGW259" s="537"/>
      <c r="VGX259" s="537"/>
      <c r="VGY259" s="537"/>
      <c r="VGZ259" s="537"/>
      <c r="VHA259" s="537"/>
      <c r="VHB259" s="537"/>
      <c r="VHC259" s="537"/>
      <c r="VHD259" s="537"/>
      <c r="VHE259" s="537"/>
      <c r="VHF259" s="537"/>
      <c r="VHG259" s="537"/>
      <c r="VHH259" s="537"/>
      <c r="VHI259" s="537"/>
      <c r="VHJ259" s="537"/>
      <c r="VHK259" s="537"/>
      <c r="VHL259" s="537"/>
      <c r="VHM259" s="537"/>
      <c r="VHN259" s="537"/>
      <c r="VHO259" s="537"/>
      <c r="VHP259" s="537"/>
      <c r="VHQ259" s="537"/>
      <c r="VHR259" s="537"/>
      <c r="VHS259" s="537"/>
      <c r="VHT259" s="537"/>
      <c r="VHU259" s="537"/>
      <c r="VHV259" s="537"/>
      <c r="VHW259" s="537"/>
      <c r="VHX259" s="537"/>
      <c r="VHY259" s="537"/>
      <c r="VHZ259" s="537"/>
      <c r="VIA259" s="537"/>
      <c r="VIB259" s="537"/>
      <c r="VIC259" s="537"/>
      <c r="VID259" s="537"/>
      <c r="VIE259" s="537"/>
      <c r="VIF259" s="537"/>
      <c r="VIG259" s="537"/>
      <c r="VIH259" s="537"/>
      <c r="VII259" s="537"/>
      <c r="VIJ259" s="537"/>
      <c r="VIK259" s="537"/>
      <c r="VIL259" s="537"/>
      <c r="VIM259" s="537"/>
      <c r="VIN259" s="537"/>
      <c r="VIO259" s="537"/>
      <c r="VIP259" s="537"/>
      <c r="VIQ259" s="537"/>
      <c r="VIR259" s="537"/>
      <c r="VIS259" s="537"/>
      <c r="VIT259" s="537"/>
      <c r="VIU259" s="537"/>
      <c r="VIV259" s="537"/>
      <c r="VIW259" s="537"/>
      <c r="VIX259" s="537"/>
      <c r="VIY259" s="537"/>
      <c r="VIZ259" s="537"/>
      <c r="VJA259" s="537"/>
      <c r="VJB259" s="537"/>
      <c r="VJC259" s="537"/>
      <c r="VJD259" s="537"/>
      <c r="VJE259" s="537"/>
      <c r="VJF259" s="537"/>
      <c r="VJG259" s="537"/>
      <c r="VJH259" s="537"/>
      <c r="VJI259" s="537"/>
      <c r="VJJ259" s="537"/>
      <c r="VJK259" s="537"/>
      <c r="VJL259" s="537"/>
      <c r="VJM259" s="537"/>
      <c r="VJN259" s="537"/>
      <c r="VJO259" s="537"/>
      <c r="VJP259" s="537"/>
      <c r="VJQ259" s="537"/>
      <c r="VJR259" s="537"/>
      <c r="VJS259" s="537"/>
      <c r="VJT259" s="537"/>
      <c r="VJU259" s="537"/>
      <c r="VJV259" s="537"/>
      <c r="VJW259" s="537"/>
      <c r="VJX259" s="537"/>
      <c r="VJY259" s="537"/>
      <c r="VJZ259" s="537"/>
      <c r="VKA259" s="537"/>
      <c r="VKB259" s="537"/>
      <c r="VKC259" s="537"/>
      <c r="VKD259" s="537"/>
      <c r="VKE259" s="537"/>
      <c r="VKF259" s="537"/>
      <c r="VKG259" s="537"/>
      <c r="VKH259" s="537"/>
      <c r="VKI259" s="537"/>
      <c r="VKJ259" s="537"/>
      <c r="VKK259" s="537"/>
      <c r="VKL259" s="537"/>
      <c r="VKM259" s="537"/>
      <c r="VKN259" s="537"/>
      <c r="VKO259" s="537"/>
      <c r="VKP259" s="537"/>
      <c r="VKQ259" s="537"/>
      <c r="VKR259" s="537"/>
      <c r="VKS259" s="537"/>
      <c r="VKT259" s="537"/>
      <c r="VKU259" s="537"/>
      <c r="VKV259" s="537"/>
      <c r="VKW259" s="537"/>
      <c r="VKX259" s="537"/>
      <c r="VKY259" s="537"/>
      <c r="VKZ259" s="537"/>
      <c r="VLA259" s="537"/>
      <c r="VLB259" s="537"/>
      <c r="VLC259" s="537"/>
      <c r="VLD259" s="537"/>
      <c r="VLE259" s="537"/>
      <c r="VLF259" s="537"/>
      <c r="VLG259" s="537"/>
      <c r="VLH259" s="537"/>
      <c r="VLI259" s="537"/>
      <c r="VLJ259" s="537"/>
      <c r="VLK259" s="537"/>
      <c r="VLL259" s="537"/>
      <c r="VLM259" s="537"/>
      <c r="VLN259" s="537"/>
      <c r="VLO259" s="537"/>
      <c r="VLP259" s="537"/>
      <c r="VLQ259" s="537"/>
      <c r="VLR259" s="537"/>
      <c r="VLS259" s="537"/>
      <c r="VLT259" s="537"/>
      <c r="VLU259" s="537"/>
      <c r="VLV259" s="537"/>
      <c r="VLW259" s="537"/>
      <c r="VLX259" s="537"/>
      <c r="VLY259" s="537"/>
      <c r="VLZ259" s="537"/>
      <c r="VMA259" s="537"/>
      <c r="VMB259" s="537"/>
      <c r="VMC259" s="537"/>
      <c r="VMD259" s="537"/>
      <c r="VME259" s="537"/>
      <c r="VMF259" s="537"/>
      <c r="VMG259" s="537"/>
      <c r="VMH259" s="537"/>
      <c r="VMI259" s="537"/>
      <c r="VMJ259" s="537"/>
      <c r="VMK259" s="537"/>
      <c r="VML259" s="537"/>
      <c r="VMM259" s="537"/>
      <c r="VMN259" s="537"/>
      <c r="VMO259" s="537"/>
      <c r="VMP259" s="537"/>
      <c r="VMQ259" s="537"/>
      <c r="VMR259" s="537"/>
      <c r="VMS259" s="537"/>
      <c r="VMT259" s="537"/>
      <c r="VMU259" s="537"/>
      <c r="VMV259" s="537"/>
      <c r="VMW259" s="537"/>
      <c r="VMX259" s="537"/>
      <c r="VMY259" s="537"/>
      <c r="VMZ259" s="537"/>
      <c r="VNA259" s="537"/>
      <c r="VNB259" s="537"/>
      <c r="VNC259" s="537"/>
      <c r="VND259" s="537"/>
      <c r="VNE259" s="537"/>
      <c r="VNF259" s="537"/>
      <c r="VNG259" s="537"/>
      <c r="VNH259" s="537"/>
      <c r="VNI259" s="537"/>
      <c r="VNJ259" s="537"/>
      <c r="VNK259" s="537"/>
      <c r="VNL259" s="537"/>
      <c r="VNM259" s="537"/>
      <c r="VNN259" s="537"/>
      <c r="VNO259" s="537"/>
      <c r="VNP259" s="537"/>
      <c r="VNQ259" s="537"/>
      <c r="VNR259" s="537"/>
      <c r="VNS259" s="537"/>
      <c r="VNT259" s="537"/>
      <c r="VNU259" s="537"/>
      <c r="VNV259" s="537"/>
      <c r="VNW259" s="537"/>
      <c r="VNX259" s="537"/>
      <c r="VNY259" s="537"/>
      <c r="VNZ259" s="537"/>
      <c r="VOA259" s="537"/>
      <c r="VOB259" s="537"/>
      <c r="VOC259" s="537"/>
      <c r="VOD259" s="537"/>
      <c r="VOE259" s="537"/>
      <c r="VOF259" s="537"/>
      <c r="VOG259" s="537"/>
      <c r="VOH259" s="537"/>
      <c r="VOI259" s="537"/>
      <c r="VOJ259" s="537"/>
      <c r="VOK259" s="537"/>
      <c r="VOL259" s="537"/>
      <c r="VOM259" s="537"/>
      <c r="VON259" s="537"/>
      <c r="VOO259" s="537"/>
      <c r="VOP259" s="537"/>
      <c r="VOQ259" s="537"/>
      <c r="VOR259" s="537"/>
      <c r="VOS259" s="537"/>
      <c r="VOT259" s="537"/>
      <c r="VOU259" s="537"/>
      <c r="VOV259" s="537"/>
      <c r="VOW259" s="537"/>
      <c r="VOX259" s="537"/>
      <c r="VOY259" s="537"/>
      <c r="VOZ259" s="537"/>
      <c r="VPA259" s="537"/>
      <c r="VPB259" s="537"/>
      <c r="VPC259" s="537"/>
      <c r="VPD259" s="537"/>
      <c r="VPE259" s="537"/>
      <c r="VPF259" s="537"/>
      <c r="VPG259" s="537"/>
      <c r="VPH259" s="537"/>
      <c r="VPI259" s="537"/>
      <c r="VPJ259" s="537"/>
      <c r="VPK259" s="537"/>
      <c r="VPL259" s="537"/>
      <c r="VPM259" s="537"/>
      <c r="VPN259" s="537"/>
      <c r="VPO259" s="537"/>
      <c r="VPP259" s="537"/>
      <c r="VPQ259" s="537"/>
      <c r="VPR259" s="537"/>
      <c r="VPS259" s="537"/>
      <c r="VPT259" s="537"/>
      <c r="VPU259" s="537"/>
      <c r="VPV259" s="537"/>
      <c r="VPW259" s="537"/>
      <c r="VPX259" s="537"/>
      <c r="VPY259" s="537"/>
      <c r="VPZ259" s="537"/>
      <c r="VQA259" s="537"/>
      <c r="VQB259" s="537"/>
      <c r="VQC259" s="537"/>
      <c r="VQD259" s="537"/>
      <c r="VQE259" s="537"/>
      <c r="VQF259" s="537"/>
      <c r="VQG259" s="537"/>
      <c r="VQH259" s="537"/>
      <c r="VQI259" s="537"/>
      <c r="VQJ259" s="537"/>
      <c r="VQK259" s="537"/>
      <c r="VQL259" s="537"/>
      <c r="VQM259" s="537"/>
      <c r="VQN259" s="537"/>
      <c r="VQO259" s="537"/>
      <c r="VQP259" s="537"/>
      <c r="VQQ259" s="537"/>
      <c r="VQR259" s="537"/>
      <c r="VQS259" s="537"/>
      <c r="VQT259" s="537"/>
      <c r="VQU259" s="537"/>
      <c r="VQV259" s="537"/>
      <c r="VQW259" s="537"/>
      <c r="VQX259" s="537"/>
      <c r="VQY259" s="537"/>
      <c r="VQZ259" s="537"/>
      <c r="VRA259" s="537"/>
      <c r="VRB259" s="537"/>
      <c r="VRC259" s="537"/>
      <c r="VRD259" s="537"/>
      <c r="VRE259" s="537"/>
      <c r="VRF259" s="537"/>
      <c r="VRG259" s="537"/>
      <c r="VRH259" s="537"/>
      <c r="VRI259" s="537"/>
      <c r="VRJ259" s="537"/>
      <c r="VRK259" s="537"/>
      <c r="VRL259" s="537"/>
      <c r="VRM259" s="537"/>
      <c r="VRN259" s="537"/>
      <c r="VRO259" s="537"/>
      <c r="VRP259" s="537"/>
      <c r="VRQ259" s="537"/>
      <c r="VRR259" s="537"/>
      <c r="VRS259" s="537"/>
      <c r="VRT259" s="537"/>
      <c r="VRU259" s="537"/>
      <c r="VRV259" s="537"/>
      <c r="VRW259" s="537"/>
      <c r="VRX259" s="537"/>
      <c r="VRY259" s="537"/>
      <c r="VRZ259" s="537"/>
      <c r="VSA259" s="537"/>
      <c r="VSB259" s="537"/>
      <c r="VSC259" s="537"/>
      <c r="VSD259" s="537"/>
      <c r="VSE259" s="537"/>
      <c r="VSF259" s="537"/>
      <c r="VSG259" s="537"/>
      <c r="VSH259" s="537"/>
      <c r="VSI259" s="537"/>
      <c r="VSJ259" s="537"/>
      <c r="VSK259" s="537"/>
      <c r="VSL259" s="537"/>
      <c r="VSM259" s="537"/>
      <c r="VSN259" s="537"/>
      <c r="VSO259" s="537"/>
      <c r="VSP259" s="537"/>
      <c r="VSQ259" s="537"/>
      <c r="VSR259" s="537"/>
      <c r="VSS259" s="537"/>
      <c r="VST259" s="537"/>
      <c r="VSU259" s="537"/>
      <c r="VSV259" s="537"/>
      <c r="VSW259" s="537"/>
      <c r="VSX259" s="537"/>
      <c r="VSY259" s="537"/>
      <c r="VSZ259" s="537"/>
      <c r="VTA259" s="537"/>
      <c r="VTB259" s="537"/>
      <c r="VTC259" s="537"/>
      <c r="VTD259" s="537"/>
      <c r="VTE259" s="537"/>
      <c r="VTF259" s="537"/>
      <c r="VTG259" s="537"/>
      <c r="VTH259" s="537"/>
      <c r="VTI259" s="537"/>
      <c r="VTJ259" s="537"/>
      <c r="VTK259" s="537"/>
      <c r="VTL259" s="537"/>
      <c r="VTM259" s="537"/>
      <c r="VTN259" s="537"/>
      <c r="VTO259" s="537"/>
      <c r="VTP259" s="537"/>
      <c r="VTQ259" s="537"/>
      <c r="VTR259" s="537"/>
      <c r="VTS259" s="537"/>
      <c r="VTT259" s="537"/>
      <c r="VTU259" s="537"/>
      <c r="VTV259" s="537"/>
      <c r="VTW259" s="537"/>
      <c r="VTX259" s="537"/>
      <c r="VTY259" s="537"/>
      <c r="VTZ259" s="537"/>
      <c r="VUA259" s="537"/>
      <c r="VUB259" s="537"/>
      <c r="VUC259" s="537"/>
      <c r="VUD259" s="537"/>
      <c r="VUE259" s="537"/>
      <c r="VUF259" s="537"/>
      <c r="VUG259" s="537"/>
      <c r="VUH259" s="537"/>
      <c r="VUI259" s="537"/>
      <c r="VUJ259" s="537"/>
      <c r="VUK259" s="537"/>
      <c r="VUL259" s="537"/>
      <c r="VUM259" s="537"/>
      <c r="VUN259" s="537"/>
      <c r="VUO259" s="537"/>
      <c r="VUP259" s="537"/>
      <c r="VUQ259" s="537"/>
      <c r="VUR259" s="537"/>
      <c r="VUS259" s="537"/>
      <c r="VUT259" s="537"/>
      <c r="VUU259" s="537"/>
      <c r="VUV259" s="537"/>
      <c r="VUW259" s="537"/>
      <c r="VUX259" s="537"/>
      <c r="VUY259" s="537"/>
      <c r="VUZ259" s="537"/>
      <c r="VVA259" s="537"/>
      <c r="VVB259" s="537"/>
      <c r="VVC259" s="537"/>
      <c r="VVD259" s="537"/>
      <c r="VVE259" s="537"/>
      <c r="VVF259" s="537"/>
      <c r="VVG259" s="537"/>
      <c r="VVH259" s="537"/>
      <c r="VVI259" s="537"/>
      <c r="VVJ259" s="537"/>
      <c r="VVK259" s="537"/>
      <c r="VVL259" s="537"/>
      <c r="VVM259" s="537"/>
      <c r="VVN259" s="537"/>
      <c r="VVO259" s="537"/>
      <c r="VVP259" s="537"/>
      <c r="VVQ259" s="537"/>
      <c r="VVR259" s="537"/>
      <c r="VVS259" s="537"/>
      <c r="VVT259" s="537"/>
      <c r="VVU259" s="537"/>
      <c r="VVV259" s="537"/>
      <c r="VVW259" s="537"/>
      <c r="VVX259" s="537"/>
      <c r="VVY259" s="537"/>
      <c r="VVZ259" s="537"/>
      <c r="VWA259" s="537"/>
      <c r="VWB259" s="537"/>
      <c r="VWC259" s="537"/>
      <c r="VWD259" s="537"/>
      <c r="VWE259" s="537"/>
      <c r="VWF259" s="537"/>
      <c r="VWG259" s="537"/>
      <c r="VWH259" s="537"/>
      <c r="VWI259" s="537"/>
      <c r="VWJ259" s="537"/>
      <c r="VWK259" s="537"/>
      <c r="VWL259" s="537"/>
      <c r="VWM259" s="537"/>
      <c r="VWN259" s="537"/>
      <c r="VWO259" s="537"/>
      <c r="VWP259" s="537"/>
      <c r="VWQ259" s="537"/>
      <c r="VWR259" s="537"/>
      <c r="VWS259" s="537"/>
      <c r="VWT259" s="537"/>
      <c r="VWU259" s="537"/>
      <c r="VWV259" s="537"/>
      <c r="VWW259" s="537"/>
      <c r="VWX259" s="537"/>
      <c r="VWY259" s="537"/>
      <c r="VWZ259" s="537"/>
      <c r="VXA259" s="537"/>
      <c r="VXB259" s="537"/>
      <c r="VXC259" s="537"/>
      <c r="VXD259" s="537"/>
      <c r="VXE259" s="537"/>
      <c r="VXF259" s="537"/>
      <c r="VXG259" s="537"/>
      <c r="VXH259" s="537"/>
      <c r="VXI259" s="537"/>
      <c r="VXJ259" s="537"/>
      <c r="VXK259" s="537"/>
      <c r="VXL259" s="537"/>
      <c r="VXM259" s="537"/>
      <c r="VXN259" s="537"/>
      <c r="VXO259" s="537"/>
      <c r="VXP259" s="537"/>
      <c r="VXQ259" s="537"/>
      <c r="VXR259" s="537"/>
      <c r="VXS259" s="537"/>
      <c r="VXT259" s="537"/>
      <c r="VXU259" s="537"/>
      <c r="VXV259" s="537"/>
      <c r="VXW259" s="537"/>
      <c r="VXX259" s="537"/>
      <c r="VXY259" s="537"/>
      <c r="VXZ259" s="537"/>
      <c r="VYA259" s="537"/>
      <c r="VYB259" s="537"/>
      <c r="VYC259" s="537"/>
      <c r="VYD259" s="537"/>
      <c r="VYE259" s="537"/>
      <c r="VYF259" s="537"/>
      <c r="VYG259" s="537"/>
      <c r="VYH259" s="537"/>
      <c r="VYI259" s="537"/>
      <c r="VYJ259" s="537"/>
      <c r="VYK259" s="537"/>
      <c r="VYL259" s="537"/>
      <c r="VYM259" s="537"/>
      <c r="VYN259" s="537"/>
      <c r="VYO259" s="537"/>
      <c r="VYP259" s="537"/>
      <c r="VYQ259" s="537"/>
      <c r="VYR259" s="537"/>
      <c r="VYS259" s="537"/>
      <c r="VYT259" s="537"/>
      <c r="VYU259" s="537"/>
      <c r="VYV259" s="537"/>
      <c r="VYW259" s="537"/>
      <c r="VYX259" s="537"/>
      <c r="VYY259" s="537"/>
      <c r="VYZ259" s="537"/>
      <c r="VZA259" s="537"/>
      <c r="VZB259" s="537"/>
      <c r="VZC259" s="537"/>
      <c r="VZD259" s="537"/>
      <c r="VZE259" s="537"/>
      <c r="VZF259" s="537"/>
      <c r="VZG259" s="537"/>
      <c r="VZH259" s="537"/>
      <c r="VZI259" s="537"/>
      <c r="VZJ259" s="537"/>
      <c r="VZK259" s="537"/>
      <c r="VZL259" s="537"/>
      <c r="VZM259" s="537"/>
      <c r="VZN259" s="537"/>
      <c r="VZO259" s="537"/>
      <c r="VZP259" s="537"/>
      <c r="VZQ259" s="537"/>
      <c r="VZR259" s="537"/>
      <c r="VZS259" s="537"/>
      <c r="VZT259" s="537"/>
      <c r="VZU259" s="537"/>
      <c r="VZV259" s="537"/>
      <c r="VZW259" s="537"/>
      <c r="VZX259" s="537"/>
      <c r="VZY259" s="537"/>
      <c r="VZZ259" s="537"/>
      <c r="WAA259" s="537"/>
      <c r="WAB259" s="537"/>
      <c r="WAC259" s="537"/>
      <c r="WAD259" s="537"/>
      <c r="WAE259" s="537"/>
      <c r="WAF259" s="537"/>
      <c r="WAG259" s="537"/>
      <c r="WAH259" s="537"/>
      <c r="WAI259" s="537"/>
      <c r="WAJ259" s="537"/>
      <c r="WAK259" s="537"/>
      <c r="WAL259" s="537"/>
      <c r="WAM259" s="537"/>
      <c r="WAN259" s="537"/>
      <c r="WAO259" s="537"/>
      <c r="WAP259" s="537"/>
      <c r="WAQ259" s="537"/>
      <c r="WAR259" s="537"/>
      <c r="WAS259" s="537"/>
      <c r="WAT259" s="537"/>
      <c r="WAU259" s="537"/>
      <c r="WAV259" s="537"/>
      <c r="WAW259" s="537"/>
      <c r="WAX259" s="537"/>
      <c r="WAY259" s="537"/>
      <c r="WAZ259" s="537"/>
      <c r="WBA259" s="537"/>
      <c r="WBB259" s="537"/>
      <c r="WBC259" s="537"/>
      <c r="WBD259" s="537"/>
      <c r="WBE259" s="537"/>
      <c r="WBF259" s="537"/>
      <c r="WBG259" s="537"/>
      <c r="WBH259" s="537"/>
      <c r="WBI259" s="537"/>
      <c r="WBJ259" s="537"/>
      <c r="WBK259" s="537"/>
      <c r="WBL259" s="537"/>
      <c r="WBM259" s="537"/>
      <c r="WBN259" s="537"/>
      <c r="WBO259" s="537"/>
      <c r="WBP259" s="537"/>
      <c r="WBQ259" s="537"/>
      <c r="WBR259" s="537"/>
      <c r="WBS259" s="537"/>
      <c r="WBT259" s="537"/>
      <c r="WBU259" s="537"/>
      <c r="WBV259" s="537"/>
      <c r="WBW259" s="537"/>
      <c r="WBX259" s="537"/>
      <c r="WBY259" s="537"/>
      <c r="WBZ259" s="537"/>
      <c r="WCA259" s="537"/>
      <c r="WCB259" s="537"/>
      <c r="WCC259" s="537"/>
      <c r="WCD259" s="537"/>
      <c r="WCE259" s="537"/>
      <c r="WCF259" s="537"/>
      <c r="WCG259" s="537"/>
      <c r="WCH259" s="537"/>
      <c r="WCI259" s="537"/>
      <c r="WCJ259" s="537"/>
      <c r="WCK259" s="537"/>
      <c r="WCL259" s="537"/>
      <c r="WCM259" s="537"/>
      <c r="WCN259" s="537"/>
      <c r="WCO259" s="537"/>
      <c r="WCP259" s="537"/>
      <c r="WCQ259" s="537"/>
      <c r="WCR259" s="537"/>
      <c r="WCS259" s="537"/>
      <c r="WCT259" s="537"/>
      <c r="WCU259" s="537"/>
      <c r="WCV259" s="537"/>
      <c r="WCW259" s="537"/>
      <c r="WCX259" s="537"/>
      <c r="WCY259" s="537"/>
      <c r="WCZ259" s="537"/>
      <c r="WDA259" s="537"/>
      <c r="WDB259" s="537"/>
      <c r="WDC259" s="537"/>
      <c r="WDD259" s="537"/>
      <c r="WDE259" s="537"/>
      <c r="WDF259" s="537"/>
      <c r="WDG259" s="537"/>
      <c r="WDH259" s="537"/>
      <c r="WDI259" s="537"/>
      <c r="WDJ259" s="537"/>
      <c r="WDK259" s="537"/>
      <c r="WDL259" s="537"/>
      <c r="WDM259" s="537"/>
      <c r="WDN259" s="537"/>
      <c r="WDO259" s="537"/>
      <c r="WDP259" s="537"/>
      <c r="WDQ259" s="537"/>
      <c r="WDR259" s="537"/>
      <c r="WDS259" s="537"/>
      <c r="WDT259" s="537"/>
      <c r="WDU259" s="537"/>
      <c r="WDV259" s="537"/>
      <c r="WDW259" s="537"/>
      <c r="WDX259" s="537"/>
      <c r="WDY259" s="537"/>
      <c r="WDZ259" s="537"/>
      <c r="WEA259" s="537"/>
      <c r="WEB259" s="537"/>
      <c r="WEC259" s="537"/>
      <c r="WED259" s="537"/>
      <c r="WEE259" s="537"/>
      <c r="WEF259" s="537"/>
      <c r="WEG259" s="537"/>
      <c r="WEH259" s="537"/>
      <c r="WEI259" s="537"/>
      <c r="WEJ259" s="537"/>
      <c r="WEK259" s="537"/>
      <c r="WEL259" s="537"/>
      <c r="WEM259" s="537"/>
      <c r="WEN259" s="537"/>
      <c r="WEO259" s="537"/>
      <c r="WEP259" s="537"/>
      <c r="WEQ259" s="537"/>
      <c r="WER259" s="537"/>
      <c r="WES259" s="537"/>
      <c r="WET259" s="537"/>
      <c r="WEU259" s="537"/>
      <c r="WEV259" s="537"/>
      <c r="WEW259" s="537"/>
      <c r="WEX259" s="537"/>
      <c r="WEY259" s="537"/>
      <c r="WEZ259" s="537"/>
      <c r="WFA259" s="537"/>
      <c r="WFB259" s="537"/>
      <c r="WFC259" s="537"/>
      <c r="WFD259" s="537"/>
      <c r="WFE259" s="537"/>
      <c r="WFF259" s="537"/>
      <c r="WFG259" s="537"/>
      <c r="WFH259" s="537"/>
      <c r="WFI259" s="537"/>
      <c r="WFJ259" s="537"/>
      <c r="WFK259" s="537"/>
      <c r="WFL259" s="537"/>
      <c r="WFM259" s="537"/>
      <c r="WFN259" s="537"/>
      <c r="WFO259" s="537"/>
      <c r="WFP259" s="537"/>
      <c r="WFQ259" s="537"/>
      <c r="WFR259" s="537"/>
      <c r="WFS259" s="537"/>
      <c r="WFT259" s="537"/>
      <c r="WFU259" s="537"/>
      <c r="WFV259" s="537"/>
      <c r="WFW259" s="537"/>
      <c r="WFX259" s="537"/>
      <c r="WFY259" s="537"/>
      <c r="WFZ259" s="537"/>
      <c r="WGA259" s="537"/>
      <c r="WGB259" s="537"/>
      <c r="WGC259" s="537"/>
      <c r="WGD259" s="537"/>
      <c r="WGE259" s="537"/>
      <c r="WGF259" s="537"/>
      <c r="WGG259" s="537"/>
      <c r="WGH259" s="537"/>
      <c r="WGI259" s="537"/>
      <c r="WGJ259" s="537"/>
      <c r="WGK259" s="537"/>
      <c r="WGL259" s="537"/>
      <c r="WGM259" s="537"/>
      <c r="WGN259" s="537"/>
      <c r="WGO259" s="537"/>
      <c r="WGP259" s="537"/>
      <c r="WGQ259" s="537"/>
      <c r="WGR259" s="537"/>
      <c r="WGS259" s="537"/>
      <c r="WGT259" s="537"/>
      <c r="WGU259" s="537"/>
      <c r="WGV259" s="537"/>
      <c r="WGW259" s="537"/>
      <c r="WGX259" s="537"/>
      <c r="WGY259" s="537"/>
      <c r="WGZ259" s="537"/>
      <c r="WHA259" s="537"/>
      <c r="WHB259" s="537"/>
      <c r="WHC259" s="537"/>
      <c r="WHD259" s="537"/>
      <c r="WHE259" s="537"/>
      <c r="WHF259" s="537"/>
      <c r="WHG259" s="537"/>
      <c r="WHH259" s="537"/>
      <c r="WHI259" s="537"/>
      <c r="WHJ259" s="537"/>
      <c r="WHK259" s="537"/>
      <c r="WHL259" s="537"/>
      <c r="WHM259" s="537"/>
      <c r="WHN259" s="537"/>
      <c r="WHO259" s="537"/>
      <c r="WHP259" s="537"/>
      <c r="WHQ259" s="537"/>
      <c r="WHR259" s="537"/>
      <c r="WHS259" s="537"/>
      <c r="WHT259" s="537"/>
      <c r="WHU259" s="537"/>
      <c r="WHV259" s="537"/>
      <c r="WHW259" s="537"/>
      <c r="WHX259" s="537"/>
      <c r="WHY259" s="537"/>
      <c r="WHZ259" s="537"/>
      <c r="WIA259" s="537"/>
      <c r="WIB259" s="537"/>
      <c r="WIC259" s="537"/>
      <c r="WID259" s="537"/>
      <c r="WIE259" s="537"/>
      <c r="WIF259" s="537"/>
      <c r="WIG259" s="537"/>
      <c r="WIH259" s="537"/>
      <c r="WII259" s="537"/>
      <c r="WIJ259" s="537"/>
      <c r="WIK259" s="537"/>
      <c r="WIL259" s="537"/>
      <c r="WIM259" s="537"/>
      <c r="WIN259" s="537"/>
      <c r="WIO259" s="537"/>
      <c r="WIP259" s="537"/>
      <c r="WIQ259" s="537"/>
      <c r="WIR259" s="537"/>
      <c r="WIS259" s="537"/>
      <c r="WIT259" s="537"/>
      <c r="WIU259" s="537"/>
      <c r="WIV259" s="537"/>
      <c r="WIW259" s="537"/>
      <c r="WIX259" s="537"/>
      <c r="WIY259" s="537"/>
      <c r="WIZ259" s="537"/>
      <c r="WJA259" s="537"/>
      <c r="WJB259" s="537"/>
      <c r="WJC259" s="537"/>
      <c r="WJD259" s="537"/>
      <c r="WJE259" s="537"/>
      <c r="WJF259" s="537"/>
      <c r="WJG259" s="537"/>
      <c r="WJH259" s="537"/>
      <c r="WJI259" s="537"/>
      <c r="WJJ259" s="537"/>
      <c r="WJK259" s="537"/>
      <c r="WJL259" s="537"/>
      <c r="WJM259" s="537"/>
      <c r="WJN259" s="537"/>
      <c r="WJO259" s="537"/>
      <c r="WJP259" s="537"/>
      <c r="WJQ259" s="537"/>
      <c r="WJR259" s="537"/>
      <c r="WJS259" s="537"/>
      <c r="WJT259" s="537"/>
      <c r="WJU259" s="537"/>
      <c r="WJV259" s="537"/>
      <c r="WJW259" s="537"/>
      <c r="WJX259" s="537"/>
      <c r="WJY259" s="537"/>
      <c r="WJZ259" s="537"/>
      <c r="WKA259" s="537"/>
      <c r="WKB259" s="537"/>
      <c r="WKC259" s="537"/>
      <c r="WKD259" s="537"/>
      <c r="WKE259" s="537"/>
      <c r="WKF259" s="537"/>
      <c r="WKG259" s="537"/>
      <c r="WKH259" s="537"/>
      <c r="WKI259" s="537"/>
      <c r="WKJ259" s="537"/>
      <c r="WKK259" s="537"/>
      <c r="WKL259" s="537"/>
      <c r="WKM259" s="537"/>
      <c r="WKN259" s="537"/>
      <c r="WKO259" s="537"/>
      <c r="WKP259" s="537"/>
      <c r="WKQ259" s="537"/>
      <c r="WKR259" s="537"/>
      <c r="WKS259" s="537"/>
      <c r="WKT259" s="537"/>
      <c r="WKU259" s="537"/>
      <c r="WKV259" s="537"/>
      <c r="WKW259" s="537"/>
      <c r="WKX259" s="537"/>
      <c r="WKY259" s="537"/>
      <c r="WKZ259" s="537"/>
      <c r="WLA259" s="537"/>
      <c r="WLB259" s="537"/>
      <c r="WLC259" s="537"/>
      <c r="WLD259" s="537"/>
      <c r="WLE259" s="537"/>
      <c r="WLF259" s="537"/>
      <c r="WLG259" s="537"/>
      <c r="WLH259" s="537"/>
      <c r="WLI259" s="537"/>
      <c r="WLJ259" s="537"/>
      <c r="WLK259" s="537"/>
      <c r="WLL259" s="537"/>
      <c r="WLM259" s="537"/>
      <c r="WLN259" s="537"/>
      <c r="WLO259" s="537"/>
      <c r="WLP259" s="537"/>
      <c r="WLQ259" s="537"/>
      <c r="WLR259" s="537"/>
      <c r="WLS259" s="537"/>
      <c r="WLT259" s="537"/>
      <c r="WLU259" s="537"/>
      <c r="WLV259" s="537"/>
      <c r="WLW259" s="537"/>
      <c r="WLX259" s="537"/>
      <c r="WLY259" s="537"/>
      <c r="WLZ259" s="537"/>
      <c r="WMA259" s="537"/>
      <c r="WMB259" s="537"/>
      <c r="WMC259" s="537"/>
      <c r="WMD259" s="537"/>
      <c r="WME259" s="537"/>
      <c r="WMF259" s="537"/>
      <c r="WMG259" s="537"/>
      <c r="WMH259" s="537"/>
      <c r="WMI259" s="537"/>
      <c r="WMJ259" s="537"/>
      <c r="WMK259" s="537"/>
      <c r="WML259" s="537"/>
      <c r="WMM259" s="537"/>
      <c r="WMN259" s="537"/>
      <c r="WMO259" s="537"/>
      <c r="WMP259" s="537"/>
      <c r="WMQ259" s="537"/>
      <c r="WMR259" s="537"/>
      <c r="WMS259" s="537"/>
      <c r="WMT259" s="537"/>
      <c r="WMU259" s="537"/>
      <c r="WMV259" s="537"/>
      <c r="WMW259" s="537"/>
      <c r="WMX259" s="537"/>
      <c r="WMY259" s="537"/>
      <c r="WMZ259" s="537"/>
      <c r="WNA259" s="537"/>
      <c r="WNB259" s="537"/>
      <c r="WNC259" s="537"/>
      <c r="WND259" s="537"/>
      <c r="WNE259" s="537"/>
      <c r="WNF259" s="537"/>
      <c r="WNG259" s="537"/>
      <c r="WNH259" s="537"/>
      <c r="WNI259" s="537"/>
      <c r="WNJ259" s="537"/>
      <c r="WNK259" s="537"/>
      <c r="WNL259" s="537"/>
      <c r="WNM259" s="537"/>
      <c r="WNN259" s="537"/>
      <c r="WNO259" s="537"/>
      <c r="WNP259" s="537"/>
      <c r="WNQ259" s="537"/>
      <c r="WNR259" s="537"/>
      <c r="WNS259" s="537"/>
      <c r="WNT259" s="537"/>
      <c r="WNU259" s="537"/>
      <c r="WNV259" s="537"/>
      <c r="WNW259" s="537"/>
      <c r="WNX259" s="537"/>
      <c r="WNY259" s="537"/>
      <c r="WNZ259" s="537"/>
      <c r="WOA259" s="537"/>
      <c r="WOB259" s="537"/>
      <c r="WOC259" s="537"/>
      <c r="WOD259" s="537"/>
      <c r="WOE259" s="537"/>
      <c r="WOF259" s="537"/>
      <c r="WOG259" s="537"/>
      <c r="WOH259" s="537"/>
      <c r="WOI259" s="537"/>
      <c r="WOJ259" s="537"/>
      <c r="WOK259" s="537"/>
      <c r="WOL259" s="537"/>
      <c r="WOM259" s="537"/>
      <c r="WON259" s="537"/>
      <c r="WOO259" s="537"/>
      <c r="WOP259" s="537"/>
      <c r="WOQ259" s="537"/>
      <c r="WOR259" s="537"/>
      <c r="WOS259" s="537"/>
      <c r="WOT259" s="537"/>
      <c r="WOU259" s="537"/>
      <c r="WOV259" s="537"/>
      <c r="WOW259" s="537"/>
      <c r="WOX259" s="537"/>
      <c r="WOY259" s="537"/>
      <c r="WOZ259" s="537"/>
      <c r="WPA259" s="537"/>
      <c r="WPB259" s="537"/>
      <c r="WPC259" s="537"/>
      <c r="WPD259" s="537"/>
      <c r="WPE259" s="537"/>
      <c r="WPF259" s="537"/>
      <c r="WPG259" s="537"/>
      <c r="WPH259" s="537"/>
      <c r="WPI259" s="537"/>
      <c r="WPJ259" s="537"/>
      <c r="WPK259" s="537"/>
      <c r="WPL259" s="537"/>
      <c r="WPM259" s="537"/>
      <c r="WPN259" s="537"/>
      <c r="WPO259" s="537"/>
      <c r="WPP259" s="537"/>
      <c r="WPQ259" s="537"/>
      <c r="WPR259" s="537"/>
      <c r="WPS259" s="537"/>
      <c r="WPT259" s="537"/>
      <c r="WPU259" s="537"/>
      <c r="WPV259" s="537"/>
      <c r="WPW259" s="537"/>
      <c r="WPX259" s="537"/>
      <c r="WPY259" s="537"/>
      <c r="WPZ259" s="537"/>
      <c r="WQA259" s="537"/>
      <c r="WQB259" s="537"/>
      <c r="WQC259" s="537"/>
      <c r="WQD259" s="537"/>
      <c r="WQE259" s="537"/>
      <c r="WQF259" s="537"/>
      <c r="WQG259" s="537"/>
      <c r="WQH259" s="537"/>
      <c r="WQI259" s="537"/>
      <c r="WQJ259" s="537"/>
      <c r="WQK259" s="537"/>
      <c r="WQL259" s="537"/>
      <c r="WQM259" s="537"/>
      <c r="WQN259" s="537"/>
      <c r="WQO259" s="537"/>
      <c r="WQP259" s="537"/>
      <c r="WQQ259" s="537"/>
      <c r="WQR259" s="537"/>
      <c r="WQS259" s="537"/>
      <c r="WQT259" s="537"/>
      <c r="WQU259" s="537"/>
      <c r="WQV259" s="537"/>
      <c r="WQW259" s="537"/>
      <c r="WQX259" s="537"/>
      <c r="WQY259" s="537"/>
      <c r="WQZ259" s="537"/>
      <c r="WRA259" s="537"/>
      <c r="WRB259" s="537"/>
      <c r="WRC259" s="537"/>
      <c r="WRD259" s="537"/>
      <c r="WRE259" s="537"/>
      <c r="WRF259" s="537"/>
      <c r="WRG259" s="537"/>
      <c r="WRH259" s="537"/>
      <c r="WRI259" s="537"/>
      <c r="WRJ259" s="537"/>
      <c r="WRK259" s="537"/>
      <c r="WRL259" s="537"/>
      <c r="WRM259" s="537"/>
      <c r="WRN259" s="537"/>
      <c r="WRO259" s="537"/>
      <c r="WRP259" s="537"/>
      <c r="WRQ259" s="537"/>
      <c r="WRR259" s="537"/>
      <c r="WRS259" s="537"/>
      <c r="WRT259" s="537"/>
      <c r="WRU259" s="537"/>
      <c r="WRV259" s="537"/>
      <c r="WRW259" s="537"/>
      <c r="WRX259" s="537"/>
      <c r="WRY259" s="537"/>
      <c r="WRZ259" s="537"/>
      <c r="WSA259" s="537"/>
      <c r="WSB259" s="537"/>
      <c r="WSC259" s="537"/>
      <c r="WSD259" s="537"/>
      <c r="WSE259" s="537"/>
      <c r="WSF259" s="537"/>
      <c r="WSG259" s="537"/>
      <c r="WSH259" s="537"/>
      <c r="WSI259" s="537"/>
      <c r="WSJ259" s="537"/>
      <c r="WSK259" s="537"/>
      <c r="WSL259" s="537"/>
      <c r="WSM259" s="537"/>
      <c r="WSN259" s="537"/>
      <c r="WSO259" s="537"/>
      <c r="WSP259" s="537"/>
      <c r="WSQ259" s="537"/>
      <c r="WSR259" s="537"/>
      <c r="WSS259" s="537"/>
      <c r="WST259" s="537"/>
      <c r="WSU259" s="537"/>
      <c r="WSV259" s="537"/>
      <c r="WSW259" s="537"/>
      <c r="WSX259" s="537"/>
      <c r="WSY259" s="537"/>
      <c r="WSZ259" s="537"/>
      <c r="WTA259" s="537"/>
      <c r="WTB259" s="537"/>
      <c r="WTC259" s="537"/>
      <c r="WTD259" s="537"/>
      <c r="WTE259" s="537"/>
      <c r="WTF259" s="537"/>
      <c r="WTG259" s="537"/>
      <c r="WTH259" s="537"/>
      <c r="WTI259" s="537"/>
      <c r="WTJ259" s="537"/>
      <c r="WTK259" s="537"/>
      <c r="WTL259" s="537"/>
      <c r="WTM259" s="537"/>
      <c r="WTN259" s="537"/>
      <c r="WTO259" s="537"/>
      <c r="WTP259" s="537"/>
      <c r="WTQ259" s="537"/>
      <c r="WTR259" s="537"/>
      <c r="WTS259" s="537"/>
      <c r="WTT259" s="537"/>
      <c r="WTU259" s="537"/>
      <c r="WTV259" s="537"/>
      <c r="WTW259" s="537"/>
      <c r="WTX259" s="537"/>
      <c r="WTY259" s="537"/>
      <c r="WTZ259" s="537"/>
      <c r="WUA259" s="537"/>
      <c r="WUB259" s="537"/>
      <c r="WUC259" s="537"/>
      <c r="WUD259" s="537"/>
      <c r="WUE259" s="537"/>
      <c r="WUF259" s="537"/>
      <c r="WUG259" s="537"/>
      <c r="WUH259" s="537"/>
      <c r="WUI259" s="537"/>
      <c r="WUJ259" s="537"/>
      <c r="WUK259" s="537"/>
      <c r="WUL259" s="537"/>
      <c r="WUM259" s="537"/>
      <c r="WUN259" s="537"/>
      <c r="WUO259" s="537"/>
      <c r="WUP259" s="537"/>
      <c r="WUQ259" s="537"/>
      <c r="WUR259" s="537"/>
      <c r="WUS259" s="537"/>
      <c r="WUT259" s="537"/>
      <c r="WUU259" s="537"/>
      <c r="WUV259" s="537"/>
      <c r="WUW259" s="537"/>
      <c r="WUX259" s="537"/>
      <c r="WUY259" s="537"/>
      <c r="WUZ259" s="537"/>
      <c r="WVA259" s="537"/>
      <c r="WVB259" s="537"/>
      <c r="WVC259" s="537"/>
      <c r="WVD259" s="537"/>
      <c r="WVE259" s="537"/>
      <c r="WVF259" s="537"/>
      <c r="WVG259" s="537"/>
      <c r="WVH259" s="537"/>
      <c r="WVI259" s="537"/>
      <c r="WVJ259" s="537"/>
      <c r="WVK259" s="537"/>
      <c r="WVL259" s="537"/>
      <c r="WVM259" s="537"/>
      <c r="WVN259" s="537"/>
      <c r="WVO259" s="537"/>
      <c r="WVP259" s="537"/>
      <c r="WVQ259" s="537"/>
      <c r="WVR259" s="537"/>
      <c r="WVS259" s="537"/>
      <c r="WVT259" s="537"/>
      <c r="WVU259" s="537"/>
      <c r="WVV259" s="537"/>
      <c r="WVW259" s="537"/>
      <c r="WVX259" s="537"/>
      <c r="WVY259" s="537"/>
      <c r="WVZ259" s="537"/>
      <c r="WWA259" s="537"/>
      <c r="WWB259" s="537"/>
      <c r="WWC259" s="537"/>
      <c r="WWD259" s="537"/>
      <c r="WWE259" s="537"/>
      <c r="WWF259" s="537"/>
      <c r="WWG259" s="537"/>
      <c r="WWH259" s="537"/>
      <c r="WWI259" s="537"/>
      <c r="WWJ259" s="537"/>
      <c r="WWK259" s="537"/>
      <c r="WWL259" s="537"/>
      <c r="WWM259" s="537"/>
      <c r="WWN259" s="537"/>
      <c r="WWO259" s="537"/>
      <c r="WWP259" s="537"/>
      <c r="WWQ259" s="537"/>
      <c r="WWR259" s="537"/>
      <c r="WWS259" s="537"/>
      <c r="WWT259" s="537"/>
      <c r="WWU259" s="537"/>
      <c r="WWV259" s="537"/>
      <c r="WWW259" s="537"/>
      <c r="WWX259" s="537"/>
      <c r="WWY259" s="537"/>
      <c r="WWZ259" s="537"/>
      <c r="WXA259" s="537"/>
      <c r="WXB259" s="537"/>
      <c r="WXC259" s="537"/>
      <c r="WXD259" s="537"/>
      <c r="WXE259" s="537"/>
      <c r="WXF259" s="537"/>
      <c r="WXG259" s="537"/>
      <c r="WXH259" s="537"/>
      <c r="WXI259" s="537"/>
      <c r="WXJ259" s="537"/>
      <c r="WXK259" s="537"/>
      <c r="WXL259" s="537"/>
      <c r="WXM259" s="537"/>
      <c r="WXN259" s="537"/>
      <c r="WXO259" s="537"/>
      <c r="WXP259" s="537"/>
      <c r="WXQ259" s="537"/>
      <c r="WXR259" s="537"/>
      <c r="WXS259" s="537"/>
      <c r="WXT259" s="537"/>
      <c r="WXU259" s="537"/>
      <c r="WXV259" s="537"/>
      <c r="WXW259" s="537"/>
      <c r="WXX259" s="537"/>
      <c r="WXY259" s="537"/>
      <c r="WXZ259" s="537"/>
      <c r="WYA259" s="537"/>
      <c r="WYB259" s="537"/>
      <c r="WYC259" s="537"/>
      <c r="WYD259" s="537"/>
      <c r="WYE259" s="537"/>
      <c r="WYF259" s="537"/>
      <c r="WYG259" s="537"/>
      <c r="WYH259" s="537"/>
      <c r="WYI259" s="537"/>
      <c r="WYJ259" s="537"/>
      <c r="WYK259" s="537"/>
      <c r="WYL259" s="537"/>
      <c r="WYM259" s="537"/>
      <c r="WYN259" s="537"/>
      <c r="WYO259" s="537"/>
      <c r="WYP259" s="537"/>
      <c r="WYQ259" s="537"/>
      <c r="WYR259" s="537"/>
      <c r="WYS259" s="537"/>
      <c r="WYT259" s="537"/>
      <c r="WYU259" s="537"/>
      <c r="WYV259" s="537"/>
      <c r="WYW259" s="537"/>
      <c r="WYX259" s="537"/>
      <c r="WYY259" s="537"/>
      <c r="WYZ259" s="537"/>
      <c r="WZA259" s="537"/>
      <c r="WZB259" s="537"/>
      <c r="WZC259" s="537"/>
      <c r="WZD259" s="537"/>
      <c r="WZE259" s="537"/>
      <c r="WZF259" s="537"/>
      <c r="WZG259" s="537"/>
      <c r="WZH259" s="537"/>
      <c r="WZI259" s="537"/>
      <c r="WZJ259" s="537"/>
      <c r="WZK259" s="537"/>
      <c r="WZL259" s="537"/>
      <c r="WZM259" s="537"/>
      <c r="WZN259" s="537"/>
      <c r="WZO259" s="537"/>
      <c r="WZP259" s="537"/>
      <c r="WZQ259" s="537"/>
      <c r="WZR259" s="537"/>
      <c r="WZS259" s="537"/>
      <c r="WZT259" s="537"/>
      <c r="WZU259" s="537"/>
      <c r="WZV259" s="537"/>
      <c r="WZW259" s="537"/>
      <c r="WZX259" s="537"/>
      <c r="WZY259" s="537"/>
      <c r="WZZ259" s="537"/>
      <c r="XAA259" s="537"/>
      <c r="XAB259" s="537"/>
      <c r="XAC259" s="537"/>
      <c r="XAD259" s="537"/>
      <c r="XAE259" s="537"/>
      <c r="XAF259" s="537"/>
      <c r="XAG259" s="537"/>
      <c r="XAH259" s="537"/>
      <c r="XAI259" s="537"/>
      <c r="XAJ259" s="537"/>
      <c r="XAK259" s="537"/>
      <c r="XAL259" s="537"/>
      <c r="XAM259" s="537"/>
      <c r="XAN259" s="537"/>
      <c r="XAO259" s="537"/>
      <c r="XAP259" s="537"/>
      <c r="XAQ259" s="537"/>
      <c r="XAR259" s="537"/>
      <c r="XAS259" s="537"/>
      <c r="XAT259" s="537"/>
      <c r="XAU259" s="537"/>
      <c r="XAV259" s="537"/>
      <c r="XAW259" s="537"/>
      <c r="XAX259" s="537"/>
      <c r="XAY259" s="537"/>
      <c r="XAZ259" s="537"/>
      <c r="XBA259" s="537"/>
      <c r="XBB259" s="537"/>
      <c r="XBC259" s="537"/>
      <c r="XBD259" s="537"/>
      <c r="XBE259" s="537"/>
      <c r="XBF259" s="537"/>
      <c r="XBG259" s="537"/>
      <c r="XBH259" s="537"/>
      <c r="XBI259" s="537"/>
      <c r="XBJ259" s="537"/>
      <c r="XBK259" s="537"/>
      <c r="XBL259" s="537"/>
      <c r="XBM259" s="537"/>
      <c r="XBN259" s="537"/>
      <c r="XBO259" s="537"/>
      <c r="XBP259" s="537"/>
      <c r="XBQ259" s="537"/>
      <c r="XBR259" s="537"/>
      <c r="XBS259" s="537"/>
      <c r="XBT259" s="537"/>
      <c r="XBU259" s="537"/>
      <c r="XBV259" s="537"/>
      <c r="XBW259" s="537"/>
      <c r="XBX259" s="537"/>
      <c r="XBY259" s="537"/>
      <c r="XBZ259" s="537"/>
      <c r="XCA259" s="537"/>
      <c r="XCB259" s="537"/>
      <c r="XCC259" s="537"/>
      <c r="XCD259" s="537"/>
      <c r="XCE259" s="537"/>
      <c r="XCF259" s="537"/>
      <c r="XCG259" s="537"/>
      <c r="XCH259" s="537"/>
      <c r="XCI259" s="537"/>
      <c r="XCJ259" s="537"/>
      <c r="XCK259" s="537"/>
      <c r="XCL259" s="537"/>
      <c r="XCM259" s="537"/>
      <c r="XCN259" s="537"/>
      <c r="XCO259" s="537"/>
      <c r="XCP259" s="537"/>
      <c r="XCQ259" s="537"/>
      <c r="XCR259" s="537"/>
      <c r="XCS259" s="537"/>
      <c r="XCT259" s="537"/>
      <c r="XCU259" s="537"/>
      <c r="XCV259" s="537"/>
      <c r="XCW259" s="537"/>
      <c r="XCX259" s="537"/>
      <c r="XCY259" s="537"/>
      <c r="XCZ259" s="537"/>
      <c r="XDA259" s="537"/>
      <c r="XDB259" s="537"/>
      <c r="XDC259" s="537"/>
      <c r="XDD259" s="537"/>
      <c r="XDE259" s="537"/>
      <c r="XDF259" s="537"/>
      <c r="XDG259" s="537"/>
      <c r="XDH259" s="537"/>
      <c r="XDI259" s="537"/>
      <c r="XDJ259" s="537"/>
      <c r="XDK259" s="537"/>
      <c r="XDL259" s="537"/>
      <c r="XDM259" s="537"/>
      <c r="XDN259" s="537"/>
      <c r="XDO259" s="537"/>
      <c r="XDP259" s="537"/>
      <c r="XDQ259" s="537"/>
      <c r="XDR259" s="537"/>
      <c r="XDS259" s="537"/>
      <c r="XDT259" s="537"/>
      <c r="XDU259" s="537"/>
      <c r="XDV259" s="537"/>
      <c r="XDW259" s="537"/>
      <c r="XDX259" s="537"/>
      <c r="XDY259" s="537"/>
      <c r="XDZ259" s="537"/>
      <c r="XEA259" s="537"/>
      <c r="XEB259" s="537"/>
      <c r="XEC259" s="537"/>
      <c r="XED259" s="537"/>
      <c r="XEE259" s="537"/>
      <c r="XEF259" s="537"/>
      <c r="XEG259" s="537"/>
      <c r="XEH259" s="537"/>
      <c r="XEI259" s="537"/>
      <c r="XEJ259" s="537"/>
      <c r="XEK259" s="537"/>
      <c r="XEL259" s="537"/>
      <c r="XEM259" s="537"/>
      <c r="XEN259" s="537"/>
      <c r="XEO259" s="537"/>
      <c r="XEP259" s="537"/>
      <c r="XEQ259" s="537"/>
      <c r="XER259" s="537"/>
      <c r="XES259" s="537"/>
      <c r="XET259" s="537"/>
      <c r="XEU259" s="537"/>
      <c r="XEV259" s="537"/>
      <c r="XEW259" s="537"/>
      <c r="XEX259" s="537"/>
      <c r="XEY259" s="537"/>
      <c r="XEZ259" s="537"/>
      <c r="XFA259" s="537"/>
      <c r="XFB259" s="537"/>
      <c r="XFC259" s="537"/>
      <c r="XFD259" s="537"/>
    </row>
    <row r="262" spans="1:16384">
      <c r="A262" s="541"/>
    </row>
    <row r="263" spans="1:16384">
      <c r="A263" s="541"/>
    </row>
    <row r="264" spans="1:16384">
      <c r="A264" s="541"/>
    </row>
    <row r="265" spans="1:16384">
      <c r="A265" s="541"/>
    </row>
    <row r="266" spans="1:16384">
      <c r="A266" s="541"/>
    </row>
    <row r="267" spans="1:16384">
      <c r="A267" s="541"/>
    </row>
    <row r="268" spans="1:16384">
      <c r="A268" s="541"/>
    </row>
    <row r="269" spans="1:16384">
      <c r="A269" s="541"/>
    </row>
    <row r="270" spans="1:16384">
      <c r="A270" s="541"/>
    </row>
    <row r="271" spans="1:16384">
      <c r="A271" s="541"/>
    </row>
    <row r="272" spans="1:16384">
      <c r="A272" s="541"/>
    </row>
    <row r="274" spans="1:102">
      <c r="B274" s="61"/>
      <c r="C274" s="61"/>
      <c r="D274" s="61"/>
      <c r="E274" s="61"/>
      <c r="F274" s="61"/>
      <c r="G274" s="61"/>
      <c r="H274" s="61"/>
      <c r="I274" s="61"/>
      <c r="J274" s="61"/>
      <c r="K274" s="61"/>
      <c r="L274" s="61"/>
    </row>
    <row r="275" spans="1:102">
      <c r="A275" s="541"/>
      <c r="B275" s="61"/>
      <c r="C275" s="61"/>
      <c r="D275" s="61"/>
      <c r="E275" s="61"/>
      <c r="F275" s="61"/>
      <c r="G275" s="61"/>
      <c r="H275" s="61"/>
      <c r="I275" s="61"/>
      <c r="J275" s="61"/>
      <c r="K275" s="61"/>
      <c r="L275" s="61"/>
      <c r="M275" s="61"/>
      <c r="N275" s="61"/>
      <c r="O275" s="61"/>
      <c r="P275" s="61"/>
      <c r="Q275" s="61"/>
      <c r="R275" s="61"/>
      <c r="S275" s="61"/>
      <c r="T275" s="61"/>
      <c r="U275" s="61"/>
      <c r="V275" s="61"/>
      <c r="W275" s="61"/>
      <c r="X275" s="61"/>
      <c r="Y275" s="61"/>
      <c r="Z275" s="61"/>
      <c r="AA275" s="61"/>
      <c r="AB275" s="61"/>
      <c r="AC275" s="61"/>
      <c r="AD275" s="61"/>
      <c r="AE275" s="61"/>
      <c r="AF275" s="61"/>
      <c r="AG275" s="61"/>
      <c r="AH275" s="61"/>
      <c r="AI275" s="61"/>
      <c r="AJ275" s="61"/>
      <c r="AK275" s="61"/>
      <c r="AL275" s="61"/>
      <c r="AM275" s="61"/>
      <c r="AN275" s="61"/>
      <c r="AO275" s="61"/>
      <c r="AP275" s="61"/>
      <c r="AQ275" s="61"/>
      <c r="AR275" s="61"/>
      <c r="AS275" s="61"/>
      <c r="AT275" s="61"/>
      <c r="AU275" s="61"/>
      <c r="AV275" s="61"/>
      <c r="AW275" s="61"/>
      <c r="AX275" s="61"/>
      <c r="AY275" s="61"/>
      <c r="AZ275" s="61"/>
      <c r="BA275" s="61"/>
      <c r="BB275" s="61"/>
      <c r="BC275" s="61"/>
      <c r="BD275" s="61"/>
      <c r="BE275" s="61"/>
      <c r="BF275" s="61"/>
      <c r="BG275" s="61"/>
      <c r="BH275" s="61"/>
      <c r="BI275" s="61"/>
      <c r="BJ275" s="61"/>
      <c r="BK275" s="61"/>
      <c r="BL275" s="61"/>
      <c r="BM275" s="61"/>
      <c r="BN275" s="61"/>
      <c r="BO275" s="61"/>
      <c r="BP275" s="61"/>
      <c r="BQ275" s="61"/>
      <c r="BR275" s="61"/>
      <c r="BS275" s="61"/>
      <c r="BT275" s="61"/>
      <c r="BU275" s="61"/>
      <c r="BV275" s="61"/>
      <c r="BW275" s="61"/>
      <c r="BX275" s="61"/>
      <c r="BY275" s="61"/>
      <c r="BZ275" s="61"/>
      <c r="CA275" s="61"/>
      <c r="CB275" s="61"/>
      <c r="CC275" s="61"/>
      <c r="CD275" s="61"/>
      <c r="CE275" s="61"/>
      <c r="CF275" s="61"/>
      <c r="CG275" s="61"/>
      <c r="CH275" s="61"/>
      <c r="CI275" s="61"/>
      <c r="CJ275" s="61"/>
      <c r="CK275" s="61"/>
      <c r="CL275" s="61"/>
      <c r="CM275" s="61"/>
      <c r="CN275" s="61"/>
      <c r="CO275" s="61"/>
      <c r="CP275" s="61"/>
      <c r="CQ275" s="61"/>
      <c r="CR275" s="61"/>
      <c r="CS275" s="61"/>
      <c r="CT275" s="61"/>
      <c r="CU275" s="61"/>
      <c r="CV275" s="61"/>
      <c r="CW275" s="61"/>
      <c r="CX275" s="61"/>
    </row>
    <row r="276" spans="1:102">
      <c r="A276" s="541"/>
      <c r="B276" s="61"/>
      <c r="C276" s="61"/>
      <c r="D276" s="61"/>
      <c r="E276" s="61"/>
      <c r="F276" s="61"/>
      <c r="G276" s="61"/>
      <c r="H276" s="61"/>
      <c r="I276" s="61"/>
      <c r="J276" s="61"/>
      <c r="K276" s="61"/>
      <c r="L276" s="61"/>
      <c r="M276" s="61"/>
      <c r="N276" s="61"/>
      <c r="O276" s="61"/>
      <c r="P276" s="61"/>
      <c r="Q276" s="61"/>
      <c r="R276" s="61"/>
      <c r="S276" s="61"/>
      <c r="T276" s="61"/>
      <c r="U276" s="61"/>
      <c r="V276" s="61"/>
      <c r="W276" s="61"/>
      <c r="X276" s="61"/>
      <c r="Y276" s="61"/>
      <c r="Z276" s="61"/>
      <c r="AA276" s="61"/>
      <c r="AB276" s="61"/>
      <c r="AC276" s="61"/>
      <c r="AD276" s="61"/>
      <c r="AE276" s="61"/>
      <c r="AF276" s="61"/>
      <c r="AG276" s="61"/>
      <c r="AH276" s="61"/>
      <c r="AI276" s="61"/>
      <c r="AJ276" s="61"/>
      <c r="AK276" s="61"/>
      <c r="AL276" s="61"/>
      <c r="AM276" s="61"/>
      <c r="AN276" s="61"/>
      <c r="AO276" s="61"/>
      <c r="AP276" s="61"/>
      <c r="AQ276" s="61"/>
      <c r="AR276" s="61"/>
      <c r="AS276" s="61"/>
      <c r="AT276" s="61"/>
      <c r="AU276" s="61"/>
      <c r="AV276" s="61"/>
      <c r="AW276" s="61"/>
      <c r="AX276" s="61"/>
      <c r="AY276" s="61"/>
      <c r="AZ276" s="61"/>
      <c r="BA276" s="61"/>
      <c r="BB276" s="61"/>
      <c r="BC276" s="61"/>
      <c r="BD276" s="61"/>
      <c r="BE276" s="61"/>
      <c r="BF276" s="61"/>
      <c r="BG276" s="61"/>
      <c r="BH276" s="61"/>
      <c r="BI276" s="61"/>
      <c r="BJ276" s="61"/>
      <c r="BK276" s="61"/>
      <c r="BL276" s="61"/>
      <c r="BM276" s="61"/>
      <c r="BN276" s="61"/>
      <c r="BO276" s="61"/>
      <c r="BP276" s="61"/>
      <c r="BQ276" s="61"/>
      <c r="BR276" s="61"/>
      <c r="BS276" s="61"/>
      <c r="BT276" s="61"/>
      <c r="BU276" s="61"/>
      <c r="BV276" s="61"/>
      <c r="BW276" s="61"/>
      <c r="BX276" s="61"/>
      <c r="BY276" s="61"/>
      <c r="BZ276" s="61"/>
      <c r="CA276" s="61"/>
      <c r="CB276" s="61"/>
      <c r="CC276" s="61"/>
      <c r="CD276" s="61"/>
      <c r="CE276" s="61"/>
      <c r="CF276" s="61"/>
      <c r="CG276" s="61"/>
      <c r="CH276" s="61"/>
      <c r="CI276" s="61"/>
      <c r="CJ276" s="61"/>
      <c r="CK276" s="61"/>
      <c r="CL276" s="61"/>
      <c r="CM276" s="61"/>
      <c r="CN276" s="61"/>
      <c r="CO276" s="61"/>
      <c r="CP276" s="61"/>
      <c r="CQ276" s="61"/>
      <c r="CR276" s="61"/>
      <c r="CS276" s="61"/>
      <c r="CT276" s="61"/>
      <c r="CU276" s="61"/>
      <c r="CV276" s="61"/>
      <c r="CW276" s="61"/>
      <c r="CX276" s="61"/>
    </row>
    <row r="277" spans="1:102">
      <c r="A277" s="541"/>
      <c r="B277" s="61"/>
      <c r="C277" s="61"/>
      <c r="D277" s="61"/>
      <c r="E277" s="61"/>
      <c r="F277" s="61"/>
      <c r="G277" s="61"/>
      <c r="H277" s="61"/>
      <c r="I277" s="61"/>
      <c r="J277" s="61"/>
      <c r="K277" s="61"/>
      <c r="L277" s="61"/>
      <c r="M277" s="61"/>
      <c r="N277" s="61"/>
      <c r="O277" s="61"/>
      <c r="P277" s="61"/>
      <c r="Q277" s="61"/>
      <c r="R277" s="61"/>
      <c r="S277" s="61"/>
      <c r="T277" s="61"/>
      <c r="U277" s="61"/>
      <c r="V277" s="61"/>
      <c r="W277" s="61"/>
      <c r="X277" s="61"/>
      <c r="Y277" s="61"/>
      <c r="Z277" s="61"/>
      <c r="AA277" s="61"/>
      <c r="AB277" s="61"/>
      <c r="AC277" s="61"/>
      <c r="AD277" s="61"/>
      <c r="AE277" s="61"/>
      <c r="AF277" s="61"/>
      <c r="AG277" s="61"/>
      <c r="AH277" s="61"/>
      <c r="AI277" s="61"/>
      <c r="AJ277" s="61"/>
      <c r="AK277" s="61"/>
      <c r="AL277" s="61"/>
      <c r="AM277" s="61"/>
      <c r="AN277" s="61"/>
      <c r="AO277" s="61"/>
      <c r="AP277" s="61"/>
      <c r="AQ277" s="61"/>
      <c r="AR277" s="61"/>
      <c r="AS277" s="61"/>
      <c r="AT277" s="61"/>
      <c r="AU277" s="61"/>
      <c r="AV277" s="61"/>
      <c r="AW277" s="61"/>
      <c r="AX277" s="61"/>
      <c r="AY277" s="61"/>
      <c r="AZ277" s="61"/>
      <c r="BA277" s="61"/>
      <c r="BB277" s="61"/>
      <c r="BC277" s="61"/>
      <c r="BD277" s="61"/>
      <c r="BE277" s="61"/>
      <c r="BF277" s="61"/>
      <c r="BG277" s="61"/>
      <c r="BH277" s="61"/>
      <c r="BI277" s="61"/>
      <c r="BJ277" s="61"/>
      <c r="BK277" s="61"/>
      <c r="BL277" s="61"/>
      <c r="BM277" s="61"/>
      <c r="BN277" s="61"/>
      <c r="BO277" s="61"/>
      <c r="BP277" s="61"/>
      <c r="BQ277" s="61"/>
      <c r="BR277" s="61"/>
      <c r="BS277" s="61"/>
      <c r="BT277" s="61"/>
      <c r="BU277" s="61"/>
      <c r="BV277" s="61"/>
      <c r="BW277" s="61"/>
      <c r="BX277" s="61"/>
      <c r="BY277" s="61"/>
      <c r="BZ277" s="61"/>
      <c r="CA277" s="61"/>
      <c r="CB277" s="61"/>
      <c r="CC277" s="61"/>
      <c r="CD277" s="61"/>
      <c r="CE277" s="61"/>
      <c r="CF277" s="61"/>
      <c r="CG277" s="61"/>
      <c r="CH277" s="61"/>
      <c r="CI277" s="61"/>
      <c r="CJ277" s="61"/>
      <c r="CK277" s="61"/>
      <c r="CL277" s="61"/>
      <c r="CM277" s="61"/>
      <c r="CN277" s="61"/>
      <c r="CO277" s="61"/>
      <c r="CP277" s="61"/>
      <c r="CQ277" s="61"/>
      <c r="CR277" s="61"/>
      <c r="CS277" s="61"/>
      <c r="CT277" s="61"/>
      <c r="CU277" s="61"/>
      <c r="CV277" s="61"/>
      <c r="CW277" s="61"/>
      <c r="CX277" s="61"/>
    </row>
    <row r="278" spans="1:102">
      <c r="A278" s="541"/>
      <c r="B278" s="61"/>
      <c r="C278" s="61"/>
      <c r="D278" s="61"/>
      <c r="E278" s="61"/>
      <c r="F278" s="61"/>
      <c r="G278" s="61"/>
      <c r="H278" s="61"/>
      <c r="I278" s="61"/>
      <c r="J278" s="61"/>
      <c r="K278" s="61"/>
      <c r="L278" s="61"/>
      <c r="M278" s="61"/>
      <c r="N278" s="61"/>
      <c r="O278" s="61"/>
      <c r="P278" s="61"/>
      <c r="Q278" s="61"/>
      <c r="R278" s="61"/>
      <c r="S278" s="61"/>
      <c r="T278" s="61"/>
      <c r="U278" s="61"/>
      <c r="V278" s="61"/>
      <c r="W278" s="61"/>
      <c r="X278" s="61"/>
      <c r="Y278" s="61"/>
      <c r="Z278" s="61"/>
      <c r="AA278" s="61"/>
      <c r="AB278" s="61"/>
      <c r="AC278" s="61"/>
      <c r="AD278" s="61"/>
      <c r="AE278" s="61"/>
      <c r="AF278" s="61"/>
      <c r="AG278" s="61"/>
      <c r="AH278" s="61"/>
      <c r="AI278" s="61"/>
      <c r="AJ278" s="61"/>
      <c r="AK278" s="61"/>
      <c r="AL278" s="61"/>
      <c r="AM278" s="61"/>
      <c r="AN278" s="61"/>
      <c r="AO278" s="61"/>
      <c r="AP278" s="61"/>
      <c r="AQ278" s="61"/>
      <c r="AR278" s="61"/>
      <c r="AS278" s="61"/>
      <c r="AT278" s="61"/>
      <c r="AU278" s="61"/>
      <c r="AV278" s="61"/>
      <c r="AW278" s="61"/>
      <c r="AX278" s="61"/>
      <c r="AY278" s="61"/>
      <c r="AZ278" s="61"/>
      <c r="BA278" s="61"/>
      <c r="BB278" s="61"/>
      <c r="BC278" s="61"/>
      <c r="BD278" s="61"/>
      <c r="BE278" s="61"/>
      <c r="BF278" s="61"/>
      <c r="BG278" s="61"/>
      <c r="BH278" s="61"/>
      <c r="BI278" s="61"/>
      <c r="BJ278" s="61"/>
      <c r="BK278" s="61"/>
      <c r="BL278" s="61"/>
      <c r="BM278" s="61"/>
      <c r="BN278" s="61"/>
      <c r="BO278" s="61"/>
      <c r="BP278" s="61"/>
      <c r="BQ278" s="61"/>
      <c r="BR278" s="61"/>
      <c r="BS278" s="61"/>
      <c r="BT278" s="61"/>
      <c r="BU278" s="61"/>
      <c r="BV278" s="61"/>
      <c r="BW278" s="61"/>
      <c r="BX278" s="61"/>
      <c r="BY278" s="61"/>
      <c r="BZ278" s="61"/>
      <c r="CA278" s="61"/>
      <c r="CB278" s="61"/>
      <c r="CC278" s="61"/>
      <c r="CD278" s="61"/>
      <c r="CE278" s="61"/>
      <c r="CF278" s="61"/>
      <c r="CG278" s="61"/>
      <c r="CH278" s="61"/>
      <c r="CI278" s="61"/>
      <c r="CJ278" s="61"/>
      <c r="CK278" s="61"/>
      <c r="CL278" s="61"/>
      <c r="CM278" s="61"/>
      <c r="CN278" s="61"/>
      <c r="CO278" s="61"/>
      <c r="CP278" s="61"/>
      <c r="CQ278" s="61"/>
      <c r="CR278" s="61"/>
      <c r="CS278" s="61"/>
      <c r="CT278" s="61"/>
      <c r="CU278" s="61"/>
      <c r="CV278" s="61"/>
      <c r="CW278" s="61"/>
      <c r="CX278" s="61"/>
    </row>
    <row r="279" spans="1:102">
      <c r="A279" s="541"/>
      <c r="B279" s="61"/>
      <c r="C279" s="61"/>
      <c r="D279" s="61"/>
      <c r="E279" s="61"/>
      <c r="F279" s="61"/>
      <c r="G279" s="61"/>
      <c r="H279" s="61"/>
      <c r="I279" s="61"/>
      <c r="J279" s="61"/>
      <c r="K279" s="61"/>
      <c r="L279" s="61"/>
      <c r="M279" s="61"/>
      <c r="N279" s="61"/>
      <c r="O279" s="61"/>
      <c r="P279" s="61"/>
      <c r="Q279" s="61"/>
      <c r="R279" s="61"/>
      <c r="S279" s="61"/>
      <c r="T279" s="61"/>
      <c r="U279" s="61"/>
      <c r="V279" s="61"/>
      <c r="W279" s="61"/>
      <c r="X279" s="61"/>
      <c r="Y279" s="61"/>
      <c r="Z279" s="61"/>
      <c r="AA279" s="61"/>
      <c r="AB279" s="61"/>
      <c r="AC279" s="61"/>
      <c r="AD279" s="61"/>
      <c r="AE279" s="61"/>
      <c r="AF279" s="61"/>
      <c r="AG279" s="61"/>
      <c r="AH279" s="61"/>
      <c r="AI279" s="61"/>
      <c r="AJ279" s="61"/>
      <c r="AK279" s="61"/>
      <c r="AL279" s="61"/>
      <c r="AM279" s="61"/>
      <c r="AN279" s="61"/>
      <c r="AO279" s="61"/>
      <c r="AP279" s="61"/>
      <c r="AQ279" s="61"/>
      <c r="AR279" s="61"/>
      <c r="AS279" s="61"/>
      <c r="AT279" s="61"/>
      <c r="AU279" s="61"/>
      <c r="AV279" s="61"/>
      <c r="AW279" s="61"/>
      <c r="AX279" s="61"/>
      <c r="AY279" s="61"/>
      <c r="AZ279" s="61"/>
      <c r="BA279" s="61"/>
      <c r="BB279" s="61"/>
      <c r="BC279" s="61"/>
      <c r="BD279" s="61"/>
      <c r="BE279" s="61"/>
      <c r="BF279" s="61"/>
      <c r="BG279" s="61"/>
      <c r="BH279" s="61"/>
      <c r="BI279" s="61"/>
      <c r="BJ279" s="61"/>
      <c r="BK279" s="61"/>
      <c r="BL279" s="61"/>
      <c r="BM279" s="61"/>
      <c r="BN279" s="61"/>
      <c r="BO279" s="61"/>
      <c r="BP279" s="61"/>
      <c r="BQ279" s="61"/>
      <c r="BR279" s="61"/>
      <c r="BS279" s="61"/>
      <c r="BT279" s="61"/>
      <c r="BU279" s="61"/>
      <c r="BV279" s="61"/>
      <c r="BW279" s="61"/>
      <c r="BX279" s="61"/>
      <c r="BY279" s="61"/>
      <c r="BZ279" s="61"/>
      <c r="CA279" s="61"/>
      <c r="CB279" s="61"/>
      <c r="CC279" s="61"/>
      <c r="CD279" s="61"/>
      <c r="CE279" s="61"/>
      <c r="CF279" s="61"/>
      <c r="CG279" s="61"/>
      <c r="CH279" s="61"/>
      <c r="CI279" s="61"/>
      <c r="CJ279" s="61"/>
      <c r="CK279" s="61"/>
      <c r="CL279" s="61"/>
      <c r="CM279" s="61"/>
      <c r="CN279" s="61"/>
      <c r="CO279" s="61"/>
      <c r="CP279" s="61"/>
      <c r="CQ279" s="61"/>
      <c r="CR279" s="61"/>
      <c r="CS279" s="61"/>
      <c r="CT279" s="61"/>
      <c r="CU279" s="61"/>
      <c r="CV279" s="61"/>
      <c r="CW279" s="61"/>
      <c r="CX279" s="61"/>
    </row>
    <row r="280" spans="1:102">
      <c r="A280" s="541"/>
      <c r="B280" s="61"/>
      <c r="C280" s="61"/>
      <c r="D280" s="61"/>
      <c r="E280" s="61"/>
      <c r="F280" s="61"/>
      <c r="G280" s="61"/>
      <c r="H280" s="61"/>
      <c r="I280" s="61"/>
      <c r="J280" s="61"/>
      <c r="K280" s="61"/>
      <c r="L280" s="61"/>
      <c r="M280" s="61"/>
      <c r="N280" s="61"/>
      <c r="O280" s="61"/>
      <c r="P280" s="61"/>
      <c r="Q280" s="61"/>
      <c r="R280" s="61"/>
      <c r="S280" s="61"/>
      <c r="T280" s="61"/>
      <c r="U280" s="61"/>
      <c r="V280" s="61"/>
      <c r="W280" s="61"/>
      <c r="X280" s="61"/>
      <c r="Y280" s="61"/>
      <c r="Z280" s="61"/>
      <c r="AA280" s="61"/>
      <c r="AB280" s="61"/>
      <c r="AC280" s="61"/>
      <c r="AD280" s="61"/>
      <c r="AE280" s="61"/>
      <c r="AF280" s="61"/>
      <c r="AG280" s="61"/>
      <c r="AH280" s="61"/>
      <c r="AI280" s="61"/>
      <c r="AJ280" s="61"/>
      <c r="AK280" s="61"/>
      <c r="AL280" s="61"/>
      <c r="AM280" s="61"/>
      <c r="AN280" s="61"/>
      <c r="AO280" s="61"/>
      <c r="AP280" s="61"/>
      <c r="AQ280" s="61"/>
      <c r="AR280" s="61"/>
      <c r="AS280" s="61"/>
      <c r="AT280" s="61"/>
      <c r="AU280" s="61"/>
      <c r="AV280" s="61"/>
      <c r="AW280" s="61"/>
      <c r="AX280" s="61"/>
      <c r="AY280" s="61"/>
      <c r="AZ280" s="61"/>
      <c r="BA280" s="61"/>
      <c r="BB280" s="61"/>
      <c r="BC280" s="61"/>
      <c r="BD280" s="61"/>
      <c r="BE280" s="61"/>
      <c r="BF280" s="61"/>
      <c r="BG280" s="61"/>
      <c r="BH280" s="61"/>
      <c r="BI280" s="61"/>
      <c r="BJ280" s="61"/>
      <c r="BK280" s="61"/>
      <c r="BL280" s="61"/>
      <c r="BM280" s="61"/>
      <c r="BN280" s="61"/>
      <c r="BO280" s="61"/>
      <c r="BP280" s="61"/>
      <c r="BQ280" s="61"/>
      <c r="BR280" s="61"/>
      <c r="BS280" s="61"/>
      <c r="BT280" s="61"/>
      <c r="BU280" s="61"/>
      <c r="BV280" s="61"/>
      <c r="BW280" s="61"/>
      <c r="BX280" s="61"/>
      <c r="BY280" s="61"/>
      <c r="BZ280" s="61"/>
      <c r="CA280" s="61"/>
      <c r="CB280" s="61"/>
      <c r="CC280" s="61"/>
      <c r="CD280" s="61"/>
      <c r="CE280" s="61"/>
      <c r="CF280" s="61"/>
      <c r="CG280" s="61"/>
      <c r="CH280" s="61"/>
      <c r="CI280" s="61"/>
      <c r="CJ280" s="61"/>
      <c r="CK280" s="61"/>
      <c r="CL280" s="61"/>
      <c r="CM280" s="61"/>
      <c r="CN280" s="61"/>
      <c r="CO280" s="61"/>
      <c r="CP280" s="61"/>
      <c r="CQ280" s="61"/>
      <c r="CR280" s="61"/>
      <c r="CS280" s="61"/>
      <c r="CT280" s="61"/>
      <c r="CU280" s="61"/>
      <c r="CV280" s="61"/>
      <c r="CW280" s="61"/>
      <c r="CX280" s="61"/>
    </row>
    <row r="281" spans="1:102">
      <c r="A281" s="541"/>
      <c r="B281" s="61"/>
      <c r="C281" s="61"/>
      <c r="D281" s="61"/>
      <c r="E281" s="61"/>
      <c r="F281" s="61"/>
      <c r="G281" s="61"/>
      <c r="H281" s="61"/>
      <c r="I281" s="61"/>
      <c r="J281" s="61"/>
      <c r="K281" s="61"/>
      <c r="L281" s="61"/>
      <c r="M281" s="61"/>
      <c r="N281" s="61"/>
      <c r="O281" s="61"/>
      <c r="P281" s="61"/>
      <c r="Q281" s="61"/>
      <c r="R281" s="61"/>
      <c r="S281" s="61"/>
      <c r="T281" s="61"/>
      <c r="U281" s="61"/>
      <c r="V281" s="61"/>
      <c r="W281" s="61"/>
      <c r="X281" s="61"/>
      <c r="Y281" s="61"/>
      <c r="Z281" s="61"/>
      <c r="AA281" s="61"/>
      <c r="AB281" s="61"/>
      <c r="AC281" s="61"/>
      <c r="AD281" s="61"/>
      <c r="AE281" s="61"/>
      <c r="AF281" s="61"/>
      <c r="AG281" s="61"/>
      <c r="AH281" s="61"/>
      <c r="AI281" s="61"/>
      <c r="AJ281" s="61"/>
      <c r="AK281" s="61"/>
      <c r="AL281" s="61"/>
      <c r="AM281" s="61"/>
      <c r="AN281" s="61"/>
      <c r="AO281" s="61"/>
      <c r="AP281" s="61"/>
      <c r="AQ281" s="61"/>
      <c r="AR281" s="61"/>
      <c r="AS281" s="61"/>
      <c r="AT281" s="61"/>
      <c r="AU281" s="61"/>
      <c r="AV281" s="61"/>
      <c r="AW281" s="61"/>
      <c r="AX281" s="61"/>
      <c r="AY281" s="61"/>
      <c r="AZ281" s="61"/>
      <c r="BA281" s="61"/>
      <c r="BB281" s="61"/>
      <c r="BC281" s="61"/>
      <c r="BD281" s="61"/>
      <c r="BE281" s="61"/>
      <c r="BF281" s="61"/>
      <c r="BG281" s="61"/>
      <c r="BH281" s="61"/>
      <c r="BI281" s="61"/>
      <c r="BJ281" s="61"/>
      <c r="BK281" s="61"/>
      <c r="BL281" s="61"/>
      <c r="BM281" s="61"/>
      <c r="BN281" s="61"/>
      <c r="BO281" s="61"/>
      <c r="BP281" s="61"/>
      <c r="BQ281" s="61"/>
      <c r="BR281" s="61"/>
      <c r="BS281" s="61"/>
      <c r="BT281" s="61"/>
      <c r="BU281" s="61"/>
      <c r="BV281" s="61"/>
      <c r="BW281" s="61"/>
      <c r="BX281" s="61"/>
      <c r="BY281" s="61"/>
      <c r="BZ281" s="61"/>
      <c r="CA281" s="61"/>
      <c r="CB281" s="61"/>
      <c r="CC281" s="61"/>
      <c r="CD281" s="61"/>
      <c r="CE281" s="61"/>
      <c r="CF281" s="61"/>
      <c r="CG281" s="61"/>
      <c r="CH281" s="61"/>
      <c r="CI281" s="61"/>
      <c r="CJ281" s="61"/>
      <c r="CK281" s="61"/>
      <c r="CL281" s="61"/>
      <c r="CM281" s="61"/>
      <c r="CN281" s="61"/>
      <c r="CO281" s="61"/>
      <c r="CP281" s="61"/>
      <c r="CQ281" s="61"/>
      <c r="CR281" s="61"/>
      <c r="CS281" s="61"/>
      <c r="CT281" s="61"/>
      <c r="CU281" s="61"/>
      <c r="CV281" s="61"/>
      <c r="CW281" s="61"/>
      <c r="CX281" s="61"/>
    </row>
    <row r="282" spans="1:102">
      <c r="A282" s="541"/>
      <c r="B282" s="61"/>
      <c r="C282" s="61"/>
      <c r="D282" s="61"/>
      <c r="E282" s="61"/>
      <c r="F282" s="61"/>
      <c r="G282" s="61"/>
      <c r="H282" s="61"/>
      <c r="I282" s="61"/>
      <c r="J282" s="61"/>
      <c r="K282" s="61"/>
      <c r="L282" s="61"/>
      <c r="M282" s="61"/>
      <c r="N282" s="61"/>
      <c r="O282" s="61"/>
      <c r="P282" s="61"/>
      <c r="Q282" s="61"/>
      <c r="R282" s="61"/>
      <c r="S282" s="61"/>
      <c r="T282" s="61"/>
      <c r="U282" s="61"/>
      <c r="V282" s="61"/>
      <c r="W282" s="61"/>
      <c r="X282" s="61"/>
      <c r="Y282" s="61"/>
      <c r="Z282" s="61"/>
      <c r="AA282" s="61"/>
      <c r="AB282" s="61"/>
      <c r="AC282" s="61"/>
      <c r="AD282" s="61"/>
      <c r="AE282" s="61"/>
      <c r="AF282" s="61"/>
      <c r="AG282" s="61"/>
      <c r="AH282" s="61"/>
      <c r="AI282" s="61"/>
      <c r="AJ282" s="61"/>
      <c r="AK282" s="61"/>
      <c r="AL282" s="61"/>
      <c r="AM282" s="61"/>
      <c r="AN282" s="61"/>
      <c r="AO282" s="61"/>
      <c r="AP282" s="61"/>
      <c r="AQ282" s="61"/>
      <c r="AR282" s="61"/>
      <c r="AS282" s="61"/>
      <c r="AT282" s="61"/>
      <c r="AU282" s="61"/>
      <c r="AV282" s="61"/>
      <c r="AW282" s="61"/>
      <c r="AX282" s="61"/>
      <c r="AY282" s="61"/>
      <c r="AZ282" s="61"/>
      <c r="BA282" s="61"/>
      <c r="BB282" s="61"/>
      <c r="BC282" s="61"/>
      <c r="BD282" s="61"/>
      <c r="BE282" s="61"/>
      <c r="BF282" s="61"/>
      <c r="BG282" s="61"/>
      <c r="BH282" s="61"/>
      <c r="BI282" s="61"/>
      <c r="BJ282" s="61"/>
      <c r="BK282" s="61"/>
      <c r="BL282" s="61"/>
      <c r="BM282" s="61"/>
      <c r="BN282" s="61"/>
      <c r="BO282" s="61"/>
      <c r="BP282" s="61"/>
      <c r="BQ282" s="61"/>
      <c r="BR282" s="61"/>
      <c r="BS282" s="61"/>
      <c r="BT282" s="61"/>
      <c r="BU282" s="61"/>
      <c r="BV282" s="61"/>
      <c r="BW282" s="61"/>
      <c r="BX282" s="61"/>
      <c r="BY282" s="61"/>
      <c r="BZ282" s="61"/>
      <c r="CA282" s="61"/>
      <c r="CB282" s="61"/>
      <c r="CC282" s="61"/>
      <c r="CD282" s="61"/>
      <c r="CE282" s="61"/>
      <c r="CF282" s="61"/>
      <c r="CG282" s="61"/>
      <c r="CH282" s="61"/>
      <c r="CI282" s="61"/>
      <c r="CJ282" s="61"/>
      <c r="CK282" s="61"/>
      <c r="CL282" s="61"/>
      <c r="CM282" s="61"/>
      <c r="CN282" s="61"/>
      <c r="CO282" s="61"/>
      <c r="CP282" s="61"/>
      <c r="CQ282" s="61"/>
      <c r="CR282" s="61"/>
      <c r="CS282" s="61"/>
      <c r="CT282" s="61"/>
      <c r="CU282" s="61"/>
      <c r="CV282" s="61"/>
      <c r="CW282" s="61"/>
      <c r="CX282" s="61"/>
    </row>
    <row r="283" spans="1:102">
      <c r="A283" s="541"/>
      <c r="B283" s="61"/>
      <c r="C283" s="61"/>
      <c r="D283" s="61"/>
      <c r="E283" s="61"/>
      <c r="F283" s="61"/>
      <c r="G283" s="61"/>
      <c r="H283" s="61"/>
      <c r="I283" s="61"/>
      <c r="J283" s="61"/>
      <c r="K283" s="61"/>
      <c r="L283" s="61"/>
      <c r="M283" s="61"/>
      <c r="N283" s="61"/>
      <c r="O283" s="61"/>
      <c r="P283" s="61"/>
      <c r="Q283" s="61"/>
      <c r="R283" s="61"/>
      <c r="S283" s="61"/>
      <c r="T283" s="61"/>
      <c r="U283" s="61"/>
      <c r="V283" s="61"/>
      <c r="W283" s="61"/>
      <c r="X283" s="61"/>
      <c r="Y283" s="61"/>
      <c r="Z283" s="61"/>
      <c r="AA283" s="61"/>
      <c r="AB283" s="61"/>
      <c r="AC283" s="61"/>
      <c r="AD283" s="61"/>
      <c r="AE283" s="61"/>
      <c r="AF283" s="61"/>
      <c r="AG283" s="61"/>
      <c r="AH283" s="61"/>
      <c r="AI283" s="61"/>
      <c r="AJ283" s="61"/>
      <c r="AK283" s="61"/>
      <c r="AL283" s="61"/>
      <c r="AM283" s="61"/>
      <c r="AN283" s="61"/>
      <c r="AO283" s="61"/>
      <c r="AP283" s="61"/>
      <c r="AQ283" s="61"/>
      <c r="AR283" s="61"/>
      <c r="AS283" s="61"/>
      <c r="AT283" s="61"/>
      <c r="AU283" s="61"/>
      <c r="AV283" s="61"/>
      <c r="AW283" s="61"/>
      <c r="AX283" s="61"/>
      <c r="AY283" s="61"/>
      <c r="AZ283" s="61"/>
      <c r="BA283" s="61"/>
      <c r="BB283" s="61"/>
      <c r="BC283" s="61"/>
      <c r="BD283" s="61"/>
      <c r="BE283" s="61"/>
      <c r="BF283" s="61"/>
      <c r="BG283" s="61"/>
      <c r="BH283" s="61"/>
      <c r="BI283" s="61"/>
      <c r="BJ283" s="61"/>
      <c r="BK283" s="61"/>
      <c r="BL283" s="61"/>
      <c r="BM283" s="61"/>
      <c r="BN283" s="61"/>
      <c r="BO283" s="61"/>
      <c r="BP283" s="61"/>
      <c r="BQ283" s="61"/>
      <c r="BR283" s="61"/>
      <c r="BS283" s="61"/>
      <c r="BT283" s="61"/>
      <c r="BU283" s="61"/>
      <c r="BV283" s="61"/>
      <c r="BW283" s="61"/>
      <c r="BX283" s="61"/>
      <c r="BY283" s="61"/>
      <c r="BZ283" s="61"/>
      <c r="CA283" s="61"/>
      <c r="CB283" s="61"/>
      <c r="CC283" s="61"/>
      <c r="CD283" s="61"/>
      <c r="CE283" s="61"/>
      <c r="CF283" s="61"/>
      <c r="CG283" s="61"/>
      <c r="CH283" s="61"/>
      <c r="CI283" s="61"/>
      <c r="CJ283" s="61"/>
      <c r="CK283" s="61"/>
      <c r="CL283" s="61"/>
      <c r="CM283" s="61"/>
      <c r="CN283" s="61"/>
      <c r="CO283" s="61"/>
      <c r="CP283" s="61"/>
      <c r="CQ283" s="61"/>
      <c r="CR283" s="61"/>
      <c r="CS283" s="61"/>
      <c r="CT283" s="61"/>
      <c r="CU283" s="61"/>
      <c r="CV283" s="61"/>
      <c r="CW283" s="61"/>
      <c r="CX283" s="61"/>
    </row>
    <row r="284" spans="1:102">
      <c r="A284" s="541"/>
      <c r="B284" s="61"/>
      <c r="C284" s="61"/>
      <c r="D284" s="61"/>
      <c r="E284" s="61"/>
      <c r="F284" s="61"/>
      <c r="G284" s="61"/>
      <c r="H284" s="61"/>
      <c r="I284" s="61"/>
      <c r="J284" s="61"/>
      <c r="K284" s="61"/>
      <c r="L284" s="61"/>
      <c r="M284" s="61"/>
      <c r="N284" s="61"/>
      <c r="O284" s="61"/>
      <c r="P284" s="61"/>
      <c r="Q284" s="61"/>
      <c r="R284" s="61"/>
      <c r="S284" s="61"/>
      <c r="T284" s="61"/>
      <c r="U284" s="61"/>
      <c r="V284" s="61"/>
      <c r="W284" s="61"/>
      <c r="X284" s="61"/>
      <c r="Y284" s="61"/>
      <c r="Z284" s="61"/>
      <c r="AA284" s="61"/>
      <c r="AB284" s="61"/>
      <c r="AC284" s="61"/>
      <c r="AD284" s="61"/>
      <c r="AE284" s="61"/>
      <c r="AF284" s="61"/>
      <c r="AG284" s="61"/>
      <c r="AH284" s="61"/>
      <c r="AI284" s="61"/>
      <c r="AJ284" s="61"/>
      <c r="AK284" s="61"/>
      <c r="AL284" s="61"/>
      <c r="AM284" s="61"/>
      <c r="AN284" s="61"/>
      <c r="AO284" s="61"/>
      <c r="AP284" s="61"/>
      <c r="AQ284" s="61"/>
      <c r="AR284" s="61"/>
      <c r="AS284" s="61"/>
      <c r="AT284" s="61"/>
      <c r="AU284" s="61"/>
      <c r="AV284" s="61"/>
      <c r="AW284" s="61"/>
      <c r="AX284" s="61"/>
      <c r="AY284" s="61"/>
      <c r="AZ284" s="61"/>
      <c r="BA284" s="61"/>
      <c r="BB284" s="61"/>
      <c r="BC284" s="61"/>
      <c r="BD284" s="61"/>
      <c r="BE284" s="61"/>
      <c r="BF284" s="61"/>
      <c r="BG284" s="61"/>
      <c r="BH284" s="61"/>
      <c r="BI284" s="61"/>
      <c r="BJ284" s="61"/>
      <c r="BK284" s="61"/>
      <c r="BL284" s="61"/>
      <c r="BM284" s="61"/>
      <c r="BN284" s="61"/>
      <c r="BO284" s="61"/>
      <c r="BP284" s="61"/>
      <c r="BQ284" s="61"/>
      <c r="BR284" s="61"/>
      <c r="BS284" s="61"/>
      <c r="BT284" s="61"/>
      <c r="BU284" s="61"/>
      <c r="BV284" s="61"/>
      <c r="BW284" s="61"/>
      <c r="BX284" s="61"/>
      <c r="BY284" s="61"/>
      <c r="BZ284" s="61"/>
      <c r="CA284" s="61"/>
      <c r="CB284" s="61"/>
      <c r="CC284" s="61"/>
      <c r="CD284" s="61"/>
      <c r="CE284" s="61"/>
      <c r="CF284" s="61"/>
      <c r="CG284" s="61"/>
      <c r="CH284" s="61"/>
      <c r="CI284" s="61"/>
      <c r="CJ284" s="61"/>
      <c r="CK284" s="61"/>
      <c r="CL284" s="61"/>
      <c r="CM284" s="61"/>
      <c r="CN284" s="61"/>
      <c r="CO284" s="61"/>
      <c r="CP284" s="61"/>
      <c r="CQ284" s="61"/>
      <c r="CR284" s="61"/>
      <c r="CS284" s="61"/>
      <c r="CT284" s="61"/>
      <c r="CU284" s="61"/>
      <c r="CV284" s="61"/>
      <c r="CW284" s="61"/>
      <c r="CX284" s="61"/>
    </row>
    <row r="285" spans="1:102">
      <c r="A285" s="541"/>
      <c r="B285" s="61"/>
      <c r="C285" s="61"/>
      <c r="D285" s="61"/>
      <c r="E285" s="61"/>
      <c r="F285" s="61"/>
      <c r="G285" s="61"/>
      <c r="H285" s="61"/>
      <c r="I285" s="61"/>
      <c r="J285" s="61"/>
      <c r="K285" s="61"/>
      <c r="L285" s="61"/>
      <c r="M285" s="61"/>
      <c r="N285" s="61"/>
      <c r="O285" s="61"/>
      <c r="P285" s="61"/>
      <c r="Q285" s="61"/>
      <c r="R285" s="61"/>
      <c r="S285" s="61"/>
      <c r="T285" s="61"/>
      <c r="U285" s="61"/>
      <c r="V285" s="61"/>
      <c r="W285" s="61"/>
      <c r="X285" s="61"/>
      <c r="Y285" s="61"/>
      <c r="Z285" s="61"/>
      <c r="AA285" s="61"/>
      <c r="AB285" s="61"/>
      <c r="AC285" s="61"/>
      <c r="AD285" s="61"/>
      <c r="AE285" s="61"/>
      <c r="AF285" s="61"/>
      <c r="AG285" s="61"/>
      <c r="AH285" s="61"/>
      <c r="AI285" s="61"/>
      <c r="AJ285" s="61"/>
      <c r="AK285" s="61"/>
      <c r="AL285" s="61"/>
      <c r="AM285" s="61"/>
      <c r="AN285" s="61"/>
      <c r="AO285" s="61"/>
      <c r="AP285" s="61"/>
      <c r="AQ285" s="61"/>
      <c r="AR285" s="61"/>
      <c r="AS285" s="61"/>
      <c r="AT285" s="61"/>
      <c r="AU285" s="61"/>
      <c r="AV285" s="61"/>
      <c r="AW285" s="61"/>
      <c r="AX285" s="61"/>
      <c r="AY285" s="61"/>
      <c r="AZ285" s="61"/>
      <c r="BA285" s="61"/>
      <c r="BB285" s="61"/>
      <c r="BC285" s="61"/>
      <c r="BD285" s="61"/>
      <c r="BE285" s="61"/>
      <c r="BF285" s="61"/>
      <c r="BG285" s="61"/>
      <c r="BH285" s="61"/>
      <c r="BI285" s="61"/>
      <c r="BJ285" s="61"/>
      <c r="BK285" s="61"/>
      <c r="BL285" s="61"/>
      <c r="BM285" s="61"/>
      <c r="BN285" s="61"/>
      <c r="BO285" s="61"/>
      <c r="BP285" s="61"/>
      <c r="BQ285" s="61"/>
      <c r="BR285" s="61"/>
      <c r="BS285" s="61"/>
      <c r="BT285" s="61"/>
      <c r="BU285" s="61"/>
      <c r="BV285" s="61"/>
      <c r="BW285" s="61"/>
      <c r="BX285" s="61"/>
      <c r="BY285" s="61"/>
      <c r="BZ285" s="61"/>
      <c r="CA285" s="61"/>
      <c r="CB285" s="61"/>
      <c r="CC285" s="61"/>
      <c r="CD285" s="61"/>
      <c r="CE285" s="61"/>
      <c r="CF285" s="61"/>
      <c r="CG285" s="61"/>
      <c r="CH285" s="61"/>
      <c r="CI285" s="61"/>
      <c r="CJ285" s="61"/>
      <c r="CK285" s="61"/>
      <c r="CL285" s="61"/>
      <c r="CM285" s="61"/>
      <c r="CN285" s="61"/>
      <c r="CO285" s="61"/>
      <c r="CP285" s="61"/>
      <c r="CQ285" s="61"/>
      <c r="CR285" s="61"/>
      <c r="CS285" s="61"/>
      <c r="CT285" s="61"/>
      <c r="CU285" s="61"/>
      <c r="CV285" s="61"/>
      <c r="CW285" s="61"/>
      <c r="CX285" s="61"/>
    </row>
  </sheetData>
  <sortState ref="A19:P118">
    <sortCondition descending="1" ref="N19:N118"/>
  </sortState>
  <mergeCells count="1">
    <mergeCell ref="G2:J2"/>
  </mergeCells>
  <hyperlinks>
    <hyperlink ref="F1" r:id="rId1"/>
  </hyperlinks>
  <pageMargins left="0.75" right="0.75" top="1" bottom="1" header="0.5" footer="0.5"/>
  <pageSetup orientation="portrait" r:id="rId2"/>
  <ignoredErrors>
    <ignoredError sqref="CX6:CX15 D119:P119" formulaRange="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9"/>
  <dimension ref="A1:EJ140"/>
  <sheetViews>
    <sheetView workbookViewId="0">
      <selection activeCell="I15" sqref="I15:I20"/>
    </sheetView>
  </sheetViews>
  <sheetFormatPr baseColWidth="10" defaultRowHeight="12.75"/>
  <cols>
    <col min="1" max="1" width="11.42578125" style="82"/>
    <col min="2" max="2" width="11.42578125" style="83"/>
    <col min="3" max="3" width="12.7109375" style="82" customWidth="1"/>
    <col min="4" max="4" width="14.7109375" style="82" bestFit="1" customWidth="1"/>
    <col min="5" max="5" width="13.85546875" style="82" bestFit="1" customWidth="1"/>
    <col min="6" max="6" width="12.28515625" style="82" bestFit="1" customWidth="1"/>
    <col min="7" max="7" width="11.5703125" style="82" bestFit="1" customWidth="1"/>
    <col min="8" max="8" width="14.85546875" style="82" bestFit="1" customWidth="1"/>
    <col min="9" max="9" width="12.5703125" style="82" bestFit="1" customWidth="1"/>
    <col min="10" max="10" width="17.5703125" style="82" bestFit="1" customWidth="1"/>
    <col min="11" max="11" width="18.85546875" style="82" customWidth="1"/>
    <col min="12" max="12" width="21" style="82" bestFit="1" customWidth="1"/>
    <col min="13" max="13" width="19.85546875" style="82" bestFit="1" customWidth="1"/>
    <col min="14" max="14" width="19.140625" style="82" bestFit="1" customWidth="1"/>
    <col min="15" max="15" width="17" style="82" bestFit="1" customWidth="1"/>
    <col min="16" max="16" width="21.85546875" style="82" bestFit="1" customWidth="1"/>
    <col min="17" max="16384" width="11.42578125" style="82"/>
  </cols>
  <sheetData>
    <row r="1" spans="1:140">
      <c r="B1" s="84" t="s">
        <v>241</v>
      </c>
      <c r="C1" s="84"/>
      <c r="D1" s="84"/>
      <c r="E1" s="84"/>
      <c r="F1" s="84"/>
      <c r="G1" s="84"/>
      <c r="H1" s="84"/>
      <c r="I1" s="84"/>
      <c r="J1" s="84"/>
      <c r="K1" s="84"/>
      <c r="L1" s="84"/>
      <c r="M1" s="84"/>
      <c r="N1" s="84"/>
      <c r="O1" s="84"/>
      <c r="P1" s="84"/>
      <c r="Q1" s="84"/>
      <c r="R1" s="84"/>
      <c r="S1" s="84"/>
      <c r="T1" s="84"/>
      <c r="U1" s="84"/>
      <c r="V1" s="84"/>
      <c r="W1" s="84"/>
      <c r="X1" s="84"/>
      <c r="Y1" s="84"/>
      <c r="Z1" s="84"/>
      <c r="AA1" s="84"/>
      <c r="AB1" s="84"/>
      <c r="AC1" s="84"/>
      <c r="AD1" s="84"/>
      <c r="AE1" s="84"/>
      <c r="AF1" s="84"/>
      <c r="AG1" s="84"/>
      <c r="AH1" s="84"/>
      <c r="AI1" s="84"/>
      <c r="AJ1" s="84"/>
      <c r="AK1" s="84"/>
      <c r="AL1" s="84"/>
      <c r="AM1" s="84"/>
      <c r="AN1" s="84"/>
      <c r="AO1" s="84"/>
      <c r="AP1" s="84"/>
      <c r="AQ1" s="84"/>
      <c r="AR1" s="84"/>
      <c r="AS1" s="84"/>
      <c r="AT1" s="84"/>
      <c r="AU1" s="84"/>
      <c r="AV1" s="84"/>
      <c r="AW1" s="84"/>
      <c r="AX1" s="84"/>
      <c r="AY1" s="84"/>
      <c r="AZ1" s="84"/>
      <c r="BA1" s="84"/>
      <c r="BB1" s="84"/>
      <c r="BC1" s="84"/>
      <c r="BD1" s="84"/>
      <c r="BE1" s="84"/>
      <c r="BF1" s="84"/>
      <c r="BG1" s="84"/>
      <c r="BH1" s="84"/>
      <c r="BI1" s="84"/>
      <c r="BJ1" s="84"/>
      <c r="BK1" s="84"/>
      <c r="BL1" s="84"/>
      <c r="BM1" s="84"/>
      <c r="BN1" s="84"/>
      <c r="BO1" s="84"/>
      <c r="BP1" s="84"/>
      <c r="BQ1" s="84"/>
      <c r="BR1" s="84"/>
      <c r="BS1" s="84"/>
      <c r="BT1" s="84"/>
      <c r="BU1" s="84"/>
      <c r="BV1" s="84"/>
      <c r="BW1" s="84"/>
      <c r="BX1" s="84"/>
      <c r="BY1" s="84"/>
      <c r="BZ1" s="84"/>
      <c r="CA1" s="84"/>
      <c r="CB1" s="84"/>
      <c r="CC1" s="84"/>
      <c r="CD1" s="84"/>
      <c r="CE1" s="84"/>
      <c r="CF1" s="84"/>
      <c r="CG1" s="84"/>
      <c r="CH1" s="84"/>
      <c r="CI1" s="84"/>
      <c r="CJ1" s="84"/>
      <c r="CK1" s="84"/>
      <c r="CL1" s="84"/>
      <c r="CM1" s="84"/>
      <c r="CN1" s="84"/>
      <c r="CO1" s="84"/>
      <c r="CP1" s="84"/>
      <c r="CQ1" s="84"/>
      <c r="CR1" s="84"/>
      <c r="CS1" s="84"/>
      <c r="CT1" s="84"/>
      <c r="CU1" s="84"/>
      <c r="CV1" s="84"/>
      <c r="CW1" s="84"/>
      <c r="CX1" s="84"/>
      <c r="CY1" s="84"/>
      <c r="CZ1" s="84"/>
      <c r="DA1" s="84"/>
      <c r="DB1" s="84"/>
      <c r="DC1" s="84"/>
      <c r="DD1" s="84"/>
      <c r="DE1" s="84"/>
      <c r="DF1" s="84"/>
      <c r="DG1" s="84"/>
      <c r="DH1" s="84"/>
      <c r="DI1" s="84"/>
      <c r="DJ1" s="84"/>
      <c r="DK1" s="84"/>
      <c r="DL1" s="84"/>
      <c r="DM1" s="84"/>
      <c r="DN1" s="84"/>
      <c r="DO1" s="84"/>
      <c r="DP1" s="84"/>
      <c r="DQ1" s="84"/>
      <c r="DR1" s="84"/>
      <c r="DS1" s="84"/>
      <c r="DT1" s="84"/>
      <c r="DU1" s="84"/>
      <c r="DV1" s="84"/>
      <c r="DW1" s="84"/>
      <c r="DX1" s="84"/>
      <c r="DY1" s="84"/>
      <c r="DZ1" s="84"/>
      <c r="EA1" s="84"/>
      <c r="EB1" s="84"/>
      <c r="EC1" s="84"/>
      <c r="ED1" s="84"/>
      <c r="EE1" s="84"/>
      <c r="EF1" s="84"/>
      <c r="EG1" s="84"/>
      <c r="EH1" s="84"/>
      <c r="EI1" s="84"/>
      <c r="EJ1" s="84"/>
    </row>
    <row r="2" spans="1:140">
      <c r="B2" s="84" t="s">
        <v>14</v>
      </c>
      <c r="C2" s="84"/>
      <c r="D2" s="84"/>
      <c r="E2" s="84"/>
      <c r="F2" s="84"/>
      <c r="G2" s="84"/>
      <c r="H2" s="84"/>
      <c r="I2" s="84"/>
      <c r="J2" s="84"/>
      <c r="K2" s="84"/>
      <c r="L2" s="84"/>
      <c r="M2" s="84"/>
      <c r="N2" s="84"/>
      <c r="O2" s="84"/>
      <c r="P2" s="84"/>
      <c r="Q2" s="84"/>
      <c r="R2" s="84"/>
      <c r="S2" s="84"/>
      <c r="T2" s="84"/>
      <c r="U2" s="84"/>
      <c r="V2" s="84"/>
      <c r="W2" s="84"/>
      <c r="X2" s="84"/>
      <c r="Y2" s="84"/>
      <c r="Z2" s="84"/>
      <c r="AA2" s="84"/>
      <c r="AB2" s="84"/>
      <c r="AC2" s="84"/>
      <c r="AD2" s="84"/>
      <c r="AE2" s="84"/>
      <c r="AF2" s="84"/>
      <c r="AG2" s="84"/>
      <c r="AH2" s="84"/>
      <c r="AI2" s="84"/>
      <c r="AJ2" s="84"/>
      <c r="AK2" s="84"/>
      <c r="AL2" s="84"/>
      <c r="AM2" s="84"/>
      <c r="AN2" s="84"/>
      <c r="AO2" s="84"/>
      <c r="AP2" s="84"/>
      <c r="AQ2" s="84"/>
      <c r="AR2" s="84"/>
      <c r="AS2" s="84"/>
      <c r="AT2" s="84"/>
      <c r="AU2" s="84"/>
      <c r="AV2" s="84"/>
      <c r="AW2" s="84"/>
      <c r="AX2" s="84"/>
      <c r="AY2" s="84"/>
      <c r="AZ2" s="84"/>
      <c r="BA2" s="84"/>
      <c r="BB2" s="84"/>
      <c r="BC2" s="84"/>
      <c r="BD2" s="84"/>
      <c r="BE2" s="84"/>
      <c r="BF2" s="84"/>
      <c r="BG2" s="84"/>
      <c r="BH2" s="84"/>
      <c r="BI2" s="84"/>
      <c r="BJ2" s="84"/>
      <c r="BK2" s="84"/>
      <c r="BL2" s="84"/>
      <c r="BM2" s="84"/>
      <c r="BN2" s="84"/>
      <c r="BO2" s="84"/>
      <c r="BP2" s="84"/>
      <c r="BQ2" s="84"/>
      <c r="BR2" s="84"/>
      <c r="BS2" s="84"/>
      <c r="BT2" s="84"/>
      <c r="BU2" s="84"/>
      <c r="BV2" s="84"/>
      <c r="BW2" s="84"/>
      <c r="BX2" s="84"/>
      <c r="BY2" s="84"/>
      <c r="BZ2" s="84"/>
      <c r="CA2" s="84"/>
      <c r="CB2" s="84"/>
      <c r="CC2" s="84"/>
      <c r="CD2" s="84"/>
      <c r="CE2" s="84"/>
      <c r="CF2" s="84"/>
      <c r="CG2" s="84"/>
      <c r="CH2" s="84"/>
      <c r="CI2" s="84"/>
      <c r="CJ2" s="84"/>
      <c r="CK2" s="84"/>
      <c r="CL2" s="84"/>
      <c r="CM2" s="84"/>
      <c r="CN2" s="84"/>
      <c r="CO2" s="84"/>
      <c r="CP2" s="84"/>
      <c r="CQ2" s="84"/>
      <c r="CR2" s="84"/>
      <c r="CS2" s="84"/>
      <c r="CT2" s="84"/>
      <c r="CU2" s="84"/>
      <c r="CV2" s="84"/>
      <c r="CW2" s="84"/>
      <c r="CX2" s="84"/>
      <c r="CY2" s="84"/>
      <c r="CZ2" s="84"/>
      <c r="DA2" s="84"/>
      <c r="DB2" s="84"/>
      <c r="DC2" s="84"/>
      <c r="DD2" s="84"/>
      <c r="DE2" s="84"/>
      <c r="DF2" s="84"/>
      <c r="DG2" s="84"/>
      <c r="DH2" s="84"/>
      <c r="DI2" s="84"/>
      <c r="DJ2" s="84"/>
      <c r="DK2" s="84"/>
      <c r="DL2" s="84"/>
      <c r="DM2" s="84"/>
      <c r="DN2" s="84"/>
      <c r="DO2" s="84"/>
      <c r="DP2" s="84"/>
      <c r="DQ2" s="84"/>
      <c r="DR2" s="84"/>
      <c r="DS2" s="84"/>
      <c r="DT2" s="84"/>
      <c r="DU2" s="84"/>
      <c r="DV2" s="84"/>
      <c r="DW2" s="84"/>
      <c r="DX2" s="84"/>
      <c r="DY2" s="84"/>
      <c r="DZ2" s="84"/>
      <c r="EA2" s="84"/>
      <c r="EB2" s="84"/>
      <c r="EC2" s="84"/>
      <c r="ED2" s="84"/>
      <c r="EE2" s="84"/>
      <c r="EF2" s="84"/>
      <c r="EG2" s="84"/>
      <c r="EH2" s="84"/>
      <c r="EI2" s="84"/>
      <c r="EJ2" s="84"/>
    </row>
    <row r="3" spans="1:140">
      <c r="B3" s="84" t="s">
        <v>14</v>
      </c>
      <c r="C3" s="84" t="s">
        <v>240</v>
      </c>
      <c r="D3" s="84"/>
      <c r="E3" s="84"/>
      <c r="F3" s="84"/>
      <c r="G3" s="84"/>
      <c r="H3" s="84"/>
      <c r="I3" s="84"/>
      <c r="J3" s="84"/>
      <c r="K3" s="84"/>
      <c r="L3" s="84"/>
      <c r="M3" s="84"/>
      <c r="N3" s="84"/>
      <c r="O3" s="84"/>
      <c r="P3" s="84"/>
      <c r="Q3" s="84"/>
      <c r="R3" s="84"/>
      <c r="S3" s="84"/>
      <c r="T3" s="84"/>
      <c r="U3" s="84"/>
      <c r="V3" s="84"/>
      <c r="W3" s="84"/>
      <c r="X3" s="84"/>
      <c r="Y3" s="84"/>
      <c r="Z3" s="84"/>
      <c r="AA3" s="84"/>
      <c r="AB3" s="84"/>
      <c r="AC3" s="84"/>
      <c r="AD3" s="84"/>
      <c r="AE3" s="84"/>
      <c r="AF3" s="84"/>
      <c r="AG3" s="84"/>
      <c r="AH3" s="84"/>
      <c r="AI3" s="84"/>
      <c r="AJ3" s="84"/>
      <c r="AK3" s="84"/>
      <c r="AL3" s="84"/>
      <c r="AM3" s="84"/>
      <c r="AN3" s="84"/>
      <c r="AO3" s="84"/>
      <c r="AP3" s="84"/>
      <c r="AQ3" s="84"/>
      <c r="AR3" s="84"/>
      <c r="AS3" s="84"/>
      <c r="AT3" s="84"/>
      <c r="AU3" s="84"/>
      <c r="AV3" s="84"/>
      <c r="AW3" s="84"/>
      <c r="AX3" s="84"/>
      <c r="AY3" s="84"/>
      <c r="AZ3" s="84"/>
      <c r="BA3" s="84"/>
      <c r="BB3" s="84"/>
      <c r="BC3" s="84"/>
      <c r="BD3" s="84"/>
      <c r="BE3" s="84"/>
      <c r="BF3" s="84"/>
      <c r="BG3" s="84"/>
      <c r="BH3" s="84"/>
      <c r="BI3" s="84"/>
      <c r="BJ3" s="84"/>
      <c r="BK3" s="84"/>
      <c r="BL3" s="84"/>
      <c r="BM3" s="84"/>
      <c r="BN3" s="84"/>
      <c r="BO3" s="84"/>
      <c r="BP3" s="84"/>
      <c r="BQ3" s="84"/>
      <c r="BR3" s="84"/>
      <c r="BS3" s="84"/>
      <c r="BT3" s="84"/>
      <c r="BU3" s="84"/>
      <c r="BV3" s="84"/>
      <c r="BW3" s="84"/>
      <c r="BX3" s="84"/>
      <c r="BY3" s="84"/>
      <c r="BZ3" s="84"/>
      <c r="CA3" s="84"/>
      <c r="CB3" s="84"/>
      <c r="CC3" s="84"/>
      <c r="CD3" s="84"/>
      <c r="CE3" s="84"/>
      <c r="CF3" s="84"/>
      <c r="CG3" s="84"/>
      <c r="CH3" s="84"/>
      <c r="CI3" s="84"/>
      <c r="CJ3" s="84"/>
      <c r="CK3" s="84"/>
      <c r="CL3" s="84"/>
      <c r="CM3" s="84"/>
      <c r="CN3" s="84"/>
      <c r="CO3" s="84"/>
      <c r="CP3" s="84"/>
      <c r="CQ3" s="84"/>
      <c r="CR3" s="84"/>
      <c r="CS3" s="84"/>
      <c r="CT3" s="84"/>
      <c r="CU3" s="84"/>
      <c r="CV3" s="84"/>
      <c r="CW3" s="84"/>
      <c r="CX3" s="84"/>
      <c r="CY3" s="84"/>
      <c r="CZ3" s="84"/>
      <c r="DA3" s="84"/>
      <c r="DB3" s="84"/>
      <c r="DC3" s="84"/>
      <c r="DD3" s="84"/>
      <c r="DE3" s="84"/>
      <c r="DF3" s="84"/>
      <c r="DG3" s="84"/>
      <c r="DH3" s="84"/>
      <c r="DI3" s="84"/>
      <c r="DJ3" s="84"/>
      <c r="DK3" s="84"/>
      <c r="DL3" s="84"/>
      <c r="DM3" s="84"/>
      <c r="DN3" s="84"/>
      <c r="DO3" s="84"/>
      <c r="DP3" s="84"/>
      <c r="DQ3" s="84"/>
      <c r="DR3" s="84"/>
      <c r="DS3" s="84"/>
      <c r="DT3" s="84"/>
      <c r="DU3" s="84"/>
      <c r="DV3" s="84"/>
      <c r="DW3" s="84"/>
      <c r="DX3" s="84"/>
      <c r="DY3" s="84"/>
      <c r="DZ3" s="84"/>
      <c r="EA3" s="84"/>
      <c r="EB3" s="84"/>
      <c r="EC3" s="84"/>
      <c r="ED3" s="84"/>
      <c r="EE3" s="84"/>
      <c r="EF3" s="84"/>
      <c r="EG3" s="84"/>
      <c r="EH3" s="84"/>
      <c r="EI3" s="84"/>
      <c r="EJ3" s="84"/>
    </row>
    <row r="4" spans="1:140">
      <c r="B4" s="84" t="s">
        <v>14</v>
      </c>
      <c r="C4" s="84" t="s">
        <v>239</v>
      </c>
      <c r="D4" s="84"/>
      <c r="E4" s="84"/>
      <c r="F4" s="84"/>
      <c r="G4" s="84"/>
      <c r="H4" s="84"/>
      <c r="I4" s="84"/>
      <c r="J4" s="84"/>
      <c r="K4" s="84"/>
      <c r="L4" s="84"/>
      <c r="M4" s="84"/>
      <c r="N4" s="84"/>
      <c r="O4" s="84"/>
      <c r="P4" s="84"/>
      <c r="Q4" s="84"/>
      <c r="R4" s="84"/>
      <c r="S4" s="84"/>
      <c r="T4" s="84"/>
      <c r="U4" s="84"/>
      <c r="V4" s="84"/>
      <c r="W4" s="84"/>
      <c r="X4" s="84"/>
      <c r="Y4" s="84"/>
      <c r="Z4" s="84"/>
      <c r="AA4" s="84"/>
      <c r="AB4" s="84"/>
      <c r="AC4" s="84"/>
      <c r="AD4" s="84"/>
      <c r="AE4" s="84"/>
      <c r="AF4" s="84"/>
      <c r="AG4" s="84"/>
      <c r="AH4" s="84"/>
      <c r="AI4" s="84"/>
      <c r="AJ4" s="84"/>
      <c r="AK4" s="84"/>
      <c r="AL4" s="84"/>
      <c r="AM4" s="84"/>
      <c r="AN4" s="84"/>
      <c r="AO4" s="84"/>
      <c r="AP4" s="84"/>
      <c r="AQ4" s="84"/>
      <c r="AR4" s="84"/>
      <c r="AS4" s="84"/>
      <c r="AT4" s="84"/>
      <c r="AU4" s="84"/>
      <c r="AV4" s="84"/>
      <c r="AW4" s="84"/>
      <c r="AX4" s="84"/>
      <c r="AY4" s="84"/>
      <c r="AZ4" s="84"/>
      <c r="BA4" s="84"/>
      <c r="BB4" s="84"/>
      <c r="BC4" s="84"/>
      <c r="BD4" s="84"/>
      <c r="BE4" s="84"/>
      <c r="BF4" s="84"/>
      <c r="BG4" s="84"/>
      <c r="BH4" s="84"/>
      <c r="BI4" s="84"/>
      <c r="BJ4" s="84"/>
      <c r="BK4" s="84"/>
      <c r="BL4" s="84"/>
      <c r="BM4" s="84"/>
      <c r="BN4" s="84"/>
      <c r="BO4" s="84"/>
      <c r="BP4" s="84"/>
      <c r="BQ4" s="84"/>
      <c r="BR4" s="84"/>
      <c r="BS4" s="84"/>
      <c r="BT4" s="84"/>
      <c r="BU4" s="84"/>
      <c r="BV4" s="84"/>
      <c r="BW4" s="84"/>
      <c r="BX4" s="84"/>
      <c r="BY4" s="84"/>
      <c r="BZ4" s="84"/>
      <c r="CA4" s="84"/>
      <c r="CB4" s="84"/>
      <c r="CC4" s="84"/>
      <c r="CD4" s="84"/>
      <c r="CE4" s="84"/>
      <c r="CF4" s="84"/>
      <c r="CG4" s="84"/>
      <c r="CH4" s="84"/>
      <c r="CI4" s="84"/>
      <c r="CJ4" s="84"/>
      <c r="CK4" s="84"/>
      <c r="CL4" s="84"/>
      <c r="CM4" s="84"/>
      <c r="CN4" s="84"/>
      <c r="CO4" s="84"/>
      <c r="CP4" s="84"/>
      <c r="CQ4" s="84"/>
      <c r="CR4" s="84"/>
      <c r="CS4" s="84"/>
      <c r="CT4" s="84"/>
      <c r="CU4" s="84"/>
      <c r="CV4" s="84"/>
      <c r="CW4" s="84"/>
      <c r="CX4" s="84"/>
      <c r="CY4" s="84"/>
      <c r="CZ4" s="84"/>
      <c r="DA4" s="84"/>
      <c r="DB4" s="84"/>
      <c r="DC4" s="84"/>
      <c r="DD4" s="84"/>
      <c r="DE4" s="84"/>
      <c r="DF4" s="84"/>
      <c r="DG4" s="84"/>
      <c r="DH4" s="84"/>
      <c r="DI4" s="84"/>
      <c r="DJ4" s="84"/>
      <c r="DK4" s="84"/>
      <c r="DL4" s="84"/>
      <c r="DM4" s="84"/>
      <c r="DN4" s="84"/>
      <c r="DO4" s="84"/>
      <c r="DP4" s="84"/>
      <c r="DQ4" s="84"/>
      <c r="DR4" s="84"/>
      <c r="DS4" s="84"/>
      <c r="DT4" s="84"/>
      <c r="DU4" s="84"/>
      <c r="DV4" s="84"/>
      <c r="DW4" s="84"/>
      <c r="DX4" s="84"/>
      <c r="DY4" s="84"/>
      <c r="DZ4" s="84"/>
      <c r="EA4" s="84"/>
      <c r="EB4" s="84"/>
      <c r="EC4" s="84"/>
      <c r="ED4" s="84"/>
      <c r="EE4" s="84"/>
      <c r="EF4" s="84"/>
      <c r="EG4" s="84"/>
      <c r="EH4" s="84"/>
      <c r="EI4" s="84"/>
      <c r="EJ4" s="84"/>
    </row>
    <row r="5" spans="1:140">
      <c r="B5" s="84" t="s">
        <v>18</v>
      </c>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4"/>
      <c r="AF5" s="84"/>
      <c r="AG5" s="84"/>
      <c r="AH5" s="84"/>
      <c r="AI5" s="84"/>
      <c r="AJ5" s="84"/>
      <c r="AK5" s="84"/>
      <c r="AL5" s="84"/>
      <c r="AM5" s="84"/>
      <c r="AN5" s="84"/>
      <c r="AO5" s="84"/>
      <c r="AP5" s="84"/>
      <c r="AQ5" s="84"/>
      <c r="AR5" s="84"/>
      <c r="AS5" s="84"/>
      <c r="AT5" s="84"/>
      <c r="AU5" s="84"/>
      <c r="AV5" s="84"/>
      <c r="AW5" s="84"/>
      <c r="AX5" s="84"/>
      <c r="AY5" s="84"/>
      <c r="AZ5" s="84"/>
      <c r="BA5" s="84"/>
      <c r="BB5" s="84"/>
      <c r="BC5" s="84"/>
      <c r="BD5" s="84"/>
      <c r="BE5" s="84"/>
      <c r="BF5" s="84"/>
      <c r="BG5" s="84"/>
      <c r="BH5" s="84"/>
      <c r="BI5" s="84"/>
      <c r="BJ5" s="84"/>
      <c r="BK5" s="84"/>
      <c r="BL5" s="84"/>
      <c r="BM5" s="84"/>
      <c r="BN5" s="84"/>
      <c r="BO5" s="84"/>
      <c r="BP5" s="84"/>
      <c r="BQ5" s="84"/>
      <c r="BR5" s="84"/>
      <c r="BS5" s="84"/>
      <c r="BT5" s="84"/>
      <c r="BU5" s="84"/>
      <c r="BV5" s="84"/>
      <c r="BW5" s="84"/>
      <c r="BX5" s="84"/>
      <c r="BY5" s="84"/>
      <c r="BZ5" s="84"/>
      <c r="CA5" s="84"/>
      <c r="CB5" s="84"/>
      <c r="CC5" s="84"/>
      <c r="CD5" s="84"/>
      <c r="CE5" s="84"/>
      <c r="CF5" s="84"/>
      <c r="CG5" s="84"/>
      <c r="CH5" s="84"/>
      <c r="CI5" s="84"/>
      <c r="CJ5" s="84"/>
      <c r="CK5" s="84"/>
      <c r="CL5" s="84"/>
      <c r="CM5" s="84"/>
      <c r="CN5" s="84"/>
      <c r="CO5" s="84"/>
      <c r="CP5" s="84"/>
      <c r="CQ5" s="84"/>
      <c r="CR5" s="84"/>
      <c r="CS5" s="84"/>
      <c r="CT5" s="84"/>
      <c r="CU5" s="84"/>
      <c r="CV5" s="84"/>
      <c r="CW5" s="84"/>
      <c r="CX5" s="84"/>
      <c r="CY5" s="84"/>
    </row>
    <row r="6" spans="1:140">
      <c r="B6" s="84" t="s">
        <v>18</v>
      </c>
      <c r="I6" s="84"/>
      <c r="J6" s="84"/>
      <c r="K6" s="84"/>
      <c r="L6" s="84"/>
      <c r="M6" s="84"/>
      <c r="N6" s="84"/>
      <c r="O6" s="84"/>
      <c r="P6" s="84"/>
      <c r="Q6" s="84"/>
      <c r="R6" s="84"/>
      <c r="S6" s="84"/>
      <c r="T6" s="84"/>
      <c r="U6" s="84"/>
      <c r="V6" s="84"/>
      <c r="W6" s="84"/>
      <c r="X6" s="84"/>
      <c r="Y6" s="84"/>
      <c r="Z6" s="84"/>
      <c r="AA6" s="84"/>
      <c r="AB6" s="84"/>
      <c r="AC6" s="84"/>
      <c r="AD6" s="84"/>
      <c r="AE6" s="84"/>
      <c r="AF6" s="84"/>
      <c r="AG6" s="84"/>
      <c r="AH6" s="84"/>
      <c r="AI6" s="84"/>
      <c r="AJ6" s="84"/>
      <c r="AK6" s="84"/>
      <c r="AL6" s="84"/>
      <c r="AM6" s="84"/>
      <c r="AN6" s="84"/>
      <c r="AO6" s="84"/>
      <c r="AP6" s="84"/>
      <c r="AQ6" s="84"/>
      <c r="AR6" s="84"/>
      <c r="AS6" s="84"/>
      <c r="AT6" s="84"/>
      <c r="AU6" s="84"/>
      <c r="AV6" s="84"/>
      <c r="AW6" s="84"/>
      <c r="AX6" s="84"/>
      <c r="AY6" s="84"/>
      <c r="AZ6" s="84"/>
      <c r="BA6" s="84"/>
      <c r="BB6" s="84"/>
      <c r="BC6" s="84"/>
      <c r="BD6" s="84"/>
      <c r="BE6" s="84"/>
      <c r="BF6" s="84"/>
      <c r="BG6" s="84"/>
      <c r="BH6" s="84"/>
      <c r="BI6" s="84"/>
      <c r="BJ6" s="84"/>
      <c r="BK6" s="84"/>
      <c r="BL6" s="84"/>
      <c r="BM6" s="84"/>
      <c r="BN6" s="84"/>
      <c r="BO6" s="84"/>
      <c r="BP6" s="84"/>
      <c r="BQ6" s="84"/>
      <c r="BR6" s="84"/>
      <c r="BS6" s="84"/>
      <c r="BT6" s="84"/>
      <c r="BU6" s="84"/>
      <c r="BV6" s="84"/>
      <c r="BW6" s="84"/>
      <c r="BX6" s="84"/>
      <c r="BY6" s="84"/>
      <c r="BZ6" s="84"/>
      <c r="CA6" s="84"/>
      <c r="CB6" s="84"/>
      <c r="CC6" s="84"/>
      <c r="CD6" s="84"/>
      <c r="CE6" s="84"/>
      <c r="CF6" s="84"/>
      <c r="CG6" s="84"/>
      <c r="CH6" s="84"/>
      <c r="CI6" s="84"/>
      <c r="CJ6" s="84"/>
      <c r="CK6" s="84"/>
      <c r="CL6" s="84"/>
      <c r="CM6" s="84"/>
      <c r="CN6" s="84"/>
      <c r="CO6" s="84"/>
      <c r="CP6" s="84"/>
      <c r="CQ6" s="84"/>
      <c r="CR6" s="84"/>
      <c r="CS6" s="84"/>
      <c r="CT6" s="84"/>
      <c r="CU6" s="84"/>
      <c r="CV6" s="84"/>
      <c r="CW6" s="84"/>
      <c r="CX6" s="84"/>
      <c r="CY6" s="84"/>
    </row>
    <row r="7" spans="1:140">
      <c r="B7" s="84" t="s">
        <v>18</v>
      </c>
      <c r="C7" s="84"/>
      <c r="D7" s="84"/>
      <c r="E7" s="84"/>
      <c r="F7" s="84"/>
      <c r="G7" s="84"/>
      <c r="H7" s="84"/>
      <c r="I7" s="84"/>
      <c r="J7" s="84"/>
      <c r="K7" s="84"/>
      <c r="L7" s="84"/>
      <c r="M7" s="84"/>
      <c r="N7" s="84"/>
      <c r="O7" s="84"/>
      <c r="P7" s="84"/>
      <c r="Q7" s="84"/>
      <c r="R7" s="84"/>
      <c r="S7" s="84"/>
      <c r="T7" s="84"/>
      <c r="U7" s="84"/>
      <c r="V7" s="84"/>
      <c r="W7" s="84"/>
      <c r="X7" s="84"/>
      <c r="Y7" s="84"/>
      <c r="Z7" s="84"/>
      <c r="AA7" s="84"/>
      <c r="AB7" s="84"/>
      <c r="AC7" s="84"/>
      <c r="AD7" s="84"/>
      <c r="AE7" s="84"/>
      <c r="AF7" s="84"/>
      <c r="AG7" s="84"/>
      <c r="AH7" s="84"/>
      <c r="AI7" s="84"/>
      <c r="AJ7" s="84"/>
      <c r="AK7" s="84"/>
      <c r="AL7" s="84"/>
      <c r="AM7" s="84"/>
      <c r="AN7" s="84"/>
      <c r="AO7" s="84"/>
      <c r="AP7" s="84"/>
      <c r="AQ7" s="84"/>
      <c r="AR7" s="84"/>
      <c r="AS7" s="84"/>
      <c r="AT7" s="84"/>
      <c r="AU7" s="84"/>
      <c r="AV7" s="84"/>
      <c r="AW7" s="84"/>
      <c r="AX7" s="84"/>
      <c r="AY7" s="84"/>
      <c r="AZ7" s="84"/>
      <c r="BA7" s="84"/>
      <c r="BB7" s="84"/>
      <c r="BC7" s="84"/>
      <c r="BD7" s="84"/>
      <c r="BE7" s="84"/>
      <c r="BF7" s="84"/>
      <c r="BG7" s="84"/>
      <c r="BH7" s="84"/>
      <c r="BI7" s="84"/>
      <c r="BJ7" s="84"/>
      <c r="BK7" s="84"/>
      <c r="BL7" s="84"/>
      <c r="BM7" s="84"/>
      <c r="BN7" s="84"/>
      <c r="BO7" s="84"/>
      <c r="BP7" s="84"/>
      <c r="BQ7" s="84"/>
      <c r="BR7" s="84"/>
      <c r="BS7" s="84"/>
      <c r="BT7" s="84"/>
      <c r="BU7" s="84"/>
      <c r="BV7" s="84"/>
      <c r="BW7" s="84"/>
      <c r="BX7" s="84"/>
      <c r="BY7" s="84"/>
      <c r="BZ7" s="84"/>
      <c r="CA7" s="84"/>
      <c r="CB7" s="84"/>
      <c r="CC7" s="84"/>
      <c r="CD7" s="84"/>
      <c r="CE7" s="84"/>
      <c r="CF7" s="84"/>
      <c r="CG7" s="84"/>
      <c r="CH7" s="84"/>
      <c r="CI7" s="84"/>
      <c r="CJ7" s="84"/>
      <c r="CK7" s="84"/>
      <c r="CL7" s="84"/>
      <c r="CM7" s="84"/>
      <c r="CN7" s="84"/>
      <c r="CO7" s="84"/>
      <c r="CP7" s="84"/>
      <c r="CQ7" s="84"/>
      <c r="CR7" s="84"/>
      <c r="CS7" s="84"/>
      <c r="CT7" s="84"/>
      <c r="CU7" s="84"/>
      <c r="CV7" s="84"/>
      <c r="CW7" s="84"/>
      <c r="CX7" s="84"/>
      <c r="CY7" s="84"/>
      <c r="CZ7" s="84"/>
    </row>
    <row r="8" spans="1:140" ht="15">
      <c r="A8" s="94" t="s">
        <v>21</v>
      </c>
      <c r="B8" s="95" t="s">
        <v>246</v>
      </c>
      <c r="C8" s="94" t="s">
        <v>238</v>
      </c>
      <c r="D8" s="94" t="s">
        <v>237</v>
      </c>
      <c r="E8" s="94" t="s">
        <v>236</v>
      </c>
      <c r="F8" s="94" t="s">
        <v>235</v>
      </c>
      <c r="G8" s="94" t="s">
        <v>234</v>
      </c>
      <c r="H8" s="94" t="s">
        <v>233</v>
      </c>
      <c r="I8" s="94" t="s">
        <v>247</v>
      </c>
      <c r="J8"/>
      <c r="K8"/>
      <c r="L8"/>
      <c r="M8"/>
      <c r="N8"/>
      <c r="O8"/>
      <c r="P8"/>
      <c r="Q8" s="84"/>
      <c r="R8" s="84"/>
      <c r="S8" s="84"/>
      <c r="T8" s="84"/>
      <c r="U8" s="84"/>
      <c r="V8" s="84"/>
      <c r="W8" s="84"/>
      <c r="X8" s="84"/>
      <c r="Y8" s="84"/>
      <c r="Z8" s="84"/>
      <c r="AA8" s="84"/>
      <c r="AB8" s="84"/>
      <c r="AC8" s="84"/>
      <c r="AD8" s="84"/>
      <c r="AE8" s="84"/>
      <c r="AF8" s="84"/>
      <c r="AG8" s="84"/>
      <c r="AH8" s="84"/>
      <c r="AI8" s="84"/>
      <c r="AJ8" s="84"/>
      <c r="AK8" s="84"/>
      <c r="AL8" s="84"/>
      <c r="AM8" s="84"/>
      <c r="AN8" s="84"/>
      <c r="AO8" s="84"/>
      <c r="AP8" s="84"/>
      <c r="AQ8" s="84"/>
      <c r="AR8" s="84"/>
      <c r="AS8" s="84"/>
      <c r="AT8" s="84"/>
      <c r="AU8" s="84"/>
      <c r="AV8" s="84"/>
      <c r="AW8" s="84"/>
      <c r="AX8" s="84"/>
      <c r="AY8" s="84"/>
      <c r="AZ8" s="84"/>
      <c r="BA8" s="84"/>
      <c r="BB8" s="84"/>
      <c r="BC8" s="84"/>
      <c r="BD8" s="84"/>
      <c r="BE8" s="84"/>
      <c r="BF8" s="84"/>
      <c r="BG8" s="84"/>
      <c r="BH8" s="84"/>
      <c r="BI8" s="84"/>
      <c r="BJ8" s="84"/>
      <c r="BK8" s="84"/>
      <c r="BL8" s="84"/>
      <c r="BM8" s="84"/>
      <c r="BN8" s="84"/>
      <c r="BO8" s="84"/>
      <c r="BP8" s="84"/>
      <c r="BQ8" s="84"/>
      <c r="BR8" s="84"/>
      <c r="BS8" s="84"/>
      <c r="BT8" s="84"/>
      <c r="BU8" s="84"/>
      <c r="BV8" s="84"/>
      <c r="BW8" s="84"/>
      <c r="BX8" s="84"/>
      <c r="BY8" s="84"/>
      <c r="BZ8" s="84"/>
      <c r="CA8" s="84"/>
      <c r="CB8" s="84"/>
      <c r="CC8" s="84"/>
      <c r="CD8" s="84"/>
      <c r="CE8" s="84"/>
      <c r="CF8" s="84"/>
      <c r="CG8" s="84"/>
      <c r="CH8" s="84"/>
      <c r="CI8" s="84"/>
      <c r="CJ8" s="84"/>
      <c r="CK8" s="84"/>
      <c r="CL8" s="84"/>
      <c r="CM8" s="84"/>
      <c r="CN8" s="84"/>
      <c r="CO8" s="84"/>
      <c r="CP8" s="84"/>
      <c r="CQ8" s="84"/>
      <c r="CR8" s="84"/>
      <c r="CS8" s="84"/>
      <c r="CT8" s="84"/>
      <c r="CU8" s="84"/>
      <c r="CV8" s="84"/>
      <c r="CW8" s="84"/>
      <c r="CX8" s="84"/>
      <c r="CY8" s="84"/>
    </row>
    <row r="9" spans="1:140" ht="15">
      <c r="A9" s="93">
        <v>41640</v>
      </c>
      <c r="B9" s="82">
        <f t="shared" ref="B9:B40" si="0">YEAR(A9)</f>
        <v>2014</v>
      </c>
      <c r="C9" s="86">
        <v>2.2319354838709677</v>
      </c>
      <c r="D9" s="86">
        <v>21.825806451612905</v>
      </c>
      <c r="E9" s="86">
        <v>0.29611290322580647</v>
      </c>
      <c r="F9" s="86">
        <v>1.236</v>
      </c>
      <c r="G9" s="86">
        <v>4.9980645161290322</v>
      </c>
      <c r="H9" s="86">
        <v>0</v>
      </c>
      <c r="I9" s="86">
        <f>SUM(C9:H9)</f>
        <v>30.587919354838711</v>
      </c>
      <c r="J9" s="77"/>
      <c r="K9" s="90"/>
      <c r="L9" s="90"/>
      <c r="M9" s="90"/>
      <c r="N9" s="90"/>
      <c r="O9" s="90"/>
      <c r="P9" s="90"/>
      <c r="Q9" s="84"/>
      <c r="R9" s="84"/>
      <c r="S9" s="84"/>
      <c r="T9" s="84"/>
      <c r="U9" s="84"/>
      <c r="V9" s="84"/>
      <c r="W9" s="84"/>
      <c r="X9" s="84"/>
      <c r="Y9" s="84"/>
      <c r="Z9" s="84"/>
      <c r="AA9" s="84"/>
      <c r="AB9" s="84"/>
      <c r="AC9" s="84"/>
      <c r="AD9" s="84"/>
      <c r="AE9" s="84"/>
      <c r="AF9" s="84"/>
      <c r="AG9" s="84"/>
      <c r="AH9" s="84"/>
      <c r="AI9" s="84"/>
      <c r="AJ9" s="84"/>
      <c r="AK9" s="84"/>
      <c r="AL9" s="84"/>
      <c r="AM9" s="84"/>
      <c r="AN9" s="84"/>
      <c r="AO9" s="84"/>
      <c r="AP9" s="84"/>
      <c r="AQ9" s="84"/>
      <c r="AR9" s="84"/>
      <c r="AS9" s="84"/>
      <c r="AT9" s="84"/>
      <c r="AU9" s="84"/>
      <c r="AV9" s="84"/>
      <c r="AW9" s="84"/>
      <c r="AX9" s="84"/>
      <c r="AY9" s="84"/>
      <c r="AZ9" s="84"/>
      <c r="BA9" s="84"/>
      <c r="BB9" s="84"/>
      <c r="BC9" s="84"/>
      <c r="BD9" s="84"/>
      <c r="BE9" s="84"/>
      <c r="BF9" s="84"/>
      <c r="BG9" s="84"/>
      <c r="BH9" s="84"/>
      <c r="BI9" s="84"/>
      <c r="BJ9" s="84"/>
      <c r="BK9" s="84"/>
      <c r="BL9" s="84"/>
      <c r="BM9" s="84"/>
      <c r="BN9" s="84"/>
      <c r="BO9" s="84"/>
      <c r="BP9" s="84"/>
      <c r="BQ9" s="84"/>
      <c r="BR9" s="84"/>
      <c r="BS9" s="84"/>
      <c r="BT9" s="84"/>
      <c r="BU9" s="84"/>
      <c r="BV9" s="84"/>
      <c r="BW9" s="84"/>
      <c r="BX9" s="84"/>
      <c r="BY9" s="84"/>
      <c r="BZ9" s="84"/>
      <c r="CA9" s="84"/>
      <c r="CB9" s="84"/>
      <c r="CC9" s="84"/>
      <c r="CD9" s="84"/>
      <c r="CE9" s="84"/>
      <c r="CF9" s="84"/>
      <c r="CG9" s="84"/>
      <c r="CH9" s="84"/>
      <c r="CI9" s="84"/>
      <c r="CJ9" s="84"/>
      <c r="CK9" s="84"/>
      <c r="CL9" s="84"/>
      <c r="CM9" s="84"/>
      <c r="CN9" s="84"/>
      <c r="CO9" s="84"/>
      <c r="CP9" s="84"/>
      <c r="CQ9" s="84"/>
      <c r="CR9" s="84"/>
      <c r="CS9" s="84"/>
      <c r="CT9" s="84"/>
      <c r="CU9" s="84"/>
      <c r="CV9" s="84"/>
      <c r="CW9" s="84"/>
      <c r="CX9" s="84"/>
      <c r="CY9" s="84"/>
    </row>
    <row r="10" spans="1:140" ht="15">
      <c r="A10" s="93">
        <v>41671</v>
      </c>
      <c r="B10" s="82">
        <f t="shared" si="0"/>
        <v>2014</v>
      </c>
      <c r="C10" s="86">
        <v>2.4355000000000002</v>
      </c>
      <c r="D10" s="86">
        <v>20.105714285714289</v>
      </c>
      <c r="E10" s="86">
        <v>0.29611428571428572</v>
      </c>
      <c r="F10" s="86">
        <v>1.2153214285714287</v>
      </c>
      <c r="G10" s="86">
        <v>5.5010714285714286</v>
      </c>
      <c r="H10" s="86">
        <v>0</v>
      </c>
      <c r="I10" s="86">
        <f t="shared" ref="I10:I73" si="1">SUM(C10:H10)</f>
        <v>29.553721428571432</v>
      </c>
      <c r="J10" s="226"/>
      <c r="K10" s="90"/>
      <c r="L10" s="90"/>
      <c r="M10" s="90"/>
      <c r="N10" s="90"/>
      <c r="O10" s="90"/>
      <c r="P10" s="90"/>
      <c r="Q10" s="84"/>
      <c r="R10" s="84"/>
      <c r="S10" s="84"/>
      <c r="T10" s="84"/>
      <c r="U10" s="84"/>
      <c r="V10" s="84"/>
      <c r="W10" s="84"/>
      <c r="X10" s="84"/>
      <c r="Y10" s="84"/>
      <c r="Z10" s="84"/>
      <c r="AA10" s="84"/>
      <c r="AB10" s="84"/>
      <c r="AC10" s="84"/>
      <c r="AD10" s="84"/>
      <c r="AE10" s="84"/>
      <c r="AF10" s="84"/>
      <c r="AG10" s="84"/>
      <c r="AH10" s="84"/>
      <c r="AI10" s="84"/>
      <c r="AJ10" s="84"/>
      <c r="AK10" s="84"/>
      <c r="AL10" s="84"/>
      <c r="AM10" s="84"/>
      <c r="AN10" s="84"/>
      <c r="AO10" s="84"/>
      <c r="AP10" s="84"/>
      <c r="AQ10" s="84"/>
      <c r="AR10" s="84"/>
      <c r="AS10" s="84"/>
      <c r="AT10" s="84"/>
      <c r="AU10" s="84"/>
      <c r="AV10" s="84"/>
      <c r="AW10" s="84"/>
      <c r="AX10" s="84"/>
      <c r="AY10" s="84"/>
      <c r="AZ10" s="84"/>
      <c r="BA10" s="84"/>
      <c r="BB10" s="84"/>
      <c r="BC10" s="84"/>
      <c r="BD10" s="84"/>
      <c r="BE10" s="84"/>
      <c r="BF10" s="84"/>
      <c r="BG10" s="84"/>
      <c r="BH10" s="84"/>
      <c r="BI10" s="84"/>
      <c r="BJ10" s="84"/>
      <c r="BK10" s="84"/>
      <c r="BL10" s="84"/>
      <c r="BM10" s="84"/>
      <c r="BN10" s="84"/>
      <c r="BO10" s="84"/>
      <c r="BP10" s="84"/>
      <c r="BQ10" s="84"/>
      <c r="BR10" s="84"/>
      <c r="BS10" s="84"/>
      <c r="BT10" s="84"/>
      <c r="BU10" s="84"/>
      <c r="BV10" s="84"/>
      <c r="BW10" s="84"/>
      <c r="BX10" s="84"/>
      <c r="BY10" s="84"/>
      <c r="BZ10" s="84"/>
      <c r="CA10" s="84"/>
      <c r="CB10" s="84"/>
      <c r="CC10" s="84"/>
      <c r="CD10" s="84"/>
      <c r="CE10" s="84"/>
      <c r="CF10" s="84"/>
      <c r="CG10" s="84"/>
      <c r="CH10" s="84"/>
      <c r="CI10" s="84"/>
      <c r="CJ10" s="84"/>
      <c r="CK10" s="84"/>
      <c r="CL10" s="84"/>
      <c r="CM10" s="84"/>
      <c r="CN10" s="84"/>
      <c r="CO10" s="84"/>
      <c r="CP10" s="84"/>
      <c r="CQ10" s="84"/>
      <c r="CR10" s="84"/>
      <c r="CS10" s="84"/>
      <c r="CT10" s="84"/>
      <c r="CU10" s="84"/>
      <c r="CV10" s="84"/>
      <c r="CW10" s="84"/>
      <c r="CX10" s="84"/>
      <c r="CY10" s="84"/>
    </row>
    <row r="11" spans="1:140" ht="15">
      <c r="A11" s="93">
        <v>41699</v>
      </c>
      <c r="B11" s="82">
        <f t="shared" si="0"/>
        <v>2014</v>
      </c>
      <c r="C11" s="86">
        <v>1.8070000000000002</v>
      </c>
      <c r="D11" s="86">
        <v>20.339032258064517</v>
      </c>
      <c r="E11" s="86">
        <v>0.29611290322580647</v>
      </c>
      <c r="F11" s="86">
        <v>1.3129677419354837</v>
      </c>
      <c r="G11" s="86">
        <v>8.0925806451612896</v>
      </c>
      <c r="H11" s="86">
        <v>0</v>
      </c>
      <c r="I11" s="86">
        <f t="shared" si="1"/>
        <v>31.847693548387099</v>
      </c>
      <c r="J11" s="226"/>
      <c r="K11" s="90"/>
      <c r="L11" s="90"/>
      <c r="M11" s="90"/>
      <c r="N11" s="90"/>
      <c r="O11" s="90"/>
      <c r="P11" s="90"/>
      <c r="Q11" s="84"/>
      <c r="R11" s="84"/>
      <c r="S11" s="84"/>
      <c r="T11" s="84"/>
      <c r="U11" s="84"/>
      <c r="V11" s="84"/>
      <c r="W11" s="84"/>
      <c r="X11" s="84"/>
      <c r="Y11" s="84"/>
      <c r="Z11" s="84"/>
      <c r="AA11" s="84"/>
      <c r="AB11" s="84"/>
      <c r="AC11" s="84"/>
      <c r="AD11" s="84"/>
      <c r="AE11" s="84"/>
      <c r="AF11" s="84"/>
      <c r="AG11" s="84"/>
      <c r="AH11" s="84"/>
      <c r="AI11" s="84"/>
      <c r="AJ11" s="84"/>
      <c r="AK11" s="84"/>
      <c r="AL11" s="84"/>
      <c r="AM11" s="84"/>
      <c r="AN11" s="84"/>
      <c r="AO11" s="84"/>
      <c r="AP11" s="84"/>
      <c r="AQ11" s="84"/>
      <c r="AR11" s="84"/>
      <c r="AS11" s="84"/>
      <c r="AT11" s="84"/>
      <c r="AU11" s="84"/>
      <c r="AV11" s="84"/>
      <c r="AW11" s="84"/>
      <c r="AX11" s="84"/>
      <c r="AY11" s="84"/>
      <c r="AZ11" s="84"/>
      <c r="BA11" s="84"/>
      <c r="BB11" s="84"/>
      <c r="BC11" s="84"/>
      <c r="BD11" s="84"/>
      <c r="BE11" s="84"/>
      <c r="BF11" s="84"/>
      <c r="BG11" s="84"/>
      <c r="BH11" s="84"/>
      <c r="BI11" s="84"/>
      <c r="BJ11" s="84"/>
      <c r="BK11" s="84"/>
      <c r="BL11" s="84"/>
      <c r="BM11" s="84"/>
      <c r="BN11" s="84"/>
      <c r="BO11" s="84"/>
      <c r="BP11" s="84"/>
      <c r="BQ11" s="84"/>
      <c r="BR11" s="84"/>
      <c r="BS11" s="84"/>
      <c r="BT11" s="84"/>
      <c r="BU11" s="84"/>
      <c r="BV11" s="84"/>
      <c r="BW11" s="84"/>
      <c r="BX11" s="84"/>
      <c r="BY11" s="84"/>
      <c r="BZ11" s="84"/>
      <c r="CA11" s="84"/>
      <c r="CB11" s="84"/>
      <c r="CC11" s="84"/>
      <c r="CD11" s="84"/>
      <c r="CE11" s="84"/>
      <c r="CF11" s="84"/>
      <c r="CG11" s="84"/>
      <c r="CH11" s="84"/>
      <c r="CI11" s="84"/>
      <c r="CJ11" s="84"/>
      <c r="CK11" s="84"/>
      <c r="CL11" s="84"/>
      <c r="CM11" s="84"/>
      <c r="CN11" s="84"/>
      <c r="CO11" s="84"/>
      <c r="CP11" s="84"/>
      <c r="CQ11" s="84"/>
      <c r="CR11" s="84"/>
      <c r="CS11" s="84"/>
      <c r="CT11" s="84"/>
      <c r="CU11" s="84"/>
      <c r="CV11" s="84"/>
      <c r="CW11" s="84"/>
      <c r="CX11" s="84"/>
      <c r="CY11" s="84"/>
    </row>
    <row r="12" spans="1:140" ht="15">
      <c r="A12" s="93">
        <v>41730</v>
      </c>
      <c r="B12" s="82">
        <f t="shared" si="0"/>
        <v>2014</v>
      </c>
      <c r="C12" s="86">
        <v>2.4611333333333336</v>
      </c>
      <c r="D12" s="86">
        <v>22.058333333333334</v>
      </c>
      <c r="E12" s="86">
        <v>0.29611333333333334</v>
      </c>
      <c r="F12" s="86">
        <v>1.5247333333333333</v>
      </c>
      <c r="G12" s="86">
        <v>6.617</v>
      </c>
      <c r="H12" s="86">
        <v>0</v>
      </c>
      <c r="I12" s="86">
        <f t="shared" si="1"/>
        <v>32.957313333333332</v>
      </c>
      <c r="J12" s="226"/>
      <c r="K12" s="90"/>
      <c r="L12" s="90"/>
      <c r="M12" s="90"/>
      <c r="N12" s="90"/>
      <c r="O12" s="90"/>
      <c r="P12" s="90"/>
      <c r="Q12" s="84"/>
      <c r="R12" s="84"/>
      <c r="S12" s="84"/>
      <c r="T12" s="84"/>
      <c r="U12" s="84"/>
      <c r="V12" s="84"/>
      <c r="W12" s="84"/>
      <c r="X12" s="84"/>
      <c r="Y12" s="84"/>
      <c r="Z12" s="84"/>
      <c r="AA12" s="84"/>
      <c r="AB12" s="84"/>
      <c r="AC12" s="84"/>
      <c r="AD12" s="84"/>
      <c r="AE12" s="84"/>
      <c r="AF12" s="84"/>
      <c r="AG12" s="84"/>
      <c r="AH12" s="84"/>
      <c r="AI12" s="84"/>
      <c r="AJ12" s="84"/>
      <c r="AK12" s="84"/>
      <c r="AL12" s="84"/>
      <c r="AM12" s="84"/>
      <c r="AN12" s="84"/>
      <c r="AO12" s="84"/>
      <c r="AP12" s="84"/>
      <c r="AQ12" s="84"/>
      <c r="AR12" s="84"/>
      <c r="AS12" s="84"/>
      <c r="AT12" s="84"/>
      <c r="AU12" s="84"/>
      <c r="AV12" s="84"/>
      <c r="AW12" s="84"/>
      <c r="AX12" s="84"/>
      <c r="AY12" s="84"/>
      <c r="AZ12" s="84"/>
      <c r="BA12" s="84"/>
      <c r="BB12" s="84"/>
      <c r="BC12" s="84"/>
      <c r="BD12" s="84"/>
      <c r="BE12" s="84"/>
      <c r="BF12" s="84"/>
      <c r="BG12" s="84"/>
      <c r="BH12" s="84"/>
      <c r="BI12" s="84"/>
      <c r="BJ12" s="84"/>
      <c r="BK12" s="84"/>
      <c r="BL12" s="84"/>
      <c r="BM12" s="84"/>
      <c r="BN12" s="84"/>
      <c r="BO12" s="84"/>
      <c r="BP12" s="84"/>
      <c r="BQ12" s="84"/>
      <c r="BR12" s="84"/>
      <c r="BS12" s="84"/>
      <c r="BT12" s="84"/>
      <c r="BU12" s="84"/>
      <c r="BV12" s="84"/>
      <c r="BW12" s="84"/>
      <c r="BX12" s="84"/>
      <c r="BY12" s="84"/>
      <c r="BZ12" s="84"/>
      <c r="CA12" s="84"/>
      <c r="CB12" s="84"/>
      <c r="CC12" s="84"/>
      <c r="CD12" s="84"/>
      <c r="CE12" s="84"/>
      <c r="CF12" s="84"/>
      <c r="CG12" s="84"/>
      <c r="CH12" s="84"/>
      <c r="CI12" s="84"/>
      <c r="CJ12" s="84"/>
      <c r="CK12" s="84"/>
      <c r="CL12" s="84"/>
      <c r="CM12" s="84"/>
      <c r="CN12" s="84"/>
      <c r="CO12" s="84"/>
      <c r="CP12" s="84"/>
      <c r="CQ12" s="84"/>
      <c r="CR12" s="84"/>
      <c r="CS12" s="84"/>
      <c r="CT12" s="84"/>
      <c r="CU12" s="84"/>
      <c r="CV12" s="84"/>
      <c r="CW12" s="84"/>
      <c r="CX12" s="84"/>
      <c r="CY12" s="84"/>
    </row>
    <row r="13" spans="1:140" ht="15">
      <c r="A13" s="93">
        <v>41760</v>
      </c>
      <c r="B13" s="82">
        <f t="shared" si="0"/>
        <v>2014</v>
      </c>
      <c r="C13" s="86">
        <v>3.1310000000000002</v>
      </c>
      <c r="D13" s="86">
        <v>24.296129032258062</v>
      </c>
      <c r="E13" s="86">
        <v>0.29611290322580647</v>
      </c>
      <c r="F13" s="86">
        <v>1.6253548387096775</v>
      </c>
      <c r="G13" s="86">
        <v>5.693225806451613</v>
      </c>
      <c r="H13" s="86">
        <v>0</v>
      </c>
      <c r="I13" s="86">
        <f t="shared" si="1"/>
        <v>35.04182258064516</v>
      </c>
      <c r="J13" s="226"/>
      <c r="K13" s="90"/>
      <c r="L13" s="90"/>
      <c r="M13" s="90"/>
      <c r="N13" s="90"/>
      <c r="O13" s="90"/>
      <c r="P13" s="90"/>
      <c r="Q13" s="84"/>
      <c r="R13" s="84"/>
      <c r="S13" s="84"/>
      <c r="T13" s="84"/>
      <c r="U13" s="84"/>
      <c r="V13" s="84"/>
      <c r="W13" s="84"/>
      <c r="X13" s="84"/>
      <c r="Y13" s="84"/>
      <c r="Z13" s="84"/>
      <c r="AA13" s="84"/>
      <c r="AB13" s="84"/>
      <c r="AC13" s="84"/>
      <c r="AD13" s="84"/>
      <c r="AE13" s="84"/>
      <c r="AF13" s="84"/>
      <c r="AG13" s="84"/>
      <c r="AH13" s="84"/>
      <c r="AI13" s="84"/>
      <c r="AJ13" s="84"/>
      <c r="AK13" s="84"/>
      <c r="AL13" s="84"/>
      <c r="AM13" s="84"/>
      <c r="AN13" s="84"/>
      <c r="AO13" s="84"/>
      <c r="AP13" s="84"/>
      <c r="AQ13" s="84"/>
      <c r="AR13" s="84"/>
      <c r="AS13" s="84"/>
      <c r="AT13" s="84"/>
      <c r="AU13" s="84"/>
      <c r="AV13" s="84"/>
      <c r="AW13" s="84"/>
      <c r="AX13" s="84"/>
      <c r="AY13" s="84"/>
      <c r="AZ13" s="84"/>
      <c r="BA13" s="84"/>
      <c r="BB13" s="84"/>
      <c r="BC13" s="84"/>
      <c r="BD13" s="84"/>
      <c r="BE13" s="84"/>
      <c r="BF13" s="84"/>
      <c r="BG13" s="84"/>
      <c r="BH13" s="84"/>
      <c r="BI13" s="84"/>
      <c r="BJ13" s="84"/>
      <c r="BK13" s="84"/>
      <c r="BL13" s="84"/>
      <c r="BM13" s="84"/>
      <c r="BN13" s="84"/>
      <c r="BO13" s="84"/>
      <c r="BP13" s="84"/>
      <c r="BQ13" s="84"/>
      <c r="BR13" s="84"/>
      <c r="BS13" s="84"/>
      <c r="BT13" s="84"/>
      <c r="BU13" s="84"/>
      <c r="BV13" s="84"/>
      <c r="BW13" s="84"/>
      <c r="BX13" s="84"/>
      <c r="BY13" s="84"/>
      <c r="BZ13" s="84"/>
      <c r="CA13" s="84"/>
      <c r="CB13" s="84"/>
      <c r="CC13" s="84"/>
      <c r="CD13" s="84"/>
      <c r="CE13" s="84"/>
      <c r="CF13" s="84"/>
      <c r="CG13" s="84"/>
      <c r="CH13" s="84"/>
      <c r="CI13" s="84"/>
      <c r="CJ13" s="84"/>
      <c r="CK13" s="84"/>
      <c r="CL13" s="84"/>
      <c r="CM13" s="84"/>
      <c r="CN13" s="84"/>
      <c r="CO13" s="84"/>
      <c r="CP13" s="84"/>
      <c r="CQ13" s="84"/>
      <c r="CR13" s="84"/>
      <c r="CS13" s="84"/>
      <c r="CT13" s="84"/>
      <c r="CU13" s="84"/>
      <c r="CV13" s="84"/>
      <c r="CW13" s="84"/>
      <c r="CX13" s="84"/>
      <c r="CY13" s="84"/>
    </row>
    <row r="14" spans="1:140" ht="15">
      <c r="A14" s="93">
        <v>41791</v>
      </c>
      <c r="B14" s="82">
        <f t="shared" si="0"/>
        <v>2014</v>
      </c>
      <c r="C14" s="86">
        <v>2.3385666666666665</v>
      </c>
      <c r="D14" s="86">
        <v>14.804</v>
      </c>
      <c r="E14" s="86">
        <v>0.29611333333333334</v>
      </c>
      <c r="F14" s="86">
        <v>1.5472333333333335</v>
      </c>
      <c r="G14" s="86">
        <v>7.945333333333334</v>
      </c>
      <c r="H14" s="86">
        <v>0</v>
      </c>
      <c r="I14" s="86">
        <f t="shared" si="1"/>
        <v>26.93124666666667</v>
      </c>
      <c r="J14" s="226"/>
      <c r="K14" s="90"/>
      <c r="L14" s="90"/>
      <c r="M14" s="90"/>
      <c r="N14" s="90"/>
      <c r="O14" s="90"/>
      <c r="P14" s="90"/>
      <c r="Q14" s="85"/>
      <c r="R14" s="85"/>
      <c r="S14" s="85"/>
      <c r="T14" s="85"/>
      <c r="U14" s="85"/>
      <c r="V14" s="85"/>
      <c r="W14" s="85"/>
      <c r="X14" s="85"/>
      <c r="Y14" s="85"/>
      <c r="Z14" s="85"/>
      <c r="AA14" s="85"/>
      <c r="AB14" s="85"/>
      <c r="AC14" s="85"/>
      <c r="AD14" s="85"/>
      <c r="AE14" s="85"/>
      <c r="AF14" s="85"/>
      <c r="AG14" s="85"/>
      <c r="AH14" s="85"/>
      <c r="AI14" s="85"/>
      <c r="AJ14" s="85"/>
      <c r="AK14" s="85"/>
      <c r="AL14" s="85"/>
      <c r="AM14" s="85"/>
      <c r="AN14" s="85"/>
      <c r="AO14" s="85"/>
      <c r="AP14" s="85"/>
      <c r="AQ14" s="85"/>
      <c r="AR14" s="85"/>
      <c r="AS14" s="85"/>
      <c r="AT14" s="85"/>
      <c r="AU14" s="85"/>
      <c r="AV14" s="85"/>
      <c r="AW14" s="85"/>
      <c r="AX14" s="85"/>
      <c r="AY14" s="85"/>
      <c r="AZ14" s="85"/>
      <c r="BA14" s="85"/>
      <c r="BB14" s="85"/>
      <c r="BC14" s="85"/>
      <c r="BD14" s="85"/>
      <c r="BE14" s="85"/>
      <c r="BF14" s="85"/>
      <c r="BG14" s="85"/>
      <c r="BH14" s="85"/>
      <c r="BI14" s="85"/>
      <c r="BJ14" s="85"/>
      <c r="BK14" s="85"/>
      <c r="BL14" s="85"/>
      <c r="BM14" s="85"/>
      <c r="BN14" s="85"/>
      <c r="BO14" s="85"/>
      <c r="BP14" s="85"/>
      <c r="BQ14" s="85"/>
      <c r="BR14" s="85"/>
      <c r="BS14" s="85"/>
      <c r="BT14" s="85"/>
      <c r="BU14" s="85"/>
      <c r="BV14" s="85"/>
      <c r="BW14" s="85"/>
      <c r="BX14" s="85"/>
      <c r="BY14" s="85"/>
      <c r="BZ14" s="85"/>
      <c r="CA14" s="85"/>
      <c r="CB14" s="85"/>
      <c r="CC14" s="85"/>
      <c r="CD14" s="85"/>
      <c r="CE14" s="85"/>
      <c r="CF14" s="85"/>
      <c r="CG14" s="85"/>
      <c r="CH14" s="85"/>
      <c r="CI14" s="85"/>
      <c r="CJ14" s="85"/>
      <c r="CK14" s="85"/>
      <c r="CL14" s="85"/>
      <c r="CM14" s="85"/>
      <c r="CN14" s="85"/>
      <c r="CO14" s="85"/>
      <c r="CP14" s="85"/>
      <c r="CQ14" s="85"/>
      <c r="CR14" s="85"/>
      <c r="CS14" s="85"/>
      <c r="CT14" s="85"/>
      <c r="CU14" s="85"/>
      <c r="CV14" s="85"/>
      <c r="CW14" s="85"/>
      <c r="CX14" s="85"/>
      <c r="CY14" s="84"/>
    </row>
    <row r="15" spans="1:140" ht="15">
      <c r="A15" s="93">
        <v>41821</v>
      </c>
      <c r="B15" s="82">
        <f t="shared" si="0"/>
        <v>2014</v>
      </c>
      <c r="C15" s="86">
        <v>2.5265161290322582</v>
      </c>
      <c r="D15" s="86">
        <v>12.376451612903226</v>
      </c>
      <c r="E15" s="86">
        <v>0.29611290322580647</v>
      </c>
      <c r="F15" s="86">
        <v>1.6466774193548386</v>
      </c>
      <c r="G15" s="86">
        <v>5.0509677419354846</v>
      </c>
      <c r="H15" s="86">
        <v>0</v>
      </c>
      <c r="I15" s="86">
        <f t="shared" si="1"/>
        <v>21.896725806451613</v>
      </c>
      <c r="J15" s="226"/>
      <c r="K15" s="90"/>
      <c r="L15" s="90"/>
      <c r="M15" s="90"/>
      <c r="N15" s="90"/>
      <c r="O15" s="90"/>
      <c r="P15" s="90"/>
      <c r="Q15" s="85"/>
      <c r="R15" s="85"/>
      <c r="S15" s="85"/>
      <c r="T15" s="85"/>
      <c r="U15" s="85"/>
      <c r="V15" s="85"/>
      <c r="W15" s="85"/>
      <c r="X15" s="85"/>
      <c r="Y15" s="85"/>
      <c r="Z15" s="85"/>
      <c r="AA15" s="85"/>
      <c r="AB15" s="85"/>
      <c r="AC15" s="85"/>
      <c r="AD15" s="85"/>
      <c r="AE15" s="85"/>
      <c r="AF15" s="85"/>
      <c r="AG15" s="85"/>
      <c r="AH15" s="85"/>
      <c r="AI15" s="85"/>
      <c r="AJ15" s="85"/>
      <c r="AK15" s="85"/>
      <c r="AL15" s="85"/>
      <c r="AM15" s="85"/>
      <c r="AN15" s="85"/>
      <c r="AO15" s="85"/>
      <c r="AP15" s="85"/>
      <c r="AQ15" s="85"/>
      <c r="AR15" s="85"/>
      <c r="AS15" s="85"/>
      <c r="AT15" s="85"/>
      <c r="AU15" s="85"/>
      <c r="AV15" s="85"/>
      <c r="AW15" s="85"/>
      <c r="AX15" s="85"/>
      <c r="AY15" s="85"/>
      <c r="AZ15" s="85"/>
      <c r="BA15" s="85"/>
      <c r="BB15" s="85"/>
      <c r="BC15" s="85"/>
      <c r="BD15" s="85"/>
      <c r="BE15" s="85"/>
      <c r="BF15" s="85"/>
      <c r="BG15" s="85"/>
      <c r="BH15" s="85"/>
      <c r="BI15" s="85"/>
      <c r="BJ15" s="85"/>
      <c r="BK15" s="85"/>
      <c r="BL15" s="85"/>
      <c r="BM15" s="85"/>
      <c r="BN15" s="85"/>
      <c r="BO15" s="85"/>
      <c r="BP15" s="85"/>
      <c r="BQ15" s="85"/>
      <c r="BR15" s="85"/>
      <c r="BS15" s="85"/>
      <c r="BT15" s="85"/>
      <c r="BU15" s="85"/>
      <c r="BV15" s="85"/>
      <c r="BW15" s="85"/>
      <c r="BX15" s="85"/>
      <c r="BY15" s="85"/>
      <c r="BZ15" s="85"/>
      <c r="CA15" s="85"/>
      <c r="CB15" s="85"/>
      <c r="CC15" s="85"/>
      <c r="CD15" s="85"/>
      <c r="CE15" s="85"/>
      <c r="CF15" s="85"/>
      <c r="CG15" s="85"/>
      <c r="CH15" s="85"/>
      <c r="CI15" s="85"/>
      <c r="CJ15" s="85"/>
      <c r="CK15" s="85"/>
      <c r="CL15" s="85"/>
      <c r="CM15" s="85"/>
      <c r="CN15" s="85"/>
      <c r="CO15" s="85"/>
      <c r="CP15" s="85"/>
      <c r="CQ15" s="85"/>
      <c r="CR15" s="85"/>
      <c r="CS15" s="85"/>
      <c r="CT15" s="85"/>
      <c r="CU15" s="85"/>
      <c r="CV15" s="85"/>
      <c r="CW15" s="85"/>
      <c r="CX15" s="85"/>
      <c r="CY15" s="84"/>
    </row>
    <row r="16" spans="1:140" ht="15">
      <c r="A16" s="93">
        <v>41852</v>
      </c>
      <c r="B16" s="82">
        <f t="shared" si="0"/>
        <v>2014</v>
      </c>
      <c r="C16" s="86">
        <v>2.2339354838709675</v>
      </c>
      <c r="D16" s="86">
        <v>19.970967741935485</v>
      </c>
      <c r="E16" s="86">
        <v>0.29317419354838709</v>
      </c>
      <c r="F16" s="86">
        <v>1.5648064516129032</v>
      </c>
      <c r="G16" s="86">
        <v>1.0129032258064516</v>
      </c>
      <c r="H16" s="86">
        <v>0</v>
      </c>
      <c r="I16" s="86">
        <f t="shared" si="1"/>
        <v>25.075787096774196</v>
      </c>
      <c r="J16" s="226"/>
      <c r="K16" s="90"/>
      <c r="L16" s="90"/>
      <c r="M16" s="90"/>
      <c r="N16" s="90"/>
      <c r="O16" s="90"/>
      <c r="P16" s="90"/>
      <c r="Q16" s="85"/>
      <c r="R16" s="85"/>
      <c r="S16" s="85"/>
      <c r="T16" s="85"/>
      <c r="U16" s="85"/>
      <c r="V16" s="85"/>
      <c r="W16" s="85"/>
      <c r="X16" s="85"/>
      <c r="Y16" s="85"/>
      <c r="Z16" s="85"/>
      <c r="AA16" s="85"/>
      <c r="AB16" s="85"/>
      <c r="AC16" s="85"/>
      <c r="AD16" s="85"/>
      <c r="AE16" s="85"/>
      <c r="AF16" s="85"/>
      <c r="AG16" s="85"/>
      <c r="AH16" s="85"/>
      <c r="AI16" s="85"/>
      <c r="AJ16" s="85"/>
      <c r="AK16" s="85"/>
      <c r="AL16" s="85"/>
      <c r="AM16" s="85"/>
      <c r="AN16" s="85"/>
      <c r="AO16" s="85"/>
      <c r="AP16" s="85"/>
      <c r="AQ16" s="85"/>
      <c r="AR16" s="85"/>
      <c r="AS16" s="85"/>
      <c r="AT16" s="85"/>
      <c r="AU16" s="85"/>
      <c r="AV16" s="85"/>
      <c r="AW16" s="85"/>
      <c r="AX16" s="85"/>
      <c r="AY16" s="85"/>
      <c r="AZ16" s="85"/>
      <c r="BA16" s="85"/>
      <c r="BB16" s="85"/>
      <c r="BC16" s="85"/>
      <c r="BD16" s="85"/>
      <c r="BE16" s="85"/>
      <c r="BF16" s="85"/>
      <c r="BG16" s="85"/>
      <c r="BH16" s="85"/>
      <c r="BI16" s="85"/>
      <c r="BJ16" s="85"/>
      <c r="BK16" s="85"/>
      <c r="BL16" s="85"/>
      <c r="BM16" s="85"/>
      <c r="BN16" s="85"/>
      <c r="BO16" s="85"/>
      <c r="BP16" s="85"/>
      <c r="BQ16" s="85"/>
      <c r="BR16" s="85"/>
      <c r="BS16" s="85"/>
      <c r="BT16" s="85"/>
      <c r="BU16" s="85"/>
      <c r="BV16" s="85"/>
      <c r="BW16" s="85"/>
      <c r="BX16" s="85"/>
      <c r="BY16" s="85"/>
      <c r="BZ16" s="85"/>
      <c r="CA16" s="85"/>
      <c r="CB16" s="85"/>
      <c r="CC16" s="85"/>
      <c r="CD16" s="85"/>
      <c r="CE16" s="85"/>
      <c r="CF16" s="85"/>
      <c r="CG16" s="85"/>
      <c r="CH16" s="85"/>
      <c r="CI16" s="85"/>
      <c r="CJ16" s="85"/>
      <c r="CK16" s="85"/>
      <c r="CL16" s="85"/>
      <c r="CM16" s="85"/>
      <c r="CN16" s="85"/>
      <c r="CO16" s="85"/>
      <c r="CP16" s="85"/>
      <c r="CQ16" s="85"/>
      <c r="CR16" s="85"/>
      <c r="CS16" s="85"/>
      <c r="CT16" s="85"/>
      <c r="CU16" s="85"/>
      <c r="CV16" s="85"/>
      <c r="CW16" s="85"/>
      <c r="CX16" s="85"/>
      <c r="CY16" s="84"/>
    </row>
    <row r="17" spans="1:103" ht="15">
      <c r="A17" s="93">
        <v>41883</v>
      </c>
      <c r="B17" s="82">
        <f t="shared" si="0"/>
        <v>2014</v>
      </c>
      <c r="C17" s="86">
        <v>2.6562000000000001</v>
      </c>
      <c r="D17" s="86">
        <v>19.946000000000002</v>
      </c>
      <c r="E17" s="86">
        <v>0.29611333333333334</v>
      </c>
      <c r="F17" s="86">
        <v>1.4891000000000001</v>
      </c>
      <c r="G17" s="86">
        <v>3.3896666666666664</v>
      </c>
      <c r="H17" s="86">
        <v>0</v>
      </c>
      <c r="I17" s="86">
        <f t="shared" si="1"/>
        <v>27.777080000000005</v>
      </c>
      <c r="J17" s="226"/>
      <c r="K17" s="90"/>
      <c r="L17" s="90"/>
      <c r="M17" s="90"/>
      <c r="N17" s="90"/>
      <c r="O17" s="90"/>
      <c r="P17" s="90"/>
      <c r="Q17" s="85"/>
      <c r="R17" s="85"/>
      <c r="S17" s="85"/>
      <c r="T17" s="85"/>
      <c r="U17" s="85"/>
      <c r="V17" s="85"/>
      <c r="W17" s="85"/>
      <c r="X17" s="85"/>
      <c r="Y17" s="85"/>
      <c r="Z17" s="85"/>
      <c r="AA17" s="85"/>
      <c r="AB17" s="85"/>
      <c r="AC17" s="85"/>
      <c r="AD17" s="85"/>
      <c r="AE17" s="85"/>
      <c r="AF17" s="85"/>
      <c r="AG17" s="85"/>
      <c r="AH17" s="85"/>
      <c r="AI17" s="85"/>
      <c r="AJ17" s="85"/>
      <c r="AK17" s="85"/>
      <c r="AL17" s="85"/>
      <c r="AM17" s="85"/>
      <c r="AN17" s="85"/>
      <c r="AO17" s="85"/>
      <c r="AP17" s="85"/>
      <c r="AQ17" s="85"/>
      <c r="AR17" s="85"/>
      <c r="AS17" s="85"/>
      <c r="AT17" s="85"/>
      <c r="AU17" s="85"/>
      <c r="AV17" s="85"/>
      <c r="AW17" s="85"/>
      <c r="AX17" s="85"/>
      <c r="AY17" s="85"/>
      <c r="AZ17" s="85"/>
      <c r="BA17" s="85"/>
      <c r="BB17" s="85"/>
      <c r="BC17" s="85"/>
      <c r="BD17" s="85"/>
      <c r="BE17" s="85"/>
      <c r="BF17" s="85"/>
      <c r="BG17" s="85"/>
      <c r="BH17" s="85"/>
      <c r="BI17" s="85"/>
      <c r="BJ17" s="85"/>
      <c r="BK17" s="85"/>
      <c r="BL17" s="85"/>
      <c r="BM17" s="85"/>
      <c r="BN17" s="85"/>
      <c r="BO17" s="85"/>
      <c r="BP17" s="85"/>
      <c r="BQ17" s="85"/>
      <c r="BR17" s="85"/>
      <c r="BS17" s="85"/>
      <c r="BT17" s="85"/>
      <c r="BU17" s="85"/>
      <c r="BV17" s="85"/>
      <c r="BW17" s="85"/>
      <c r="BX17" s="85"/>
      <c r="BY17" s="85"/>
      <c r="BZ17" s="85"/>
      <c r="CA17" s="85"/>
      <c r="CB17" s="85"/>
      <c r="CC17" s="85"/>
      <c r="CD17" s="85"/>
      <c r="CE17" s="85"/>
      <c r="CF17" s="85"/>
      <c r="CG17" s="85"/>
      <c r="CH17" s="85"/>
      <c r="CI17" s="85"/>
      <c r="CJ17" s="85"/>
      <c r="CK17" s="85"/>
      <c r="CL17" s="85"/>
      <c r="CM17" s="85"/>
      <c r="CN17" s="85"/>
      <c r="CO17" s="85"/>
      <c r="CP17" s="85"/>
      <c r="CQ17" s="85"/>
      <c r="CR17" s="85"/>
      <c r="CS17" s="85"/>
      <c r="CT17" s="85"/>
      <c r="CU17" s="85"/>
      <c r="CV17" s="85"/>
      <c r="CW17" s="85"/>
      <c r="CX17" s="85"/>
      <c r="CY17" s="84"/>
    </row>
    <row r="18" spans="1:103" ht="15">
      <c r="A18" s="93">
        <v>41913</v>
      </c>
      <c r="B18" s="82">
        <f t="shared" si="0"/>
        <v>2014</v>
      </c>
      <c r="C18" s="86">
        <v>2.3253870967741936</v>
      </c>
      <c r="D18" s="86">
        <v>21.498709677419356</v>
      </c>
      <c r="E18" s="86">
        <v>0.28533548387096774</v>
      </c>
      <c r="F18" s="86">
        <v>1.588483870967742</v>
      </c>
      <c r="G18" s="86">
        <v>3.6006451612903225</v>
      </c>
      <c r="H18" s="86">
        <v>5.1238709677419356</v>
      </c>
      <c r="I18" s="86">
        <f t="shared" si="1"/>
        <v>34.422432258064518</v>
      </c>
      <c r="J18" s="226"/>
      <c r="K18" s="90"/>
      <c r="L18" s="90"/>
      <c r="M18" s="90"/>
      <c r="N18" s="90"/>
      <c r="O18" s="90"/>
      <c r="P18" s="90"/>
      <c r="Q18" s="85"/>
      <c r="R18" s="85"/>
      <c r="S18" s="85"/>
      <c r="T18" s="85"/>
      <c r="U18" s="85"/>
      <c r="V18" s="85"/>
      <c r="W18" s="85"/>
      <c r="X18" s="85"/>
      <c r="Y18" s="85"/>
      <c r="Z18" s="85"/>
      <c r="AA18" s="85"/>
      <c r="AB18" s="85"/>
      <c r="AC18" s="85"/>
      <c r="AD18" s="85"/>
      <c r="AE18" s="85"/>
      <c r="AF18" s="85"/>
      <c r="AG18" s="85"/>
      <c r="AH18" s="85"/>
      <c r="AI18" s="85"/>
      <c r="AJ18" s="85"/>
      <c r="AK18" s="85"/>
      <c r="AL18" s="85"/>
      <c r="AM18" s="85"/>
      <c r="AN18" s="85"/>
      <c r="AO18" s="85"/>
      <c r="AP18" s="85"/>
      <c r="AQ18" s="85"/>
      <c r="AR18" s="85"/>
      <c r="AS18" s="85"/>
      <c r="AT18" s="85"/>
      <c r="AU18" s="85"/>
      <c r="AV18" s="85"/>
      <c r="AW18" s="85"/>
      <c r="AX18" s="85"/>
      <c r="AY18" s="85"/>
      <c r="AZ18" s="85"/>
      <c r="BA18" s="85"/>
      <c r="BB18" s="85"/>
      <c r="BC18" s="85"/>
      <c r="BD18" s="85"/>
      <c r="BE18" s="85"/>
      <c r="BF18" s="85"/>
      <c r="BG18" s="85"/>
      <c r="BH18" s="85"/>
      <c r="BI18" s="85"/>
      <c r="BJ18" s="85"/>
      <c r="BK18" s="85"/>
      <c r="BL18" s="85"/>
      <c r="BM18" s="85"/>
      <c r="BN18" s="85"/>
      <c r="BO18" s="85"/>
      <c r="BP18" s="85"/>
      <c r="BQ18" s="85"/>
      <c r="BR18" s="85"/>
      <c r="BS18" s="85"/>
      <c r="BT18" s="85"/>
      <c r="BU18" s="85"/>
      <c r="BV18" s="85"/>
      <c r="BW18" s="85"/>
      <c r="BX18" s="85"/>
      <c r="BY18" s="85"/>
      <c r="BZ18" s="85"/>
      <c r="CA18" s="85"/>
      <c r="CB18" s="85"/>
      <c r="CC18" s="85"/>
      <c r="CD18" s="85"/>
      <c r="CE18" s="85"/>
      <c r="CF18" s="85"/>
      <c r="CG18" s="85"/>
      <c r="CH18" s="85"/>
      <c r="CI18" s="85"/>
      <c r="CJ18" s="85"/>
      <c r="CK18" s="85"/>
      <c r="CL18" s="85"/>
      <c r="CM18" s="85"/>
      <c r="CN18" s="85"/>
      <c r="CO18" s="85"/>
      <c r="CP18" s="85"/>
      <c r="CQ18" s="85"/>
      <c r="CR18" s="85"/>
      <c r="CS18" s="85"/>
      <c r="CT18" s="85"/>
      <c r="CU18" s="85"/>
      <c r="CV18" s="85"/>
      <c r="CW18" s="85"/>
      <c r="CX18" s="85"/>
      <c r="CY18" s="84"/>
    </row>
    <row r="19" spans="1:103" ht="15">
      <c r="A19" s="93">
        <v>41944</v>
      </c>
      <c r="B19" s="82">
        <f t="shared" si="0"/>
        <v>2014</v>
      </c>
      <c r="C19" s="86">
        <v>1.7794666666666668</v>
      </c>
      <c r="D19" s="86">
        <v>18.677666666666667</v>
      </c>
      <c r="E19" s="86">
        <v>0.29029666666666665</v>
      </c>
      <c r="F19" s="86">
        <v>1.5911333333333333</v>
      </c>
      <c r="G19" s="86">
        <v>7.246666666666667</v>
      </c>
      <c r="H19" s="86">
        <v>14.229000000000001</v>
      </c>
      <c r="I19" s="86">
        <f t="shared" si="1"/>
        <v>43.814230000000002</v>
      </c>
      <c r="J19" s="226"/>
      <c r="K19" s="90"/>
      <c r="L19" s="90"/>
      <c r="M19" s="90"/>
      <c r="N19" s="90"/>
      <c r="O19" s="90"/>
      <c r="P19" s="90"/>
      <c r="Q19" s="85"/>
      <c r="R19" s="85"/>
      <c r="S19" s="85"/>
      <c r="T19" s="85"/>
      <c r="U19" s="85"/>
      <c r="V19" s="85"/>
      <c r="W19" s="85"/>
      <c r="X19" s="85"/>
      <c r="Y19" s="85"/>
      <c r="Z19" s="85"/>
      <c r="AA19" s="85"/>
      <c r="AB19" s="85"/>
      <c r="AC19" s="85"/>
      <c r="AD19" s="85"/>
      <c r="AE19" s="85"/>
      <c r="AF19" s="85"/>
      <c r="AG19" s="85"/>
      <c r="AH19" s="85"/>
      <c r="AI19" s="85"/>
      <c r="AJ19" s="85"/>
      <c r="AK19" s="85"/>
      <c r="AL19" s="85"/>
      <c r="AM19" s="85"/>
      <c r="AN19" s="85"/>
      <c r="AO19" s="85"/>
      <c r="AP19" s="85"/>
      <c r="AQ19" s="85"/>
      <c r="AR19" s="85"/>
      <c r="AS19" s="85"/>
      <c r="AT19" s="85"/>
      <c r="AU19" s="85"/>
      <c r="AV19" s="85"/>
      <c r="AW19" s="85"/>
      <c r="AX19" s="85"/>
      <c r="AY19" s="85"/>
      <c r="AZ19" s="85"/>
      <c r="BA19" s="85"/>
      <c r="BB19" s="85"/>
      <c r="BC19" s="85"/>
      <c r="BD19" s="85"/>
      <c r="BE19" s="85"/>
      <c r="BF19" s="85"/>
      <c r="BG19" s="85"/>
      <c r="BH19" s="85"/>
      <c r="BI19" s="85"/>
      <c r="BJ19" s="85"/>
      <c r="BK19" s="85"/>
      <c r="BL19" s="85"/>
      <c r="BM19" s="85"/>
      <c r="BN19" s="85"/>
      <c r="BO19" s="85"/>
      <c r="BP19" s="85"/>
      <c r="BQ19" s="85"/>
      <c r="BR19" s="85"/>
      <c r="BS19" s="85"/>
      <c r="BT19" s="85"/>
      <c r="BU19" s="85"/>
      <c r="BV19" s="85"/>
      <c r="BW19" s="85"/>
      <c r="BX19" s="85"/>
      <c r="BY19" s="85"/>
      <c r="BZ19" s="85"/>
      <c r="CA19" s="85"/>
      <c r="CB19" s="85"/>
      <c r="CC19" s="85"/>
      <c r="CD19" s="85"/>
      <c r="CE19" s="85"/>
      <c r="CF19" s="85"/>
      <c r="CG19" s="85"/>
      <c r="CH19" s="85"/>
      <c r="CI19" s="85"/>
      <c r="CJ19" s="85"/>
      <c r="CK19" s="85"/>
      <c r="CL19" s="85"/>
      <c r="CM19" s="85"/>
      <c r="CN19" s="85"/>
      <c r="CO19" s="85"/>
      <c r="CP19" s="85"/>
      <c r="CQ19" s="85"/>
      <c r="CR19" s="85"/>
      <c r="CS19" s="85"/>
      <c r="CT19" s="85"/>
      <c r="CU19" s="85"/>
      <c r="CV19" s="85"/>
      <c r="CW19" s="85"/>
      <c r="CX19" s="85"/>
      <c r="CY19" s="84"/>
    </row>
    <row r="20" spans="1:103" ht="15">
      <c r="A20" s="93">
        <v>41974</v>
      </c>
      <c r="B20" s="82">
        <f t="shared" si="0"/>
        <v>2014</v>
      </c>
      <c r="C20" s="86">
        <v>2.9770645161290323</v>
      </c>
      <c r="D20" s="86">
        <v>19.325806451612905</v>
      </c>
      <c r="E20" s="86">
        <v>0.28889999999999999</v>
      </c>
      <c r="F20" s="86">
        <v>1.5130322580645161</v>
      </c>
      <c r="G20" s="86">
        <v>7.4538709677419357</v>
      </c>
      <c r="H20" s="86">
        <v>14.800645161290323</v>
      </c>
      <c r="I20" s="86">
        <f t="shared" si="1"/>
        <v>46.359319354838718</v>
      </c>
      <c r="J20" s="226"/>
      <c r="K20" s="90"/>
      <c r="L20" s="90"/>
      <c r="M20" s="90"/>
      <c r="N20" s="90"/>
      <c r="O20" s="90"/>
      <c r="P20" s="90"/>
      <c r="Q20" s="85"/>
      <c r="R20" s="85"/>
      <c r="S20" s="85"/>
      <c r="T20" s="85"/>
      <c r="U20" s="85"/>
      <c r="V20" s="85"/>
      <c r="W20" s="85"/>
      <c r="X20" s="85"/>
      <c r="Y20" s="85"/>
      <c r="Z20" s="85"/>
      <c r="AA20" s="85"/>
      <c r="AB20" s="85"/>
      <c r="AC20" s="85"/>
      <c r="AD20" s="85"/>
      <c r="AE20" s="85"/>
      <c r="AF20" s="85"/>
      <c r="AG20" s="85"/>
      <c r="AH20" s="85"/>
      <c r="AI20" s="85"/>
      <c r="AJ20" s="85"/>
      <c r="AK20" s="85"/>
      <c r="AL20" s="85"/>
      <c r="AM20" s="85"/>
      <c r="AN20" s="85"/>
      <c r="AO20" s="85"/>
      <c r="AP20" s="85"/>
      <c r="AQ20" s="85"/>
      <c r="AR20" s="85"/>
      <c r="AS20" s="85"/>
      <c r="AT20" s="85"/>
      <c r="AU20" s="85"/>
      <c r="AV20" s="85"/>
      <c r="AW20" s="85"/>
      <c r="AX20" s="85"/>
      <c r="AY20" s="85"/>
      <c r="AZ20" s="85"/>
      <c r="BA20" s="85"/>
      <c r="BB20" s="85"/>
      <c r="BC20" s="85"/>
      <c r="BD20" s="85"/>
      <c r="BE20" s="85"/>
      <c r="BF20" s="85"/>
      <c r="BG20" s="85"/>
      <c r="BH20" s="85"/>
      <c r="BI20" s="85"/>
      <c r="BJ20" s="85"/>
      <c r="BK20" s="85"/>
      <c r="BL20" s="85"/>
      <c r="BM20" s="85"/>
      <c r="BN20" s="85"/>
      <c r="BO20" s="85"/>
      <c r="BP20" s="85"/>
      <c r="BQ20" s="85"/>
      <c r="BR20" s="85"/>
      <c r="BS20" s="85"/>
      <c r="BT20" s="85"/>
      <c r="BU20" s="85"/>
      <c r="BV20" s="85"/>
      <c r="BW20" s="85"/>
      <c r="BX20" s="85"/>
      <c r="BY20" s="85"/>
      <c r="BZ20" s="85"/>
      <c r="CA20" s="85"/>
      <c r="CB20" s="85"/>
      <c r="CC20" s="85"/>
      <c r="CD20" s="85"/>
      <c r="CE20" s="85"/>
      <c r="CF20" s="85"/>
      <c r="CG20" s="85"/>
      <c r="CH20" s="85"/>
      <c r="CI20" s="85"/>
      <c r="CJ20" s="85"/>
      <c r="CK20" s="85"/>
      <c r="CL20" s="85"/>
      <c r="CM20" s="85"/>
      <c r="CN20" s="85"/>
      <c r="CO20" s="85"/>
      <c r="CP20" s="85"/>
      <c r="CQ20" s="85"/>
      <c r="CR20" s="85"/>
      <c r="CS20" s="85"/>
      <c r="CT20" s="85"/>
      <c r="CU20" s="85"/>
      <c r="CV20" s="85"/>
      <c r="CW20" s="85"/>
      <c r="CX20" s="85"/>
      <c r="CY20" s="84"/>
    </row>
    <row r="21" spans="1:103" ht="15">
      <c r="A21" s="93">
        <v>42005</v>
      </c>
      <c r="B21" s="82">
        <f t="shared" si="0"/>
        <v>2015</v>
      </c>
      <c r="C21" s="86">
        <v>2.0008387096774194</v>
      </c>
      <c r="D21" s="86">
        <v>18.541935483870965</v>
      </c>
      <c r="E21" s="86">
        <v>0.29300322580645161</v>
      </c>
      <c r="F21" s="86">
        <v>1.323</v>
      </c>
      <c r="G21" s="86">
        <v>7.339032258064516</v>
      </c>
      <c r="H21" s="86">
        <v>15.03483870967742</v>
      </c>
      <c r="I21" s="86">
        <f t="shared" si="1"/>
        <v>44.532648387096771</v>
      </c>
      <c r="J21"/>
      <c r="K21"/>
      <c r="L21"/>
      <c r="M21" s="85"/>
      <c r="N21" s="85"/>
      <c r="O21" s="85"/>
      <c r="P21" s="85"/>
      <c r="Q21" s="85"/>
      <c r="R21" s="85"/>
      <c r="S21" s="85"/>
      <c r="T21" s="85"/>
      <c r="U21" s="85"/>
      <c r="V21" s="85"/>
      <c r="W21" s="85"/>
      <c r="X21" s="85"/>
      <c r="Y21" s="85"/>
      <c r="Z21" s="85"/>
      <c r="AA21" s="85"/>
      <c r="AB21" s="85"/>
      <c r="AC21" s="85"/>
      <c r="AD21" s="85"/>
      <c r="AE21" s="85"/>
      <c r="AF21" s="85"/>
      <c r="AG21" s="85"/>
      <c r="AH21" s="85"/>
      <c r="AI21" s="85"/>
      <c r="AJ21" s="85"/>
      <c r="AK21" s="85"/>
      <c r="AL21" s="85"/>
      <c r="AM21" s="85"/>
      <c r="AN21" s="85"/>
      <c r="AO21" s="85"/>
      <c r="AP21" s="85"/>
      <c r="AQ21" s="85"/>
      <c r="AR21" s="85"/>
      <c r="AS21" s="85"/>
      <c r="AT21" s="85"/>
      <c r="AU21" s="85"/>
      <c r="AV21" s="85"/>
      <c r="AW21" s="85"/>
      <c r="AX21" s="85"/>
      <c r="AY21" s="85"/>
      <c r="AZ21" s="85"/>
      <c r="BA21" s="85"/>
      <c r="BB21" s="85"/>
      <c r="BC21" s="85"/>
      <c r="BD21" s="85"/>
      <c r="BE21" s="85"/>
      <c r="BF21" s="85"/>
      <c r="BG21" s="85"/>
      <c r="BH21" s="85"/>
      <c r="BI21" s="85"/>
      <c r="BJ21" s="85"/>
      <c r="BK21" s="85"/>
      <c r="BL21" s="85"/>
      <c r="BM21" s="85"/>
      <c r="BN21" s="85"/>
      <c r="BO21" s="85"/>
      <c r="BP21" s="85"/>
      <c r="BQ21" s="85"/>
      <c r="BR21" s="85"/>
      <c r="BS21" s="85"/>
      <c r="BT21" s="85"/>
      <c r="BU21" s="85"/>
      <c r="BV21" s="85"/>
      <c r="BW21" s="85"/>
      <c r="BX21" s="85"/>
      <c r="BY21" s="85"/>
      <c r="BZ21" s="85"/>
      <c r="CA21" s="85"/>
      <c r="CB21" s="85"/>
      <c r="CC21" s="85"/>
      <c r="CD21" s="85"/>
      <c r="CE21" s="85"/>
      <c r="CF21" s="85"/>
      <c r="CG21" s="85"/>
      <c r="CH21" s="85"/>
      <c r="CI21" s="85"/>
      <c r="CJ21" s="85"/>
      <c r="CK21" s="85"/>
      <c r="CL21" s="85"/>
      <c r="CM21" s="85"/>
      <c r="CN21" s="85"/>
      <c r="CO21" s="85"/>
      <c r="CP21" s="85"/>
      <c r="CQ21" s="85"/>
      <c r="CR21" s="85"/>
      <c r="CS21" s="85"/>
      <c r="CT21" s="85"/>
      <c r="CU21" s="85"/>
      <c r="CV21" s="85"/>
      <c r="CW21" s="85"/>
      <c r="CX21" s="85"/>
      <c r="CY21" s="84"/>
    </row>
    <row r="22" spans="1:103" ht="15">
      <c r="A22" s="93">
        <v>42036</v>
      </c>
      <c r="B22" s="82">
        <f t="shared" si="0"/>
        <v>2015</v>
      </c>
      <c r="C22" s="86">
        <v>1.87025</v>
      </c>
      <c r="D22" s="86">
        <v>18.511071428571427</v>
      </c>
      <c r="E22" s="86">
        <v>0.29218214285714289</v>
      </c>
      <c r="F22" s="86">
        <v>1.3230714285714285</v>
      </c>
      <c r="G22" s="86">
        <v>6.6303571428571431</v>
      </c>
      <c r="H22" s="86">
        <v>13.065357142857142</v>
      </c>
      <c r="I22" s="86">
        <f t="shared" si="1"/>
        <v>41.692289285714281</v>
      </c>
      <c r="J22"/>
      <c r="K22"/>
      <c r="L22"/>
      <c r="M22" s="85"/>
      <c r="N22" s="85"/>
      <c r="O22" s="85"/>
      <c r="P22" s="85"/>
      <c r="Q22" s="85"/>
      <c r="R22" s="85"/>
      <c r="S22" s="85"/>
      <c r="T22" s="85"/>
      <c r="U22" s="85"/>
      <c r="V22" s="85"/>
      <c r="W22" s="85"/>
      <c r="X22" s="85"/>
      <c r="Y22" s="85"/>
      <c r="Z22" s="85"/>
      <c r="AA22" s="85"/>
      <c r="AB22" s="85"/>
      <c r="AC22" s="85"/>
      <c r="AD22" s="85"/>
      <c r="AE22" s="85"/>
      <c r="AF22" s="85"/>
      <c r="AG22" s="85"/>
      <c r="AH22" s="85"/>
      <c r="AI22" s="85"/>
      <c r="AJ22" s="85"/>
      <c r="AK22" s="85"/>
      <c r="AL22" s="85"/>
      <c r="AM22" s="85"/>
      <c r="AN22" s="85"/>
      <c r="AO22" s="85"/>
      <c r="AP22" s="85"/>
      <c r="AQ22" s="85"/>
      <c r="AR22" s="85"/>
      <c r="AS22" s="85"/>
      <c r="AT22" s="85"/>
      <c r="AU22" s="85"/>
      <c r="AV22" s="85"/>
      <c r="AW22" s="85"/>
      <c r="AX22" s="85"/>
      <c r="AY22" s="85"/>
      <c r="AZ22" s="85"/>
      <c r="BA22" s="85"/>
      <c r="BB22" s="85"/>
      <c r="BC22" s="85"/>
      <c r="BD22" s="85"/>
      <c r="BE22" s="85"/>
      <c r="BF22" s="85"/>
      <c r="BG22" s="85"/>
      <c r="BH22" s="85"/>
      <c r="BI22" s="85"/>
      <c r="BJ22" s="85"/>
      <c r="BK22" s="85"/>
      <c r="BL22" s="85"/>
      <c r="BM22" s="85"/>
      <c r="BN22" s="85"/>
      <c r="BO22" s="85"/>
      <c r="BP22" s="85"/>
      <c r="BQ22" s="85"/>
      <c r="BR22" s="85"/>
      <c r="BS22" s="85"/>
      <c r="BT22" s="85"/>
      <c r="BU22" s="85"/>
      <c r="BV22" s="85"/>
      <c r="BW22" s="85"/>
      <c r="BX22" s="85"/>
      <c r="BY22" s="85"/>
      <c r="BZ22" s="85"/>
      <c r="CA22" s="85"/>
      <c r="CB22" s="85"/>
      <c r="CC22" s="85"/>
      <c r="CD22" s="85"/>
      <c r="CE22" s="85"/>
      <c r="CF22" s="85"/>
      <c r="CG22" s="85"/>
      <c r="CH22" s="85"/>
      <c r="CI22" s="85"/>
      <c r="CJ22" s="85"/>
      <c r="CK22" s="85"/>
      <c r="CL22" s="85"/>
      <c r="CM22" s="85"/>
      <c r="CN22" s="85"/>
      <c r="CO22" s="85"/>
      <c r="CP22" s="85"/>
      <c r="CQ22" s="85"/>
      <c r="CR22" s="85"/>
      <c r="CS22" s="85"/>
      <c r="CT22" s="85"/>
      <c r="CU22" s="85"/>
      <c r="CV22" s="85"/>
      <c r="CW22" s="85"/>
      <c r="CX22" s="85"/>
      <c r="CY22" s="84"/>
    </row>
    <row r="23" spans="1:103" ht="15">
      <c r="A23" s="93">
        <v>42064</v>
      </c>
      <c r="B23" s="82">
        <f t="shared" si="0"/>
        <v>2015</v>
      </c>
      <c r="C23" s="86">
        <v>1.691483870967742</v>
      </c>
      <c r="D23" s="86">
        <v>18.955483870967743</v>
      </c>
      <c r="E23" s="86">
        <v>0.29490967741935487</v>
      </c>
      <c r="F23" s="86">
        <v>1.4493548387096775</v>
      </c>
      <c r="G23" s="86">
        <v>6.6335483870967735</v>
      </c>
      <c r="H23" s="86">
        <v>10.909677419354839</v>
      </c>
      <c r="I23" s="86">
        <f t="shared" si="1"/>
        <v>39.934458064516129</v>
      </c>
      <c r="J23"/>
      <c r="K23"/>
      <c r="L23"/>
      <c r="M23" s="85"/>
      <c r="N23" s="85"/>
      <c r="O23" s="85"/>
      <c r="P23" s="85"/>
      <c r="Q23" s="85"/>
      <c r="R23" s="85"/>
      <c r="S23" s="85"/>
      <c r="T23" s="85"/>
      <c r="U23" s="85"/>
      <c r="V23" s="85"/>
      <c r="W23" s="85"/>
      <c r="X23" s="85"/>
      <c r="Y23" s="85"/>
      <c r="Z23" s="85"/>
      <c r="AA23" s="85"/>
      <c r="AB23" s="85"/>
      <c r="AC23" s="85"/>
      <c r="AD23" s="85"/>
      <c r="AE23" s="85"/>
      <c r="AF23" s="85"/>
      <c r="AG23" s="85"/>
      <c r="AH23" s="85"/>
      <c r="AI23" s="85"/>
      <c r="AJ23" s="85"/>
      <c r="AK23" s="85"/>
      <c r="AL23" s="85"/>
      <c r="AM23" s="85"/>
      <c r="AN23" s="85"/>
      <c r="AO23" s="85"/>
      <c r="AP23" s="85"/>
      <c r="AQ23" s="85"/>
      <c r="AR23" s="85"/>
      <c r="AS23" s="85"/>
      <c r="AT23" s="85"/>
      <c r="AU23" s="85"/>
      <c r="AV23" s="85"/>
      <c r="AW23" s="85"/>
      <c r="AX23" s="85"/>
      <c r="AY23" s="85"/>
      <c r="AZ23" s="85"/>
      <c r="BA23" s="85"/>
      <c r="BB23" s="85"/>
      <c r="BC23" s="85"/>
      <c r="BD23" s="85"/>
      <c r="BE23" s="85"/>
      <c r="BF23" s="85"/>
      <c r="BG23" s="85"/>
      <c r="BH23" s="85"/>
      <c r="BI23" s="85"/>
      <c r="BJ23" s="85"/>
      <c r="BK23" s="85"/>
      <c r="BL23" s="85"/>
      <c r="BM23" s="85"/>
      <c r="BN23" s="85"/>
      <c r="BO23" s="85"/>
      <c r="BP23" s="85"/>
      <c r="BQ23" s="85"/>
      <c r="BR23" s="85"/>
      <c r="BS23" s="85"/>
      <c r="BT23" s="85"/>
      <c r="BU23" s="85"/>
      <c r="BV23" s="85"/>
      <c r="BW23" s="85"/>
      <c r="BX23" s="85"/>
      <c r="BY23" s="85"/>
      <c r="BZ23" s="85"/>
      <c r="CA23" s="85"/>
      <c r="CB23" s="85"/>
      <c r="CC23" s="85"/>
      <c r="CD23" s="85"/>
      <c r="CE23" s="85"/>
      <c r="CF23" s="85"/>
      <c r="CG23" s="85"/>
      <c r="CH23" s="85"/>
      <c r="CI23" s="85"/>
      <c r="CJ23" s="85"/>
      <c r="CK23" s="85"/>
      <c r="CL23" s="85"/>
      <c r="CM23" s="85"/>
      <c r="CN23" s="85"/>
      <c r="CO23" s="85"/>
      <c r="CP23" s="85"/>
      <c r="CQ23" s="85"/>
      <c r="CR23" s="85"/>
      <c r="CS23" s="85"/>
      <c r="CT23" s="85"/>
      <c r="CU23" s="85"/>
      <c r="CV23" s="85"/>
      <c r="CW23" s="85"/>
      <c r="CX23" s="85"/>
      <c r="CY23" s="84"/>
    </row>
    <row r="24" spans="1:103" ht="15">
      <c r="A24" s="93">
        <v>42095</v>
      </c>
      <c r="B24" s="82">
        <f t="shared" si="0"/>
        <v>2015</v>
      </c>
      <c r="C24" s="86">
        <v>1.5874666666666668</v>
      </c>
      <c r="D24" s="86">
        <v>20.279999999999998</v>
      </c>
      <c r="E24" s="86">
        <v>0.29420000000000002</v>
      </c>
      <c r="F24" s="86">
        <v>1.5398000000000001</v>
      </c>
      <c r="G24" s="86">
        <v>6.1416666666666666</v>
      </c>
      <c r="H24" s="86">
        <v>14.227666666666666</v>
      </c>
      <c r="I24" s="86">
        <f t="shared" si="1"/>
        <v>44.070799999999998</v>
      </c>
      <c r="J24"/>
      <c r="K24"/>
      <c r="L24"/>
      <c r="M24" s="85"/>
      <c r="N24" s="85"/>
      <c r="O24" s="85"/>
      <c r="P24" s="85"/>
      <c r="Q24" s="85"/>
      <c r="R24" s="85"/>
      <c r="S24" s="85"/>
      <c r="T24" s="85"/>
      <c r="U24" s="85"/>
      <c r="V24" s="85"/>
      <c r="W24" s="85"/>
      <c r="X24" s="85"/>
      <c r="Y24" s="85"/>
      <c r="Z24" s="85"/>
      <c r="AA24" s="85"/>
      <c r="AB24" s="85"/>
      <c r="AC24" s="85"/>
      <c r="AD24" s="85"/>
      <c r="AE24" s="85"/>
      <c r="AF24" s="85"/>
      <c r="AG24" s="85"/>
      <c r="AH24" s="85"/>
      <c r="AI24" s="85"/>
      <c r="AJ24" s="85"/>
      <c r="AK24" s="85"/>
      <c r="AL24" s="85"/>
      <c r="AM24" s="85"/>
      <c r="AN24" s="85"/>
      <c r="AO24" s="85"/>
      <c r="AP24" s="85"/>
      <c r="AQ24" s="85"/>
      <c r="AR24" s="85"/>
      <c r="AS24" s="85"/>
      <c r="AT24" s="85"/>
      <c r="AU24" s="85"/>
      <c r="AV24" s="85"/>
      <c r="AW24" s="85"/>
      <c r="AX24" s="85"/>
      <c r="AY24" s="85"/>
      <c r="AZ24" s="85"/>
      <c r="BA24" s="85"/>
      <c r="BB24" s="85"/>
      <c r="BC24" s="85"/>
      <c r="BD24" s="85"/>
      <c r="BE24" s="85"/>
      <c r="BF24" s="85"/>
      <c r="BG24" s="85"/>
      <c r="BH24" s="85"/>
      <c r="BI24" s="85"/>
      <c r="BJ24" s="85"/>
      <c r="BK24" s="85"/>
      <c r="BL24" s="85"/>
      <c r="BM24" s="85"/>
      <c r="BN24" s="85"/>
      <c r="BO24" s="85"/>
      <c r="BP24" s="85"/>
      <c r="BQ24" s="85"/>
      <c r="BR24" s="85"/>
      <c r="BS24" s="85"/>
      <c r="BT24" s="85"/>
      <c r="BU24" s="85"/>
      <c r="BV24" s="85"/>
      <c r="BW24" s="85"/>
      <c r="BX24" s="85"/>
      <c r="BY24" s="85"/>
      <c r="BZ24" s="85"/>
      <c r="CA24" s="85"/>
      <c r="CB24" s="85"/>
      <c r="CC24" s="85"/>
      <c r="CD24" s="85"/>
      <c r="CE24" s="85"/>
      <c r="CF24" s="85"/>
      <c r="CG24" s="85"/>
      <c r="CH24" s="85"/>
      <c r="CI24" s="85"/>
      <c r="CJ24" s="85"/>
      <c r="CK24" s="85"/>
      <c r="CL24" s="85"/>
      <c r="CM24" s="85"/>
      <c r="CN24" s="85"/>
      <c r="CO24" s="85"/>
      <c r="CP24" s="85"/>
      <c r="CQ24" s="85"/>
      <c r="CR24" s="85"/>
      <c r="CS24" s="85"/>
      <c r="CT24" s="85"/>
      <c r="CU24" s="85"/>
      <c r="CV24" s="85"/>
      <c r="CW24" s="85"/>
      <c r="CX24" s="85"/>
      <c r="CY24" s="84"/>
    </row>
    <row r="25" spans="1:103" ht="15">
      <c r="A25" s="93">
        <v>42125</v>
      </c>
      <c r="B25" s="82">
        <f t="shared" si="0"/>
        <v>2015</v>
      </c>
      <c r="C25" s="86">
        <v>1.8351290322580647</v>
      </c>
      <c r="D25" s="86">
        <v>19.410967741935483</v>
      </c>
      <c r="E25" s="86">
        <v>0.29502903225806448</v>
      </c>
      <c r="F25" s="86">
        <v>1.6289354838709678</v>
      </c>
      <c r="G25" s="86">
        <v>6.0367741935483865</v>
      </c>
      <c r="H25" s="86">
        <v>14.320645161290322</v>
      </c>
      <c r="I25" s="86">
        <f t="shared" si="1"/>
        <v>43.52748064516129</v>
      </c>
      <c r="J25"/>
      <c r="K25"/>
      <c r="L25"/>
      <c r="M25" s="85"/>
      <c r="N25" s="85"/>
      <c r="O25" s="85"/>
      <c r="P25" s="85"/>
      <c r="Q25" s="85"/>
      <c r="R25" s="85"/>
      <c r="S25" s="85"/>
      <c r="T25" s="85"/>
      <c r="U25" s="85"/>
      <c r="V25" s="85"/>
      <c r="W25" s="85"/>
      <c r="X25" s="85"/>
      <c r="Y25" s="85"/>
      <c r="Z25" s="85"/>
      <c r="AA25" s="85"/>
      <c r="AB25" s="85"/>
      <c r="AC25" s="85"/>
      <c r="AD25" s="85"/>
      <c r="AE25" s="85"/>
      <c r="AF25" s="85"/>
      <c r="AG25" s="85"/>
      <c r="AH25" s="85"/>
      <c r="AI25" s="85"/>
      <c r="AJ25" s="85"/>
      <c r="AK25" s="85"/>
      <c r="AL25" s="85"/>
      <c r="AM25" s="85"/>
      <c r="AN25" s="85"/>
      <c r="AO25" s="85"/>
      <c r="AP25" s="85"/>
      <c r="AQ25" s="85"/>
      <c r="AR25" s="85"/>
      <c r="AS25" s="85"/>
      <c r="AT25" s="85"/>
      <c r="AU25" s="85"/>
      <c r="AV25" s="85"/>
      <c r="AW25" s="85"/>
      <c r="AX25" s="85"/>
      <c r="AY25" s="85"/>
      <c r="AZ25" s="85"/>
      <c r="BA25" s="85"/>
      <c r="BB25" s="85"/>
      <c r="BC25" s="85"/>
      <c r="BD25" s="85"/>
      <c r="BE25" s="85"/>
      <c r="BF25" s="85"/>
      <c r="BG25" s="85"/>
      <c r="BH25" s="85"/>
      <c r="BI25" s="85"/>
      <c r="BJ25" s="85"/>
      <c r="BK25" s="85"/>
      <c r="BL25" s="85"/>
      <c r="BM25" s="85"/>
      <c r="BN25" s="85"/>
      <c r="BO25" s="85"/>
      <c r="BP25" s="85"/>
      <c r="BQ25" s="85"/>
      <c r="BR25" s="85"/>
      <c r="BS25" s="85"/>
      <c r="BT25" s="85"/>
      <c r="BU25" s="85"/>
      <c r="BV25" s="85"/>
      <c r="BW25" s="85"/>
      <c r="BX25" s="85"/>
      <c r="BY25" s="85"/>
      <c r="BZ25" s="85"/>
      <c r="CA25" s="85"/>
      <c r="CB25" s="85"/>
      <c r="CC25" s="85"/>
      <c r="CD25" s="85"/>
      <c r="CE25" s="85"/>
      <c r="CF25" s="85"/>
      <c r="CG25" s="85"/>
      <c r="CH25" s="85"/>
      <c r="CI25" s="85"/>
      <c r="CJ25" s="85"/>
      <c r="CK25" s="85"/>
      <c r="CL25" s="85"/>
      <c r="CM25" s="85"/>
      <c r="CN25" s="85"/>
      <c r="CO25" s="85"/>
      <c r="CP25" s="85"/>
      <c r="CQ25" s="85"/>
      <c r="CR25" s="85"/>
      <c r="CS25" s="85"/>
      <c r="CT25" s="85"/>
      <c r="CU25" s="85"/>
      <c r="CV25" s="85"/>
      <c r="CW25" s="85"/>
      <c r="CX25" s="85"/>
      <c r="CY25" s="84"/>
    </row>
    <row r="26" spans="1:103">
      <c r="A26" s="93">
        <v>42156</v>
      </c>
      <c r="B26" s="82">
        <f t="shared" si="0"/>
        <v>2015</v>
      </c>
      <c r="C26" s="86">
        <v>2.6929000000000003</v>
      </c>
      <c r="D26" s="86">
        <v>15.655333333333335</v>
      </c>
      <c r="E26" s="86">
        <v>0.28309333333333336</v>
      </c>
      <c r="F26" s="86">
        <v>1.6090333333333333</v>
      </c>
      <c r="G26" s="86">
        <v>6.7926666666666664</v>
      </c>
      <c r="H26" s="86">
        <v>13.046333333333333</v>
      </c>
      <c r="I26" s="86">
        <f t="shared" si="1"/>
        <v>40.079360000000001</v>
      </c>
      <c r="J26" s="85"/>
      <c r="K26" s="85"/>
      <c r="L26" s="85"/>
      <c r="M26" s="85"/>
      <c r="N26" s="85"/>
      <c r="O26" s="85"/>
      <c r="P26" s="85"/>
      <c r="Q26" s="85"/>
      <c r="R26" s="85"/>
      <c r="S26" s="85"/>
      <c r="T26" s="85"/>
      <c r="U26" s="85"/>
      <c r="V26" s="85"/>
      <c r="W26" s="85"/>
      <c r="X26" s="85"/>
      <c r="Y26" s="85"/>
      <c r="Z26" s="85"/>
      <c r="AA26" s="85"/>
      <c r="AB26" s="85"/>
      <c r="AC26" s="85"/>
      <c r="AD26" s="85"/>
      <c r="AE26" s="85"/>
      <c r="AF26" s="85"/>
      <c r="AG26" s="85"/>
      <c r="AH26" s="85"/>
      <c r="AI26" s="85"/>
      <c r="AJ26" s="85"/>
      <c r="AK26" s="85"/>
      <c r="AL26" s="85"/>
      <c r="AM26" s="85"/>
      <c r="AN26" s="85"/>
      <c r="AO26" s="85"/>
      <c r="AP26" s="85"/>
      <c r="AQ26" s="85"/>
      <c r="AR26" s="85"/>
      <c r="AS26" s="85"/>
      <c r="AT26" s="85"/>
      <c r="AU26" s="85"/>
      <c r="AV26" s="85"/>
      <c r="AW26" s="85"/>
      <c r="AX26" s="85"/>
      <c r="AY26" s="85"/>
      <c r="AZ26" s="85"/>
      <c r="BA26" s="85"/>
      <c r="BB26" s="85"/>
      <c r="BC26" s="85"/>
      <c r="BD26" s="85"/>
      <c r="BE26" s="85"/>
      <c r="BF26" s="85"/>
      <c r="BG26" s="85"/>
      <c r="BH26" s="85"/>
      <c r="BI26" s="85"/>
      <c r="BJ26" s="85"/>
      <c r="BK26" s="85"/>
      <c r="BL26" s="85"/>
      <c r="BM26" s="85"/>
      <c r="BN26" s="85"/>
      <c r="BO26" s="85"/>
      <c r="BP26" s="85"/>
      <c r="BQ26" s="85"/>
      <c r="BR26" s="85"/>
      <c r="BS26" s="85"/>
      <c r="BT26" s="85"/>
      <c r="BU26" s="85"/>
      <c r="BV26" s="85"/>
      <c r="BW26" s="85"/>
      <c r="BX26" s="85"/>
      <c r="BY26" s="85"/>
      <c r="BZ26" s="85"/>
      <c r="CA26" s="85"/>
      <c r="CB26" s="85"/>
      <c r="CC26" s="85"/>
      <c r="CD26" s="85"/>
      <c r="CE26" s="85"/>
      <c r="CF26" s="85"/>
      <c r="CG26" s="85"/>
      <c r="CH26" s="85"/>
      <c r="CI26" s="85"/>
      <c r="CJ26" s="85"/>
      <c r="CK26" s="85"/>
      <c r="CL26" s="85"/>
      <c r="CM26" s="85"/>
      <c r="CN26" s="85"/>
      <c r="CO26" s="85"/>
      <c r="CP26" s="85"/>
      <c r="CQ26" s="85"/>
      <c r="CR26" s="85"/>
      <c r="CS26" s="85"/>
      <c r="CT26" s="85"/>
      <c r="CU26" s="85"/>
      <c r="CV26" s="85"/>
      <c r="CW26" s="85"/>
      <c r="CX26" s="85"/>
      <c r="CY26" s="84"/>
    </row>
    <row r="27" spans="1:103">
      <c r="A27" s="93">
        <v>42186</v>
      </c>
      <c r="B27" s="82">
        <f t="shared" si="0"/>
        <v>2015</v>
      </c>
      <c r="C27" s="86">
        <v>2.5399032258064516</v>
      </c>
      <c r="D27" s="86">
        <v>17.257096774193549</v>
      </c>
      <c r="E27" s="86">
        <v>0.28068387096774194</v>
      </c>
      <c r="F27" s="86">
        <v>1.5966774193548388</v>
      </c>
      <c r="G27" s="86">
        <v>3.9616129032258067</v>
      </c>
      <c r="H27" s="86">
        <v>12.461612903225806</v>
      </c>
      <c r="I27" s="86">
        <f t="shared" si="1"/>
        <v>38.097587096774191</v>
      </c>
      <c r="J27" s="85"/>
      <c r="K27" s="85"/>
      <c r="L27" s="85"/>
      <c r="M27" s="85"/>
      <c r="N27" s="85"/>
      <c r="O27" s="85"/>
      <c r="P27" s="85"/>
      <c r="Q27" s="85"/>
      <c r="R27" s="85"/>
      <c r="S27" s="85"/>
      <c r="T27" s="85"/>
      <c r="U27" s="85"/>
      <c r="V27" s="85"/>
      <c r="W27" s="85"/>
      <c r="X27" s="85"/>
      <c r="Y27" s="85"/>
      <c r="Z27" s="85"/>
      <c r="AA27" s="85"/>
      <c r="AB27" s="85"/>
      <c r="AC27" s="85"/>
      <c r="AD27" s="85"/>
      <c r="AE27" s="85"/>
      <c r="AF27" s="85"/>
      <c r="AG27" s="85"/>
      <c r="AH27" s="85"/>
      <c r="AI27" s="85"/>
      <c r="AJ27" s="85"/>
      <c r="AK27" s="85"/>
      <c r="AL27" s="85"/>
      <c r="AM27" s="85"/>
      <c r="AN27" s="85"/>
      <c r="AO27" s="85"/>
      <c r="AP27" s="85"/>
      <c r="AQ27" s="85"/>
      <c r="AR27" s="85"/>
      <c r="AS27" s="85"/>
      <c r="AT27" s="85"/>
      <c r="AU27" s="85"/>
      <c r="AV27" s="85"/>
      <c r="AW27" s="85"/>
      <c r="AX27" s="85"/>
      <c r="AY27" s="85"/>
      <c r="AZ27" s="85"/>
      <c r="BA27" s="85"/>
      <c r="BB27" s="85"/>
      <c r="BC27" s="85"/>
      <c r="BD27" s="85"/>
      <c r="BE27" s="85"/>
      <c r="BF27" s="85"/>
      <c r="BG27" s="85"/>
      <c r="BH27" s="85"/>
      <c r="BI27" s="85"/>
      <c r="BJ27" s="85"/>
      <c r="BK27" s="85"/>
      <c r="BL27" s="85"/>
      <c r="BM27" s="85"/>
      <c r="BN27" s="85"/>
      <c r="BO27" s="85"/>
      <c r="BP27" s="85"/>
      <c r="BQ27" s="85"/>
      <c r="BR27" s="85"/>
      <c r="BS27" s="85"/>
      <c r="BT27" s="85"/>
      <c r="BU27" s="85"/>
      <c r="BV27" s="85"/>
      <c r="BW27" s="85"/>
      <c r="BX27" s="85"/>
      <c r="BY27" s="85"/>
      <c r="BZ27" s="85"/>
      <c r="CA27" s="85"/>
      <c r="CB27" s="85"/>
      <c r="CC27" s="85"/>
      <c r="CD27" s="85"/>
      <c r="CE27" s="85"/>
      <c r="CF27" s="85"/>
      <c r="CG27" s="85"/>
      <c r="CH27" s="85"/>
      <c r="CI27" s="85"/>
      <c r="CJ27" s="85"/>
      <c r="CK27" s="85"/>
      <c r="CL27" s="85"/>
      <c r="CM27" s="85"/>
      <c r="CN27" s="85"/>
      <c r="CO27" s="85"/>
      <c r="CP27" s="85"/>
      <c r="CQ27" s="85"/>
      <c r="CR27" s="85"/>
      <c r="CS27" s="85"/>
      <c r="CT27" s="85"/>
      <c r="CU27" s="85"/>
      <c r="CV27" s="85"/>
      <c r="CW27" s="85"/>
      <c r="CX27" s="85"/>
      <c r="CY27" s="84"/>
    </row>
    <row r="28" spans="1:103">
      <c r="A28" s="93">
        <v>42217</v>
      </c>
      <c r="B28" s="82">
        <f t="shared" si="0"/>
        <v>2015</v>
      </c>
      <c r="C28" s="86">
        <v>1.9722903225806452</v>
      </c>
      <c r="D28" s="86">
        <v>15.397419354838709</v>
      </c>
      <c r="E28" s="86">
        <v>0.27714516129032257</v>
      </c>
      <c r="F28" s="86">
        <v>1.5431935483870967</v>
      </c>
      <c r="G28" s="86">
        <v>3.7309677419354839</v>
      </c>
      <c r="H28" s="86">
        <v>10.735161290322582</v>
      </c>
      <c r="I28" s="86">
        <f t="shared" si="1"/>
        <v>33.65617741935484</v>
      </c>
      <c r="J28" s="85"/>
      <c r="K28" s="85"/>
      <c r="L28" s="85"/>
      <c r="M28" s="85"/>
      <c r="N28" s="85"/>
      <c r="O28" s="85"/>
      <c r="P28" s="85"/>
      <c r="Q28" s="85"/>
      <c r="R28" s="85"/>
      <c r="S28" s="85"/>
      <c r="T28" s="85"/>
      <c r="U28" s="85"/>
      <c r="V28" s="85"/>
      <c r="W28" s="85"/>
      <c r="X28" s="85"/>
      <c r="Y28" s="85"/>
      <c r="Z28" s="85"/>
      <c r="AA28" s="85"/>
      <c r="AB28" s="85"/>
      <c r="AC28" s="85"/>
      <c r="AD28" s="85"/>
      <c r="AE28" s="85"/>
      <c r="AF28" s="85"/>
      <c r="AG28" s="85"/>
      <c r="AH28" s="85"/>
      <c r="AI28" s="85"/>
      <c r="AJ28" s="85"/>
      <c r="AK28" s="85"/>
      <c r="AL28" s="85"/>
      <c r="AM28" s="85"/>
      <c r="AN28" s="85"/>
      <c r="AO28" s="85"/>
      <c r="AP28" s="85"/>
      <c r="AQ28" s="85"/>
      <c r="AR28" s="85"/>
      <c r="AS28" s="85"/>
      <c r="AT28" s="85"/>
      <c r="AU28" s="85"/>
      <c r="AV28" s="85"/>
      <c r="AW28" s="85"/>
      <c r="AX28" s="85"/>
      <c r="AY28" s="85"/>
      <c r="AZ28" s="85"/>
      <c r="BA28" s="85"/>
      <c r="BB28" s="85"/>
      <c r="BC28" s="85"/>
      <c r="BD28" s="85"/>
      <c r="BE28" s="85"/>
      <c r="BF28" s="85"/>
      <c r="BG28" s="85"/>
      <c r="BH28" s="85"/>
      <c r="BI28" s="85"/>
      <c r="BJ28" s="85"/>
      <c r="BK28" s="85"/>
      <c r="BL28" s="85"/>
      <c r="BM28" s="85"/>
      <c r="BN28" s="85"/>
      <c r="BO28" s="85"/>
      <c r="BP28" s="85"/>
      <c r="BQ28" s="85"/>
      <c r="BR28" s="85"/>
      <c r="BS28" s="85"/>
      <c r="BT28" s="85"/>
      <c r="BU28" s="85"/>
      <c r="BV28" s="85"/>
      <c r="BW28" s="85"/>
      <c r="BX28" s="85"/>
      <c r="BY28" s="85"/>
      <c r="BZ28" s="85"/>
      <c r="CA28" s="85"/>
      <c r="CB28" s="85"/>
      <c r="CC28" s="85"/>
      <c r="CD28" s="85"/>
      <c r="CE28" s="85"/>
      <c r="CF28" s="85"/>
      <c r="CG28" s="85"/>
      <c r="CH28" s="85"/>
      <c r="CI28" s="85"/>
      <c r="CJ28" s="85"/>
      <c r="CK28" s="85"/>
      <c r="CL28" s="85"/>
      <c r="CM28" s="85"/>
      <c r="CN28" s="85"/>
      <c r="CO28" s="85"/>
      <c r="CP28" s="85"/>
      <c r="CQ28" s="85"/>
      <c r="CR28" s="85"/>
      <c r="CS28" s="85"/>
      <c r="CT28" s="85"/>
      <c r="CU28" s="85"/>
      <c r="CV28" s="85"/>
      <c r="CW28" s="85"/>
      <c r="CX28" s="85"/>
      <c r="CY28" s="84"/>
    </row>
    <row r="29" spans="1:103">
      <c r="A29" s="93">
        <v>42248</v>
      </c>
      <c r="B29" s="82">
        <f t="shared" si="0"/>
        <v>2015</v>
      </c>
      <c r="C29" s="86">
        <v>2.4491999999999998</v>
      </c>
      <c r="D29" s="86">
        <v>17.051333333333336</v>
      </c>
      <c r="E29" s="86">
        <v>0.28289000000000003</v>
      </c>
      <c r="F29" s="86">
        <v>1.4472999999999998</v>
      </c>
      <c r="G29" s="86">
        <v>4.8733333333333331</v>
      </c>
      <c r="H29" s="86">
        <v>12.546666666666665</v>
      </c>
      <c r="I29" s="86">
        <f t="shared" si="1"/>
        <v>38.650723333333332</v>
      </c>
      <c r="J29" s="85"/>
      <c r="K29" s="85"/>
      <c r="L29" s="85"/>
      <c r="M29" s="85"/>
      <c r="N29" s="85"/>
      <c r="O29" s="85"/>
      <c r="P29" s="85"/>
      <c r="Q29" s="85"/>
      <c r="R29" s="85"/>
      <c r="S29" s="85"/>
      <c r="T29" s="85"/>
      <c r="U29" s="85"/>
      <c r="V29" s="85"/>
      <c r="W29" s="85"/>
      <c r="X29" s="85"/>
      <c r="Y29" s="85"/>
      <c r="Z29" s="85"/>
      <c r="AA29" s="85"/>
      <c r="AB29" s="85"/>
      <c r="AC29" s="85"/>
      <c r="AD29" s="85"/>
      <c r="AE29" s="85"/>
      <c r="AF29" s="85"/>
      <c r="AG29" s="85"/>
      <c r="AH29" s="85"/>
      <c r="AI29" s="85"/>
      <c r="AJ29" s="85"/>
      <c r="AK29" s="85"/>
      <c r="AL29" s="85"/>
      <c r="AM29" s="85"/>
      <c r="AN29" s="85"/>
      <c r="AO29" s="85"/>
      <c r="AP29" s="85"/>
      <c r="AQ29" s="85"/>
      <c r="AR29" s="85"/>
      <c r="AS29" s="85"/>
      <c r="AT29" s="85"/>
      <c r="AU29" s="85"/>
      <c r="AV29" s="85"/>
      <c r="AW29" s="85"/>
      <c r="AX29" s="85"/>
      <c r="AY29" s="85"/>
      <c r="AZ29" s="85"/>
      <c r="BA29" s="85"/>
      <c r="BB29" s="85"/>
      <c r="BC29" s="85"/>
      <c r="BD29" s="85"/>
      <c r="BE29" s="85"/>
      <c r="BF29" s="85"/>
      <c r="BG29" s="85"/>
      <c r="BH29" s="85"/>
      <c r="BI29" s="85"/>
      <c r="BJ29" s="85"/>
      <c r="BK29" s="85"/>
      <c r="BL29" s="85"/>
      <c r="BM29" s="85"/>
      <c r="BN29" s="85"/>
      <c r="BO29" s="85"/>
      <c r="BP29" s="85"/>
      <c r="BQ29" s="85"/>
      <c r="BR29" s="85"/>
      <c r="BS29" s="85"/>
      <c r="BT29" s="85"/>
      <c r="BU29" s="85"/>
      <c r="BV29" s="85"/>
      <c r="BW29" s="85"/>
      <c r="BX29" s="85"/>
      <c r="BY29" s="85"/>
      <c r="BZ29" s="85"/>
      <c r="CA29" s="85"/>
      <c r="CB29" s="85"/>
      <c r="CC29" s="85"/>
      <c r="CD29" s="85"/>
      <c r="CE29" s="85"/>
      <c r="CF29" s="85"/>
      <c r="CG29" s="85"/>
      <c r="CH29" s="85"/>
      <c r="CI29" s="85"/>
      <c r="CJ29" s="85"/>
      <c r="CK29" s="85"/>
      <c r="CL29" s="85"/>
      <c r="CM29" s="85"/>
      <c r="CN29" s="85"/>
      <c r="CO29" s="85"/>
      <c r="CP29" s="85"/>
      <c r="CQ29" s="85"/>
      <c r="CR29" s="85"/>
      <c r="CS29" s="85"/>
      <c r="CT29" s="85"/>
      <c r="CU29" s="85"/>
      <c r="CV29" s="85"/>
      <c r="CW29" s="85"/>
      <c r="CX29" s="85"/>
      <c r="CY29" s="84"/>
    </row>
    <row r="30" spans="1:103">
      <c r="A30" s="93">
        <v>42278</v>
      </c>
      <c r="B30" s="82">
        <f t="shared" si="0"/>
        <v>2015</v>
      </c>
      <c r="C30" s="86">
        <v>2.327064516129032</v>
      </c>
      <c r="D30" s="86">
        <v>18.381612903225808</v>
      </c>
      <c r="E30" s="86">
        <v>0.27109032258064519</v>
      </c>
      <c r="F30" s="86">
        <v>1.5371612903225806</v>
      </c>
      <c r="G30" s="86">
        <v>5.7696774193548395</v>
      </c>
      <c r="H30" s="86">
        <v>11.383870967741935</v>
      </c>
      <c r="I30" s="86">
        <f t="shared" si="1"/>
        <v>39.670477419354839</v>
      </c>
      <c r="J30" s="85"/>
      <c r="K30" s="85"/>
      <c r="L30" s="85"/>
      <c r="M30" s="85"/>
      <c r="N30" s="85"/>
      <c r="O30" s="85"/>
      <c r="P30" s="85"/>
      <c r="Q30" s="85"/>
      <c r="R30" s="85"/>
      <c r="S30" s="85"/>
      <c r="T30" s="85"/>
      <c r="U30" s="85"/>
      <c r="V30" s="85"/>
      <c r="W30" s="85"/>
      <c r="X30" s="85"/>
      <c r="Y30" s="85"/>
      <c r="Z30" s="85"/>
      <c r="AA30" s="85"/>
      <c r="AB30" s="85"/>
      <c r="AC30" s="85"/>
      <c r="AD30" s="85"/>
      <c r="AE30" s="85"/>
      <c r="AF30" s="85"/>
      <c r="AG30" s="85"/>
      <c r="AH30" s="85"/>
      <c r="AI30" s="85"/>
      <c r="AJ30" s="85"/>
      <c r="AK30" s="85"/>
      <c r="AL30" s="85"/>
      <c r="AM30" s="85"/>
      <c r="AN30" s="85"/>
      <c r="AO30" s="85"/>
      <c r="AP30" s="85"/>
      <c r="AQ30" s="85"/>
      <c r="AR30" s="85"/>
      <c r="AS30" s="85"/>
      <c r="AT30" s="85"/>
      <c r="AU30" s="85"/>
      <c r="AV30" s="85"/>
      <c r="AW30" s="85"/>
      <c r="AX30" s="85"/>
      <c r="AY30" s="85"/>
      <c r="AZ30" s="85"/>
      <c r="BA30" s="85"/>
      <c r="BB30" s="85"/>
      <c r="BC30" s="85"/>
      <c r="BD30" s="85"/>
      <c r="BE30" s="85"/>
      <c r="BF30" s="85"/>
      <c r="BG30" s="85"/>
      <c r="BH30" s="85"/>
      <c r="BI30" s="85"/>
      <c r="BJ30" s="85"/>
      <c r="BK30" s="85"/>
      <c r="BL30" s="85"/>
      <c r="BM30" s="85"/>
      <c r="BN30" s="85"/>
      <c r="BO30" s="85"/>
      <c r="BP30" s="85"/>
      <c r="BQ30" s="85"/>
      <c r="BR30" s="85"/>
      <c r="BS30" s="85"/>
      <c r="BT30" s="85"/>
      <c r="BU30" s="85"/>
      <c r="BV30" s="85"/>
      <c r="BW30" s="85"/>
      <c r="BX30" s="85"/>
      <c r="BY30" s="85"/>
      <c r="BZ30" s="85"/>
      <c r="CA30" s="85"/>
      <c r="CB30" s="85"/>
      <c r="CC30" s="85"/>
      <c r="CD30" s="85"/>
      <c r="CE30" s="85"/>
      <c r="CF30" s="85"/>
      <c r="CG30" s="85"/>
      <c r="CH30" s="85"/>
      <c r="CI30" s="85"/>
      <c r="CJ30" s="85"/>
      <c r="CK30" s="85"/>
      <c r="CL30" s="85"/>
      <c r="CM30" s="85"/>
      <c r="CN30" s="85"/>
      <c r="CO30" s="85"/>
      <c r="CP30" s="85"/>
      <c r="CQ30" s="85"/>
      <c r="CR30" s="85"/>
      <c r="CS30" s="85"/>
      <c r="CT30" s="85"/>
      <c r="CU30" s="85"/>
      <c r="CV30" s="85"/>
      <c r="CW30" s="85"/>
      <c r="CX30" s="85"/>
      <c r="CY30" s="84"/>
    </row>
    <row r="31" spans="1:103">
      <c r="A31" s="93">
        <v>42309</v>
      </c>
      <c r="B31" s="82">
        <f t="shared" si="0"/>
        <v>2015</v>
      </c>
      <c r="C31" s="86">
        <v>2.5299</v>
      </c>
      <c r="D31" s="86">
        <v>18.952666666666669</v>
      </c>
      <c r="E31" s="86">
        <v>0.2671</v>
      </c>
      <c r="F31" s="86">
        <v>1.5942333333333332</v>
      </c>
      <c r="G31" s="86">
        <v>7.8780000000000001</v>
      </c>
      <c r="H31" s="86">
        <v>13.150333333333332</v>
      </c>
      <c r="I31" s="86">
        <f t="shared" si="1"/>
        <v>44.372233333333334</v>
      </c>
      <c r="J31" s="85"/>
      <c r="K31" s="85"/>
      <c r="L31" s="85"/>
      <c r="M31" s="85"/>
      <c r="N31" s="85"/>
      <c r="O31" s="85"/>
      <c r="P31" s="85"/>
      <c r="Q31" s="85"/>
      <c r="R31" s="85"/>
      <c r="S31" s="85"/>
      <c r="T31" s="85"/>
      <c r="U31" s="85"/>
      <c r="V31" s="85"/>
      <c r="W31" s="85"/>
      <c r="X31" s="85"/>
      <c r="Y31" s="85"/>
      <c r="Z31" s="85"/>
      <c r="AA31" s="85"/>
      <c r="AB31" s="85"/>
      <c r="AC31" s="85"/>
      <c r="AD31" s="85"/>
      <c r="AE31" s="85"/>
      <c r="AF31" s="85"/>
      <c r="AG31" s="85"/>
      <c r="AH31" s="85"/>
      <c r="AI31" s="85"/>
      <c r="AJ31" s="85"/>
      <c r="AK31" s="85"/>
      <c r="AL31" s="85"/>
      <c r="AM31" s="85"/>
      <c r="AN31" s="85"/>
      <c r="AO31" s="85"/>
      <c r="AP31" s="85"/>
      <c r="AQ31" s="85"/>
      <c r="AR31" s="85"/>
      <c r="AS31" s="85"/>
      <c r="AT31" s="85"/>
      <c r="AU31" s="85"/>
      <c r="AV31" s="85"/>
      <c r="AW31" s="85"/>
      <c r="AX31" s="85"/>
      <c r="AY31" s="85"/>
      <c r="AZ31" s="85"/>
      <c r="BA31" s="85"/>
      <c r="BB31" s="85"/>
      <c r="BC31" s="85"/>
      <c r="BD31" s="85"/>
      <c r="BE31" s="85"/>
      <c r="BF31" s="85"/>
      <c r="BG31" s="85"/>
      <c r="BH31" s="85"/>
      <c r="BI31" s="85"/>
      <c r="BJ31" s="85"/>
      <c r="BK31" s="85"/>
      <c r="BL31" s="85"/>
      <c r="BM31" s="85"/>
      <c r="BN31" s="85"/>
      <c r="BO31" s="85"/>
      <c r="BP31" s="85"/>
      <c r="BQ31" s="85"/>
      <c r="BR31" s="85"/>
      <c r="BS31" s="85"/>
      <c r="BT31" s="85"/>
      <c r="BU31" s="85"/>
      <c r="BV31" s="85"/>
      <c r="BW31" s="85"/>
      <c r="BX31" s="85"/>
      <c r="BY31" s="85"/>
      <c r="BZ31" s="85"/>
      <c r="CA31" s="85"/>
      <c r="CB31" s="85"/>
      <c r="CC31" s="85"/>
      <c r="CD31" s="85"/>
      <c r="CE31" s="85"/>
      <c r="CF31" s="85"/>
      <c r="CG31" s="85"/>
      <c r="CH31" s="85"/>
      <c r="CI31" s="85"/>
      <c r="CJ31" s="85"/>
      <c r="CK31" s="85"/>
      <c r="CL31" s="85"/>
      <c r="CM31" s="85"/>
      <c r="CN31" s="85"/>
      <c r="CO31" s="85"/>
      <c r="CP31" s="85"/>
      <c r="CQ31" s="85"/>
      <c r="CR31" s="85"/>
      <c r="CS31" s="85"/>
      <c r="CT31" s="85"/>
      <c r="CU31" s="85"/>
      <c r="CV31" s="85"/>
      <c r="CW31" s="85"/>
      <c r="CX31" s="85"/>
      <c r="CY31" s="84"/>
    </row>
    <row r="32" spans="1:103">
      <c r="A32" s="93">
        <v>42339</v>
      </c>
      <c r="B32" s="82">
        <f t="shared" si="0"/>
        <v>2015</v>
      </c>
      <c r="C32" s="86">
        <v>2.2274516129032258</v>
      </c>
      <c r="D32" s="86">
        <v>17.33258064516129</v>
      </c>
      <c r="E32" s="86">
        <v>0.28984193548387094</v>
      </c>
      <c r="F32" s="86">
        <v>1.5079354838709678</v>
      </c>
      <c r="G32" s="86">
        <v>8.500645161290322</v>
      </c>
      <c r="H32" s="86">
        <v>13.160967741935485</v>
      </c>
      <c r="I32" s="86">
        <f t="shared" si="1"/>
        <v>43.019422580645163</v>
      </c>
      <c r="J32" s="85"/>
      <c r="K32" s="85"/>
      <c r="L32" s="85"/>
      <c r="M32" s="85"/>
      <c r="N32" s="85"/>
      <c r="O32" s="85"/>
      <c r="P32" s="85"/>
      <c r="Q32" s="85"/>
      <c r="R32" s="85"/>
      <c r="S32" s="85"/>
      <c r="T32" s="85"/>
      <c r="U32" s="85"/>
      <c r="V32" s="85"/>
      <c r="W32" s="85"/>
      <c r="X32" s="85"/>
      <c r="Y32" s="85"/>
      <c r="Z32" s="85"/>
      <c r="AA32" s="85"/>
      <c r="AB32" s="85"/>
      <c r="AC32" s="85"/>
      <c r="AD32" s="85"/>
      <c r="AE32" s="85"/>
      <c r="AF32" s="85"/>
      <c r="AG32" s="85"/>
      <c r="AH32" s="85"/>
      <c r="AI32" s="85"/>
      <c r="AJ32" s="85"/>
      <c r="AK32" s="85"/>
      <c r="AL32" s="85"/>
      <c r="AM32" s="85"/>
      <c r="AN32" s="85"/>
      <c r="AO32" s="85"/>
      <c r="AP32" s="85"/>
      <c r="AQ32" s="85"/>
      <c r="AR32" s="85"/>
      <c r="AS32" s="85"/>
      <c r="AT32" s="85"/>
      <c r="AU32" s="85"/>
      <c r="AV32" s="85"/>
      <c r="AW32" s="85"/>
      <c r="AX32" s="85"/>
      <c r="AY32" s="85"/>
      <c r="AZ32" s="85"/>
      <c r="BA32" s="85"/>
      <c r="BB32" s="85"/>
      <c r="BC32" s="85"/>
      <c r="BD32" s="85"/>
      <c r="BE32" s="85"/>
      <c r="BF32" s="85"/>
      <c r="BG32" s="85"/>
      <c r="BH32" s="85"/>
      <c r="BI32" s="85"/>
      <c r="BJ32" s="85"/>
      <c r="BK32" s="85"/>
      <c r="BL32" s="85"/>
      <c r="BM32" s="85"/>
      <c r="BN32" s="85"/>
      <c r="BO32" s="85"/>
      <c r="BP32" s="85"/>
      <c r="BQ32" s="85"/>
      <c r="BR32" s="85"/>
      <c r="BS32" s="85"/>
      <c r="BT32" s="85"/>
      <c r="BU32" s="85"/>
      <c r="BV32" s="85"/>
      <c r="BW32" s="85"/>
      <c r="BX32" s="85"/>
      <c r="BY32" s="85"/>
      <c r="BZ32" s="85"/>
      <c r="CA32" s="85"/>
      <c r="CB32" s="85"/>
      <c r="CC32" s="85"/>
      <c r="CD32" s="85"/>
      <c r="CE32" s="85"/>
      <c r="CF32" s="85"/>
      <c r="CG32" s="85"/>
      <c r="CH32" s="85"/>
      <c r="CI32" s="85"/>
      <c r="CJ32" s="85"/>
      <c r="CK32" s="85"/>
      <c r="CL32" s="85"/>
      <c r="CM32" s="85"/>
      <c r="CN32" s="85"/>
      <c r="CO32" s="85"/>
      <c r="CP32" s="85"/>
      <c r="CQ32" s="85"/>
      <c r="CR32" s="85"/>
      <c r="CS32" s="85"/>
      <c r="CT32" s="85"/>
      <c r="CU32" s="85"/>
      <c r="CV32" s="85"/>
      <c r="CW32" s="85"/>
      <c r="CX32" s="85"/>
      <c r="CY32" s="84"/>
    </row>
    <row r="33" spans="1:103">
      <c r="A33" s="93">
        <v>42370</v>
      </c>
      <c r="B33" s="82">
        <f t="shared" si="0"/>
        <v>2016</v>
      </c>
      <c r="C33" s="86">
        <v>2.0623225806451613</v>
      </c>
      <c r="D33" s="86">
        <v>17.351290322580645</v>
      </c>
      <c r="E33" s="86">
        <v>0.28491935483870967</v>
      </c>
      <c r="F33" s="86">
        <v>1.3126774193548387</v>
      </c>
      <c r="G33" s="86">
        <v>7.5009677419354839</v>
      </c>
      <c r="H33" s="86">
        <v>11.123548387096774</v>
      </c>
      <c r="I33" s="86">
        <f t="shared" si="1"/>
        <v>39.63572580645161</v>
      </c>
      <c r="J33" s="85"/>
      <c r="K33" s="85"/>
      <c r="L33" s="85"/>
      <c r="M33" s="85"/>
      <c r="N33" s="85"/>
      <c r="O33" s="85"/>
      <c r="P33" s="85"/>
      <c r="Q33" s="85"/>
      <c r="R33" s="85"/>
      <c r="S33" s="85"/>
      <c r="T33" s="85"/>
      <c r="U33" s="85"/>
      <c r="V33" s="85"/>
      <c r="W33" s="85"/>
      <c r="X33" s="85"/>
      <c r="Y33" s="85"/>
      <c r="Z33" s="85"/>
      <c r="AA33" s="85"/>
      <c r="AB33" s="85"/>
      <c r="AC33" s="85"/>
      <c r="AD33" s="85"/>
      <c r="AE33" s="85"/>
      <c r="AF33" s="85"/>
      <c r="AG33" s="85"/>
      <c r="AH33" s="85"/>
      <c r="AI33" s="85"/>
      <c r="AJ33" s="85"/>
      <c r="AK33" s="85"/>
      <c r="AL33" s="85"/>
      <c r="AM33" s="85"/>
      <c r="AN33" s="85"/>
      <c r="AO33" s="85"/>
      <c r="AP33" s="85"/>
      <c r="AQ33" s="85"/>
      <c r="AR33" s="85"/>
      <c r="AS33" s="85"/>
      <c r="AT33" s="85"/>
      <c r="AU33" s="85"/>
      <c r="AV33" s="85"/>
      <c r="AW33" s="85"/>
      <c r="AX33" s="85"/>
      <c r="AY33" s="85"/>
      <c r="AZ33" s="85"/>
      <c r="BA33" s="85"/>
      <c r="BB33" s="85"/>
      <c r="BC33" s="85"/>
      <c r="BD33" s="85"/>
      <c r="BE33" s="85"/>
      <c r="BF33" s="85"/>
      <c r="BG33" s="85"/>
      <c r="BH33" s="85"/>
      <c r="BI33" s="85"/>
      <c r="BJ33" s="85"/>
      <c r="BK33" s="85"/>
      <c r="BL33" s="85"/>
      <c r="BM33" s="85"/>
      <c r="BN33" s="85"/>
      <c r="BO33" s="85"/>
      <c r="BP33" s="85"/>
      <c r="BQ33" s="85"/>
      <c r="BR33" s="85"/>
      <c r="BS33" s="85"/>
      <c r="BT33" s="85"/>
      <c r="BU33" s="85"/>
      <c r="BV33" s="85"/>
      <c r="BW33" s="85"/>
      <c r="BX33" s="85"/>
      <c r="BY33" s="85"/>
      <c r="BZ33" s="85"/>
      <c r="CA33" s="85"/>
      <c r="CB33" s="85"/>
      <c r="CC33" s="85"/>
      <c r="CD33" s="85"/>
      <c r="CE33" s="85"/>
      <c r="CF33" s="85"/>
      <c r="CG33" s="85"/>
      <c r="CH33" s="85"/>
      <c r="CI33" s="85"/>
      <c r="CJ33" s="85"/>
      <c r="CK33" s="85"/>
      <c r="CL33" s="85"/>
      <c r="CM33" s="85"/>
      <c r="CN33" s="85"/>
      <c r="CO33" s="85"/>
      <c r="CP33" s="85"/>
      <c r="CQ33" s="85"/>
      <c r="CR33" s="85"/>
      <c r="CS33" s="85"/>
      <c r="CT33" s="85"/>
      <c r="CU33" s="85"/>
      <c r="CV33" s="85"/>
      <c r="CW33" s="85"/>
      <c r="CX33" s="85"/>
      <c r="CY33" s="84"/>
    </row>
    <row r="34" spans="1:103">
      <c r="A34" s="93">
        <v>42401</v>
      </c>
      <c r="B34" s="82">
        <f t="shared" si="0"/>
        <v>2016</v>
      </c>
      <c r="C34" s="86">
        <v>1.693551724137931</v>
      </c>
      <c r="D34" s="86">
        <v>17.30103448275862</v>
      </c>
      <c r="E34" s="86">
        <v>0.28082068965517243</v>
      </c>
      <c r="F34" s="86">
        <v>1.2841724137931034</v>
      </c>
      <c r="G34" s="86">
        <v>6.8334482758620689</v>
      </c>
      <c r="H34" s="86">
        <v>12.901379310344828</v>
      </c>
      <c r="I34" s="86">
        <f t="shared" si="1"/>
        <v>40.29440689655172</v>
      </c>
      <c r="J34" s="85"/>
      <c r="K34" s="85"/>
      <c r="L34" s="85"/>
      <c r="M34" s="85"/>
      <c r="N34" s="85"/>
      <c r="O34" s="85"/>
      <c r="P34" s="85"/>
      <c r="Q34" s="85"/>
      <c r="R34" s="85"/>
      <c r="S34" s="85"/>
      <c r="T34" s="85"/>
      <c r="U34" s="85"/>
      <c r="V34" s="85"/>
      <c r="W34" s="85"/>
      <c r="X34" s="85"/>
      <c r="Y34" s="85"/>
      <c r="Z34" s="85"/>
      <c r="AA34" s="85"/>
      <c r="AB34" s="85"/>
      <c r="AC34" s="85"/>
      <c r="AD34" s="85"/>
      <c r="AE34" s="85"/>
      <c r="AF34" s="85"/>
      <c r="AG34" s="85"/>
      <c r="AH34" s="85"/>
      <c r="AI34" s="85"/>
      <c r="AJ34" s="85"/>
      <c r="AK34" s="85"/>
      <c r="AL34" s="85"/>
      <c r="AM34" s="85"/>
      <c r="AN34" s="85"/>
      <c r="AO34" s="85"/>
      <c r="AP34" s="85"/>
      <c r="AQ34" s="85"/>
      <c r="AR34" s="85"/>
      <c r="AS34" s="85"/>
      <c r="AT34" s="85"/>
      <c r="AU34" s="85"/>
      <c r="AV34" s="85"/>
      <c r="AW34" s="85"/>
      <c r="AX34" s="85"/>
      <c r="AY34" s="85"/>
      <c r="AZ34" s="85"/>
      <c r="BA34" s="85"/>
      <c r="BB34" s="85"/>
      <c r="BC34" s="85"/>
      <c r="BD34" s="85"/>
      <c r="BE34" s="85"/>
      <c r="BF34" s="85"/>
      <c r="BG34" s="85"/>
      <c r="BH34" s="85"/>
      <c r="BI34" s="85"/>
      <c r="BJ34" s="85"/>
      <c r="BK34" s="85"/>
      <c r="BL34" s="85"/>
      <c r="BM34" s="85"/>
      <c r="BN34" s="85"/>
      <c r="BO34" s="85"/>
      <c r="BP34" s="85"/>
      <c r="BQ34" s="85"/>
      <c r="BR34" s="85"/>
      <c r="BS34" s="85"/>
      <c r="BT34" s="85"/>
      <c r="BU34" s="85"/>
      <c r="BV34" s="85"/>
      <c r="BW34" s="85"/>
      <c r="BX34" s="85"/>
      <c r="BY34" s="85"/>
      <c r="BZ34" s="85"/>
      <c r="CA34" s="85"/>
      <c r="CB34" s="85"/>
      <c r="CC34" s="85"/>
      <c r="CD34" s="85"/>
      <c r="CE34" s="85"/>
      <c r="CF34" s="85"/>
      <c r="CG34" s="85"/>
      <c r="CH34" s="85"/>
      <c r="CI34" s="85"/>
      <c r="CJ34" s="85"/>
      <c r="CK34" s="85"/>
      <c r="CL34" s="85"/>
      <c r="CM34" s="85"/>
      <c r="CN34" s="85"/>
      <c r="CO34" s="85"/>
      <c r="CP34" s="85"/>
      <c r="CQ34" s="85"/>
      <c r="CR34" s="85"/>
      <c r="CS34" s="85"/>
      <c r="CT34" s="85"/>
      <c r="CU34" s="85"/>
      <c r="CV34" s="85"/>
      <c r="CW34" s="85"/>
      <c r="CX34" s="85"/>
      <c r="CY34" s="84"/>
    </row>
    <row r="35" spans="1:103">
      <c r="A35" s="93">
        <v>42430</v>
      </c>
      <c r="B35" s="82">
        <f t="shared" si="0"/>
        <v>2016</v>
      </c>
      <c r="C35" s="86">
        <v>1.2456774193548388</v>
      </c>
      <c r="D35" s="86">
        <v>16.995483870967742</v>
      </c>
      <c r="E35" s="86">
        <v>0.29297419354838711</v>
      </c>
      <c r="F35" s="86">
        <v>1.4443870967741936</v>
      </c>
      <c r="G35" s="86">
        <v>6.1138709677419358</v>
      </c>
      <c r="H35" s="86">
        <v>13.159354838709678</v>
      </c>
      <c r="I35" s="86">
        <f t="shared" si="1"/>
        <v>39.251748387096768</v>
      </c>
      <c r="J35" s="85"/>
      <c r="K35" s="85"/>
      <c r="L35" s="85"/>
      <c r="M35" s="85"/>
      <c r="N35" s="85"/>
      <c r="O35" s="85"/>
      <c r="P35" s="85"/>
      <c r="Q35" s="85"/>
      <c r="R35" s="85"/>
      <c r="S35" s="85"/>
      <c r="T35" s="85"/>
      <c r="U35" s="85"/>
      <c r="V35" s="85"/>
      <c r="W35" s="85"/>
      <c r="X35" s="85"/>
      <c r="Y35" s="85"/>
      <c r="Z35" s="85"/>
      <c r="AA35" s="85"/>
      <c r="AB35" s="85"/>
      <c r="AC35" s="85"/>
      <c r="AD35" s="85"/>
      <c r="AE35" s="85"/>
      <c r="AF35" s="85"/>
      <c r="AG35" s="85"/>
      <c r="AH35" s="85"/>
      <c r="AI35" s="85"/>
      <c r="AJ35" s="85"/>
      <c r="AK35" s="85"/>
      <c r="AL35" s="85"/>
      <c r="AM35" s="85"/>
      <c r="AN35" s="85"/>
      <c r="AO35" s="85"/>
      <c r="AP35" s="85"/>
      <c r="AQ35" s="85"/>
      <c r="AR35" s="85"/>
      <c r="AS35" s="85"/>
      <c r="AT35" s="85"/>
      <c r="AU35" s="85"/>
      <c r="AV35" s="85"/>
      <c r="AW35" s="85"/>
      <c r="AX35" s="85"/>
      <c r="AY35" s="85"/>
      <c r="AZ35" s="85"/>
      <c r="BA35" s="85"/>
      <c r="BB35" s="85"/>
      <c r="BC35" s="85"/>
      <c r="BD35" s="85"/>
      <c r="BE35" s="85"/>
      <c r="BF35" s="85"/>
      <c r="BG35" s="85"/>
      <c r="BH35" s="85"/>
      <c r="BI35" s="85"/>
      <c r="BJ35" s="85"/>
      <c r="BK35" s="85"/>
      <c r="BL35" s="85"/>
      <c r="BM35" s="85"/>
      <c r="BN35" s="85"/>
      <c r="BO35" s="85"/>
      <c r="BP35" s="85"/>
      <c r="BQ35" s="85"/>
      <c r="BR35" s="85"/>
      <c r="BS35" s="85"/>
      <c r="BT35" s="85"/>
      <c r="BU35" s="85"/>
      <c r="BV35" s="85"/>
      <c r="BW35" s="85"/>
      <c r="BX35" s="85"/>
      <c r="BY35" s="85"/>
      <c r="BZ35" s="85"/>
      <c r="CA35" s="85"/>
      <c r="CB35" s="85"/>
      <c r="CC35" s="85"/>
      <c r="CD35" s="85"/>
      <c r="CE35" s="85"/>
      <c r="CF35" s="85"/>
      <c r="CG35" s="85"/>
      <c r="CH35" s="85"/>
      <c r="CI35" s="85"/>
      <c r="CJ35" s="85"/>
      <c r="CK35" s="85"/>
      <c r="CL35" s="85"/>
      <c r="CM35" s="85"/>
      <c r="CN35" s="85"/>
      <c r="CO35" s="85"/>
      <c r="CP35" s="85"/>
      <c r="CQ35" s="85"/>
      <c r="CR35" s="85"/>
      <c r="CS35" s="85"/>
      <c r="CT35" s="85"/>
      <c r="CU35" s="85"/>
      <c r="CV35" s="85"/>
      <c r="CW35" s="85"/>
      <c r="CX35" s="85"/>
      <c r="CY35" s="84"/>
    </row>
    <row r="36" spans="1:103">
      <c r="A36" s="93">
        <v>42461</v>
      </c>
      <c r="B36" s="82">
        <f t="shared" si="0"/>
        <v>2016</v>
      </c>
      <c r="C36" s="86">
        <v>1.6514</v>
      </c>
      <c r="D36" s="86">
        <v>19.146333333333335</v>
      </c>
      <c r="E36" s="86">
        <v>0.29570999999999997</v>
      </c>
      <c r="F36" s="86">
        <v>1.5581666666666665</v>
      </c>
      <c r="G36" s="86">
        <v>7.1086666666666662</v>
      </c>
      <c r="H36" s="86">
        <v>14.96</v>
      </c>
      <c r="I36" s="86">
        <f t="shared" si="1"/>
        <v>44.720276666666663</v>
      </c>
      <c r="J36" s="85"/>
      <c r="K36" s="85"/>
      <c r="L36" s="85"/>
      <c r="M36" s="85"/>
      <c r="N36" s="85"/>
      <c r="O36" s="85"/>
      <c r="P36" s="85"/>
      <c r="Q36" s="85"/>
      <c r="R36" s="85"/>
      <c r="S36" s="85"/>
      <c r="T36" s="85"/>
      <c r="U36" s="85"/>
      <c r="V36" s="85"/>
      <c r="W36" s="85"/>
      <c r="X36" s="85"/>
      <c r="Y36" s="85"/>
      <c r="Z36" s="85"/>
      <c r="AA36" s="85"/>
      <c r="AB36" s="85"/>
      <c r="AC36" s="85"/>
      <c r="AD36" s="85"/>
      <c r="AE36" s="85"/>
      <c r="AF36" s="85"/>
      <c r="AG36" s="85"/>
      <c r="AH36" s="85"/>
      <c r="AI36" s="85"/>
      <c r="AJ36" s="85"/>
      <c r="AK36" s="85"/>
      <c r="AL36" s="85"/>
      <c r="AM36" s="85"/>
      <c r="AN36" s="85"/>
      <c r="AO36" s="85"/>
      <c r="AP36" s="85"/>
      <c r="AQ36" s="85"/>
      <c r="AR36" s="85"/>
      <c r="AS36" s="85"/>
      <c r="AT36" s="85"/>
      <c r="AU36" s="85"/>
      <c r="AV36" s="85"/>
      <c r="AW36" s="85"/>
      <c r="AX36" s="85"/>
      <c r="AY36" s="85"/>
      <c r="AZ36" s="85"/>
      <c r="BA36" s="85"/>
      <c r="BB36" s="85"/>
      <c r="BC36" s="85"/>
      <c r="BD36" s="85"/>
      <c r="BE36" s="85"/>
      <c r="BF36" s="85"/>
      <c r="BG36" s="85"/>
      <c r="BH36" s="85"/>
      <c r="BI36" s="85"/>
      <c r="BJ36" s="85"/>
      <c r="BK36" s="85"/>
      <c r="BL36" s="85"/>
      <c r="BM36" s="85"/>
      <c r="BN36" s="85"/>
      <c r="BO36" s="85"/>
      <c r="BP36" s="85"/>
      <c r="BQ36" s="85"/>
      <c r="BR36" s="85"/>
      <c r="BS36" s="85"/>
      <c r="BT36" s="85"/>
      <c r="BU36" s="85"/>
      <c r="BV36" s="85"/>
      <c r="BW36" s="85"/>
      <c r="BX36" s="85"/>
      <c r="BY36" s="85"/>
      <c r="BZ36" s="85"/>
      <c r="CA36" s="85"/>
      <c r="CB36" s="85"/>
      <c r="CC36" s="85"/>
      <c r="CD36" s="85"/>
      <c r="CE36" s="85"/>
      <c r="CF36" s="85"/>
      <c r="CG36" s="85"/>
      <c r="CH36" s="85"/>
      <c r="CI36" s="85"/>
      <c r="CJ36" s="85"/>
      <c r="CK36" s="85"/>
      <c r="CL36" s="85"/>
      <c r="CM36" s="85"/>
      <c r="CN36" s="85"/>
      <c r="CO36" s="85"/>
      <c r="CP36" s="85"/>
      <c r="CQ36" s="85"/>
      <c r="CR36" s="85"/>
      <c r="CS36" s="85"/>
      <c r="CT36" s="85"/>
      <c r="CU36" s="85"/>
      <c r="CV36" s="85"/>
      <c r="CW36" s="85"/>
      <c r="CX36" s="85"/>
      <c r="CY36" s="84"/>
    </row>
    <row r="37" spans="1:103">
      <c r="A37" s="93">
        <v>42491</v>
      </c>
      <c r="B37" s="82">
        <f t="shared" si="0"/>
        <v>2016</v>
      </c>
      <c r="C37" s="86">
        <v>1.8549677419354837</v>
      </c>
      <c r="D37" s="86">
        <v>18.950000000000003</v>
      </c>
      <c r="E37" s="86">
        <v>0.29611290322580647</v>
      </c>
      <c r="F37" s="86">
        <v>1.6383225806451611</v>
      </c>
      <c r="G37" s="86">
        <v>5.7874193548387094</v>
      </c>
      <c r="H37" s="86">
        <v>14.721612903225807</v>
      </c>
      <c r="I37" s="86">
        <f t="shared" si="1"/>
        <v>43.248435483870978</v>
      </c>
      <c r="J37" s="85"/>
      <c r="K37" s="85"/>
      <c r="L37" s="85"/>
      <c r="M37" s="85"/>
      <c r="N37" s="85"/>
      <c r="O37" s="85"/>
      <c r="P37" s="85"/>
      <c r="Q37" s="85"/>
      <c r="R37" s="85"/>
      <c r="S37" s="85"/>
      <c r="T37" s="85"/>
      <c r="U37" s="85"/>
      <c r="V37" s="85"/>
      <c r="W37" s="85"/>
      <c r="X37" s="85"/>
      <c r="Y37" s="85"/>
      <c r="Z37" s="85"/>
      <c r="AA37" s="85"/>
      <c r="AB37" s="85"/>
      <c r="AC37" s="85"/>
      <c r="AD37" s="85"/>
      <c r="AE37" s="85"/>
      <c r="AF37" s="85"/>
      <c r="AG37" s="85"/>
      <c r="AH37" s="85"/>
      <c r="AI37" s="85"/>
      <c r="AJ37" s="85"/>
      <c r="AK37" s="85"/>
      <c r="AL37" s="85"/>
      <c r="AM37" s="85"/>
      <c r="AN37" s="85"/>
      <c r="AO37" s="85"/>
      <c r="AP37" s="85"/>
      <c r="AQ37" s="85"/>
      <c r="AR37" s="85"/>
      <c r="AS37" s="85"/>
      <c r="AT37" s="85"/>
      <c r="AU37" s="85"/>
      <c r="AV37" s="85"/>
      <c r="AW37" s="85"/>
      <c r="AX37" s="85"/>
      <c r="AY37" s="85"/>
      <c r="AZ37" s="85"/>
      <c r="BA37" s="85"/>
      <c r="BB37" s="85"/>
      <c r="BC37" s="85"/>
      <c r="BD37" s="85"/>
      <c r="BE37" s="85"/>
      <c r="BF37" s="85"/>
      <c r="BG37" s="85"/>
      <c r="BH37" s="85"/>
      <c r="BI37" s="85"/>
      <c r="BJ37" s="85"/>
      <c r="BK37" s="85"/>
      <c r="BL37" s="85"/>
      <c r="BM37" s="85"/>
      <c r="BN37" s="85"/>
      <c r="BO37" s="85"/>
      <c r="BP37" s="85"/>
      <c r="BQ37" s="85"/>
      <c r="BR37" s="85"/>
      <c r="BS37" s="85"/>
      <c r="BT37" s="85"/>
      <c r="BU37" s="85"/>
      <c r="BV37" s="85"/>
      <c r="BW37" s="85"/>
      <c r="BX37" s="85"/>
      <c r="BY37" s="85"/>
      <c r="BZ37" s="85"/>
      <c r="CA37" s="85"/>
      <c r="CB37" s="85"/>
      <c r="CC37" s="85"/>
      <c r="CD37" s="85"/>
      <c r="CE37" s="85"/>
      <c r="CF37" s="85"/>
      <c r="CG37" s="85"/>
      <c r="CH37" s="85"/>
      <c r="CI37" s="85"/>
      <c r="CJ37" s="85"/>
      <c r="CK37" s="85"/>
      <c r="CL37" s="85"/>
      <c r="CM37" s="85"/>
      <c r="CN37" s="85"/>
      <c r="CO37" s="85"/>
      <c r="CP37" s="85"/>
      <c r="CQ37" s="85"/>
      <c r="CR37" s="85"/>
      <c r="CS37" s="85"/>
      <c r="CT37" s="85"/>
      <c r="CU37" s="85"/>
      <c r="CV37" s="85"/>
      <c r="CW37" s="85"/>
      <c r="CX37" s="85"/>
      <c r="CY37" s="84"/>
    </row>
    <row r="38" spans="1:103">
      <c r="A38" s="93">
        <v>42522</v>
      </c>
      <c r="B38" s="82">
        <f t="shared" si="0"/>
        <v>2016</v>
      </c>
      <c r="C38" s="86">
        <v>2.4316</v>
      </c>
      <c r="D38" s="86">
        <v>18.007666666666669</v>
      </c>
      <c r="E38" s="86">
        <v>0.28786666666666666</v>
      </c>
      <c r="F38" s="86">
        <v>1.6362333333333334</v>
      </c>
      <c r="G38" s="86">
        <v>6.4536666666666669</v>
      </c>
      <c r="H38" s="86">
        <v>13.204333333333333</v>
      </c>
      <c r="I38" s="86">
        <f t="shared" si="1"/>
        <v>42.021366666666665</v>
      </c>
      <c r="J38" s="85"/>
      <c r="K38" s="85"/>
      <c r="L38" s="85"/>
      <c r="M38" s="85"/>
      <c r="N38" s="85"/>
      <c r="O38" s="85"/>
      <c r="P38" s="85"/>
      <c r="Q38" s="85"/>
      <c r="R38" s="85"/>
      <c r="S38" s="85"/>
      <c r="T38" s="85"/>
      <c r="U38" s="85"/>
      <c r="V38" s="85"/>
      <c r="W38" s="85"/>
      <c r="X38" s="85"/>
      <c r="Y38" s="85"/>
      <c r="Z38" s="85"/>
      <c r="AA38" s="85"/>
      <c r="AB38" s="85"/>
      <c r="AC38" s="85"/>
      <c r="AD38" s="85"/>
      <c r="AE38" s="85"/>
      <c r="AF38" s="85"/>
      <c r="AG38" s="85"/>
      <c r="AH38" s="85"/>
      <c r="AI38" s="85"/>
      <c r="AJ38" s="85"/>
      <c r="AK38" s="85"/>
      <c r="AL38" s="85"/>
      <c r="AM38" s="85"/>
      <c r="AN38" s="85"/>
      <c r="AO38" s="85"/>
      <c r="AP38" s="85"/>
      <c r="AQ38" s="85"/>
      <c r="AR38" s="85"/>
      <c r="AS38" s="85"/>
      <c r="AT38" s="85"/>
      <c r="AU38" s="85"/>
      <c r="AV38" s="85"/>
      <c r="AW38" s="85"/>
      <c r="AX38" s="85"/>
      <c r="AY38" s="85"/>
      <c r="AZ38" s="85"/>
      <c r="BA38" s="85"/>
      <c r="BB38" s="85"/>
      <c r="BC38" s="85"/>
      <c r="BD38" s="85"/>
      <c r="BE38" s="85"/>
      <c r="BF38" s="85"/>
      <c r="BG38" s="85"/>
      <c r="BH38" s="85"/>
      <c r="BI38" s="85"/>
      <c r="BJ38" s="85"/>
      <c r="BK38" s="85"/>
      <c r="BL38" s="85"/>
      <c r="BM38" s="85"/>
      <c r="BN38" s="85"/>
      <c r="BO38" s="85"/>
      <c r="BP38" s="85"/>
      <c r="BQ38" s="85"/>
      <c r="BR38" s="85"/>
      <c r="BS38" s="85"/>
      <c r="BT38" s="85"/>
      <c r="BU38" s="85"/>
      <c r="BV38" s="85"/>
      <c r="BW38" s="85"/>
      <c r="BX38" s="85"/>
      <c r="BY38" s="85"/>
      <c r="BZ38" s="85"/>
      <c r="CA38" s="85"/>
      <c r="CB38" s="85"/>
      <c r="CC38" s="85"/>
      <c r="CD38" s="85"/>
      <c r="CE38" s="85"/>
      <c r="CF38" s="85"/>
      <c r="CG38" s="85"/>
      <c r="CH38" s="85"/>
      <c r="CI38" s="85"/>
      <c r="CJ38" s="85"/>
      <c r="CK38" s="85"/>
      <c r="CL38" s="85"/>
      <c r="CM38" s="85"/>
      <c r="CN38" s="85"/>
      <c r="CO38" s="85"/>
      <c r="CP38" s="85"/>
      <c r="CQ38" s="85"/>
      <c r="CR38" s="85"/>
      <c r="CS38" s="85"/>
      <c r="CT38" s="85"/>
      <c r="CU38" s="85"/>
      <c r="CV38" s="85"/>
      <c r="CW38" s="85"/>
      <c r="CX38" s="85"/>
      <c r="CY38" s="84"/>
    </row>
    <row r="39" spans="1:103">
      <c r="A39" s="93">
        <v>42552</v>
      </c>
      <c r="B39" s="82">
        <f t="shared" si="0"/>
        <v>2016</v>
      </c>
      <c r="C39" s="86">
        <v>2.4535483870967743</v>
      </c>
      <c r="D39" s="86">
        <v>17.619354838709679</v>
      </c>
      <c r="E39" s="86">
        <v>0.2769032258064516</v>
      </c>
      <c r="F39" s="86">
        <v>1.6114193548387097</v>
      </c>
      <c r="G39" s="86">
        <v>4.2229032258064514</v>
      </c>
      <c r="H39" s="86">
        <v>12.634516129032258</v>
      </c>
      <c r="I39" s="86">
        <f t="shared" si="1"/>
        <v>38.81864516129032</v>
      </c>
      <c r="J39" s="85"/>
      <c r="K39" s="85"/>
      <c r="L39" s="85"/>
      <c r="M39" s="85"/>
      <c r="N39" s="85"/>
      <c r="O39" s="85"/>
      <c r="P39" s="85"/>
      <c r="Q39" s="85"/>
      <c r="R39" s="85"/>
      <c r="S39" s="85"/>
      <c r="T39" s="85"/>
      <c r="U39" s="85"/>
      <c r="V39" s="85"/>
      <c r="W39" s="85"/>
      <c r="X39" s="85"/>
      <c r="Y39" s="85"/>
      <c r="Z39" s="85"/>
      <c r="AA39" s="85"/>
      <c r="AB39" s="85"/>
      <c r="AC39" s="85"/>
      <c r="AD39" s="85"/>
      <c r="AE39" s="85"/>
      <c r="AF39" s="85"/>
      <c r="AG39" s="85"/>
      <c r="AH39" s="85"/>
      <c r="AI39" s="85"/>
      <c r="AJ39" s="85"/>
      <c r="AK39" s="85"/>
      <c r="AL39" s="85"/>
      <c r="AM39" s="85"/>
      <c r="AN39" s="85"/>
      <c r="AO39" s="85"/>
      <c r="AP39" s="85"/>
      <c r="AQ39" s="85"/>
      <c r="AR39" s="85"/>
      <c r="AS39" s="85"/>
      <c r="AT39" s="85"/>
      <c r="AU39" s="85"/>
      <c r="AV39" s="85"/>
      <c r="AW39" s="85"/>
      <c r="AX39" s="85"/>
      <c r="AY39" s="85"/>
      <c r="AZ39" s="85"/>
      <c r="BA39" s="85"/>
      <c r="BB39" s="85"/>
      <c r="BC39" s="85"/>
      <c r="BD39" s="85"/>
      <c r="BE39" s="85"/>
      <c r="BF39" s="85"/>
      <c r="BG39" s="85"/>
      <c r="BH39" s="85"/>
      <c r="BI39" s="85"/>
      <c r="BJ39" s="85"/>
      <c r="BK39" s="85"/>
      <c r="BL39" s="85"/>
      <c r="BM39" s="85"/>
      <c r="BN39" s="85"/>
      <c r="BO39" s="85"/>
      <c r="BP39" s="85"/>
      <c r="BQ39" s="85"/>
      <c r="BR39" s="85"/>
      <c r="BS39" s="85"/>
      <c r="BT39" s="85"/>
      <c r="BU39" s="85"/>
      <c r="BV39" s="85"/>
      <c r="BW39" s="85"/>
      <c r="BX39" s="85"/>
      <c r="BY39" s="85"/>
      <c r="BZ39" s="85"/>
      <c r="CA39" s="85"/>
      <c r="CB39" s="85"/>
      <c r="CC39" s="85"/>
      <c r="CD39" s="85"/>
      <c r="CE39" s="85"/>
      <c r="CF39" s="85"/>
      <c r="CG39" s="85"/>
      <c r="CH39" s="85"/>
      <c r="CI39" s="85"/>
      <c r="CJ39" s="85"/>
      <c r="CK39" s="85"/>
      <c r="CL39" s="85"/>
      <c r="CM39" s="85"/>
      <c r="CN39" s="85"/>
      <c r="CO39" s="85"/>
      <c r="CP39" s="85"/>
      <c r="CQ39" s="85"/>
      <c r="CR39" s="85"/>
      <c r="CS39" s="85"/>
      <c r="CT39" s="85"/>
      <c r="CU39" s="85"/>
      <c r="CV39" s="85"/>
      <c r="CW39" s="85"/>
      <c r="CX39" s="85"/>
      <c r="CY39" s="84"/>
    </row>
    <row r="40" spans="1:103">
      <c r="A40" s="93">
        <v>42583</v>
      </c>
      <c r="B40" s="82">
        <f t="shared" si="0"/>
        <v>2016</v>
      </c>
      <c r="C40" s="86">
        <v>2.2670645161290319</v>
      </c>
      <c r="D40" s="86">
        <v>18.338387096774195</v>
      </c>
      <c r="E40" s="86">
        <v>0.28242903225806454</v>
      </c>
      <c r="F40" s="86">
        <v>1.5829354838709677</v>
      </c>
      <c r="G40" s="86">
        <v>4.330967741935484</v>
      </c>
      <c r="H40" s="86">
        <v>11.636129032258065</v>
      </c>
      <c r="I40" s="86">
        <f t="shared" si="1"/>
        <v>38.437912903225808</v>
      </c>
      <c r="J40" s="85"/>
      <c r="K40" s="85"/>
      <c r="L40" s="85"/>
      <c r="M40" s="85"/>
      <c r="N40" s="85"/>
      <c r="O40" s="85"/>
      <c r="P40" s="85"/>
      <c r="Q40" s="85"/>
      <c r="R40" s="85"/>
      <c r="S40" s="85"/>
      <c r="T40" s="85"/>
      <c r="U40" s="85"/>
      <c r="V40" s="85"/>
      <c r="W40" s="85"/>
      <c r="X40" s="85"/>
      <c r="Y40" s="85"/>
      <c r="Z40" s="85"/>
      <c r="AA40" s="85"/>
      <c r="AB40" s="85"/>
      <c r="AC40" s="85"/>
      <c r="AD40" s="85"/>
      <c r="AE40" s="85"/>
      <c r="AF40" s="85"/>
      <c r="AG40" s="85"/>
      <c r="AH40" s="85"/>
      <c r="AI40" s="85"/>
      <c r="AJ40" s="85"/>
      <c r="AK40" s="85"/>
      <c r="AL40" s="85"/>
      <c r="AM40" s="85"/>
      <c r="AN40" s="85"/>
      <c r="AO40" s="85"/>
      <c r="AP40" s="85"/>
      <c r="AQ40" s="85"/>
      <c r="AR40" s="85"/>
      <c r="AS40" s="85"/>
      <c r="AT40" s="85"/>
      <c r="AU40" s="85"/>
      <c r="AV40" s="85"/>
      <c r="AW40" s="85"/>
      <c r="AX40" s="85"/>
      <c r="AY40" s="85"/>
      <c r="AZ40" s="85"/>
      <c r="BA40" s="85"/>
      <c r="BB40" s="85"/>
      <c r="BC40" s="85"/>
      <c r="BD40" s="85"/>
      <c r="BE40" s="85"/>
      <c r="BF40" s="85"/>
      <c r="BG40" s="85"/>
      <c r="BH40" s="85"/>
      <c r="BI40" s="85"/>
      <c r="BJ40" s="85"/>
      <c r="BK40" s="85"/>
      <c r="BL40" s="85"/>
      <c r="BM40" s="85"/>
      <c r="BN40" s="85"/>
      <c r="BO40" s="85"/>
      <c r="BP40" s="85"/>
      <c r="BQ40" s="85"/>
      <c r="BR40" s="85"/>
      <c r="BS40" s="85"/>
      <c r="BT40" s="85"/>
      <c r="BU40" s="85"/>
      <c r="BV40" s="85"/>
      <c r="BW40" s="85"/>
      <c r="BX40" s="85"/>
      <c r="BY40" s="85"/>
      <c r="BZ40" s="85"/>
      <c r="CA40" s="85"/>
      <c r="CB40" s="85"/>
      <c r="CC40" s="85"/>
      <c r="CD40" s="85"/>
      <c r="CE40" s="85"/>
      <c r="CF40" s="85"/>
      <c r="CG40" s="85"/>
      <c r="CH40" s="85"/>
      <c r="CI40" s="85"/>
      <c r="CJ40" s="85"/>
      <c r="CK40" s="85"/>
      <c r="CL40" s="85"/>
      <c r="CM40" s="85"/>
      <c r="CN40" s="85"/>
      <c r="CO40" s="85"/>
      <c r="CP40" s="85"/>
      <c r="CQ40" s="85"/>
      <c r="CR40" s="85"/>
      <c r="CS40" s="85"/>
      <c r="CT40" s="85"/>
      <c r="CU40" s="85"/>
      <c r="CV40" s="85"/>
      <c r="CW40" s="85"/>
      <c r="CX40" s="85"/>
      <c r="CY40" s="84"/>
    </row>
    <row r="41" spans="1:103">
      <c r="A41" s="93">
        <v>42614</v>
      </c>
      <c r="B41" s="82">
        <f t="shared" ref="B41:B72" si="2">YEAR(A41)</f>
        <v>2016</v>
      </c>
      <c r="C41" s="86">
        <v>1.9638333333333333</v>
      </c>
      <c r="D41" s="86">
        <v>20.05</v>
      </c>
      <c r="E41" s="86">
        <v>0.29381666666666667</v>
      </c>
      <c r="F41" s="86">
        <v>1.4949000000000001</v>
      </c>
      <c r="G41" s="86">
        <v>4.5903333333333336</v>
      </c>
      <c r="H41" s="86">
        <v>13.134666666666668</v>
      </c>
      <c r="I41" s="86">
        <f t="shared" si="1"/>
        <v>41.527550000000005</v>
      </c>
      <c r="J41" s="85"/>
      <c r="K41" s="85"/>
      <c r="L41" s="85"/>
      <c r="M41" s="85"/>
      <c r="N41" s="85"/>
      <c r="O41" s="85"/>
      <c r="P41" s="85"/>
      <c r="Q41" s="85"/>
      <c r="R41" s="85"/>
      <c r="S41" s="85"/>
      <c r="T41" s="85"/>
      <c r="U41" s="85"/>
      <c r="V41" s="85"/>
      <c r="W41" s="85"/>
      <c r="X41" s="85"/>
      <c r="Y41" s="85"/>
      <c r="Z41" s="85"/>
      <c r="AA41" s="85"/>
      <c r="AB41" s="85"/>
      <c r="AC41" s="85"/>
      <c r="AD41" s="85"/>
      <c r="AE41" s="85"/>
      <c r="AF41" s="85"/>
      <c r="AG41" s="85"/>
      <c r="AH41" s="85"/>
      <c r="AI41" s="85"/>
      <c r="AJ41" s="85"/>
      <c r="AK41" s="85"/>
      <c r="AL41" s="85"/>
      <c r="AM41" s="85"/>
      <c r="AN41" s="85"/>
      <c r="AO41" s="85"/>
      <c r="AP41" s="85"/>
      <c r="AQ41" s="85"/>
      <c r="AR41" s="85"/>
      <c r="AS41" s="85"/>
      <c r="AT41" s="85"/>
      <c r="AU41" s="85"/>
      <c r="AV41" s="85"/>
      <c r="AW41" s="85"/>
      <c r="AX41" s="85"/>
      <c r="AY41" s="85"/>
      <c r="AZ41" s="85"/>
      <c r="BA41" s="85"/>
      <c r="BB41" s="85"/>
      <c r="BC41" s="85"/>
      <c r="BD41" s="85"/>
      <c r="BE41" s="85"/>
      <c r="BF41" s="85"/>
      <c r="BG41" s="85"/>
      <c r="BH41" s="85"/>
      <c r="BI41" s="85"/>
      <c r="BJ41" s="85"/>
      <c r="BK41" s="85"/>
      <c r="BL41" s="85"/>
      <c r="BM41" s="85"/>
      <c r="BN41" s="85"/>
      <c r="BO41" s="85"/>
      <c r="BP41" s="85"/>
      <c r="BQ41" s="85"/>
      <c r="BR41" s="85"/>
      <c r="BS41" s="85"/>
      <c r="BT41" s="85"/>
      <c r="BU41" s="85"/>
      <c r="BV41" s="85"/>
      <c r="BW41" s="85"/>
      <c r="BX41" s="85"/>
      <c r="BY41" s="85"/>
      <c r="BZ41" s="85"/>
      <c r="CA41" s="85"/>
      <c r="CB41" s="85"/>
      <c r="CC41" s="85"/>
      <c r="CD41" s="85"/>
      <c r="CE41" s="85"/>
      <c r="CF41" s="85"/>
      <c r="CG41" s="85"/>
      <c r="CH41" s="85"/>
      <c r="CI41" s="85"/>
      <c r="CJ41" s="85"/>
      <c r="CK41" s="85"/>
      <c r="CL41" s="85"/>
      <c r="CM41" s="85"/>
      <c r="CN41" s="85"/>
      <c r="CO41" s="85"/>
      <c r="CP41" s="85"/>
      <c r="CQ41" s="85"/>
      <c r="CR41" s="85"/>
      <c r="CS41" s="85"/>
      <c r="CT41" s="85"/>
      <c r="CU41" s="85"/>
      <c r="CV41" s="85"/>
      <c r="CW41" s="85"/>
      <c r="CX41" s="85"/>
      <c r="CY41" s="84"/>
    </row>
    <row r="42" spans="1:103">
      <c r="A42" s="93">
        <v>42644</v>
      </c>
      <c r="B42" s="82">
        <f t="shared" si="2"/>
        <v>2016</v>
      </c>
      <c r="C42" s="86">
        <v>2.3348064516129035</v>
      </c>
      <c r="D42" s="86">
        <v>20.63967741935484</v>
      </c>
      <c r="E42" s="86">
        <v>0.27456451612903227</v>
      </c>
      <c r="F42" s="86">
        <v>1.5429999999999999</v>
      </c>
      <c r="G42" s="86">
        <v>5.8693548387096772</v>
      </c>
      <c r="H42" s="86">
        <v>14.333225806451612</v>
      </c>
      <c r="I42" s="86">
        <f t="shared" si="1"/>
        <v>44.994629032258061</v>
      </c>
      <c r="J42" s="85"/>
      <c r="K42" s="85"/>
      <c r="L42" s="85"/>
      <c r="M42" s="85"/>
      <c r="N42" s="85"/>
      <c r="O42" s="85"/>
      <c r="P42" s="85"/>
      <c r="Q42" s="85"/>
      <c r="R42" s="85"/>
      <c r="S42" s="85"/>
      <c r="T42" s="85"/>
      <c r="U42" s="85"/>
      <c r="V42" s="85"/>
      <c r="W42" s="85"/>
      <c r="X42" s="85"/>
      <c r="Y42" s="85"/>
      <c r="Z42" s="85"/>
      <c r="AA42" s="85"/>
      <c r="AB42" s="85"/>
      <c r="AC42" s="85"/>
      <c r="AD42" s="85"/>
      <c r="AE42" s="85"/>
      <c r="AF42" s="85"/>
      <c r="AG42" s="85"/>
      <c r="AH42" s="85"/>
      <c r="AI42" s="85"/>
      <c r="AJ42" s="85"/>
      <c r="AK42" s="85"/>
      <c r="AL42" s="85"/>
      <c r="AM42" s="85"/>
      <c r="AN42" s="85"/>
      <c r="AO42" s="85"/>
      <c r="AP42" s="85"/>
      <c r="AQ42" s="85"/>
      <c r="AR42" s="85"/>
      <c r="AS42" s="85"/>
      <c r="AT42" s="85"/>
      <c r="AU42" s="85"/>
      <c r="AV42" s="85"/>
      <c r="AW42" s="85"/>
      <c r="AX42" s="85"/>
      <c r="AY42" s="85"/>
      <c r="AZ42" s="85"/>
      <c r="BA42" s="85"/>
      <c r="BB42" s="85"/>
      <c r="BC42" s="85"/>
      <c r="BD42" s="85"/>
      <c r="BE42" s="85"/>
      <c r="BF42" s="85"/>
      <c r="BG42" s="85"/>
      <c r="BH42" s="85"/>
      <c r="BI42" s="85"/>
      <c r="BJ42" s="85"/>
      <c r="BK42" s="85"/>
      <c r="BL42" s="85"/>
      <c r="BM42" s="85"/>
      <c r="BN42" s="85"/>
      <c r="BO42" s="85"/>
      <c r="BP42" s="85"/>
      <c r="BQ42" s="85"/>
      <c r="BR42" s="85"/>
      <c r="BS42" s="85"/>
      <c r="BT42" s="85"/>
      <c r="BU42" s="85"/>
      <c r="BV42" s="85"/>
      <c r="BW42" s="85"/>
      <c r="BX42" s="85"/>
      <c r="BY42" s="85"/>
      <c r="BZ42" s="85"/>
      <c r="CA42" s="85"/>
      <c r="CB42" s="85"/>
      <c r="CC42" s="85"/>
      <c r="CD42" s="85"/>
      <c r="CE42" s="85"/>
      <c r="CF42" s="85"/>
      <c r="CG42" s="85"/>
      <c r="CH42" s="85"/>
      <c r="CI42" s="85"/>
      <c r="CJ42" s="85"/>
      <c r="CK42" s="85"/>
      <c r="CL42" s="85"/>
      <c r="CM42" s="85"/>
      <c r="CN42" s="85"/>
      <c r="CO42" s="85"/>
      <c r="CP42" s="85"/>
      <c r="CQ42" s="85"/>
      <c r="CR42" s="85"/>
      <c r="CS42" s="85"/>
      <c r="CT42" s="85"/>
      <c r="CU42" s="85"/>
      <c r="CV42" s="85"/>
      <c r="CW42" s="85"/>
      <c r="CX42" s="85"/>
      <c r="CY42" s="84"/>
    </row>
    <row r="43" spans="1:103">
      <c r="A43" s="93">
        <v>42675</v>
      </c>
      <c r="B43" s="82">
        <f t="shared" si="2"/>
        <v>2016</v>
      </c>
      <c r="C43" s="86">
        <v>2.0581666666666667</v>
      </c>
      <c r="D43" s="86">
        <v>20.386000000000003</v>
      </c>
      <c r="E43" s="86">
        <v>0.28116666666666668</v>
      </c>
      <c r="F43" s="86">
        <v>1.5601333333333334</v>
      </c>
      <c r="G43" s="86">
        <v>7.6336666666666666</v>
      </c>
      <c r="H43" s="86">
        <v>13.988</v>
      </c>
      <c r="I43" s="86">
        <f t="shared" si="1"/>
        <v>45.907133333333334</v>
      </c>
      <c r="J43" s="85"/>
      <c r="K43" s="85"/>
      <c r="L43" s="85"/>
      <c r="M43" s="85"/>
      <c r="N43" s="85"/>
      <c r="O43" s="85"/>
      <c r="P43" s="85"/>
      <c r="Q43" s="85"/>
      <c r="R43" s="85"/>
      <c r="S43" s="85"/>
      <c r="T43" s="85"/>
      <c r="U43" s="85"/>
      <c r="V43" s="85"/>
      <c r="W43" s="85"/>
      <c r="X43" s="85"/>
      <c r="Y43" s="85"/>
      <c r="Z43" s="85"/>
      <c r="AA43" s="85"/>
      <c r="AB43" s="85"/>
      <c r="AC43" s="85"/>
      <c r="AD43" s="85"/>
      <c r="AE43" s="85"/>
      <c r="AF43" s="85"/>
      <c r="AG43" s="85"/>
      <c r="AH43" s="85"/>
      <c r="AI43" s="85"/>
      <c r="AJ43" s="85"/>
      <c r="AK43" s="85"/>
      <c r="AL43" s="85"/>
      <c r="AM43" s="85"/>
      <c r="AN43" s="85"/>
      <c r="AO43" s="85"/>
      <c r="AP43" s="85"/>
      <c r="AQ43" s="85"/>
      <c r="AR43" s="85"/>
      <c r="AS43" s="85"/>
      <c r="AT43" s="85"/>
      <c r="AU43" s="85"/>
      <c r="AV43" s="85"/>
      <c r="AW43" s="85"/>
      <c r="AX43" s="85"/>
      <c r="AY43" s="85"/>
      <c r="AZ43" s="85"/>
      <c r="BA43" s="85"/>
      <c r="BB43" s="85"/>
      <c r="BC43" s="85"/>
      <c r="BD43" s="85"/>
      <c r="BE43" s="85"/>
      <c r="BF43" s="85"/>
      <c r="BG43" s="85"/>
      <c r="BH43" s="85"/>
      <c r="BI43" s="85"/>
      <c r="BJ43" s="85"/>
      <c r="BK43" s="85"/>
      <c r="BL43" s="85"/>
      <c r="BM43" s="85"/>
      <c r="BN43" s="85"/>
      <c r="BO43" s="85"/>
      <c r="BP43" s="85"/>
      <c r="BQ43" s="85"/>
      <c r="BR43" s="85"/>
      <c r="BS43" s="85"/>
      <c r="BT43" s="85"/>
      <c r="BU43" s="85"/>
      <c r="BV43" s="85"/>
      <c r="BW43" s="85"/>
      <c r="BX43" s="85"/>
      <c r="BY43" s="85"/>
      <c r="BZ43" s="85"/>
      <c r="CA43" s="85"/>
      <c r="CB43" s="85"/>
      <c r="CC43" s="85"/>
      <c r="CD43" s="85"/>
      <c r="CE43" s="85"/>
      <c r="CF43" s="85"/>
      <c r="CG43" s="85"/>
      <c r="CH43" s="85"/>
      <c r="CI43" s="85"/>
      <c r="CJ43" s="85"/>
      <c r="CK43" s="85"/>
      <c r="CL43" s="85"/>
      <c r="CM43" s="85"/>
      <c r="CN43" s="85"/>
      <c r="CO43" s="85"/>
      <c r="CP43" s="85"/>
      <c r="CQ43" s="85"/>
      <c r="CR43" s="85"/>
      <c r="CS43" s="85"/>
      <c r="CT43" s="85"/>
      <c r="CU43" s="85"/>
      <c r="CV43" s="85"/>
      <c r="CW43" s="85"/>
      <c r="CX43" s="85"/>
      <c r="CY43" s="84"/>
    </row>
    <row r="44" spans="1:103">
      <c r="A44" s="93">
        <v>42705</v>
      </c>
      <c r="B44" s="82">
        <f t="shared" si="2"/>
        <v>2016</v>
      </c>
      <c r="C44" s="86">
        <v>2.202</v>
      </c>
      <c r="D44" s="86">
        <v>18.580645161290324</v>
      </c>
      <c r="E44" s="86">
        <v>0.29459032258064516</v>
      </c>
      <c r="F44" s="86">
        <v>1.4428064516129031</v>
      </c>
      <c r="G44" s="86">
        <v>8.121935483870967</v>
      </c>
      <c r="H44" s="86">
        <v>13.092903225806451</v>
      </c>
      <c r="I44" s="86">
        <f t="shared" si="1"/>
        <v>43.73488064516129</v>
      </c>
      <c r="J44" s="85"/>
      <c r="K44" s="85"/>
      <c r="L44" s="85"/>
      <c r="M44" s="85"/>
      <c r="N44" s="85"/>
      <c r="O44" s="85"/>
      <c r="P44" s="85"/>
      <c r="Q44" s="85"/>
      <c r="R44" s="85"/>
      <c r="S44" s="85"/>
      <c r="T44" s="85"/>
      <c r="U44" s="85"/>
      <c r="V44" s="85"/>
      <c r="W44" s="85"/>
      <c r="X44" s="85"/>
      <c r="Y44" s="85"/>
      <c r="Z44" s="85"/>
      <c r="AA44" s="85"/>
      <c r="AB44" s="85"/>
      <c r="AC44" s="85"/>
      <c r="AD44" s="85"/>
      <c r="AE44" s="85"/>
      <c r="AF44" s="85"/>
      <c r="AG44" s="85"/>
      <c r="AH44" s="85"/>
      <c r="AI44" s="85"/>
      <c r="AJ44" s="85"/>
      <c r="AK44" s="85"/>
      <c r="AL44" s="85"/>
      <c r="AM44" s="85"/>
      <c r="AN44" s="85"/>
      <c r="AO44" s="85"/>
      <c r="AP44" s="85"/>
      <c r="AQ44" s="85"/>
      <c r="AR44" s="85"/>
      <c r="AS44" s="85"/>
      <c r="AT44" s="85"/>
      <c r="AU44" s="85"/>
      <c r="AV44" s="85"/>
      <c r="AW44" s="85"/>
      <c r="AX44" s="85"/>
      <c r="AY44" s="85"/>
      <c r="AZ44" s="85"/>
      <c r="BA44" s="85"/>
      <c r="BB44" s="85"/>
      <c r="BC44" s="85"/>
      <c r="BD44" s="85"/>
      <c r="BE44" s="85"/>
      <c r="BF44" s="85"/>
      <c r="BG44" s="85"/>
      <c r="BH44" s="85"/>
      <c r="BI44" s="85"/>
      <c r="BJ44" s="85"/>
      <c r="BK44" s="85"/>
      <c r="BL44" s="85"/>
      <c r="BM44" s="85"/>
      <c r="BN44" s="85"/>
      <c r="BO44" s="85"/>
      <c r="BP44" s="85"/>
      <c r="BQ44" s="85"/>
      <c r="BR44" s="85"/>
      <c r="BS44" s="85"/>
      <c r="BT44" s="85"/>
      <c r="BU44" s="85"/>
      <c r="BV44" s="85"/>
      <c r="BW44" s="85"/>
      <c r="BX44" s="85"/>
      <c r="BY44" s="85"/>
      <c r="BZ44" s="85"/>
      <c r="CA44" s="85"/>
      <c r="CB44" s="85"/>
      <c r="CC44" s="85"/>
      <c r="CD44" s="85"/>
      <c r="CE44" s="85"/>
      <c r="CF44" s="85"/>
      <c r="CG44" s="85"/>
      <c r="CH44" s="85"/>
      <c r="CI44" s="85"/>
      <c r="CJ44" s="85"/>
      <c r="CK44" s="85"/>
      <c r="CL44" s="85"/>
      <c r="CM44" s="85"/>
      <c r="CN44" s="85"/>
      <c r="CO44" s="85"/>
      <c r="CP44" s="85"/>
      <c r="CQ44" s="85"/>
      <c r="CR44" s="85"/>
      <c r="CS44" s="85"/>
      <c r="CT44" s="85"/>
      <c r="CU44" s="85"/>
      <c r="CV44" s="85"/>
      <c r="CW44" s="85"/>
      <c r="CX44" s="85"/>
      <c r="CY44" s="84"/>
    </row>
    <row r="45" spans="1:103">
      <c r="A45" s="93">
        <v>42736</v>
      </c>
      <c r="B45" s="82">
        <f t="shared" si="2"/>
        <v>2017</v>
      </c>
      <c r="C45" s="86">
        <v>2.3832903225806454</v>
      </c>
      <c r="D45" s="86">
        <v>18.58258064516129</v>
      </c>
      <c r="E45" s="86">
        <v>0.29177096774193551</v>
      </c>
      <c r="F45" s="86">
        <v>1.2910645161290324</v>
      </c>
      <c r="G45" s="86">
        <v>7.854516129032258</v>
      </c>
      <c r="H45" s="86">
        <v>11.842258064516129</v>
      </c>
      <c r="I45" s="86">
        <f t="shared" si="1"/>
        <v>42.245480645161294</v>
      </c>
      <c r="J45" s="85"/>
      <c r="K45" s="85"/>
      <c r="L45" s="85"/>
      <c r="M45" s="85"/>
      <c r="N45" s="85"/>
      <c r="O45" s="85"/>
      <c r="P45" s="85"/>
      <c r="Q45" s="85"/>
      <c r="R45" s="85"/>
      <c r="S45" s="85"/>
      <c r="T45" s="85"/>
      <c r="U45" s="85"/>
      <c r="V45" s="85"/>
      <c r="W45" s="85"/>
      <c r="X45" s="85"/>
      <c r="Y45" s="85"/>
      <c r="Z45" s="85"/>
      <c r="AA45" s="85"/>
      <c r="AB45" s="85"/>
      <c r="AC45" s="85"/>
      <c r="AD45" s="85"/>
      <c r="AE45" s="85"/>
      <c r="AF45" s="85"/>
      <c r="AG45" s="85"/>
      <c r="AH45" s="85"/>
      <c r="AI45" s="85"/>
      <c r="AJ45" s="85"/>
      <c r="AK45" s="85"/>
      <c r="AL45" s="85"/>
      <c r="AM45" s="85"/>
      <c r="AN45" s="85"/>
      <c r="AO45" s="85"/>
      <c r="AP45" s="85"/>
      <c r="AQ45" s="85"/>
      <c r="AR45" s="85"/>
      <c r="AS45" s="85"/>
      <c r="AT45" s="85"/>
      <c r="AU45" s="85"/>
      <c r="AV45" s="85"/>
      <c r="AW45" s="85"/>
      <c r="AX45" s="85"/>
      <c r="AY45" s="85"/>
      <c r="AZ45" s="85"/>
      <c r="BA45" s="85"/>
      <c r="BB45" s="85"/>
      <c r="BC45" s="85"/>
      <c r="BD45" s="85"/>
      <c r="BE45" s="85"/>
      <c r="BF45" s="85"/>
      <c r="BG45" s="85"/>
      <c r="BH45" s="85"/>
      <c r="BI45" s="85"/>
      <c r="BJ45" s="85"/>
      <c r="BK45" s="85"/>
      <c r="BL45" s="85"/>
      <c r="BM45" s="85"/>
      <c r="BN45" s="85"/>
      <c r="BO45" s="85"/>
      <c r="BP45" s="85"/>
      <c r="BQ45" s="85"/>
      <c r="BR45" s="85"/>
      <c r="BS45" s="85"/>
      <c r="BT45" s="85"/>
      <c r="BU45" s="85"/>
      <c r="BV45" s="85"/>
      <c r="BW45" s="85"/>
      <c r="BX45" s="85"/>
      <c r="BY45" s="85"/>
      <c r="BZ45" s="85"/>
      <c r="CA45" s="85"/>
      <c r="CB45" s="85"/>
      <c r="CC45" s="85"/>
      <c r="CD45" s="85"/>
      <c r="CE45" s="85"/>
      <c r="CF45" s="85"/>
      <c r="CG45" s="85"/>
      <c r="CH45" s="85"/>
      <c r="CI45" s="85"/>
      <c r="CJ45" s="85"/>
      <c r="CK45" s="85"/>
      <c r="CL45" s="85"/>
      <c r="CM45" s="85"/>
      <c r="CN45" s="85"/>
      <c r="CO45" s="85"/>
      <c r="CP45" s="85"/>
      <c r="CQ45" s="85"/>
      <c r="CR45" s="85"/>
      <c r="CS45" s="85"/>
      <c r="CT45" s="85"/>
      <c r="CU45" s="85"/>
      <c r="CV45" s="85"/>
      <c r="CW45" s="85"/>
      <c r="CX45" s="85"/>
      <c r="CY45" s="84"/>
    </row>
    <row r="46" spans="1:103">
      <c r="A46" s="93">
        <v>42767</v>
      </c>
      <c r="B46" s="82">
        <f t="shared" si="2"/>
        <v>2017</v>
      </c>
      <c r="C46" s="86">
        <v>1.9368214285714287</v>
      </c>
      <c r="D46" s="86">
        <v>17.514285714285712</v>
      </c>
      <c r="E46" s="86">
        <v>0.29164642857142858</v>
      </c>
      <c r="F46" s="86">
        <v>1.2443928571428573</v>
      </c>
      <c r="G46" s="86">
        <v>6.7607142857142861</v>
      </c>
      <c r="H46" s="86">
        <v>12.838928571428571</v>
      </c>
      <c r="I46" s="86">
        <f t="shared" si="1"/>
        <v>40.586789285714282</v>
      </c>
      <c r="J46" s="85"/>
      <c r="K46" s="85"/>
      <c r="L46" s="85"/>
      <c r="M46" s="85"/>
      <c r="N46" s="85"/>
      <c r="O46" s="85"/>
      <c r="P46" s="85"/>
      <c r="Q46" s="85"/>
      <c r="R46" s="85"/>
      <c r="S46" s="85"/>
      <c r="T46" s="85"/>
      <c r="U46" s="85"/>
      <c r="V46" s="85"/>
      <c r="W46" s="85"/>
      <c r="X46" s="85"/>
      <c r="Y46" s="85"/>
      <c r="Z46" s="85"/>
      <c r="AA46" s="85"/>
      <c r="AB46" s="85"/>
      <c r="AC46" s="85"/>
      <c r="AD46" s="85"/>
      <c r="AE46" s="85"/>
      <c r="AF46" s="85"/>
      <c r="AG46" s="85"/>
      <c r="AH46" s="85"/>
      <c r="AI46" s="85"/>
      <c r="AJ46" s="85"/>
      <c r="AK46" s="85"/>
      <c r="AL46" s="85"/>
      <c r="AM46" s="85"/>
      <c r="AN46" s="85"/>
      <c r="AO46" s="85"/>
      <c r="AP46" s="85"/>
      <c r="AQ46" s="85"/>
      <c r="AR46" s="85"/>
      <c r="AS46" s="85"/>
      <c r="AT46" s="85"/>
      <c r="AU46" s="85"/>
      <c r="AV46" s="85"/>
      <c r="AW46" s="85"/>
      <c r="AX46" s="85"/>
      <c r="AY46" s="85"/>
      <c r="AZ46" s="85"/>
      <c r="BA46" s="85"/>
      <c r="BB46" s="85"/>
      <c r="BC46" s="85"/>
      <c r="BD46" s="85"/>
      <c r="BE46" s="85"/>
      <c r="BF46" s="85"/>
      <c r="BG46" s="85"/>
      <c r="BH46" s="85"/>
      <c r="BI46" s="85"/>
      <c r="BJ46" s="85"/>
      <c r="BK46" s="85"/>
      <c r="BL46" s="85"/>
      <c r="BM46" s="85"/>
      <c r="BN46" s="85"/>
      <c r="BO46" s="85"/>
      <c r="BP46" s="85"/>
      <c r="BQ46" s="85"/>
      <c r="BR46" s="85"/>
      <c r="BS46" s="85"/>
      <c r="BT46" s="85"/>
      <c r="BU46" s="85"/>
      <c r="BV46" s="85"/>
      <c r="BW46" s="85"/>
      <c r="BX46" s="85"/>
      <c r="BY46" s="85"/>
      <c r="BZ46" s="85"/>
      <c r="CA46" s="85"/>
      <c r="CB46" s="85"/>
      <c r="CC46" s="85"/>
      <c r="CD46" s="85"/>
      <c r="CE46" s="85"/>
      <c r="CF46" s="85"/>
      <c r="CG46" s="85"/>
      <c r="CH46" s="85"/>
      <c r="CI46" s="85"/>
      <c r="CJ46" s="85"/>
      <c r="CK46" s="85"/>
      <c r="CL46" s="85"/>
      <c r="CM46" s="85"/>
      <c r="CN46" s="85"/>
      <c r="CO46" s="85"/>
      <c r="CP46" s="85"/>
      <c r="CQ46" s="85"/>
      <c r="CR46" s="85"/>
      <c r="CS46" s="85"/>
      <c r="CT46" s="85"/>
      <c r="CU46" s="85"/>
      <c r="CV46" s="85"/>
      <c r="CW46" s="85"/>
      <c r="CX46" s="85"/>
      <c r="CY46" s="84"/>
    </row>
    <row r="47" spans="1:103">
      <c r="A47" s="93">
        <v>42795</v>
      </c>
      <c r="B47" s="82">
        <f t="shared" si="2"/>
        <v>2017</v>
      </c>
      <c r="C47" s="86">
        <v>1.594741935483871</v>
      </c>
      <c r="D47" s="86">
        <v>17.837741935483873</v>
      </c>
      <c r="E47" s="86">
        <v>0.29243870967741936</v>
      </c>
      <c r="F47" s="86">
        <v>1.4222258064516129</v>
      </c>
      <c r="G47" s="86">
        <v>6.5699999999999994</v>
      </c>
      <c r="H47" s="86">
        <v>12.119032258064516</v>
      </c>
      <c r="I47" s="86">
        <f t="shared" si="1"/>
        <v>39.836180645161292</v>
      </c>
      <c r="J47" s="85"/>
      <c r="K47" s="85"/>
      <c r="L47" s="85"/>
      <c r="M47" s="85"/>
      <c r="N47" s="85"/>
      <c r="O47" s="85"/>
      <c r="P47" s="85"/>
      <c r="Q47" s="85"/>
      <c r="R47" s="85"/>
      <c r="S47" s="85"/>
      <c r="T47" s="85"/>
      <c r="U47" s="85"/>
      <c r="V47" s="85"/>
      <c r="W47" s="85"/>
      <c r="X47" s="85"/>
      <c r="Y47" s="85"/>
      <c r="Z47" s="85"/>
      <c r="AA47" s="85"/>
      <c r="AB47" s="85"/>
      <c r="AC47" s="85"/>
      <c r="AD47" s="85"/>
      <c r="AE47" s="85"/>
      <c r="AF47" s="85"/>
      <c r="AG47" s="85"/>
      <c r="AH47" s="85"/>
      <c r="AI47" s="85"/>
      <c r="AJ47" s="85"/>
      <c r="AK47" s="85"/>
      <c r="AL47" s="85"/>
      <c r="AM47" s="85"/>
      <c r="AN47" s="85"/>
      <c r="AO47" s="85"/>
      <c r="AP47" s="85"/>
      <c r="AQ47" s="85"/>
      <c r="AR47" s="85"/>
      <c r="AS47" s="85"/>
      <c r="AT47" s="85"/>
      <c r="AU47" s="85"/>
      <c r="AV47" s="85"/>
      <c r="AW47" s="85"/>
      <c r="AX47" s="85"/>
      <c r="AY47" s="85"/>
      <c r="AZ47" s="85"/>
      <c r="BA47" s="85"/>
      <c r="BB47" s="85"/>
      <c r="BC47" s="85"/>
      <c r="BD47" s="85"/>
      <c r="BE47" s="85"/>
      <c r="BF47" s="85"/>
      <c r="BG47" s="85"/>
      <c r="BH47" s="85"/>
      <c r="BI47" s="85"/>
      <c r="BJ47" s="85"/>
      <c r="BK47" s="85"/>
      <c r="BL47" s="85"/>
      <c r="BM47" s="85"/>
      <c r="BN47" s="85"/>
      <c r="BO47" s="85"/>
      <c r="BP47" s="85"/>
      <c r="BQ47" s="85"/>
      <c r="BR47" s="85"/>
      <c r="BS47" s="85"/>
      <c r="BT47" s="85"/>
      <c r="BU47" s="85"/>
      <c r="BV47" s="85"/>
      <c r="BW47" s="85"/>
      <c r="BX47" s="85"/>
      <c r="BY47" s="85"/>
      <c r="BZ47" s="85"/>
      <c r="CA47" s="85"/>
      <c r="CB47" s="85"/>
      <c r="CC47" s="85"/>
      <c r="CD47" s="85"/>
      <c r="CE47" s="85"/>
      <c r="CF47" s="85"/>
      <c r="CG47" s="85"/>
      <c r="CH47" s="85"/>
      <c r="CI47" s="85"/>
      <c r="CJ47" s="85"/>
      <c r="CK47" s="85"/>
      <c r="CL47" s="85"/>
      <c r="CM47" s="85"/>
      <c r="CN47" s="85"/>
      <c r="CO47" s="85"/>
      <c r="CP47" s="85"/>
      <c r="CQ47" s="85"/>
      <c r="CR47" s="85"/>
      <c r="CS47" s="85"/>
      <c r="CT47" s="85"/>
      <c r="CU47" s="85"/>
      <c r="CV47" s="85"/>
      <c r="CW47" s="85"/>
      <c r="CX47" s="85"/>
      <c r="CY47" s="84"/>
    </row>
    <row r="48" spans="1:103">
      <c r="A48" s="93">
        <v>42826</v>
      </c>
      <c r="B48" s="82">
        <f t="shared" si="2"/>
        <v>2017</v>
      </c>
      <c r="C48" s="86">
        <v>1.4450666666666665</v>
      </c>
      <c r="D48" s="86">
        <v>18.91</v>
      </c>
      <c r="E48" s="86">
        <v>0.29516333333333333</v>
      </c>
      <c r="F48" s="86">
        <v>1.5645333333333333</v>
      </c>
      <c r="G48" s="86">
        <v>6.3753333333333329</v>
      </c>
      <c r="H48" s="86">
        <v>14.28</v>
      </c>
      <c r="I48" s="86">
        <f t="shared" si="1"/>
        <v>42.870096666666669</v>
      </c>
      <c r="J48" s="85"/>
      <c r="K48" s="85"/>
      <c r="L48" s="85"/>
      <c r="M48" s="85"/>
      <c r="N48" s="85"/>
      <c r="O48" s="85"/>
      <c r="P48" s="85"/>
      <c r="Q48" s="85"/>
      <c r="R48" s="85"/>
      <c r="S48" s="85"/>
      <c r="T48" s="85"/>
      <c r="U48" s="85"/>
      <c r="V48" s="85"/>
      <c r="W48" s="85"/>
      <c r="X48" s="85"/>
      <c r="Y48" s="85"/>
      <c r="Z48" s="85"/>
      <c r="AA48" s="85"/>
      <c r="AB48" s="85"/>
      <c r="AC48" s="85"/>
      <c r="AD48" s="85"/>
      <c r="AE48" s="85"/>
      <c r="AF48" s="85"/>
      <c r="AG48" s="85"/>
      <c r="AH48" s="85"/>
      <c r="AI48" s="85"/>
      <c r="AJ48" s="85"/>
      <c r="AK48" s="85"/>
      <c r="AL48" s="85"/>
      <c r="AM48" s="85"/>
      <c r="AN48" s="85"/>
      <c r="AO48" s="85"/>
      <c r="AP48" s="85"/>
      <c r="AQ48" s="85"/>
      <c r="AR48" s="85"/>
      <c r="AS48" s="85"/>
      <c r="AT48" s="85"/>
      <c r="AU48" s="85"/>
      <c r="AV48" s="85"/>
      <c r="AW48" s="85"/>
      <c r="AX48" s="85"/>
      <c r="AY48" s="85"/>
      <c r="AZ48" s="85"/>
      <c r="BA48" s="85"/>
      <c r="BB48" s="85"/>
      <c r="BC48" s="85"/>
      <c r="BD48" s="85"/>
      <c r="BE48" s="85"/>
      <c r="BF48" s="85"/>
      <c r="BG48" s="85"/>
      <c r="BH48" s="85"/>
      <c r="BI48" s="85"/>
      <c r="BJ48" s="85"/>
      <c r="BK48" s="85"/>
      <c r="BL48" s="85"/>
      <c r="BM48" s="85"/>
      <c r="BN48" s="85"/>
      <c r="BO48" s="85"/>
      <c r="BP48" s="85"/>
      <c r="BQ48" s="85"/>
      <c r="BR48" s="85"/>
      <c r="BS48" s="85"/>
      <c r="BT48" s="85"/>
      <c r="BU48" s="85"/>
      <c r="BV48" s="85"/>
      <c r="BW48" s="85"/>
      <c r="BX48" s="85"/>
      <c r="BY48" s="85"/>
      <c r="BZ48" s="85"/>
      <c r="CA48" s="85"/>
      <c r="CB48" s="85"/>
      <c r="CC48" s="85"/>
      <c r="CD48" s="85"/>
      <c r="CE48" s="85"/>
      <c r="CF48" s="85"/>
      <c r="CG48" s="85"/>
      <c r="CH48" s="85"/>
      <c r="CI48" s="85"/>
      <c r="CJ48" s="85"/>
      <c r="CK48" s="85"/>
      <c r="CL48" s="85"/>
      <c r="CM48" s="85"/>
      <c r="CN48" s="85"/>
      <c r="CO48" s="85"/>
      <c r="CP48" s="85"/>
      <c r="CQ48" s="85"/>
      <c r="CR48" s="85"/>
      <c r="CS48" s="85"/>
      <c r="CT48" s="85"/>
      <c r="CU48" s="85"/>
      <c r="CV48" s="85"/>
      <c r="CW48" s="85"/>
      <c r="CX48" s="85"/>
      <c r="CY48" s="84"/>
    </row>
    <row r="49" spans="1:103">
      <c r="A49" s="93">
        <v>42856</v>
      </c>
      <c r="B49" s="82">
        <f t="shared" si="2"/>
        <v>2017</v>
      </c>
      <c r="C49" s="86">
        <v>2.0512580645161291</v>
      </c>
      <c r="D49" s="86">
        <v>18.920967741935481</v>
      </c>
      <c r="E49" s="86">
        <v>0.29225806451612907</v>
      </c>
      <c r="F49" s="86">
        <v>1.6401612903225806</v>
      </c>
      <c r="G49" s="86">
        <v>6.2383870967741935</v>
      </c>
      <c r="H49" s="86">
        <v>13.78483870967742</v>
      </c>
      <c r="I49" s="86">
        <f t="shared" si="1"/>
        <v>42.927870967741939</v>
      </c>
      <c r="J49" s="85"/>
      <c r="K49" s="85"/>
      <c r="L49" s="85"/>
      <c r="M49" s="85"/>
      <c r="N49" s="85"/>
      <c r="O49" s="85"/>
      <c r="P49" s="85"/>
      <c r="Q49" s="85"/>
      <c r="R49" s="85"/>
      <c r="S49" s="85"/>
      <c r="T49" s="85"/>
      <c r="U49" s="85"/>
      <c r="V49" s="85"/>
      <c r="W49" s="85"/>
      <c r="X49" s="85"/>
      <c r="Y49" s="85"/>
      <c r="Z49" s="85"/>
      <c r="AA49" s="85"/>
      <c r="AB49" s="85"/>
      <c r="AC49" s="85"/>
      <c r="AD49" s="85"/>
      <c r="AE49" s="85"/>
      <c r="AF49" s="85"/>
      <c r="AG49" s="85"/>
      <c r="AH49" s="85"/>
      <c r="AI49" s="85"/>
      <c r="AJ49" s="85"/>
      <c r="AK49" s="85"/>
      <c r="AL49" s="85"/>
      <c r="AM49" s="85"/>
      <c r="AN49" s="85"/>
      <c r="AO49" s="85"/>
      <c r="AP49" s="85"/>
      <c r="AQ49" s="85"/>
      <c r="AR49" s="85"/>
      <c r="AS49" s="85"/>
      <c r="AT49" s="85"/>
      <c r="AU49" s="85"/>
      <c r="AV49" s="85"/>
      <c r="AW49" s="85"/>
      <c r="AX49" s="85"/>
      <c r="AY49" s="85"/>
      <c r="AZ49" s="85"/>
      <c r="BA49" s="85"/>
      <c r="BB49" s="85"/>
      <c r="BC49" s="85"/>
      <c r="BD49" s="85"/>
      <c r="BE49" s="85"/>
      <c r="BF49" s="85"/>
      <c r="BG49" s="85"/>
      <c r="BH49" s="85"/>
      <c r="BI49" s="85"/>
      <c r="BJ49" s="85"/>
      <c r="BK49" s="85"/>
      <c r="BL49" s="85"/>
      <c r="BM49" s="85"/>
      <c r="BN49" s="85"/>
      <c r="BO49" s="85"/>
      <c r="BP49" s="85"/>
      <c r="BQ49" s="85"/>
      <c r="BR49" s="85"/>
      <c r="BS49" s="85"/>
      <c r="BT49" s="85"/>
      <c r="BU49" s="85"/>
      <c r="BV49" s="85"/>
      <c r="BW49" s="85"/>
      <c r="BX49" s="85"/>
      <c r="BY49" s="85"/>
      <c r="BZ49" s="85"/>
      <c r="CA49" s="85"/>
      <c r="CB49" s="85"/>
      <c r="CC49" s="85"/>
      <c r="CD49" s="85"/>
      <c r="CE49" s="85"/>
      <c r="CF49" s="85"/>
      <c r="CG49" s="85"/>
      <c r="CH49" s="85"/>
      <c r="CI49" s="85"/>
      <c r="CJ49" s="85"/>
      <c r="CK49" s="85"/>
      <c r="CL49" s="85"/>
      <c r="CM49" s="85"/>
      <c r="CN49" s="85"/>
      <c r="CO49" s="85"/>
      <c r="CP49" s="85"/>
      <c r="CQ49" s="85"/>
      <c r="CR49" s="85"/>
      <c r="CS49" s="85"/>
      <c r="CT49" s="85"/>
      <c r="CU49" s="85"/>
      <c r="CV49" s="85"/>
      <c r="CW49" s="85"/>
      <c r="CX49" s="85"/>
      <c r="CY49" s="84"/>
    </row>
    <row r="50" spans="1:103">
      <c r="A50" s="93">
        <v>42887</v>
      </c>
      <c r="B50" s="82">
        <f t="shared" si="2"/>
        <v>2017</v>
      </c>
      <c r="C50" s="86">
        <v>2.4210666666666669</v>
      </c>
      <c r="D50" s="86">
        <v>17.608666666666668</v>
      </c>
      <c r="E50" s="86">
        <v>0.29072999999999999</v>
      </c>
      <c r="F50" s="86">
        <v>1.6357999999999999</v>
      </c>
      <c r="G50" s="86">
        <v>6.7279999999999998</v>
      </c>
      <c r="H50" s="86">
        <v>12.735000000000001</v>
      </c>
      <c r="I50" s="86">
        <f t="shared" si="1"/>
        <v>41.419263333333333</v>
      </c>
      <c r="J50" s="85"/>
      <c r="K50" s="85"/>
      <c r="L50" s="85"/>
      <c r="M50" s="85"/>
      <c r="N50" s="85"/>
      <c r="O50" s="85"/>
      <c r="P50" s="85"/>
      <c r="Q50" s="85"/>
      <c r="R50" s="85"/>
      <c r="S50" s="85"/>
      <c r="T50" s="85"/>
      <c r="U50" s="85"/>
      <c r="V50" s="85"/>
      <c r="W50" s="85"/>
      <c r="X50" s="85"/>
      <c r="Y50" s="85"/>
      <c r="Z50" s="85"/>
      <c r="AA50" s="85"/>
      <c r="AB50" s="85"/>
      <c r="AC50" s="85"/>
      <c r="AD50" s="85"/>
      <c r="AE50" s="85"/>
      <c r="AF50" s="85"/>
      <c r="AG50" s="85"/>
      <c r="AH50" s="85"/>
      <c r="AI50" s="85"/>
      <c r="AJ50" s="85"/>
      <c r="AK50" s="85"/>
      <c r="AL50" s="85"/>
      <c r="AM50" s="85"/>
      <c r="AN50" s="85"/>
      <c r="AO50" s="85"/>
      <c r="AP50" s="85"/>
      <c r="AQ50" s="85"/>
      <c r="AR50" s="85"/>
      <c r="AS50" s="85"/>
      <c r="AT50" s="85"/>
      <c r="AU50" s="85"/>
      <c r="AV50" s="85"/>
      <c r="AW50" s="85"/>
      <c r="AX50" s="85"/>
      <c r="AY50" s="85"/>
      <c r="AZ50" s="85"/>
      <c r="BA50" s="85"/>
      <c r="BB50" s="85"/>
      <c r="BC50" s="85"/>
      <c r="BD50" s="85"/>
      <c r="BE50" s="85"/>
      <c r="BF50" s="85"/>
      <c r="BG50" s="85"/>
      <c r="BH50" s="85"/>
      <c r="BI50" s="85"/>
      <c r="BJ50" s="85"/>
      <c r="BK50" s="85"/>
      <c r="BL50" s="85"/>
      <c r="BM50" s="85"/>
      <c r="BN50" s="85"/>
      <c r="BO50" s="85"/>
      <c r="BP50" s="85"/>
      <c r="BQ50" s="85"/>
      <c r="BR50" s="85"/>
      <c r="BS50" s="85"/>
      <c r="BT50" s="85"/>
      <c r="BU50" s="85"/>
      <c r="BV50" s="85"/>
      <c r="BW50" s="85"/>
      <c r="BX50" s="85"/>
      <c r="BY50" s="85"/>
      <c r="BZ50" s="85"/>
      <c r="CA50" s="85"/>
      <c r="CB50" s="85"/>
      <c r="CC50" s="85"/>
      <c r="CD50" s="85"/>
      <c r="CE50" s="85"/>
      <c r="CF50" s="85"/>
      <c r="CG50" s="85"/>
      <c r="CH50" s="85"/>
      <c r="CI50" s="85"/>
      <c r="CJ50" s="85"/>
      <c r="CK50" s="85"/>
      <c r="CL50" s="85"/>
      <c r="CM50" s="85"/>
      <c r="CN50" s="85"/>
      <c r="CO50" s="85"/>
      <c r="CP50" s="85"/>
      <c r="CQ50" s="85"/>
      <c r="CR50" s="85"/>
      <c r="CS50" s="85"/>
      <c r="CT50" s="85"/>
      <c r="CU50" s="85"/>
      <c r="CV50" s="85"/>
      <c r="CW50" s="85"/>
      <c r="CX50" s="85"/>
      <c r="CY50" s="84"/>
    </row>
    <row r="51" spans="1:103">
      <c r="A51" s="93">
        <v>42917</v>
      </c>
      <c r="B51" s="82">
        <f t="shared" si="2"/>
        <v>2017</v>
      </c>
      <c r="C51" s="86">
        <v>2.4725483870967744</v>
      </c>
      <c r="D51" s="86">
        <v>17.623870967741937</v>
      </c>
      <c r="E51" s="86">
        <v>0.27165483870967744</v>
      </c>
      <c r="F51" s="86">
        <v>1.5960967741935483</v>
      </c>
      <c r="G51" s="86">
        <v>4.2764516129032257</v>
      </c>
      <c r="H51" s="86">
        <v>11.687096774193549</v>
      </c>
      <c r="I51" s="86">
        <f t="shared" si="1"/>
        <v>37.927719354838715</v>
      </c>
      <c r="J51" s="85"/>
      <c r="K51" s="85"/>
      <c r="L51" s="85"/>
      <c r="M51" s="85"/>
      <c r="N51" s="85"/>
      <c r="O51" s="85"/>
      <c r="P51" s="85"/>
      <c r="Q51" s="85"/>
      <c r="R51" s="85"/>
      <c r="S51" s="85"/>
      <c r="T51" s="85"/>
      <c r="U51" s="85"/>
      <c r="V51" s="85"/>
      <c r="W51" s="85"/>
      <c r="X51" s="85"/>
      <c r="Y51" s="85"/>
      <c r="Z51" s="85"/>
      <c r="AA51" s="85"/>
      <c r="AB51" s="85"/>
      <c r="AC51" s="85"/>
      <c r="AD51" s="85"/>
      <c r="AE51" s="85"/>
      <c r="AF51" s="85"/>
      <c r="AG51" s="85"/>
      <c r="AH51" s="85"/>
      <c r="AI51" s="85"/>
      <c r="AJ51" s="85"/>
      <c r="AK51" s="85"/>
      <c r="AL51" s="85"/>
      <c r="AM51" s="85"/>
      <c r="AN51" s="85"/>
      <c r="AO51" s="85"/>
      <c r="AP51" s="85"/>
      <c r="AQ51" s="85"/>
      <c r="AR51" s="85"/>
      <c r="AS51" s="85"/>
      <c r="AT51" s="85"/>
      <c r="AU51" s="85"/>
      <c r="AV51" s="85"/>
      <c r="AW51" s="85"/>
      <c r="AX51" s="85"/>
      <c r="AY51" s="85"/>
      <c r="AZ51" s="85"/>
      <c r="BA51" s="85"/>
      <c r="BB51" s="85"/>
      <c r="BC51" s="85"/>
      <c r="BD51" s="85"/>
      <c r="BE51" s="85"/>
      <c r="BF51" s="85"/>
      <c r="BG51" s="85"/>
      <c r="BH51" s="85"/>
      <c r="BI51" s="85"/>
      <c r="BJ51" s="85"/>
      <c r="BK51" s="85"/>
      <c r="BL51" s="85"/>
      <c r="BM51" s="85"/>
      <c r="BN51" s="85"/>
      <c r="BO51" s="85"/>
      <c r="BP51" s="85"/>
      <c r="BQ51" s="85"/>
      <c r="BR51" s="85"/>
      <c r="BS51" s="85"/>
      <c r="BT51" s="85"/>
      <c r="BU51" s="85"/>
      <c r="BV51" s="85"/>
      <c r="BW51" s="85"/>
      <c r="BX51" s="85"/>
      <c r="BY51" s="85"/>
      <c r="BZ51" s="85"/>
      <c r="CA51" s="85"/>
      <c r="CB51" s="85"/>
      <c r="CC51" s="85"/>
      <c r="CD51" s="85"/>
      <c r="CE51" s="85"/>
      <c r="CF51" s="85"/>
      <c r="CG51" s="85"/>
      <c r="CH51" s="85"/>
      <c r="CI51" s="85"/>
      <c r="CJ51" s="85"/>
      <c r="CK51" s="85"/>
      <c r="CL51" s="85"/>
      <c r="CM51" s="85"/>
      <c r="CN51" s="85"/>
      <c r="CO51" s="85"/>
      <c r="CP51" s="85"/>
      <c r="CQ51" s="85"/>
      <c r="CR51" s="85"/>
      <c r="CS51" s="85"/>
      <c r="CT51" s="85"/>
      <c r="CU51" s="85"/>
      <c r="CV51" s="85"/>
      <c r="CW51" s="85"/>
      <c r="CX51" s="85"/>
      <c r="CY51" s="84"/>
    </row>
    <row r="52" spans="1:103">
      <c r="A52" s="93">
        <v>42948</v>
      </c>
      <c r="B52" s="82">
        <f t="shared" si="2"/>
        <v>2017</v>
      </c>
      <c r="C52" s="86">
        <v>2.4672258064516126</v>
      </c>
      <c r="D52" s="86">
        <v>18.063870967741938</v>
      </c>
      <c r="E52" s="86">
        <v>0.27808709677419352</v>
      </c>
      <c r="F52" s="86">
        <v>1.5611612903225807</v>
      </c>
      <c r="G52" s="86">
        <v>4.2145161290322584</v>
      </c>
      <c r="H52" s="86">
        <v>11.834193548387097</v>
      </c>
      <c r="I52" s="86">
        <f t="shared" si="1"/>
        <v>38.419054838709677</v>
      </c>
      <c r="J52" s="85"/>
      <c r="K52" s="85"/>
      <c r="L52" s="85"/>
      <c r="M52" s="85"/>
      <c r="N52" s="85"/>
      <c r="O52" s="85"/>
      <c r="P52" s="85"/>
      <c r="Q52" s="85"/>
      <c r="R52" s="85"/>
      <c r="S52" s="85"/>
      <c r="T52" s="85"/>
      <c r="U52" s="85"/>
      <c r="V52" s="85"/>
      <c r="W52" s="85"/>
      <c r="X52" s="85"/>
      <c r="Y52" s="85"/>
      <c r="Z52" s="85"/>
      <c r="AA52" s="85"/>
      <c r="AB52" s="85"/>
      <c r="AC52" s="85"/>
      <c r="AD52" s="85"/>
      <c r="AE52" s="85"/>
      <c r="AF52" s="85"/>
      <c r="AG52" s="85"/>
      <c r="AH52" s="85"/>
      <c r="AI52" s="85"/>
      <c r="AJ52" s="85"/>
      <c r="AK52" s="85"/>
      <c r="AL52" s="85"/>
      <c r="AM52" s="85"/>
      <c r="AN52" s="85"/>
      <c r="AO52" s="85"/>
      <c r="AP52" s="85"/>
      <c r="AQ52" s="85"/>
      <c r="AR52" s="85"/>
      <c r="AS52" s="85"/>
      <c r="AT52" s="85"/>
      <c r="AU52" s="85"/>
      <c r="AV52" s="85"/>
      <c r="AW52" s="85"/>
      <c r="AX52" s="85"/>
      <c r="AY52" s="85"/>
      <c r="AZ52" s="85"/>
      <c r="BA52" s="85"/>
      <c r="BB52" s="85"/>
      <c r="BC52" s="85"/>
      <c r="BD52" s="85"/>
      <c r="BE52" s="85"/>
      <c r="BF52" s="85"/>
      <c r="BG52" s="85"/>
      <c r="BH52" s="85"/>
      <c r="BI52" s="85"/>
      <c r="BJ52" s="85"/>
      <c r="BK52" s="85"/>
      <c r="BL52" s="85"/>
      <c r="BM52" s="85"/>
      <c r="BN52" s="85"/>
      <c r="BO52" s="85"/>
      <c r="BP52" s="85"/>
      <c r="BQ52" s="85"/>
      <c r="BR52" s="85"/>
      <c r="BS52" s="85"/>
      <c r="BT52" s="85"/>
      <c r="BU52" s="85"/>
      <c r="BV52" s="85"/>
      <c r="BW52" s="85"/>
      <c r="BX52" s="85"/>
      <c r="BY52" s="85"/>
      <c r="BZ52" s="85"/>
      <c r="CA52" s="85"/>
      <c r="CB52" s="85"/>
      <c r="CC52" s="85"/>
      <c r="CD52" s="85"/>
      <c r="CE52" s="85"/>
      <c r="CF52" s="85"/>
      <c r="CG52" s="85"/>
      <c r="CH52" s="85"/>
      <c r="CI52" s="85"/>
      <c r="CJ52" s="85"/>
      <c r="CK52" s="85"/>
      <c r="CL52" s="85"/>
      <c r="CM52" s="85"/>
      <c r="CN52" s="85"/>
      <c r="CO52" s="85"/>
      <c r="CP52" s="85"/>
      <c r="CQ52" s="85"/>
      <c r="CR52" s="85"/>
      <c r="CS52" s="85"/>
      <c r="CT52" s="85"/>
      <c r="CU52" s="85"/>
      <c r="CV52" s="85"/>
      <c r="CW52" s="85"/>
      <c r="CX52" s="85"/>
      <c r="CY52" s="84"/>
    </row>
    <row r="53" spans="1:103">
      <c r="A53" s="93">
        <v>42979</v>
      </c>
      <c r="B53" s="82">
        <f t="shared" si="2"/>
        <v>2017</v>
      </c>
      <c r="C53" s="86">
        <v>2.2678666666666669</v>
      </c>
      <c r="D53" s="86">
        <v>20.975333333333332</v>
      </c>
      <c r="E53" s="86">
        <v>0.29149666666666663</v>
      </c>
      <c r="F53" s="86">
        <v>1.4599666666666666</v>
      </c>
      <c r="G53" s="86">
        <v>4.9159999999999995</v>
      </c>
      <c r="H53" s="86">
        <v>13.045999999999999</v>
      </c>
      <c r="I53" s="86">
        <f t="shared" si="1"/>
        <v>42.956663333333331</v>
      </c>
      <c r="J53" s="85"/>
      <c r="K53" s="85"/>
      <c r="L53" s="85"/>
      <c r="M53" s="85"/>
      <c r="N53" s="85"/>
      <c r="O53" s="85"/>
      <c r="P53" s="85"/>
      <c r="Q53" s="85"/>
      <c r="R53" s="85"/>
      <c r="S53" s="85"/>
      <c r="T53" s="85"/>
      <c r="U53" s="85"/>
      <c r="V53" s="85"/>
      <c r="W53" s="85"/>
      <c r="X53" s="85"/>
      <c r="Y53" s="85"/>
      <c r="Z53" s="85"/>
      <c r="AA53" s="85"/>
      <c r="AB53" s="85"/>
      <c r="AC53" s="85"/>
      <c r="AD53" s="85"/>
      <c r="AE53" s="85"/>
      <c r="AF53" s="85"/>
      <c r="AG53" s="85"/>
      <c r="AH53" s="85"/>
      <c r="AI53" s="85"/>
      <c r="AJ53" s="85"/>
      <c r="AK53" s="85"/>
      <c r="AL53" s="85"/>
      <c r="AM53" s="85"/>
      <c r="AN53" s="85"/>
      <c r="AO53" s="85"/>
      <c r="AP53" s="85"/>
      <c r="AQ53" s="85"/>
      <c r="AR53" s="85"/>
      <c r="AS53" s="85"/>
      <c r="AT53" s="85"/>
      <c r="AU53" s="85"/>
      <c r="AV53" s="85"/>
      <c r="AW53" s="85"/>
      <c r="AX53" s="85"/>
      <c r="AY53" s="85"/>
      <c r="AZ53" s="85"/>
      <c r="BA53" s="85"/>
      <c r="BB53" s="85"/>
      <c r="BC53" s="85"/>
      <c r="BD53" s="85"/>
      <c r="BE53" s="85"/>
      <c r="BF53" s="85"/>
      <c r="BG53" s="85"/>
      <c r="BH53" s="85"/>
      <c r="BI53" s="85"/>
      <c r="BJ53" s="85"/>
      <c r="BK53" s="85"/>
      <c r="BL53" s="85"/>
      <c r="BM53" s="85"/>
      <c r="BN53" s="85"/>
      <c r="BO53" s="85"/>
      <c r="BP53" s="85"/>
      <c r="BQ53" s="85"/>
      <c r="BR53" s="85"/>
      <c r="BS53" s="85"/>
      <c r="BT53" s="85"/>
      <c r="BU53" s="85"/>
      <c r="BV53" s="85"/>
      <c r="BW53" s="85"/>
      <c r="BX53" s="85"/>
      <c r="BY53" s="85"/>
      <c r="BZ53" s="85"/>
      <c r="CA53" s="85"/>
      <c r="CB53" s="85"/>
      <c r="CC53" s="85"/>
      <c r="CD53" s="85"/>
      <c r="CE53" s="85"/>
      <c r="CF53" s="85"/>
      <c r="CG53" s="85"/>
      <c r="CH53" s="85"/>
      <c r="CI53" s="85"/>
      <c r="CJ53" s="85"/>
      <c r="CK53" s="85"/>
      <c r="CL53" s="85"/>
      <c r="CM53" s="85"/>
      <c r="CN53" s="85"/>
      <c r="CO53" s="85"/>
      <c r="CP53" s="85"/>
      <c r="CQ53" s="85"/>
      <c r="CR53" s="85"/>
      <c r="CS53" s="85"/>
      <c r="CT53" s="85"/>
      <c r="CU53" s="85"/>
      <c r="CV53" s="85"/>
      <c r="CW53" s="85"/>
      <c r="CX53" s="85"/>
      <c r="CY53" s="84"/>
    </row>
    <row r="54" spans="1:103">
      <c r="A54" s="93">
        <v>43009</v>
      </c>
      <c r="B54" s="82">
        <f t="shared" si="2"/>
        <v>2017</v>
      </c>
      <c r="C54" s="86">
        <v>2.4041935483870969</v>
      </c>
      <c r="D54" s="86">
        <v>20.943225806451615</v>
      </c>
      <c r="E54" s="86">
        <v>0.27997096774193547</v>
      </c>
      <c r="F54" s="86">
        <v>1.5537741935483871</v>
      </c>
      <c r="G54" s="86">
        <v>5.8348387096774195</v>
      </c>
      <c r="H54" s="86">
        <v>13.461290322580645</v>
      </c>
      <c r="I54" s="86">
        <f t="shared" si="1"/>
        <v>44.477293548387102</v>
      </c>
      <c r="J54" s="85"/>
      <c r="K54" s="85"/>
      <c r="L54" s="85"/>
      <c r="M54" s="85"/>
      <c r="N54" s="85"/>
      <c r="O54" s="85"/>
      <c r="P54" s="85"/>
      <c r="Q54" s="85"/>
      <c r="R54" s="85"/>
      <c r="S54" s="85"/>
      <c r="T54" s="85"/>
      <c r="U54" s="85"/>
      <c r="V54" s="85"/>
      <c r="W54" s="85"/>
      <c r="X54" s="85"/>
      <c r="Y54" s="85"/>
      <c r="Z54" s="85"/>
      <c r="AA54" s="85"/>
      <c r="AB54" s="85"/>
      <c r="AC54" s="85"/>
      <c r="AD54" s="85"/>
      <c r="AE54" s="85"/>
      <c r="AF54" s="85"/>
      <c r="AG54" s="85"/>
      <c r="AH54" s="85"/>
      <c r="AI54" s="85"/>
      <c r="AJ54" s="85"/>
      <c r="AK54" s="85"/>
      <c r="AL54" s="85"/>
      <c r="AM54" s="85"/>
      <c r="AN54" s="85"/>
      <c r="AO54" s="85"/>
      <c r="AP54" s="85"/>
      <c r="AQ54" s="85"/>
      <c r="AR54" s="85"/>
      <c r="AS54" s="85"/>
      <c r="AT54" s="85"/>
      <c r="AU54" s="85"/>
      <c r="AV54" s="85"/>
      <c r="AW54" s="85"/>
      <c r="AX54" s="85"/>
      <c r="AY54" s="85"/>
      <c r="AZ54" s="85"/>
      <c r="BA54" s="85"/>
      <c r="BB54" s="85"/>
      <c r="BC54" s="85"/>
      <c r="BD54" s="85"/>
      <c r="BE54" s="85"/>
      <c r="BF54" s="85"/>
      <c r="BG54" s="85"/>
      <c r="BH54" s="85"/>
      <c r="BI54" s="85"/>
      <c r="BJ54" s="85"/>
      <c r="BK54" s="85"/>
      <c r="BL54" s="85"/>
      <c r="BM54" s="85"/>
      <c r="BN54" s="85"/>
      <c r="BO54" s="85"/>
      <c r="BP54" s="85"/>
      <c r="BQ54" s="85"/>
      <c r="BR54" s="85"/>
      <c r="BS54" s="85"/>
      <c r="BT54" s="85"/>
      <c r="BU54" s="85"/>
      <c r="BV54" s="85"/>
      <c r="BW54" s="85"/>
      <c r="BX54" s="85"/>
      <c r="BY54" s="85"/>
      <c r="BZ54" s="85"/>
      <c r="CA54" s="85"/>
      <c r="CB54" s="85"/>
      <c r="CC54" s="85"/>
      <c r="CD54" s="85"/>
      <c r="CE54" s="85"/>
      <c r="CF54" s="85"/>
      <c r="CG54" s="85"/>
      <c r="CH54" s="85"/>
      <c r="CI54" s="85"/>
      <c r="CJ54" s="85"/>
      <c r="CK54" s="85"/>
      <c r="CL54" s="85"/>
      <c r="CM54" s="85"/>
      <c r="CN54" s="85"/>
      <c r="CO54" s="85"/>
      <c r="CP54" s="85"/>
      <c r="CQ54" s="85"/>
      <c r="CR54" s="85"/>
      <c r="CS54" s="85"/>
      <c r="CT54" s="85"/>
      <c r="CU54" s="85"/>
      <c r="CV54" s="85"/>
      <c r="CW54" s="85"/>
      <c r="CX54" s="85"/>
      <c r="CY54" s="84"/>
    </row>
    <row r="55" spans="1:103">
      <c r="A55" s="93">
        <v>43040</v>
      </c>
      <c r="B55" s="82">
        <f t="shared" si="2"/>
        <v>2017</v>
      </c>
      <c r="C55" s="86">
        <v>2.0918333333333332</v>
      </c>
      <c r="D55" s="86">
        <v>20.840666666666667</v>
      </c>
      <c r="E55" s="86">
        <v>0.27394333333333332</v>
      </c>
      <c r="F55" s="86">
        <v>1.5743666666666667</v>
      </c>
      <c r="G55" s="86">
        <v>7.6073333333333331</v>
      </c>
      <c r="H55" s="86">
        <v>13.789333333333333</v>
      </c>
      <c r="I55" s="86">
        <f t="shared" si="1"/>
        <v>46.177476666666664</v>
      </c>
      <c r="J55" s="85"/>
      <c r="K55" s="85"/>
      <c r="L55" s="85"/>
      <c r="M55" s="85"/>
      <c r="N55" s="85"/>
      <c r="O55" s="85"/>
      <c r="P55" s="85"/>
      <c r="Q55" s="85"/>
      <c r="R55" s="85"/>
      <c r="S55" s="85"/>
      <c r="T55" s="85"/>
      <c r="U55" s="85"/>
      <c r="V55" s="85"/>
      <c r="W55" s="85"/>
      <c r="X55" s="85"/>
      <c r="Y55" s="85"/>
      <c r="Z55" s="85"/>
      <c r="AA55" s="85"/>
      <c r="AB55" s="85"/>
      <c r="AC55" s="85"/>
      <c r="AD55" s="85"/>
      <c r="AE55" s="85"/>
      <c r="AF55" s="85"/>
      <c r="AG55" s="85"/>
      <c r="AH55" s="85"/>
      <c r="AI55" s="85"/>
      <c r="AJ55" s="85"/>
      <c r="AK55" s="85"/>
      <c r="AL55" s="85"/>
      <c r="AM55" s="85"/>
      <c r="AN55" s="85"/>
      <c r="AO55" s="85"/>
      <c r="AP55" s="85"/>
      <c r="AQ55" s="85"/>
      <c r="AR55" s="85"/>
      <c r="AS55" s="85"/>
      <c r="AT55" s="85"/>
      <c r="AU55" s="85"/>
      <c r="AV55" s="85"/>
      <c r="AW55" s="85"/>
      <c r="AX55" s="85"/>
      <c r="AY55" s="85"/>
      <c r="AZ55" s="85"/>
      <c r="BA55" s="85"/>
      <c r="BB55" s="85"/>
      <c r="BC55" s="85"/>
      <c r="BD55" s="85"/>
      <c r="BE55" s="85"/>
      <c r="BF55" s="85"/>
      <c r="BG55" s="85"/>
      <c r="BH55" s="85"/>
      <c r="BI55" s="85"/>
      <c r="BJ55" s="85"/>
      <c r="BK55" s="85"/>
      <c r="BL55" s="85"/>
      <c r="BM55" s="85"/>
      <c r="BN55" s="85"/>
      <c r="BO55" s="85"/>
      <c r="BP55" s="85"/>
      <c r="BQ55" s="85"/>
      <c r="BR55" s="85"/>
      <c r="BS55" s="85"/>
      <c r="BT55" s="85"/>
      <c r="BU55" s="85"/>
      <c r="BV55" s="85"/>
      <c r="BW55" s="85"/>
      <c r="BX55" s="85"/>
      <c r="BY55" s="85"/>
      <c r="BZ55" s="85"/>
      <c r="CA55" s="85"/>
      <c r="CB55" s="85"/>
      <c r="CC55" s="85"/>
      <c r="CD55" s="85"/>
      <c r="CE55" s="85"/>
      <c r="CF55" s="85"/>
      <c r="CG55" s="85"/>
      <c r="CH55" s="85"/>
      <c r="CI55" s="85"/>
      <c r="CJ55" s="85"/>
      <c r="CK55" s="85"/>
      <c r="CL55" s="85"/>
      <c r="CM55" s="85"/>
      <c r="CN55" s="85"/>
      <c r="CO55" s="85"/>
      <c r="CP55" s="85"/>
      <c r="CQ55" s="85"/>
      <c r="CR55" s="85"/>
      <c r="CS55" s="85"/>
      <c r="CT55" s="85"/>
      <c r="CU55" s="85"/>
      <c r="CV55" s="85"/>
      <c r="CW55" s="85"/>
      <c r="CX55" s="85"/>
      <c r="CY55" s="84"/>
    </row>
    <row r="56" spans="1:103">
      <c r="A56" s="93">
        <v>43070</v>
      </c>
      <c r="B56" s="82">
        <f t="shared" si="2"/>
        <v>2017</v>
      </c>
      <c r="C56" s="86">
        <v>2.2555483870967743</v>
      </c>
      <c r="D56" s="86">
        <v>18.775161290322579</v>
      </c>
      <c r="E56" s="86">
        <v>0.29573870967741933</v>
      </c>
      <c r="F56" s="86">
        <v>1.4645161290322579</v>
      </c>
      <c r="G56" s="86">
        <v>8.4890322580645172</v>
      </c>
      <c r="H56" s="86">
        <v>13.062903225806451</v>
      </c>
      <c r="I56" s="86">
        <f t="shared" si="1"/>
        <v>44.3429</v>
      </c>
      <c r="J56" s="85"/>
      <c r="K56" s="85"/>
      <c r="L56" s="85"/>
      <c r="M56" s="85"/>
      <c r="N56" s="85"/>
      <c r="O56" s="85"/>
      <c r="P56" s="85"/>
      <c r="Q56" s="85"/>
      <c r="R56" s="85"/>
      <c r="S56" s="85"/>
      <c r="T56" s="85"/>
      <c r="U56" s="85"/>
      <c r="V56" s="85"/>
      <c r="W56" s="85"/>
      <c r="X56" s="85"/>
      <c r="Y56" s="85"/>
      <c r="Z56" s="85"/>
      <c r="AA56" s="85"/>
      <c r="AB56" s="85"/>
      <c r="AC56" s="85"/>
      <c r="AD56" s="85"/>
      <c r="AE56" s="85"/>
      <c r="AF56" s="85"/>
      <c r="AG56" s="85"/>
      <c r="AH56" s="85"/>
      <c r="AI56" s="85"/>
      <c r="AJ56" s="85"/>
      <c r="AK56" s="85"/>
      <c r="AL56" s="85"/>
      <c r="AM56" s="85"/>
      <c r="AN56" s="85"/>
      <c r="AO56" s="85"/>
      <c r="AP56" s="85"/>
      <c r="AQ56" s="85"/>
      <c r="AR56" s="85"/>
      <c r="AS56" s="85"/>
      <c r="AT56" s="85"/>
      <c r="AU56" s="85"/>
      <c r="AV56" s="85"/>
      <c r="AW56" s="85"/>
      <c r="AX56" s="85"/>
      <c r="AY56" s="85"/>
      <c r="AZ56" s="85"/>
      <c r="BA56" s="85"/>
      <c r="BB56" s="85"/>
      <c r="BC56" s="85"/>
      <c r="BD56" s="85"/>
      <c r="BE56" s="85"/>
      <c r="BF56" s="85"/>
      <c r="BG56" s="85"/>
      <c r="BH56" s="85"/>
      <c r="BI56" s="85"/>
      <c r="BJ56" s="85"/>
      <c r="BK56" s="85"/>
      <c r="BL56" s="85"/>
      <c r="BM56" s="85"/>
      <c r="BN56" s="85"/>
      <c r="BO56" s="85"/>
      <c r="BP56" s="85"/>
      <c r="BQ56" s="85"/>
      <c r="BR56" s="85"/>
      <c r="BS56" s="85"/>
      <c r="BT56" s="85"/>
      <c r="BU56" s="85"/>
      <c r="BV56" s="85"/>
      <c r="BW56" s="85"/>
      <c r="BX56" s="85"/>
      <c r="BY56" s="85"/>
      <c r="BZ56" s="85"/>
      <c r="CA56" s="85"/>
      <c r="CB56" s="85"/>
      <c r="CC56" s="85"/>
      <c r="CD56" s="85"/>
      <c r="CE56" s="85"/>
      <c r="CF56" s="85"/>
      <c r="CG56" s="85"/>
      <c r="CH56" s="85"/>
      <c r="CI56" s="85"/>
      <c r="CJ56" s="85"/>
      <c r="CK56" s="85"/>
      <c r="CL56" s="85"/>
      <c r="CM56" s="85"/>
      <c r="CN56" s="85"/>
      <c r="CO56" s="85"/>
      <c r="CP56" s="85"/>
      <c r="CQ56" s="85"/>
      <c r="CR56" s="85"/>
      <c r="CS56" s="85"/>
      <c r="CT56" s="85"/>
      <c r="CU56" s="85"/>
      <c r="CV56" s="85"/>
      <c r="CW56" s="85"/>
      <c r="CX56" s="85"/>
      <c r="CY56" s="84"/>
    </row>
    <row r="57" spans="1:103">
      <c r="A57" s="93">
        <v>43101</v>
      </c>
      <c r="B57" s="82">
        <f t="shared" si="2"/>
        <v>2018</v>
      </c>
      <c r="C57" s="86">
        <v>2.1590322580645163</v>
      </c>
      <c r="D57" s="86">
        <v>18.048709677419353</v>
      </c>
      <c r="E57" s="86">
        <v>0.2823225806451613</v>
      </c>
      <c r="F57" s="86">
        <v>1.2908064516129032</v>
      </c>
      <c r="G57" s="86">
        <v>7.7161290322580642</v>
      </c>
      <c r="H57" s="86">
        <v>13.132580645161291</v>
      </c>
      <c r="I57" s="86">
        <f t="shared" si="1"/>
        <v>42.629580645161283</v>
      </c>
      <c r="J57" s="85"/>
      <c r="K57" s="85"/>
      <c r="L57" s="85"/>
      <c r="M57" s="85"/>
      <c r="N57" s="85"/>
      <c r="O57" s="85"/>
      <c r="P57" s="85"/>
      <c r="Q57" s="85"/>
      <c r="R57" s="85"/>
      <c r="S57" s="85"/>
      <c r="T57" s="85"/>
      <c r="U57" s="85"/>
      <c r="V57" s="85"/>
      <c r="W57" s="85"/>
      <c r="X57" s="85"/>
      <c r="Y57" s="85"/>
      <c r="Z57" s="85"/>
      <c r="AA57" s="85"/>
      <c r="AB57" s="85"/>
      <c r="AC57" s="85"/>
      <c r="AD57" s="85"/>
      <c r="AE57" s="85"/>
      <c r="AF57" s="85"/>
      <c r="AG57" s="85"/>
      <c r="AH57" s="85"/>
      <c r="AI57" s="85"/>
      <c r="AJ57" s="85"/>
      <c r="AK57" s="85"/>
      <c r="AL57" s="85"/>
      <c r="AM57" s="85"/>
      <c r="AN57" s="85"/>
      <c r="AO57" s="85"/>
      <c r="AP57" s="85"/>
      <c r="AQ57" s="85"/>
      <c r="AR57" s="85"/>
      <c r="AS57" s="85"/>
      <c r="AT57" s="85"/>
      <c r="AU57" s="85"/>
      <c r="AV57" s="85"/>
      <c r="AW57" s="85"/>
      <c r="AX57" s="85"/>
      <c r="AY57" s="85"/>
      <c r="AZ57" s="85"/>
      <c r="BA57" s="85"/>
      <c r="BB57" s="85"/>
      <c r="BC57" s="85"/>
      <c r="BD57" s="85"/>
      <c r="BE57" s="85"/>
      <c r="BF57" s="85"/>
      <c r="BG57" s="85"/>
      <c r="BH57" s="85"/>
      <c r="BI57" s="85"/>
      <c r="BJ57" s="85"/>
      <c r="BK57" s="85"/>
      <c r="BL57" s="85"/>
      <c r="BM57" s="85"/>
      <c r="BN57" s="85"/>
      <c r="BO57" s="85"/>
      <c r="BP57" s="85"/>
      <c r="BQ57" s="85"/>
      <c r="BR57" s="85"/>
      <c r="BS57" s="85"/>
      <c r="BT57" s="85"/>
      <c r="BU57" s="85"/>
      <c r="BV57" s="85"/>
      <c r="BW57" s="85"/>
      <c r="BX57" s="85"/>
      <c r="BY57" s="85"/>
      <c r="BZ57" s="85"/>
      <c r="CA57" s="85"/>
      <c r="CB57" s="85"/>
      <c r="CC57" s="85"/>
      <c r="CD57" s="85"/>
      <c r="CE57" s="85"/>
      <c r="CF57" s="85"/>
      <c r="CG57" s="85"/>
      <c r="CH57" s="85"/>
      <c r="CI57" s="85"/>
      <c r="CJ57" s="85"/>
      <c r="CK57" s="85"/>
      <c r="CL57" s="85"/>
      <c r="CM57" s="85"/>
      <c r="CN57" s="85"/>
      <c r="CO57" s="85"/>
      <c r="CP57" s="85"/>
      <c r="CQ57" s="85"/>
      <c r="CR57" s="85"/>
      <c r="CS57" s="85"/>
      <c r="CT57" s="85"/>
      <c r="CU57" s="85"/>
      <c r="CV57" s="85"/>
      <c r="CW57" s="85"/>
      <c r="CX57" s="85"/>
      <c r="CY57" s="84"/>
    </row>
    <row r="58" spans="1:103">
      <c r="A58" s="93">
        <v>43132</v>
      </c>
      <c r="B58" s="82">
        <f t="shared" si="2"/>
        <v>2018</v>
      </c>
      <c r="C58" s="86">
        <v>1.82</v>
      </c>
      <c r="D58" s="86">
        <v>17.935357142857143</v>
      </c>
      <c r="E58" s="86">
        <v>0.28899285714285711</v>
      </c>
      <c r="F58" s="86">
        <v>1.3194642857142858</v>
      </c>
      <c r="G58" s="86">
        <v>5.9164285714285709</v>
      </c>
      <c r="H58" s="86">
        <v>11.988571428571429</v>
      </c>
      <c r="I58" s="86">
        <f t="shared" si="1"/>
        <v>39.268814285714285</v>
      </c>
      <c r="J58" s="85"/>
      <c r="K58" s="85"/>
      <c r="L58" s="85"/>
      <c r="M58" s="85"/>
      <c r="N58" s="85"/>
      <c r="O58" s="85"/>
      <c r="P58" s="85"/>
      <c r="Q58" s="85"/>
      <c r="R58" s="85"/>
      <c r="S58" s="85"/>
      <c r="T58" s="85"/>
      <c r="U58" s="85"/>
      <c r="V58" s="85"/>
      <c r="W58" s="85"/>
      <c r="X58" s="85"/>
      <c r="Y58" s="85"/>
      <c r="Z58" s="85"/>
      <c r="AA58" s="85"/>
      <c r="AB58" s="85"/>
      <c r="AC58" s="85"/>
      <c r="AD58" s="85"/>
      <c r="AE58" s="85"/>
      <c r="AF58" s="85"/>
      <c r="AG58" s="85"/>
      <c r="AH58" s="85"/>
      <c r="AI58" s="85"/>
      <c r="AJ58" s="85"/>
      <c r="AK58" s="85"/>
      <c r="AL58" s="85"/>
      <c r="AM58" s="85"/>
      <c r="AN58" s="85"/>
      <c r="AO58" s="85"/>
      <c r="AP58" s="85"/>
      <c r="AQ58" s="85"/>
      <c r="AR58" s="85"/>
      <c r="AS58" s="85"/>
      <c r="AT58" s="85"/>
      <c r="AU58" s="85"/>
      <c r="AV58" s="85"/>
      <c r="AW58" s="85"/>
      <c r="AX58" s="85"/>
      <c r="AY58" s="85"/>
      <c r="AZ58" s="85"/>
      <c r="BA58" s="85"/>
      <c r="BB58" s="85"/>
      <c r="BC58" s="85"/>
      <c r="BD58" s="85"/>
      <c r="BE58" s="85"/>
      <c r="BF58" s="85"/>
      <c r="BG58" s="85"/>
      <c r="BH58" s="85"/>
      <c r="BI58" s="85"/>
      <c r="BJ58" s="85"/>
      <c r="BK58" s="85"/>
      <c r="BL58" s="85"/>
      <c r="BM58" s="85"/>
      <c r="BN58" s="85"/>
      <c r="BO58" s="85"/>
      <c r="BP58" s="85"/>
      <c r="BQ58" s="85"/>
      <c r="BR58" s="85"/>
      <c r="BS58" s="85"/>
      <c r="BT58" s="85"/>
      <c r="BU58" s="85"/>
      <c r="BV58" s="85"/>
      <c r="BW58" s="85"/>
      <c r="BX58" s="85"/>
      <c r="BY58" s="85"/>
      <c r="BZ58" s="85"/>
      <c r="CA58" s="85"/>
      <c r="CB58" s="85"/>
      <c r="CC58" s="85"/>
      <c r="CD58" s="85"/>
      <c r="CE58" s="85"/>
      <c r="CF58" s="85"/>
      <c r="CG58" s="85"/>
      <c r="CH58" s="85"/>
      <c r="CI58" s="85"/>
      <c r="CJ58" s="85"/>
      <c r="CK58" s="85"/>
      <c r="CL58" s="85"/>
      <c r="CM58" s="85"/>
      <c r="CN58" s="85"/>
      <c r="CO58" s="85"/>
      <c r="CP58" s="85"/>
      <c r="CQ58" s="85"/>
      <c r="CR58" s="85"/>
      <c r="CS58" s="85"/>
      <c r="CT58" s="85"/>
      <c r="CU58" s="85"/>
      <c r="CV58" s="85"/>
      <c r="CW58" s="85"/>
      <c r="CX58" s="85"/>
      <c r="CY58" s="84"/>
    </row>
    <row r="59" spans="1:103">
      <c r="A59" s="93">
        <v>43160</v>
      </c>
      <c r="B59" s="82">
        <f t="shared" si="2"/>
        <v>2018</v>
      </c>
      <c r="C59" s="86">
        <v>1.4749354838709676</v>
      </c>
      <c r="D59" s="86">
        <v>17.294838709677418</v>
      </c>
      <c r="E59" s="86">
        <v>0.29126774193548383</v>
      </c>
      <c r="F59" s="86">
        <v>1.3934516129032259</v>
      </c>
      <c r="G59" s="86">
        <v>7.0109677419354837</v>
      </c>
      <c r="H59" s="86">
        <v>11.315483870967741</v>
      </c>
      <c r="I59" s="86">
        <f t="shared" si="1"/>
        <v>38.780945161290326</v>
      </c>
      <c r="J59" s="85"/>
      <c r="K59" s="85"/>
      <c r="L59" s="85"/>
      <c r="M59" s="85"/>
      <c r="N59" s="85"/>
      <c r="O59" s="85"/>
      <c r="P59" s="85"/>
      <c r="Q59" s="85"/>
      <c r="R59" s="85"/>
      <c r="S59" s="85"/>
      <c r="T59" s="85"/>
      <c r="U59" s="85"/>
      <c r="V59" s="85"/>
      <c r="W59" s="85"/>
      <c r="X59" s="85"/>
      <c r="Y59" s="85"/>
      <c r="Z59" s="85"/>
      <c r="AA59" s="85"/>
      <c r="AB59" s="85"/>
      <c r="AC59" s="85"/>
      <c r="AD59" s="85"/>
      <c r="AE59" s="85"/>
      <c r="AF59" s="85"/>
      <c r="AG59" s="85"/>
      <c r="AH59" s="85"/>
      <c r="AI59" s="85"/>
      <c r="AJ59" s="85"/>
      <c r="AK59" s="85"/>
      <c r="AL59" s="85"/>
      <c r="AM59" s="85"/>
      <c r="AN59" s="85"/>
      <c r="AO59" s="85"/>
      <c r="AP59" s="85"/>
      <c r="AQ59" s="85"/>
      <c r="AR59" s="85"/>
      <c r="AS59" s="85"/>
      <c r="AT59" s="85"/>
      <c r="AU59" s="85"/>
      <c r="AV59" s="85"/>
      <c r="AW59" s="85"/>
      <c r="AX59" s="85"/>
      <c r="AY59" s="85"/>
      <c r="AZ59" s="85"/>
      <c r="BA59" s="85"/>
      <c r="BB59" s="85"/>
      <c r="BC59" s="85"/>
      <c r="BD59" s="85"/>
      <c r="BE59" s="85"/>
      <c r="BF59" s="85"/>
      <c r="BG59" s="85"/>
      <c r="BH59" s="85"/>
      <c r="BI59" s="85"/>
      <c r="BJ59" s="85"/>
      <c r="BK59" s="85"/>
      <c r="BL59" s="85"/>
      <c r="BM59" s="85"/>
      <c r="BN59" s="85"/>
      <c r="BO59" s="85"/>
      <c r="BP59" s="85"/>
      <c r="BQ59" s="85"/>
      <c r="BR59" s="85"/>
      <c r="BS59" s="85"/>
      <c r="BT59" s="85"/>
      <c r="BU59" s="85"/>
      <c r="BV59" s="85"/>
      <c r="BW59" s="85"/>
      <c r="BX59" s="85"/>
      <c r="BY59" s="85"/>
      <c r="BZ59" s="85"/>
      <c r="CA59" s="85"/>
      <c r="CB59" s="85"/>
      <c r="CC59" s="85"/>
      <c r="CD59" s="85"/>
      <c r="CE59" s="85"/>
      <c r="CF59" s="85"/>
      <c r="CG59" s="85"/>
      <c r="CH59" s="85"/>
      <c r="CI59" s="85"/>
      <c r="CJ59" s="85"/>
      <c r="CK59" s="85"/>
      <c r="CL59" s="85"/>
      <c r="CM59" s="85"/>
      <c r="CN59" s="85"/>
      <c r="CO59" s="85"/>
      <c r="CP59" s="85"/>
      <c r="CQ59" s="85"/>
      <c r="CR59" s="85"/>
      <c r="CS59" s="85"/>
      <c r="CT59" s="85"/>
      <c r="CU59" s="85"/>
      <c r="CV59" s="85"/>
      <c r="CW59" s="85"/>
      <c r="CX59" s="85"/>
      <c r="CY59" s="84"/>
    </row>
    <row r="60" spans="1:103">
      <c r="A60" s="93">
        <v>43191</v>
      </c>
      <c r="B60" s="82">
        <f t="shared" si="2"/>
        <v>2018</v>
      </c>
      <c r="C60" s="86">
        <v>1.4595666666666667</v>
      </c>
      <c r="D60" s="86">
        <v>19.298999999999999</v>
      </c>
      <c r="E60" s="86">
        <v>0.29587333333333338</v>
      </c>
      <c r="F60" s="86">
        <v>1.5253000000000001</v>
      </c>
      <c r="G60" s="86">
        <v>6.8603333333333332</v>
      </c>
      <c r="H60" s="86">
        <v>14.657999999999999</v>
      </c>
      <c r="I60" s="86">
        <f t="shared" si="1"/>
        <v>44.098073333333332</v>
      </c>
      <c r="J60" s="85"/>
      <c r="K60" s="85"/>
      <c r="L60" s="85"/>
      <c r="M60" s="85"/>
      <c r="N60" s="85"/>
      <c r="O60" s="85"/>
      <c r="P60" s="85"/>
      <c r="Q60" s="85"/>
      <c r="R60" s="85"/>
      <c r="S60" s="85"/>
      <c r="T60" s="85"/>
      <c r="U60" s="85"/>
      <c r="V60" s="85"/>
      <c r="W60" s="85"/>
      <c r="X60" s="85"/>
      <c r="Y60" s="85"/>
      <c r="Z60" s="85"/>
      <c r="AA60" s="85"/>
      <c r="AB60" s="85"/>
      <c r="AC60" s="85"/>
      <c r="AD60" s="85"/>
      <c r="AE60" s="85"/>
      <c r="AF60" s="85"/>
      <c r="AG60" s="85"/>
      <c r="AH60" s="85"/>
      <c r="AI60" s="85"/>
      <c r="AJ60" s="85"/>
      <c r="AK60" s="85"/>
      <c r="AL60" s="85"/>
      <c r="AM60" s="85"/>
      <c r="AN60" s="85"/>
      <c r="AO60" s="85"/>
      <c r="AP60" s="85"/>
      <c r="AQ60" s="85"/>
      <c r="AR60" s="85"/>
      <c r="AS60" s="85"/>
      <c r="AT60" s="85"/>
      <c r="AU60" s="85"/>
      <c r="AV60" s="85"/>
      <c r="AW60" s="85"/>
      <c r="AX60" s="85"/>
      <c r="AY60" s="85"/>
      <c r="AZ60" s="85"/>
      <c r="BA60" s="85"/>
      <c r="BB60" s="85"/>
      <c r="BC60" s="85"/>
      <c r="BD60" s="85"/>
      <c r="BE60" s="85"/>
      <c r="BF60" s="85"/>
      <c r="BG60" s="85"/>
      <c r="BH60" s="85"/>
      <c r="BI60" s="85"/>
      <c r="BJ60" s="85"/>
      <c r="BK60" s="85"/>
      <c r="BL60" s="85"/>
      <c r="BM60" s="85"/>
      <c r="BN60" s="85"/>
      <c r="BO60" s="85"/>
      <c r="BP60" s="85"/>
      <c r="BQ60" s="85"/>
      <c r="BR60" s="85"/>
      <c r="BS60" s="85"/>
      <c r="BT60" s="85"/>
      <c r="BU60" s="85"/>
      <c r="BV60" s="85"/>
      <c r="BW60" s="85"/>
      <c r="BX60" s="85"/>
      <c r="BY60" s="85"/>
      <c r="BZ60" s="85"/>
      <c r="CA60" s="85"/>
      <c r="CB60" s="85"/>
      <c r="CC60" s="85"/>
      <c r="CD60" s="85"/>
      <c r="CE60" s="85"/>
      <c r="CF60" s="85"/>
      <c r="CG60" s="85"/>
      <c r="CH60" s="85"/>
      <c r="CI60" s="85"/>
      <c r="CJ60" s="85"/>
      <c r="CK60" s="85"/>
      <c r="CL60" s="85"/>
      <c r="CM60" s="85"/>
      <c r="CN60" s="85"/>
      <c r="CO60" s="85"/>
      <c r="CP60" s="85"/>
      <c r="CQ60" s="85"/>
      <c r="CR60" s="85"/>
      <c r="CS60" s="85"/>
      <c r="CT60" s="85"/>
      <c r="CU60" s="85"/>
      <c r="CV60" s="85"/>
      <c r="CW60" s="85"/>
      <c r="CX60" s="85"/>
      <c r="CY60" s="84"/>
    </row>
    <row r="61" spans="1:103">
      <c r="A61" s="93">
        <v>43221</v>
      </c>
      <c r="B61" s="82">
        <f t="shared" si="2"/>
        <v>2018</v>
      </c>
      <c r="C61" s="86">
        <v>2.0072903225806451</v>
      </c>
      <c r="D61" s="86">
        <v>18.174516129032256</v>
      </c>
      <c r="E61" s="86">
        <v>0.29611290322580647</v>
      </c>
      <c r="F61" s="86">
        <v>1.6318064516129032</v>
      </c>
      <c r="G61" s="86">
        <v>6.5487096774193549</v>
      </c>
      <c r="H61" s="86">
        <v>15.215483870967741</v>
      </c>
      <c r="I61" s="86">
        <f t="shared" si="1"/>
        <v>43.873919354838705</v>
      </c>
      <c r="J61" s="85"/>
      <c r="K61" s="85"/>
      <c r="L61" s="85"/>
      <c r="M61" s="85"/>
      <c r="N61" s="85"/>
      <c r="O61" s="85"/>
      <c r="P61" s="85"/>
      <c r="Q61" s="85"/>
      <c r="R61" s="85"/>
      <c r="S61" s="85"/>
      <c r="T61" s="85"/>
      <c r="U61" s="85"/>
      <c r="V61" s="85"/>
      <c r="W61" s="85"/>
      <c r="X61" s="85"/>
      <c r="Y61" s="85"/>
      <c r="Z61" s="85"/>
      <c r="AA61" s="85"/>
      <c r="AB61" s="85"/>
      <c r="AC61" s="85"/>
      <c r="AD61" s="85"/>
      <c r="AE61" s="85"/>
      <c r="AF61" s="85"/>
      <c r="AG61" s="85"/>
      <c r="AH61" s="85"/>
      <c r="AI61" s="85"/>
      <c r="AJ61" s="85"/>
      <c r="AK61" s="85"/>
      <c r="AL61" s="85"/>
      <c r="AM61" s="85"/>
      <c r="AN61" s="85"/>
      <c r="AO61" s="85"/>
      <c r="AP61" s="85"/>
      <c r="AQ61" s="85"/>
      <c r="AR61" s="85"/>
      <c r="AS61" s="85"/>
      <c r="AT61" s="85"/>
      <c r="AU61" s="85"/>
      <c r="AV61" s="85"/>
      <c r="AW61" s="85"/>
      <c r="AX61" s="85"/>
      <c r="AY61" s="85"/>
      <c r="AZ61" s="85"/>
      <c r="BA61" s="85"/>
      <c r="BB61" s="85"/>
      <c r="BC61" s="85"/>
      <c r="BD61" s="85"/>
      <c r="BE61" s="85"/>
      <c r="BF61" s="85"/>
      <c r="BG61" s="85"/>
      <c r="BH61" s="85"/>
      <c r="BI61" s="85"/>
      <c r="BJ61" s="85"/>
      <c r="BK61" s="85"/>
      <c r="BL61" s="85"/>
      <c r="BM61" s="85"/>
      <c r="BN61" s="85"/>
      <c r="BO61" s="85"/>
      <c r="BP61" s="85"/>
      <c r="BQ61" s="85"/>
      <c r="BR61" s="85"/>
      <c r="BS61" s="85"/>
      <c r="BT61" s="85"/>
      <c r="BU61" s="85"/>
      <c r="BV61" s="85"/>
      <c r="BW61" s="85"/>
      <c r="BX61" s="85"/>
      <c r="BY61" s="85"/>
      <c r="BZ61" s="85"/>
      <c r="CA61" s="85"/>
      <c r="CB61" s="85"/>
      <c r="CC61" s="85"/>
      <c r="CD61" s="85"/>
      <c r="CE61" s="85"/>
      <c r="CF61" s="85"/>
      <c r="CG61" s="85"/>
      <c r="CH61" s="85"/>
      <c r="CI61" s="85"/>
      <c r="CJ61" s="85"/>
      <c r="CK61" s="85"/>
      <c r="CL61" s="85"/>
      <c r="CM61" s="85"/>
      <c r="CN61" s="85"/>
      <c r="CO61" s="85"/>
      <c r="CP61" s="85"/>
      <c r="CQ61" s="85"/>
      <c r="CR61" s="85"/>
      <c r="CS61" s="85"/>
      <c r="CT61" s="85"/>
      <c r="CU61" s="85"/>
      <c r="CV61" s="85"/>
      <c r="CW61" s="85"/>
      <c r="CX61" s="85"/>
      <c r="CY61" s="84"/>
    </row>
    <row r="62" spans="1:103">
      <c r="A62" s="93">
        <v>43252</v>
      </c>
      <c r="B62" s="82">
        <f t="shared" si="2"/>
        <v>2018</v>
      </c>
      <c r="C62" s="86">
        <v>2.4199333333333333</v>
      </c>
      <c r="D62" s="86">
        <v>19.190000000000001</v>
      </c>
      <c r="E62" s="86">
        <v>0.29050999999999999</v>
      </c>
      <c r="F62" s="86">
        <v>1.6355666666666666</v>
      </c>
      <c r="G62" s="86">
        <v>7.12</v>
      </c>
      <c r="H62" s="86">
        <v>15.425333333333333</v>
      </c>
      <c r="I62" s="86">
        <f t="shared" si="1"/>
        <v>46.081343333333336</v>
      </c>
      <c r="J62" s="85"/>
      <c r="K62" s="85"/>
      <c r="L62" s="85"/>
      <c r="M62" s="85"/>
      <c r="N62" s="85"/>
      <c r="O62" s="85"/>
      <c r="P62" s="85"/>
      <c r="Q62" s="85"/>
      <c r="R62" s="85"/>
      <c r="S62" s="85"/>
      <c r="T62" s="85"/>
      <c r="U62" s="85"/>
      <c r="V62" s="85"/>
      <c r="W62" s="85"/>
      <c r="X62" s="85"/>
      <c r="Y62" s="85"/>
      <c r="Z62" s="85"/>
      <c r="AA62" s="85"/>
      <c r="AB62" s="85"/>
      <c r="AC62" s="85"/>
      <c r="AD62" s="85"/>
      <c r="AE62" s="85"/>
      <c r="AF62" s="85"/>
      <c r="AG62" s="85"/>
      <c r="AH62" s="85"/>
      <c r="AI62" s="85"/>
      <c r="AJ62" s="85"/>
      <c r="AK62" s="85"/>
      <c r="AL62" s="85"/>
      <c r="AM62" s="85"/>
      <c r="AN62" s="85"/>
      <c r="AO62" s="85"/>
      <c r="AP62" s="85"/>
      <c r="AQ62" s="85"/>
      <c r="AR62" s="85"/>
      <c r="AS62" s="85"/>
      <c r="AT62" s="85"/>
      <c r="AU62" s="85"/>
      <c r="AV62" s="85"/>
      <c r="AW62" s="85"/>
      <c r="AX62" s="85"/>
      <c r="AY62" s="85"/>
      <c r="AZ62" s="85"/>
      <c r="BA62" s="85"/>
      <c r="BB62" s="85"/>
      <c r="BC62" s="85"/>
      <c r="BD62" s="85"/>
      <c r="BE62" s="85"/>
      <c r="BF62" s="85"/>
      <c r="BG62" s="85"/>
      <c r="BH62" s="85"/>
      <c r="BI62" s="85"/>
      <c r="BJ62" s="85"/>
      <c r="BK62" s="85"/>
      <c r="BL62" s="85"/>
      <c r="BM62" s="85"/>
      <c r="BN62" s="85"/>
      <c r="BO62" s="85"/>
      <c r="BP62" s="85"/>
      <c r="BQ62" s="85"/>
      <c r="BR62" s="85"/>
      <c r="BS62" s="85"/>
      <c r="BT62" s="85"/>
      <c r="BU62" s="85"/>
      <c r="BV62" s="85"/>
      <c r="BW62" s="85"/>
      <c r="BX62" s="85"/>
      <c r="BY62" s="85"/>
      <c r="BZ62" s="85"/>
      <c r="CA62" s="85"/>
      <c r="CB62" s="85"/>
      <c r="CC62" s="85"/>
      <c r="CD62" s="85"/>
      <c r="CE62" s="85"/>
      <c r="CF62" s="85"/>
      <c r="CG62" s="85"/>
      <c r="CH62" s="85"/>
      <c r="CI62" s="85"/>
      <c r="CJ62" s="85"/>
      <c r="CK62" s="85"/>
      <c r="CL62" s="85"/>
      <c r="CM62" s="85"/>
      <c r="CN62" s="85"/>
      <c r="CO62" s="85"/>
      <c r="CP62" s="85"/>
      <c r="CQ62" s="85"/>
      <c r="CR62" s="85"/>
      <c r="CS62" s="85"/>
      <c r="CT62" s="85"/>
      <c r="CU62" s="85"/>
      <c r="CV62" s="85"/>
      <c r="CW62" s="85"/>
      <c r="CX62" s="85"/>
      <c r="CY62" s="84"/>
    </row>
    <row r="63" spans="1:103">
      <c r="A63" s="93">
        <v>43282</v>
      </c>
      <c r="B63" s="82">
        <f t="shared" si="2"/>
        <v>2018</v>
      </c>
      <c r="C63" s="86">
        <v>2.3740967741935481</v>
      </c>
      <c r="D63" s="86">
        <v>18.023225806451613</v>
      </c>
      <c r="E63" s="86">
        <v>0.28395161290322579</v>
      </c>
      <c r="F63" s="86">
        <v>1.6442903225806451</v>
      </c>
      <c r="G63" s="86">
        <v>5.5048387096774194</v>
      </c>
      <c r="H63" s="86">
        <v>14.124516129032259</v>
      </c>
      <c r="I63" s="86">
        <f t="shared" si="1"/>
        <v>41.954919354838708</v>
      </c>
      <c r="J63" s="85"/>
      <c r="K63" s="85"/>
      <c r="L63" s="85"/>
      <c r="M63" s="85"/>
      <c r="N63" s="85"/>
      <c r="O63" s="85"/>
      <c r="P63" s="85"/>
      <c r="Q63" s="85"/>
      <c r="R63" s="85"/>
      <c r="S63" s="85"/>
      <c r="T63" s="85"/>
      <c r="U63" s="85"/>
      <c r="V63" s="85"/>
      <c r="W63" s="85"/>
      <c r="X63" s="85"/>
      <c r="Y63" s="85"/>
      <c r="Z63" s="85"/>
      <c r="AA63" s="85"/>
      <c r="AB63" s="85"/>
      <c r="AC63" s="85"/>
      <c r="AD63" s="85"/>
      <c r="AE63" s="85"/>
      <c r="AF63" s="85"/>
      <c r="AG63" s="85"/>
      <c r="AH63" s="85"/>
      <c r="AI63" s="85"/>
      <c r="AJ63" s="85"/>
      <c r="AK63" s="85"/>
      <c r="AL63" s="85"/>
      <c r="AM63" s="85"/>
      <c r="AN63" s="85"/>
      <c r="AO63" s="85"/>
      <c r="AP63" s="85"/>
      <c r="AQ63" s="85"/>
      <c r="AR63" s="85"/>
      <c r="AS63" s="85"/>
      <c r="AT63" s="85"/>
      <c r="AU63" s="85"/>
      <c r="AV63" s="85"/>
      <c r="AW63" s="85"/>
      <c r="AX63" s="85"/>
      <c r="AY63" s="85"/>
      <c r="AZ63" s="85"/>
      <c r="BA63" s="85"/>
      <c r="BB63" s="85"/>
      <c r="BC63" s="85"/>
      <c r="BD63" s="85"/>
      <c r="BE63" s="85"/>
      <c r="BF63" s="85"/>
      <c r="BG63" s="85"/>
      <c r="BH63" s="85"/>
      <c r="BI63" s="85"/>
      <c r="BJ63" s="85"/>
      <c r="BK63" s="85"/>
      <c r="BL63" s="85"/>
      <c r="BM63" s="85"/>
      <c r="BN63" s="85"/>
      <c r="BO63" s="85"/>
      <c r="BP63" s="85"/>
      <c r="BQ63" s="85"/>
      <c r="BR63" s="85"/>
      <c r="BS63" s="85"/>
      <c r="BT63" s="85"/>
      <c r="BU63" s="85"/>
      <c r="BV63" s="85"/>
      <c r="BW63" s="85"/>
      <c r="BX63" s="85"/>
      <c r="BY63" s="85"/>
      <c r="BZ63" s="85"/>
      <c r="CA63" s="85"/>
      <c r="CB63" s="85"/>
      <c r="CC63" s="85"/>
      <c r="CD63" s="85"/>
      <c r="CE63" s="85"/>
      <c r="CF63" s="85"/>
      <c r="CG63" s="85"/>
      <c r="CH63" s="85"/>
      <c r="CI63" s="85"/>
      <c r="CJ63" s="85"/>
      <c r="CK63" s="85"/>
      <c r="CL63" s="85"/>
      <c r="CM63" s="85"/>
      <c r="CN63" s="85"/>
      <c r="CO63" s="85"/>
      <c r="CP63" s="85"/>
      <c r="CQ63" s="85"/>
      <c r="CR63" s="85"/>
      <c r="CS63" s="85"/>
      <c r="CT63" s="85"/>
      <c r="CU63" s="85"/>
      <c r="CV63" s="85"/>
      <c r="CW63" s="85"/>
      <c r="CX63" s="85"/>
      <c r="CY63" s="84"/>
    </row>
    <row r="64" spans="1:103">
      <c r="A64" s="93">
        <v>43313</v>
      </c>
      <c r="B64" s="82">
        <f t="shared" si="2"/>
        <v>2018</v>
      </c>
      <c r="C64" s="86">
        <v>2.6178387096774194</v>
      </c>
      <c r="D64" s="86">
        <v>19.830967741935485</v>
      </c>
      <c r="E64" s="86">
        <v>0.29222580645161289</v>
      </c>
      <c r="F64" s="86">
        <v>1.6141935483870968</v>
      </c>
      <c r="G64" s="86">
        <v>3.9422580645161287</v>
      </c>
      <c r="H64" s="86">
        <v>13.599032258064517</v>
      </c>
      <c r="I64" s="86">
        <f t="shared" si="1"/>
        <v>41.896516129032257</v>
      </c>
      <c r="J64" s="85"/>
      <c r="K64" s="85"/>
      <c r="L64" s="85"/>
      <c r="M64" s="85"/>
      <c r="N64" s="85"/>
      <c r="O64" s="85"/>
      <c r="P64" s="85"/>
      <c r="Q64" s="85"/>
      <c r="R64" s="85"/>
      <c r="S64" s="85"/>
      <c r="T64" s="85"/>
      <c r="U64" s="85"/>
      <c r="V64" s="85"/>
      <c r="W64" s="85"/>
      <c r="X64" s="85"/>
      <c r="Y64" s="85"/>
      <c r="Z64" s="85"/>
      <c r="AA64" s="85"/>
      <c r="AB64" s="85"/>
      <c r="AC64" s="85"/>
      <c r="AD64" s="85"/>
      <c r="AE64" s="85"/>
      <c r="AF64" s="85"/>
      <c r="AG64" s="85"/>
      <c r="AH64" s="85"/>
      <c r="AI64" s="85"/>
      <c r="AJ64" s="85"/>
      <c r="AK64" s="85"/>
      <c r="AL64" s="85"/>
      <c r="AM64" s="85"/>
      <c r="AN64" s="85"/>
      <c r="AO64" s="85"/>
      <c r="AP64" s="85"/>
      <c r="AQ64" s="85"/>
      <c r="AR64" s="85"/>
      <c r="AS64" s="85"/>
      <c r="AT64" s="85"/>
      <c r="AU64" s="85"/>
      <c r="AV64" s="85"/>
      <c r="AW64" s="85"/>
      <c r="AX64" s="85"/>
      <c r="AY64" s="85"/>
      <c r="AZ64" s="85"/>
      <c r="BA64" s="85"/>
      <c r="BB64" s="85"/>
      <c r="BC64" s="85"/>
      <c r="BD64" s="85"/>
      <c r="BE64" s="85"/>
      <c r="BF64" s="85"/>
      <c r="BG64" s="85"/>
      <c r="BH64" s="85"/>
      <c r="BI64" s="85"/>
      <c r="BJ64" s="85"/>
      <c r="BK64" s="85"/>
      <c r="BL64" s="85"/>
      <c r="BM64" s="85"/>
      <c r="BN64" s="85"/>
      <c r="BO64" s="85"/>
      <c r="BP64" s="85"/>
      <c r="BQ64" s="85"/>
      <c r="BR64" s="85"/>
      <c r="BS64" s="85"/>
      <c r="BT64" s="85"/>
      <c r="BU64" s="85"/>
      <c r="BV64" s="85"/>
      <c r="BW64" s="85"/>
      <c r="BX64" s="85"/>
      <c r="BY64" s="85"/>
      <c r="BZ64" s="85"/>
      <c r="CA64" s="85"/>
      <c r="CB64" s="85"/>
      <c r="CC64" s="85"/>
      <c r="CD64" s="85"/>
      <c r="CE64" s="85"/>
      <c r="CF64" s="85"/>
      <c r="CG64" s="85"/>
      <c r="CH64" s="85"/>
      <c r="CI64" s="85"/>
      <c r="CJ64" s="85"/>
      <c r="CK64" s="85"/>
      <c r="CL64" s="85"/>
      <c r="CM64" s="85"/>
      <c r="CN64" s="85"/>
      <c r="CO64" s="85"/>
      <c r="CP64" s="85"/>
      <c r="CQ64" s="85"/>
      <c r="CR64" s="85"/>
      <c r="CS64" s="85"/>
      <c r="CT64" s="85"/>
      <c r="CU64" s="85"/>
      <c r="CV64" s="85"/>
      <c r="CW64" s="85"/>
      <c r="CX64" s="85"/>
      <c r="CY64" s="84"/>
    </row>
    <row r="65" spans="1:103">
      <c r="A65" s="93">
        <v>43344</v>
      </c>
      <c r="B65" s="82">
        <f t="shared" si="2"/>
        <v>2018</v>
      </c>
      <c r="C65" s="86">
        <v>2.5575333333333332</v>
      </c>
      <c r="D65" s="86">
        <v>21.374666666666666</v>
      </c>
      <c r="E65" s="86">
        <v>0.29611333333333334</v>
      </c>
      <c r="F65" s="86">
        <v>1.4883333333333333</v>
      </c>
      <c r="G65" s="86">
        <v>5.384666666666666</v>
      </c>
      <c r="H65" s="86">
        <v>14.978333333333333</v>
      </c>
      <c r="I65" s="86">
        <f t="shared" si="1"/>
        <v>46.079646666666662</v>
      </c>
      <c r="J65" s="85"/>
      <c r="K65" s="85"/>
      <c r="L65" s="85"/>
      <c r="M65" s="85"/>
      <c r="N65" s="85"/>
      <c r="O65" s="85"/>
      <c r="P65" s="85"/>
      <c r="Q65" s="85"/>
      <c r="R65" s="85"/>
      <c r="S65" s="85"/>
      <c r="T65" s="85"/>
      <c r="U65" s="85"/>
      <c r="V65" s="85"/>
      <c r="W65" s="85"/>
      <c r="X65" s="85"/>
      <c r="Y65" s="85"/>
      <c r="Z65" s="85"/>
      <c r="AA65" s="85"/>
      <c r="AB65" s="85"/>
      <c r="AC65" s="85"/>
      <c r="AD65" s="85"/>
      <c r="AE65" s="85"/>
      <c r="AF65" s="85"/>
      <c r="AG65" s="85"/>
      <c r="AH65" s="85"/>
      <c r="AI65" s="85"/>
      <c r="AJ65" s="85"/>
      <c r="AK65" s="85"/>
      <c r="AL65" s="85"/>
      <c r="AM65" s="85"/>
      <c r="AN65" s="85"/>
      <c r="AO65" s="85"/>
      <c r="AP65" s="85"/>
      <c r="AQ65" s="85"/>
      <c r="AR65" s="85"/>
      <c r="AS65" s="85"/>
      <c r="AT65" s="85"/>
      <c r="AU65" s="85"/>
      <c r="AV65" s="85"/>
      <c r="AW65" s="85"/>
      <c r="AX65" s="85"/>
      <c r="AY65" s="85"/>
      <c r="AZ65" s="85"/>
      <c r="BA65" s="85"/>
      <c r="BB65" s="85"/>
      <c r="BC65" s="85"/>
      <c r="BD65" s="85"/>
      <c r="BE65" s="85"/>
      <c r="BF65" s="85"/>
      <c r="BG65" s="85"/>
      <c r="BH65" s="85"/>
      <c r="BI65" s="85"/>
      <c r="BJ65" s="85"/>
      <c r="BK65" s="85"/>
      <c r="BL65" s="85"/>
      <c r="BM65" s="85"/>
      <c r="BN65" s="85"/>
      <c r="BO65" s="85"/>
      <c r="BP65" s="85"/>
      <c r="BQ65" s="85"/>
      <c r="BR65" s="85"/>
      <c r="BS65" s="85"/>
      <c r="BT65" s="85"/>
      <c r="BU65" s="85"/>
      <c r="BV65" s="85"/>
      <c r="BW65" s="85"/>
      <c r="BX65" s="85"/>
      <c r="BY65" s="85"/>
      <c r="BZ65" s="85"/>
      <c r="CA65" s="85"/>
      <c r="CB65" s="85"/>
      <c r="CC65" s="85"/>
      <c r="CD65" s="85"/>
      <c r="CE65" s="85"/>
      <c r="CF65" s="85"/>
      <c r="CG65" s="85"/>
      <c r="CH65" s="85"/>
      <c r="CI65" s="85"/>
      <c r="CJ65" s="85"/>
      <c r="CK65" s="85"/>
      <c r="CL65" s="85"/>
      <c r="CM65" s="85"/>
      <c r="CN65" s="85"/>
      <c r="CO65" s="85"/>
      <c r="CP65" s="85"/>
      <c r="CQ65" s="85"/>
      <c r="CR65" s="85"/>
      <c r="CS65" s="85"/>
      <c r="CT65" s="85"/>
      <c r="CU65" s="85"/>
      <c r="CV65" s="85"/>
      <c r="CW65" s="85"/>
      <c r="CX65" s="85"/>
      <c r="CY65" s="84"/>
    </row>
    <row r="66" spans="1:103">
      <c r="A66" s="93">
        <v>43374</v>
      </c>
      <c r="B66" s="82">
        <f t="shared" si="2"/>
        <v>2018</v>
      </c>
      <c r="C66" s="86">
        <v>2.2872258064516129</v>
      </c>
      <c r="D66" s="86">
        <v>21.331612903225807</v>
      </c>
      <c r="E66" s="86">
        <v>0.29505161290322579</v>
      </c>
      <c r="F66" s="86">
        <v>1.5879354838709676</v>
      </c>
      <c r="G66" s="86">
        <v>5.7887096774193543</v>
      </c>
      <c r="H66" s="86">
        <v>16.425161290322581</v>
      </c>
      <c r="I66" s="86">
        <f t="shared" si="1"/>
        <v>47.715696774193546</v>
      </c>
      <c r="J66" s="85"/>
      <c r="K66" s="85"/>
      <c r="L66" s="85"/>
      <c r="M66" s="85"/>
      <c r="N66" s="85"/>
      <c r="O66" s="85"/>
      <c r="P66" s="85"/>
      <c r="Q66" s="85"/>
      <c r="R66" s="85"/>
      <c r="S66" s="85"/>
      <c r="T66" s="85"/>
      <c r="U66" s="85"/>
      <c r="V66" s="85"/>
      <c r="W66" s="85"/>
      <c r="X66" s="85"/>
      <c r="Y66" s="85"/>
      <c r="Z66" s="85"/>
      <c r="AA66" s="85"/>
      <c r="AB66" s="85"/>
      <c r="AC66" s="85"/>
      <c r="AD66" s="85"/>
      <c r="AE66" s="85"/>
      <c r="AF66" s="85"/>
      <c r="AG66" s="85"/>
      <c r="AH66" s="85"/>
      <c r="AI66" s="85"/>
      <c r="AJ66" s="85"/>
      <c r="AK66" s="85"/>
      <c r="AL66" s="85"/>
      <c r="AM66" s="85"/>
      <c r="AN66" s="85"/>
      <c r="AO66" s="85"/>
      <c r="AP66" s="85"/>
      <c r="AQ66" s="85"/>
      <c r="AR66" s="85"/>
      <c r="AS66" s="85"/>
      <c r="AT66" s="85"/>
      <c r="AU66" s="85"/>
      <c r="AV66" s="85"/>
      <c r="AW66" s="85"/>
      <c r="AX66" s="85"/>
      <c r="AY66" s="85"/>
      <c r="AZ66" s="85"/>
      <c r="BA66" s="85"/>
      <c r="BB66" s="85"/>
      <c r="BC66" s="85"/>
      <c r="BD66" s="85"/>
      <c r="BE66" s="85"/>
      <c r="BF66" s="85"/>
      <c r="BG66" s="85"/>
      <c r="BH66" s="85"/>
      <c r="BI66" s="85"/>
      <c r="BJ66" s="85"/>
      <c r="BK66" s="85"/>
      <c r="BL66" s="85"/>
      <c r="BM66" s="85"/>
      <c r="BN66" s="85"/>
      <c r="BO66" s="85"/>
      <c r="BP66" s="85"/>
      <c r="BQ66" s="85"/>
      <c r="BR66" s="85"/>
      <c r="BS66" s="85"/>
      <c r="BT66" s="85"/>
      <c r="BU66" s="85"/>
      <c r="BV66" s="85"/>
      <c r="BW66" s="85"/>
      <c r="BX66" s="85"/>
      <c r="BY66" s="85"/>
      <c r="BZ66" s="85"/>
      <c r="CA66" s="85"/>
      <c r="CB66" s="85"/>
      <c r="CC66" s="85"/>
      <c r="CD66" s="85"/>
      <c r="CE66" s="85"/>
      <c r="CF66" s="85"/>
      <c r="CG66" s="85"/>
      <c r="CH66" s="85"/>
      <c r="CI66" s="85"/>
      <c r="CJ66" s="85"/>
      <c r="CK66" s="85"/>
      <c r="CL66" s="85"/>
      <c r="CM66" s="85"/>
      <c r="CN66" s="85"/>
      <c r="CO66" s="85"/>
      <c r="CP66" s="85"/>
      <c r="CQ66" s="85"/>
      <c r="CR66" s="85"/>
      <c r="CS66" s="85"/>
      <c r="CT66" s="85"/>
      <c r="CU66" s="85"/>
      <c r="CV66" s="85"/>
      <c r="CW66" s="85"/>
      <c r="CX66" s="85"/>
      <c r="CY66" s="84"/>
    </row>
    <row r="67" spans="1:103">
      <c r="A67" s="93">
        <v>43405</v>
      </c>
      <c r="B67" s="82">
        <f t="shared" si="2"/>
        <v>2018</v>
      </c>
      <c r="C67" s="86">
        <v>2.1275666666666666</v>
      </c>
      <c r="D67" s="86">
        <v>21.518666666666665</v>
      </c>
      <c r="E67" s="86">
        <v>0.29280333333333336</v>
      </c>
      <c r="F67" s="86">
        <v>1.5871</v>
      </c>
      <c r="G67" s="86">
        <v>7.7363333333333335</v>
      </c>
      <c r="H67" s="86">
        <v>16.288</v>
      </c>
      <c r="I67" s="86">
        <f t="shared" si="1"/>
        <v>49.55046999999999</v>
      </c>
      <c r="J67" s="85"/>
      <c r="K67" s="85"/>
      <c r="L67" s="85"/>
      <c r="M67" s="85"/>
      <c r="N67" s="85"/>
      <c r="O67" s="85"/>
      <c r="P67" s="85"/>
      <c r="Q67" s="85"/>
      <c r="R67" s="85"/>
      <c r="S67" s="85"/>
      <c r="T67" s="85"/>
      <c r="U67" s="85"/>
      <c r="V67" s="85"/>
      <c r="W67" s="85"/>
      <c r="X67" s="85"/>
      <c r="Y67" s="85"/>
      <c r="Z67" s="85"/>
      <c r="AA67" s="85"/>
      <c r="AB67" s="85"/>
      <c r="AC67" s="85"/>
      <c r="AD67" s="85"/>
      <c r="AE67" s="85"/>
      <c r="AF67" s="85"/>
      <c r="AG67" s="85"/>
      <c r="AH67" s="85"/>
      <c r="AI67" s="85"/>
      <c r="AJ67" s="85"/>
      <c r="AK67" s="85"/>
      <c r="AL67" s="85"/>
      <c r="AM67" s="85"/>
      <c r="AN67" s="85"/>
      <c r="AO67" s="85"/>
      <c r="AP67" s="85"/>
      <c r="AQ67" s="85"/>
      <c r="AR67" s="85"/>
      <c r="AS67" s="85"/>
      <c r="AT67" s="85"/>
      <c r="AU67" s="85"/>
      <c r="AV67" s="85"/>
      <c r="AW67" s="85"/>
      <c r="AX67" s="85"/>
      <c r="AY67" s="85"/>
      <c r="AZ67" s="85"/>
      <c r="BA67" s="85"/>
      <c r="BB67" s="85"/>
      <c r="BC67" s="85"/>
      <c r="BD67" s="85"/>
      <c r="BE67" s="85"/>
      <c r="BF67" s="85"/>
      <c r="BG67" s="85"/>
      <c r="BH67" s="85"/>
      <c r="BI67" s="85"/>
      <c r="BJ67" s="85"/>
      <c r="BK67" s="85"/>
      <c r="BL67" s="85"/>
      <c r="BM67" s="85"/>
      <c r="BN67" s="85"/>
      <c r="BO67" s="85"/>
      <c r="BP67" s="85"/>
      <c r="BQ67" s="85"/>
      <c r="BR67" s="85"/>
      <c r="BS67" s="85"/>
      <c r="BT67" s="85"/>
      <c r="BU67" s="85"/>
      <c r="BV67" s="85"/>
      <c r="BW67" s="85"/>
      <c r="BX67" s="85"/>
      <c r="BY67" s="85"/>
      <c r="BZ67" s="85"/>
      <c r="CA67" s="85"/>
      <c r="CB67" s="85"/>
      <c r="CC67" s="85"/>
      <c r="CD67" s="85"/>
      <c r="CE67" s="85"/>
      <c r="CF67" s="85"/>
      <c r="CG67" s="85"/>
      <c r="CH67" s="85"/>
      <c r="CI67" s="85"/>
      <c r="CJ67" s="85"/>
      <c r="CK67" s="85"/>
      <c r="CL67" s="85"/>
      <c r="CM67" s="85"/>
      <c r="CN67" s="85"/>
      <c r="CO67" s="85"/>
      <c r="CP67" s="85"/>
      <c r="CQ67" s="85"/>
      <c r="CR67" s="85"/>
      <c r="CS67" s="85"/>
      <c r="CT67" s="85"/>
      <c r="CU67" s="85"/>
      <c r="CV67" s="85"/>
      <c r="CW67" s="85"/>
      <c r="CX67" s="85"/>
      <c r="CY67" s="84"/>
    </row>
    <row r="68" spans="1:103">
      <c r="A68" s="93">
        <v>43435</v>
      </c>
      <c r="B68" s="82">
        <f t="shared" si="2"/>
        <v>2018</v>
      </c>
      <c r="C68" s="86">
        <v>2.0757419354838711</v>
      </c>
      <c r="D68" s="86">
        <v>18.330322580645163</v>
      </c>
      <c r="E68" s="86">
        <v>0.29573870967741933</v>
      </c>
      <c r="F68" s="86">
        <v>1.486</v>
      </c>
      <c r="G68" s="86">
        <v>8.0412903225806449</v>
      </c>
      <c r="H68" s="86">
        <v>14.943225806451613</v>
      </c>
      <c r="I68" s="86">
        <f t="shared" si="1"/>
        <v>45.172319354838713</v>
      </c>
      <c r="J68" s="85"/>
      <c r="K68" s="85"/>
      <c r="L68" s="85"/>
      <c r="M68" s="85"/>
      <c r="N68" s="85"/>
      <c r="O68" s="85"/>
      <c r="P68" s="85"/>
      <c r="Q68" s="85"/>
      <c r="R68" s="85"/>
      <c r="S68" s="85"/>
      <c r="T68" s="85"/>
      <c r="U68" s="85"/>
      <c r="V68" s="85"/>
      <c r="W68" s="85"/>
      <c r="X68" s="85"/>
      <c r="Y68" s="85"/>
      <c r="Z68" s="85"/>
      <c r="AA68" s="85"/>
      <c r="AB68" s="85"/>
      <c r="AC68" s="85"/>
      <c r="AD68" s="85"/>
      <c r="AE68" s="85"/>
      <c r="AF68" s="85"/>
      <c r="AG68" s="85"/>
      <c r="AH68" s="85"/>
      <c r="AI68" s="85"/>
      <c r="AJ68" s="85"/>
      <c r="AK68" s="85"/>
      <c r="AL68" s="85"/>
      <c r="AM68" s="85"/>
      <c r="AN68" s="85"/>
      <c r="AO68" s="85"/>
      <c r="AP68" s="85"/>
      <c r="AQ68" s="85"/>
      <c r="AR68" s="85"/>
      <c r="AS68" s="85"/>
      <c r="AT68" s="85"/>
      <c r="AU68" s="85"/>
      <c r="AV68" s="85"/>
      <c r="AW68" s="85"/>
      <c r="AX68" s="85"/>
      <c r="AY68" s="85"/>
      <c r="AZ68" s="85"/>
      <c r="BA68" s="85"/>
      <c r="BB68" s="85"/>
      <c r="BC68" s="85"/>
      <c r="BD68" s="85"/>
      <c r="BE68" s="85"/>
      <c r="BF68" s="85"/>
      <c r="BG68" s="85"/>
      <c r="BH68" s="85"/>
      <c r="BI68" s="85"/>
      <c r="BJ68" s="85"/>
      <c r="BK68" s="85"/>
      <c r="BL68" s="85"/>
      <c r="BM68" s="85"/>
      <c r="BN68" s="85"/>
      <c r="BO68" s="85"/>
      <c r="BP68" s="85"/>
      <c r="BQ68" s="85"/>
      <c r="BR68" s="85"/>
      <c r="BS68" s="85"/>
      <c r="BT68" s="85"/>
      <c r="BU68" s="85"/>
      <c r="BV68" s="85"/>
      <c r="BW68" s="85"/>
      <c r="BX68" s="85"/>
      <c r="BY68" s="85"/>
      <c r="BZ68" s="85"/>
      <c r="CA68" s="85"/>
      <c r="CB68" s="85"/>
      <c r="CC68" s="85"/>
      <c r="CD68" s="85"/>
      <c r="CE68" s="85"/>
      <c r="CF68" s="85"/>
      <c r="CG68" s="85"/>
      <c r="CH68" s="85"/>
      <c r="CI68" s="85"/>
      <c r="CJ68" s="85"/>
      <c r="CK68" s="85"/>
      <c r="CL68" s="85"/>
      <c r="CM68" s="85"/>
      <c r="CN68" s="85"/>
      <c r="CO68" s="85"/>
      <c r="CP68" s="85"/>
      <c r="CQ68" s="85"/>
      <c r="CR68" s="85"/>
      <c r="CS68" s="85"/>
      <c r="CT68" s="85"/>
      <c r="CU68" s="85"/>
      <c r="CV68" s="85"/>
      <c r="CW68" s="85"/>
      <c r="CX68" s="85"/>
      <c r="CY68" s="84"/>
    </row>
    <row r="69" spans="1:103">
      <c r="A69" s="93">
        <v>43466</v>
      </c>
      <c r="B69" s="82">
        <f t="shared" si="2"/>
        <v>2019</v>
      </c>
      <c r="C69" s="86">
        <v>1.8771612903225807</v>
      </c>
      <c r="D69" s="86">
        <v>18.435806451612901</v>
      </c>
      <c r="E69" s="86">
        <v>0.28968387096774195</v>
      </c>
      <c r="F69" s="86">
        <v>1.3110967741935484</v>
      </c>
      <c r="G69" s="86">
        <v>7.9696774193548388</v>
      </c>
      <c r="H69" s="86">
        <v>12.671935483870968</v>
      </c>
      <c r="I69" s="86">
        <f t="shared" si="1"/>
        <v>42.55536129032258</v>
      </c>
      <c r="J69" s="85"/>
      <c r="K69" s="85"/>
      <c r="L69" s="85"/>
      <c r="M69" s="85"/>
      <c r="N69" s="85"/>
      <c r="O69" s="85"/>
      <c r="P69" s="85"/>
      <c r="Q69" s="85"/>
      <c r="R69" s="85"/>
      <c r="S69" s="85"/>
      <c r="T69" s="85"/>
      <c r="U69" s="85"/>
      <c r="V69" s="85"/>
      <c r="W69" s="85"/>
      <c r="X69" s="85"/>
      <c r="Y69" s="85"/>
      <c r="Z69" s="85"/>
      <c r="AA69" s="85"/>
      <c r="AB69" s="85"/>
      <c r="AC69" s="85"/>
      <c r="AD69" s="85"/>
      <c r="AE69" s="85"/>
      <c r="AF69" s="85"/>
      <c r="AG69" s="85"/>
      <c r="AH69" s="85"/>
      <c r="AI69" s="85"/>
      <c r="AJ69" s="85"/>
      <c r="AK69" s="85"/>
      <c r="AL69" s="85"/>
      <c r="AM69" s="85"/>
      <c r="AN69" s="85"/>
      <c r="AO69" s="85"/>
      <c r="AP69" s="85"/>
      <c r="AQ69" s="85"/>
      <c r="AR69" s="85"/>
      <c r="AS69" s="85"/>
      <c r="AT69" s="85"/>
      <c r="AU69" s="85"/>
      <c r="AV69" s="85"/>
      <c r="AW69" s="85"/>
      <c r="AX69" s="85"/>
      <c r="AY69" s="85"/>
      <c r="AZ69" s="85"/>
      <c r="BA69" s="85"/>
      <c r="BB69" s="85"/>
      <c r="BC69" s="85"/>
      <c r="BD69" s="85"/>
      <c r="BE69" s="85"/>
      <c r="BF69" s="85"/>
      <c r="BG69" s="85"/>
      <c r="BH69" s="85"/>
      <c r="BI69" s="85"/>
      <c r="BJ69" s="85"/>
      <c r="BK69" s="85"/>
      <c r="BL69" s="85"/>
      <c r="BM69" s="85"/>
      <c r="BN69" s="85"/>
      <c r="BO69" s="85"/>
      <c r="BP69" s="85"/>
      <c r="BQ69" s="85"/>
      <c r="BR69" s="85"/>
      <c r="BS69" s="85"/>
      <c r="BT69" s="85"/>
      <c r="BU69" s="85"/>
      <c r="BV69" s="85"/>
      <c r="BW69" s="85"/>
      <c r="BX69" s="85"/>
      <c r="BY69" s="85"/>
      <c r="BZ69" s="85"/>
      <c r="CA69" s="85"/>
      <c r="CB69" s="85"/>
      <c r="CC69" s="85"/>
      <c r="CD69" s="85"/>
      <c r="CE69" s="85"/>
      <c r="CF69" s="85"/>
      <c r="CG69" s="85"/>
      <c r="CH69" s="85"/>
      <c r="CI69" s="85"/>
      <c r="CJ69" s="85"/>
      <c r="CK69" s="85"/>
      <c r="CL69" s="85"/>
      <c r="CM69" s="85"/>
      <c r="CN69" s="85"/>
      <c r="CO69" s="85"/>
      <c r="CP69" s="85"/>
      <c r="CQ69" s="85"/>
      <c r="CR69" s="85"/>
      <c r="CS69" s="85"/>
      <c r="CT69" s="85"/>
      <c r="CU69" s="85"/>
      <c r="CV69" s="85"/>
      <c r="CW69" s="85"/>
      <c r="CX69" s="85"/>
      <c r="CY69" s="84"/>
    </row>
    <row r="70" spans="1:103">
      <c r="A70" s="93">
        <v>43497</v>
      </c>
      <c r="B70" s="82">
        <f t="shared" si="2"/>
        <v>2019</v>
      </c>
      <c r="C70" s="86">
        <v>1.9216071428571428</v>
      </c>
      <c r="D70" s="86">
        <v>17.942142857142859</v>
      </c>
      <c r="E70" s="86">
        <v>0.28450714285714285</v>
      </c>
      <c r="F70" s="86">
        <v>1.3378214285714287</v>
      </c>
      <c r="G70" s="86">
        <v>7.0996428571428565</v>
      </c>
      <c r="H70" s="86">
        <v>12.230714285714285</v>
      </c>
      <c r="I70" s="86">
        <f t="shared" si="1"/>
        <v>40.816435714285717</v>
      </c>
      <c r="J70" s="85"/>
      <c r="K70" s="85"/>
      <c r="L70" s="85"/>
      <c r="M70" s="85"/>
      <c r="N70" s="85"/>
      <c r="O70" s="85"/>
      <c r="P70" s="85"/>
      <c r="Q70" s="85"/>
      <c r="R70" s="85"/>
      <c r="S70" s="85"/>
      <c r="T70" s="85"/>
      <c r="U70" s="85"/>
      <c r="V70" s="85"/>
      <c r="W70" s="85"/>
      <c r="X70" s="85"/>
      <c r="Y70" s="85"/>
      <c r="Z70" s="85"/>
      <c r="AA70" s="85"/>
      <c r="AB70" s="85"/>
      <c r="AC70" s="85"/>
      <c r="AD70" s="85"/>
      <c r="AE70" s="85"/>
      <c r="AF70" s="85"/>
      <c r="AG70" s="85"/>
      <c r="AH70" s="85"/>
      <c r="AI70" s="85"/>
      <c r="AJ70" s="85"/>
      <c r="AK70" s="85"/>
      <c r="AL70" s="85"/>
      <c r="AM70" s="85"/>
      <c r="AN70" s="85"/>
      <c r="AO70" s="85"/>
      <c r="AP70" s="85"/>
      <c r="AQ70" s="85"/>
      <c r="AR70" s="85"/>
      <c r="AS70" s="85"/>
      <c r="AT70" s="85"/>
      <c r="AU70" s="85"/>
      <c r="AV70" s="85"/>
      <c r="AW70" s="85"/>
      <c r="AX70" s="85"/>
      <c r="AY70" s="85"/>
      <c r="AZ70" s="85"/>
      <c r="BA70" s="85"/>
      <c r="BB70" s="85"/>
      <c r="BC70" s="85"/>
      <c r="BD70" s="85"/>
      <c r="BE70" s="85"/>
      <c r="BF70" s="85"/>
      <c r="BG70" s="85"/>
      <c r="BH70" s="85"/>
      <c r="BI70" s="85"/>
      <c r="BJ70" s="85"/>
      <c r="BK70" s="85"/>
      <c r="BL70" s="85"/>
      <c r="BM70" s="85"/>
      <c r="BN70" s="85"/>
      <c r="BO70" s="85"/>
      <c r="BP70" s="85"/>
      <c r="BQ70" s="85"/>
      <c r="BR70" s="85"/>
      <c r="BS70" s="85"/>
      <c r="BT70" s="85"/>
      <c r="BU70" s="85"/>
      <c r="BV70" s="85"/>
      <c r="BW70" s="85"/>
      <c r="BX70" s="85"/>
      <c r="BY70" s="85"/>
      <c r="BZ70" s="85"/>
      <c r="CA70" s="85"/>
      <c r="CB70" s="85"/>
      <c r="CC70" s="85"/>
      <c r="CD70" s="85"/>
      <c r="CE70" s="85"/>
      <c r="CF70" s="85"/>
      <c r="CG70" s="85"/>
      <c r="CH70" s="85"/>
      <c r="CI70" s="85"/>
      <c r="CJ70" s="85"/>
      <c r="CK70" s="85"/>
      <c r="CL70" s="85"/>
      <c r="CM70" s="85"/>
      <c r="CN70" s="85"/>
      <c r="CO70" s="85"/>
      <c r="CP70" s="85"/>
      <c r="CQ70" s="85"/>
      <c r="CR70" s="85"/>
      <c r="CS70" s="85"/>
      <c r="CT70" s="85"/>
      <c r="CU70" s="85"/>
      <c r="CV70" s="85"/>
      <c r="CW70" s="85"/>
      <c r="CX70" s="85"/>
      <c r="CY70" s="84"/>
    </row>
    <row r="71" spans="1:103">
      <c r="A71" s="93">
        <v>43525</v>
      </c>
      <c r="B71" s="82">
        <f t="shared" si="2"/>
        <v>2019</v>
      </c>
      <c r="C71" s="86">
        <v>1.717709677419355</v>
      </c>
      <c r="D71" s="86">
        <v>18.931290322580644</v>
      </c>
      <c r="E71" s="86">
        <v>0.2869096774193548</v>
      </c>
      <c r="F71" s="86">
        <v>1.4486774193548386</v>
      </c>
      <c r="G71" s="86">
        <v>7.0006451612903229</v>
      </c>
      <c r="H71" s="86">
        <v>11.65516129032258</v>
      </c>
      <c r="I71" s="86">
        <f t="shared" si="1"/>
        <v>41.040393548387094</v>
      </c>
      <c r="J71" s="85"/>
      <c r="K71" s="85"/>
      <c r="L71" s="85"/>
      <c r="M71" s="85"/>
      <c r="N71" s="85"/>
      <c r="O71" s="85"/>
      <c r="P71" s="85"/>
      <c r="Q71" s="85"/>
      <c r="R71" s="85"/>
      <c r="S71" s="85"/>
      <c r="T71" s="85"/>
      <c r="U71" s="85"/>
      <c r="V71" s="85"/>
      <c r="W71" s="85"/>
      <c r="X71" s="85"/>
      <c r="Y71" s="85"/>
      <c r="Z71" s="85"/>
      <c r="AA71" s="85"/>
      <c r="AB71" s="85"/>
      <c r="AC71" s="85"/>
      <c r="AD71" s="85"/>
      <c r="AE71" s="85"/>
      <c r="AF71" s="85"/>
      <c r="AG71" s="85"/>
      <c r="AH71" s="85"/>
      <c r="AI71" s="85"/>
      <c r="AJ71" s="85"/>
      <c r="AK71" s="85"/>
      <c r="AL71" s="85"/>
      <c r="AM71" s="85"/>
      <c r="AN71" s="85"/>
      <c r="AO71" s="85"/>
      <c r="AP71" s="85"/>
      <c r="AQ71" s="85"/>
      <c r="AR71" s="85"/>
      <c r="AS71" s="85"/>
      <c r="AT71" s="85"/>
      <c r="AU71" s="85"/>
      <c r="AV71" s="85"/>
      <c r="AW71" s="85"/>
      <c r="AX71" s="85"/>
      <c r="AY71" s="85"/>
      <c r="AZ71" s="85"/>
      <c r="BA71" s="85"/>
      <c r="BB71" s="85"/>
      <c r="BC71" s="85"/>
      <c r="BD71" s="85"/>
      <c r="BE71" s="85"/>
      <c r="BF71" s="85"/>
      <c r="BG71" s="85"/>
      <c r="BH71" s="85"/>
      <c r="BI71" s="85"/>
      <c r="BJ71" s="85"/>
      <c r="BK71" s="85"/>
      <c r="BL71" s="85"/>
      <c r="BM71" s="85"/>
      <c r="BN71" s="85"/>
      <c r="BO71" s="85"/>
      <c r="BP71" s="85"/>
      <c r="BQ71" s="85"/>
      <c r="BR71" s="85"/>
      <c r="BS71" s="85"/>
      <c r="BT71" s="85"/>
      <c r="BU71" s="85"/>
      <c r="BV71" s="85"/>
      <c r="BW71" s="85"/>
      <c r="BX71" s="85"/>
      <c r="BY71" s="85"/>
      <c r="BZ71" s="85"/>
      <c r="CA71" s="85"/>
      <c r="CB71" s="85"/>
      <c r="CC71" s="85"/>
      <c r="CD71" s="85"/>
      <c r="CE71" s="85"/>
      <c r="CF71" s="85"/>
      <c r="CG71" s="85"/>
      <c r="CH71" s="85"/>
      <c r="CI71" s="85"/>
      <c r="CJ71" s="85"/>
      <c r="CK71" s="85"/>
      <c r="CL71" s="85"/>
      <c r="CM71" s="85"/>
      <c r="CN71" s="85"/>
      <c r="CO71" s="85"/>
      <c r="CP71" s="85"/>
      <c r="CQ71" s="85"/>
      <c r="CR71" s="85"/>
      <c r="CS71" s="85"/>
      <c r="CT71" s="85"/>
      <c r="CU71" s="85"/>
      <c r="CV71" s="85"/>
      <c r="CW71" s="85"/>
      <c r="CX71" s="85"/>
      <c r="CY71" s="84"/>
    </row>
    <row r="72" spans="1:103">
      <c r="A72" s="93">
        <v>43556</v>
      </c>
      <c r="B72" s="82">
        <f t="shared" si="2"/>
        <v>2019</v>
      </c>
      <c r="C72" s="86">
        <v>1.6110666666666666</v>
      </c>
      <c r="D72" s="86">
        <v>19.125999999999998</v>
      </c>
      <c r="E72" s="86">
        <v>0.29282333333333338</v>
      </c>
      <c r="F72" s="86">
        <v>1.5718333333333334</v>
      </c>
      <c r="G72" s="86">
        <v>6.9766666666666675</v>
      </c>
      <c r="H72" s="86">
        <v>14.602666666666666</v>
      </c>
      <c r="I72" s="86">
        <f t="shared" si="1"/>
        <v>44.181056666666663</v>
      </c>
      <c r="J72" s="85"/>
      <c r="K72" s="85"/>
      <c r="L72" s="85"/>
      <c r="M72" s="85"/>
      <c r="N72" s="85"/>
      <c r="O72" s="85"/>
      <c r="P72" s="85"/>
      <c r="Q72" s="85"/>
      <c r="R72" s="85"/>
      <c r="S72" s="85"/>
      <c r="T72" s="85"/>
      <c r="U72" s="85"/>
      <c r="V72" s="85"/>
      <c r="W72" s="85"/>
      <c r="X72" s="85"/>
      <c r="Y72" s="85"/>
      <c r="Z72" s="85"/>
      <c r="AA72" s="85"/>
      <c r="AB72" s="85"/>
      <c r="AC72" s="85"/>
      <c r="AD72" s="85"/>
      <c r="AE72" s="85"/>
      <c r="AF72" s="85"/>
      <c r="AG72" s="85"/>
      <c r="AH72" s="85"/>
      <c r="AI72" s="85"/>
      <c r="AJ72" s="85"/>
      <c r="AK72" s="85"/>
      <c r="AL72" s="85"/>
      <c r="AM72" s="85"/>
      <c r="AN72" s="85"/>
      <c r="AO72" s="85"/>
      <c r="AP72" s="85"/>
      <c r="AQ72" s="85"/>
      <c r="AR72" s="85"/>
      <c r="AS72" s="85"/>
      <c r="AT72" s="85"/>
      <c r="AU72" s="85"/>
      <c r="AV72" s="85"/>
      <c r="AW72" s="85"/>
      <c r="AX72" s="85"/>
      <c r="AY72" s="85"/>
      <c r="AZ72" s="85"/>
      <c r="BA72" s="85"/>
      <c r="BB72" s="85"/>
      <c r="BC72" s="85"/>
      <c r="BD72" s="85"/>
      <c r="BE72" s="85"/>
      <c r="BF72" s="85"/>
      <c r="BG72" s="85"/>
      <c r="BH72" s="85"/>
      <c r="BI72" s="85"/>
      <c r="BJ72" s="85"/>
      <c r="BK72" s="85"/>
      <c r="BL72" s="85"/>
      <c r="BM72" s="85"/>
      <c r="BN72" s="85"/>
      <c r="BO72" s="85"/>
      <c r="BP72" s="85"/>
      <c r="BQ72" s="85"/>
      <c r="BR72" s="85"/>
      <c r="BS72" s="85"/>
      <c r="BT72" s="85"/>
      <c r="BU72" s="85"/>
      <c r="BV72" s="85"/>
      <c r="BW72" s="85"/>
      <c r="BX72" s="85"/>
      <c r="BY72" s="85"/>
      <c r="BZ72" s="85"/>
      <c r="CA72" s="85"/>
      <c r="CB72" s="85"/>
      <c r="CC72" s="85"/>
      <c r="CD72" s="85"/>
      <c r="CE72" s="85"/>
      <c r="CF72" s="85"/>
      <c r="CG72" s="85"/>
      <c r="CH72" s="85"/>
      <c r="CI72" s="85"/>
      <c r="CJ72" s="85"/>
      <c r="CK72" s="85"/>
      <c r="CL72" s="85"/>
      <c r="CM72" s="85"/>
      <c r="CN72" s="85"/>
      <c r="CO72" s="85"/>
      <c r="CP72" s="85"/>
      <c r="CQ72" s="85"/>
      <c r="CR72" s="85"/>
      <c r="CS72" s="85"/>
      <c r="CT72" s="85"/>
      <c r="CU72" s="85"/>
      <c r="CV72" s="85"/>
      <c r="CW72" s="85"/>
      <c r="CX72" s="85"/>
      <c r="CY72" s="84"/>
    </row>
    <row r="73" spans="1:103">
      <c r="A73" s="93">
        <v>43586</v>
      </c>
      <c r="B73" s="82">
        <f t="shared" ref="B73:B104" si="3">YEAR(A73)</f>
        <v>2019</v>
      </c>
      <c r="C73" s="86">
        <v>1.8160000000000001</v>
      </c>
      <c r="D73" s="86">
        <v>20.063870967741938</v>
      </c>
      <c r="E73" s="86">
        <v>0.28688709677419355</v>
      </c>
      <c r="F73" s="86">
        <v>1.6236129032258064</v>
      </c>
      <c r="G73" s="86">
        <v>5.5174193548387098</v>
      </c>
      <c r="H73" s="86">
        <v>15.964516129032257</v>
      </c>
      <c r="I73" s="86">
        <f t="shared" si="1"/>
        <v>45.272306451612899</v>
      </c>
      <c r="J73" s="85"/>
      <c r="K73" s="85"/>
      <c r="L73" s="85"/>
      <c r="M73" s="85"/>
      <c r="N73" s="85"/>
      <c r="O73" s="85"/>
      <c r="P73" s="85"/>
      <c r="Q73" s="85"/>
      <c r="R73" s="85"/>
      <c r="S73" s="85"/>
      <c r="T73" s="85"/>
      <c r="U73" s="85"/>
      <c r="V73" s="85"/>
      <c r="W73" s="85"/>
      <c r="X73" s="85"/>
      <c r="Y73" s="85"/>
      <c r="Z73" s="85"/>
      <c r="AA73" s="85"/>
      <c r="AB73" s="85"/>
      <c r="AC73" s="85"/>
      <c r="AD73" s="85"/>
      <c r="AE73" s="85"/>
      <c r="AF73" s="85"/>
      <c r="AG73" s="85"/>
      <c r="AH73" s="85"/>
      <c r="AI73" s="85"/>
      <c r="AJ73" s="85"/>
      <c r="AK73" s="85"/>
      <c r="AL73" s="85"/>
      <c r="AM73" s="85"/>
      <c r="AN73" s="85"/>
      <c r="AO73" s="85"/>
      <c r="AP73" s="85"/>
      <c r="AQ73" s="85"/>
      <c r="AR73" s="85"/>
      <c r="AS73" s="85"/>
      <c r="AT73" s="85"/>
      <c r="AU73" s="85"/>
      <c r="AV73" s="85"/>
      <c r="AW73" s="85"/>
      <c r="AX73" s="85"/>
      <c r="AY73" s="85"/>
      <c r="AZ73" s="85"/>
      <c r="BA73" s="85"/>
      <c r="BB73" s="85"/>
      <c r="BC73" s="85"/>
      <c r="BD73" s="85"/>
      <c r="BE73" s="85"/>
      <c r="BF73" s="85"/>
      <c r="BG73" s="85"/>
      <c r="BH73" s="85"/>
      <c r="BI73" s="85"/>
      <c r="BJ73" s="85"/>
      <c r="BK73" s="85"/>
      <c r="BL73" s="85"/>
      <c r="BM73" s="85"/>
      <c r="BN73" s="85"/>
      <c r="BO73" s="85"/>
      <c r="BP73" s="85"/>
      <c r="BQ73" s="85"/>
      <c r="BR73" s="85"/>
      <c r="BS73" s="85"/>
      <c r="BT73" s="85"/>
      <c r="BU73" s="85"/>
      <c r="BV73" s="85"/>
      <c r="BW73" s="85"/>
      <c r="BX73" s="85"/>
      <c r="BY73" s="85"/>
      <c r="BZ73" s="85"/>
      <c r="CA73" s="85"/>
      <c r="CB73" s="85"/>
      <c r="CC73" s="85"/>
      <c r="CD73" s="85"/>
      <c r="CE73" s="85"/>
      <c r="CF73" s="85"/>
      <c r="CG73" s="85"/>
      <c r="CH73" s="85"/>
      <c r="CI73" s="85"/>
      <c r="CJ73" s="85"/>
      <c r="CK73" s="85"/>
      <c r="CL73" s="85"/>
      <c r="CM73" s="85"/>
      <c r="CN73" s="85"/>
      <c r="CO73" s="85"/>
      <c r="CP73" s="85"/>
      <c r="CQ73" s="85"/>
      <c r="CR73" s="85"/>
      <c r="CS73" s="85"/>
      <c r="CT73" s="85"/>
      <c r="CU73" s="85"/>
      <c r="CV73" s="85"/>
      <c r="CW73" s="85"/>
      <c r="CX73" s="85"/>
      <c r="CY73" s="84"/>
    </row>
    <row r="74" spans="1:103">
      <c r="A74" s="93">
        <v>43617</v>
      </c>
      <c r="B74" s="82">
        <f t="shared" si="3"/>
        <v>2019</v>
      </c>
      <c r="C74" s="86">
        <v>2.3247333333333335</v>
      </c>
      <c r="D74" s="86">
        <v>17.016666666666666</v>
      </c>
      <c r="E74" s="86">
        <v>0.2939633333333333</v>
      </c>
      <c r="F74" s="86">
        <v>1.6297666666666666</v>
      </c>
      <c r="G74" s="86">
        <v>7.0613333333333337</v>
      </c>
      <c r="H74" s="86">
        <v>15.329333333333333</v>
      </c>
      <c r="I74" s="86">
        <f t="shared" ref="I74:I133" si="4">SUM(C74:H74)</f>
        <v>43.655796666666667</v>
      </c>
      <c r="J74" s="85"/>
      <c r="K74" s="85"/>
      <c r="L74" s="85"/>
      <c r="M74" s="85"/>
      <c r="N74" s="85"/>
      <c r="O74" s="85"/>
      <c r="P74" s="85"/>
      <c r="Q74" s="85"/>
      <c r="R74" s="85"/>
      <c r="S74" s="85"/>
      <c r="T74" s="85"/>
      <c r="U74" s="85"/>
      <c r="V74" s="85"/>
      <c r="W74" s="85"/>
      <c r="X74" s="85"/>
      <c r="Y74" s="85"/>
      <c r="Z74" s="85"/>
      <c r="AA74" s="85"/>
      <c r="AB74" s="85"/>
      <c r="AC74" s="85"/>
      <c r="AD74" s="85"/>
      <c r="AE74" s="85"/>
      <c r="AF74" s="85"/>
      <c r="AG74" s="85"/>
      <c r="AH74" s="85"/>
      <c r="AI74" s="85"/>
      <c r="AJ74" s="85"/>
      <c r="AK74" s="85"/>
      <c r="AL74" s="85"/>
      <c r="AM74" s="85"/>
      <c r="AN74" s="85"/>
      <c r="AO74" s="85"/>
      <c r="AP74" s="85"/>
      <c r="AQ74" s="85"/>
      <c r="AR74" s="85"/>
      <c r="AS74" s="85"/>
      <c r="AT74" s="85"/>
      <c r="AU74" s="85"/>
      <c r="AV74" s="85"/>
      <c r="AW74" s="85"/>
      <c r="AX74" s="85"/>
      <c r="AY74" s="85"/>
      <c r="AZ74" s="85"/>
      <c r="BA74" s="85"/>
      <c r="BB74" s="85"/>
      <c r="BC74" s="85"/>
      <c r="BD74" s="85"/>
      <c r="BE74" s="85"/>
      <c r="BF74" s="85"/>
      <c r="BG74" s="85"/>
      <c r="BH74" s="85"/>
      <c r="BI74" s="85"/>
      <c r="BJ74" s="85"/>
      <c r="BK74" s="85"/>
      <c r="BL74" s="85"/>
      <c r="BM74" s="85"/>
      <c r="BN74" s="85"/>
      <c r="BO74" s="85"/>
      <c r="BP74" s="85"/>
      <c r="BQ74" s="85"/>
      <c r="BR74" s="85"/>
      <c r="BS74" s="85"/>
      <c r="BT74" s="85"/>
      <c r="BU74" s="85"/>
      <c r="BV74" s="85"/>
      <c r="BW74" s="85"/>
      <c r="BX74" s="85"/>
      <c r="BY74" s="85"/>
      <c r="BZ74" s="85"/>
      <c r="CA74" s="85"/>
      <c r="CB74" s="85"/>
      <c r="CC74" s="85"/>
      <c r="CD74" s="85"/>
      <c r="CE74" s="85"/>
      <c r="CF74" s="85"/>
      <c r="CG74" s="85"/>
      <c r="CH74" s="85"/>
      <c r="CI74" s="85"/>
      <c r="CJ74" s="85"/>
      <c r="CK74" s="85"/>
      <c r="CL74" s="85"/>
      <c r="CM74" s="85"/>
      <c r="CN74" s="85"/>
      <c r="CO74" s="85"/>
      <c r="CP74" s="85"/>
      <c r="CQ74" s="85"/>
      <c r="CR74" s="85"/>
      <c r="CS74" s="85"/>
      <c r="CT74" s="85"/>
      <c r="CU74" s="85"/>
      <c r="CV74" s="85"/>
      <c r="CW74" s="85"/>
      <c r="CX74" s="85"/>
      <c r="CY74" s="84"/>
    </row>
    <row r="75" spans="1:103">
      <c r="A75" s="93">
        <v>43647</v>
      </c>
      <c r="B75" s="82">
        <f t="shared" si="3"/>
        <v>2019</v>
      </c>
      <c r="C75" s="86">
        <v>2.5236774193548386</v>
      </c>
      <c r="D75" s="86">
        <v>17.120322580645162</v>
      </c>
      <c r="E75" s="86">
        <v>0.28305806451612908</v>
      </c>
      <c r="F75" s="86">
        <v>1.5836129032258064</v>
      </c>
      <c r="G75" s="86">
        <v>5.040322580645161</v>
      </c>
      <c r="H75" s="86">
        <v>13.766129032258064</v>
      </c>
      <c r="I75" s="86">
        <f t="shared" si="4"/>
        <v>40.317122580645162</v>
      </c>
      <c r="J75" s="85"/>
      <c r="K75" s="85"/>
      <c r="L75" s="85"/>
      <c r="M75" s="85"/>
      <c r="N75" s="85"/>
      <c r="O75" s="85"/>
      <c r="P75" s="85"/>
      <c r="Q75" s="85"/>
      <c r="R75" s="85"/>
      <c r="S75" s="85"/>
      <c r="T75" s="85"/>
      <c r="U75" s="85"/>
      <c r="V75" s="85"/>
      <c r="W75" s="85"/>
      <c r="X75" s="85"/>
      <c r="Y75" s="85"/>
      <c r="Z75" s="85"/>
      <c r="AA75" s="85"/>
      <c r="AB75" s="85"/>
      <c r="AC75" s="85"/>
      <c r="AD75" s="85"/>
      <c r="AE75" s="85"/>
      <c r="AF75" s="85"/>
      <c r="AG75" s="85"/>
      <c r="AH75" s="85"/>
      <c r="AI75" s="85"/>
      <c r="AJ75" s="85"/>
      <c r="AK75" s="85"/>
      <c r="AL75" s="85"/>
      <c r="AM75" s="85"/>
      <c r="AN75" s="85"/>
      <c r="AO75" s="85"/>
      <c r="AP75" s="85"/>
      <c r="AQ75" s="85"/>
      <c r="AR75" s="85"/>
      <c r="AS75" s="85"/>
      <c r="AT75" s="85"/>
      <c r="AU75" s="85"/>
      <c r="AV75" s="85"/>
      <c r="AW75" s="85"/>
      <c r="AX75" s="85"/>
      <c r="AY75" s="85"/>
      <c r="AZ75" s="85"/>
      <c r="BA75" s="85"/>
      <c r="BB75" s="85"/>
      <c r="BC75" s="85"/>
      <c r="BD75" s="85"/>
      <c r="BE75" s="85"/>
      <c r="BF75" s="85"/>
      <c r="BG75" s="85"/>
      <c r="BH75" s="85"/>
      <c r="BI75" s="85"/>
      <c r="BJ75" s="85"/>
      <c r="BK75" s="85"/>
      <c r="BL75" s="85"/>
      <c r="BM75" s="85"/>
      <c r="BN75" s="85"/>
      <c r="BO75" s="85"/>
      <c r="BP75" s="85"/>
      <c r="BQ75" s="85"/>
      <c r="BR75" s="85"/>
      <c r="BS75" s="85"/>
      <c r="BT75" s="85"/>
      <c r="BU75" s="85"/>
      <c r="BV75" s="85"/>
      <c r="BW75" s="85"/>
      <c r="BX75" s="85"/>
      <c r="BY75" s="85"/>
      <c r="BZ75" s="85"/>
      <c r="CA75" s="85"/>
      <c r="CB75" s="85"/>
      <c r="CC75" s="85"/>
      <c r="CD75" s="85"/>
      <c r="CE75" s="85"/>
      <c r="CF75" s="85"/>
      <c r="CG75" s="85"/>
      <c r="CH75" s="85"/>
      <c r="CI75" s="85"/>
      <c r="CJ75" s="85"/>
      <c r="CK75" s="85"/>
      <c r="CL75" s="85"/>
      <c r="CM75" s="85"/>
      <c r="CN75" s="85"/>
      <c r="CO75" s="85"/>
      <c r="CP75" s="85"/>
      <c r="CQ75" s="85"/>
      <c r="CR75" s="85"/>
      <c r="CS75" s="85"/>
      <c r="CT75" s="85"/>
      <c r="CU75" s="85"/>
      <c r="CV75" s="85"/>
      <c r="CW75" s="85"/>
      <c r="CX75" s="85"/>
      <c r="CY75" s="84"/>
    </row>
    <row r="76" spans="1:103">
      <c r="A76" s="93">
        <v>43678</v>
      </c>
      <c r="B76" s="82">
        <f t="shared" si="3"/>
        <v>2019</v>
      </c>
      <c r="C76" s="86">
        <v>2.3182258064516126</v>
      </c>
      <c r="D76" s="86">
        <v>16.679354838709674</v>
      </c>
      <c r="E76" s="86">
        <v>0.29161612903225809</v>
      </c>
      <c r="F76" s="86">
        <v>1.5681290322580645</v>
      </c>
      <c r="G76" s="86">
        <v>2.8784516129032256</v>
      </c>
      <c r="H76" s="86">
        <v>12.78</v>
      </c>
      <c r="I76" s="86">
        <f t="shared" si="4"/>
        <v>36.515777419354833</v>
      </c>
      <c r="J76" s="85"/>
      <c r="K76" s="85"/>
      <c r="L76" s="85"/>
      <c r="M76" s="85"/>
      <c r="N76" s="85"/>
      <c r="O76" s="85"/>
      <c r="P76" s="85"/>
      <c r="Q76" s="85"/>
      <c r="R76" s="85"/>
      <c r="S76" s="85"/>
      <c r="T76" s="85"/>
      <c r="U76" s="85"/>
      <c r="V76" s="85"/>
      <c r="W76" s="85"/>
      <c r="X76" s="85"/>
      <c r="Y76" s="85"/>
      <c r="Z76" s="85"/>
      <c r="AA76" s="85"/>
      <c r="AB76" s="85"/>
      <c r="AC76" s="85"/>
      <c r="AD76" s="85"/>
      <c r="AE76" s="85"/>
      <c r="AF76" s="85"/>
      <c r="AG76" s="85"/>
      <c r="AH76" s="85"/>
      <c r="AI76" s="85"/>
      <c r="AJ76" s="85"/>
      <c r="AK76" s="85"/>
      <c r="AL76" s="85"/>
      <c r="AM76" s="85"/>
      <c r="AN76" s="85"/>
      <c r="AO76" s="85"/>
      <c r="AP76" s="85"/>
      <c r="AQ76" s="85"/>
      <c r="AR76" s="85"/>
      <c r="AS76" s="85"/>
      <c r="AT76" s="85"/>
      <c r="AU76" s="85"/>
      <c r="AV76" s="85"/>
      <c r="AW76" s="85"/>
      <c r="AX76" s="85"/>
      <c r="AY76" s="85"/>
      <c r="AZ76" s="85"/>
      <c r="BA76" s="85"/>
      <c r="BB76" s="85"/>
      <c r="BC76" s="85"/>
      <c r="BD76" s="85"/>
      <c r="BE76" s="85"/>
      <c r="BF76" s="85"/>
      <c r="BG76" s="85"/>
      <c r="BH76" s="85"/>
      <c r="BI76" s="85"/>
      <c r="BJ76" s="85"/>
      <c r="BK76" s="85"/>
      <c r="BL76" s="85"/>
      <c r="BM76" s="85"/>
      <c r="BN76" s="85"/>
      <c r="BO76" s="85"/>
      <c r="BP76" s="85"/>
      <c r="BQ76" s="85"/>
      <c r="BR76" s="85"/>
      <c r="BS76" s="85"/>
      <c r="BT76" s="85"/>
      <c r="BU76" s="85"/>
      <c r="BV76" s="85"/>
      <c r="BW76" s="85"/>
      <c r="BX76" s="85"/>
      <c r="BY76" s="85"/>
      <c r="BZ76" s="85"/>
      <c r="CA76" s="85"/>
      <c r="CB76" s="85"/>
      <c r="CC76" s="85"/>
      <c r="CD76" s="85"/>
      <c r="CE76" s="85"/>
      <c r="CF76" s="85"/>
      <c r="CG76" s="85"/>
      <c r="CH76" s="85"/>
      <c r="CI76" s="85"/>
      <c r="CJ76" s="85"/>
      <c r="CK76" s="85"/>
      <c r="CL76" s="85"/>
      <c r="CM76" s="85"/>
      <c r="CN76" s="85"/>
      <c r="CO76" s="85"/>
      <c r="CP76" s="85"/>
      <c r="CQ76" s="85"/>
      <c r="CR76" s="85"/>
      <c r="CS76" s="85"/>
      <c r="CT76" s="85"/>
      <c r="CU76" s="85"/>
      <c r="CV76" s="85"/>
      <c r="CW76" s="85"/>
      <c r="CX76" s="85"/>
      <c r="CY76" s="84"/>
    </row>
    <row r="77" spans="1:103">
      <c r="A77" s="93">
        <v>43709</v>
      </c>
      <c r="B77" s="82">
        <f t="shared" si="3"/>
        <v>2019</v>
      </c>
      <c r="C77" s="86">
        <v>2.4292333333333334</v>
      </c>
      <c r="D77" s="86">
        <v>19.465666666666667</v>
      </c>
      <c r="E77" s="86">
        <v>0.27427333333333331</v>
      </c>
      <c r="F77" s="86">
        <v>1.3989666666666667</v>
      </c>
      <c r="G77" s="86">
        <v>5.3503333333333334</v>
      </c>
      <c r="H77" s="86">
        <v>13.558666666666666</v>
      </c>
      <c r="I77" s="86">
        <f t="shared" si="4"/>
        <v>42.477139999999999</v>
      </c>
      <c r="J77" s="85"/>
      <c r="K77" s="85"/>
      <c r="L77" s="85"/>
      <c r="M77" s="85"/>
      <c r="N77" s="85"/>
      <c r="O77" s="85"/>
      <c r="P77" s="85"/>
      <c r="Q77" s="85"/>
      <c r="R77" s="85"/>
      <c r="S77" s="85"/>
      <c r="T77" s="85"/>
      <c r="U77" s="85"/>
      <c r="V77" s="85"/>
      <c r="W77" s="85"/>
      <c r="X77" s="85"/>
      <c r="Y77" s="85"/>
      <c r="Z77" s="85"/>
      <c r="AA77" s="85"/>
      <c r="AB77" s="85"/>
      <c r="AC77" s="85"/>
      <c r="AD77" s="85"/>
      <c r="AE77" s="85"/>
      <c r="AF77" s="85"/>
      <c r="AG77" s="85"/>
      <c r="AH77" s="85"/>
      <c r="AI77" s="85"/>
      <c r="AJ77" s="85"/>
      <c r="AK77" s="85"/>
      <c r="AL77" s="85"/>
      <c r="AM77" s="85"/>
      <c r="AN77" s="85"/>
      <c r="AO77" s="85"/>
      <c r="AP77" s="85"/>
      <c r="AQ77" s="85"/>
      <c r="AR77" s="85"/>
      <c r="AS77" s="85"/>
      <c r="AT77" s="85"/>
      <c r="AU77" s="85"/>
      <c r="AV77" s="85"/>
      <c r="AW77" s="85"/>
      <c r="AX77" s="85"/>
      <c r="AY77" s="85"/>
      <c r="AZ77" s="85"/>
      <c r="BA77" s="85"/>
      <c r="BB77" s="85"/>
      <c r="BC77" s="85"/>
      <c r="BD77" s="85"/>
      <c r="BE77" s="85"/>
      <c r="BF77" s="85"/>
      <c r="BG77" s="85"/>
      <c r="BH77" s="85"/>
      <c r="BI77" s="85"/>
      <c r="BJ77" s="85"/>
      <c r="BK77" s="85"/>
      <c r="BL77" s="85"/>
      <c r="BM77" s="85"/>
      <c r="BN77" s="85"/>
      <c r="BO77" s="85"/>
      <c r="BP77" s="85"/>
      <c r="BQ77" s="85"/>
      <c r="BR77" s="85"/>
      <c r="BS77" s="85"/>
      <c r="BT77" s="85"/>
      <c r="BU77" s="85"/>
      <c r="BV77" s="85"/>
      <c r="BW77" s="85"/>
      <c r="BX77" s="85"/>
      <c r="BY77" s="85"/>
      <c r="BZ77" s="85"/>
      <c r="CA77" s="85"/>
      <c r="CB77" s="85"/>
      <c r="CC77" s="85"/>
      <c r="CD77" s="85"/>
      <c r="CE77" s="85"/>
      <c r="CF77" s="85"/>
      <c r="CG77" s="85"/>
      <c r="CH77" s="85"/>
      <c r="CI77" s="85"/>
      <c r="CJ77" s="85"/>
      <c r="CK77" s="85"/>
      <c r="CL77" s="85"/>
      <c r="CM77" s="85"/>
      <c r="CN77" s="85"/>
      <c r="CO77" s="85"/>
      <c r="CP77" s="85"/>
      <c r="CQ77" s="85"/>
      <c r="CR77" s="85"/>
      <c r="CS77" s="85"/>
      <c r="CT77" s="85"/>
      <c r="CU77" s="85"/>
      <c r="CV77" s="85"/>
      <c r="CW77" s="85"/>
      <c r="CX77" s="85"/>
      <c r="CY77" s="84"/>
    </row>
    <row r="78" spans="1:103">
      <c r="A78" s="93">
        <v>43739</v>
      </c>
      <c r="B78" s="82">
        <f t="shared" si="3"/>
        <v>2019</v>
      </c>
      <c r="C78" s="86">
        <v>2.2388387096774194</v>
      </c>
      <c r="D78" s="86">
        <v>20.175806451612903</v>
      </c>
      <c r="E78" s="86">
        <v>0.25676451612903223</v>
      </c>
      <c r="F78" s="86">
        <v>1.3611935483870969</v>
      </c>
      <c r="G78" s="86">
        <v>5.3325806451612907</v>
      </c>
      <c r="H78" s="86">
        <v>15.278709677419354</v>
      </c>
      <c r="I78" s="86">
        <f t="shared" si="4"/>
        <v>44.643893548387098</v>
      </c>
      <c r="J78" s="85"/>
      <c r="K78" s="85"/>
      <c r="L78" s="85"/>
      <c r="M78" s="85"/>
      <c r="N78" s="85"/>
      <c r="O78" s="85"/>
      <c r="P78" s="85"/>
      <c r="Q78" s="85"/>
      <c r="R78" s="85"/>
      <c r="S78" s="85"/>
      <c r="T78" s="85"/>
      <c r="U78" s="85"/>
      <c r="V78" s="85"/>
      <c r="W78" s="85"/>
      <c r="X78" s="85"/>
      <c r="Y78" s="85"/>
      <c r="Z78" s="85"/>
      <c r="AA78" s="85"/>
      <c r="AB78" s="85"/>
      <c r="AC78" s="85"/>
      <c r="AD78" s="85"/>
      <c r="AE78" s="85"/>
      <c r="AF78" s="85"/>
      <c r="AG78" s="85"/>
      <c r="AH78" s="85"/>
      <c r="AI78" s="85"/>
      <c r="AJ78" s="85"/>
      <c r="AK78" s="85"/>
      <c r="AL78" s="85"/>
      <c r="AM78" s="85"/>
      <c r="AN78" s="85"/>
      <c r="AO78" s="85"/>
      <c r="AP78" s="85"/>
      <c r="AQ78" s="85"/>
      <c r="AR78" s="85"/>
      <c r="AS78" s="85"/>
      <c r="AT78" s="85"/>
      <c r="AU78" s="85"/>
      <c r="AV78" s="85"/>
      <c r="AW78" s="85"/>
      <c r="AX78" s="85"/>
      <c r="AY78" s="85"/>
      <c r="AZ78" s="85"/>
      <c r="BA78" s="85"/>
      <c r="BB78" s="85"/>
      <c r="BC78" s="85"/>
      <c r="BD78" s="85"/>
      <c r="BE78" s="85"/>
      <c r="BF78" s="85"/>
      <c r="BG78" s="85"/>
      <c r="BH78" s="85"/>
      <c r="BI78" s="85"/>
      <c r="BJ78" s="85"/>
      <c r="BK78" s="85"/>
      <c r="BL78" s="85"/>
      <c r="BM78" s="85"/>
      <c r="BN78" s="85"/>
      <c r="BO78" s="85"/>
      <c r="BP78" s="85"/>
      <c r="BQ78" s="85"/>
      <c r="BR78" s="85"/>
      <c r="BS78" s="85"/>
      <c r="BT78" s="85"/>
      <c r="BU78" s="85"/>
      <c r="BV78" s="85"/>
      <c r="BW78" s="85"/>
      <c r="BX78" s="85"/>
      <c r="BY78" s="85"/>
      <c r="BZ78" s="85"/>
      <c r="CA78" s="85"/>
      <c r="CB78" s="85"/>
      <c r="CC78" s="85"/>
      <c r="CD78" s="85"/>
      <c r="CE78" s="85"/>
      <c r="CF78" s="85"/>
      <c r="CG78" s="85"/>
      <c r="CH78" s="85"/>
      <c r="CI78" s="85"/>
      <c r="CJ78" s="85"/>
      <c r="CK78" s="85"/>
      <c r="CL78" s="85"/>
      <c r="CM78" s="85"/>
      <c r="CN78" s="85"/>
      <c r="CO78" s="85"/>
      <c r="CP78" s="85"/>
      <c r="CQ78" s="85"/>
      <c r="CR78" s="85"/>
      <c r="CS78" s="85"/>
      <c r="CT78" s="85"/>
      <c r="CU78" s="85"/>
      <c r="CV78" s="85"/>
      <c r="CW78" s="85"/>
      <c r="CX78" s="85"/>
      <c r="CY78" s="84"/>
    </row>
    <row r="79" spans="1:103">
      <c r="A79" s="93">
        <v>43770</v>
      </c>
      <c r="B79" s="82">
        <f t="shared" si="3"/>
        <v>2019</v>
      </c>
      <c r="C79" s="86">
        <v>2.4409666666666667</v>
      </c>
      <c r="D79" s="86">
        <v>21.069333333333336</v>
      </c>
      <c r="E79" s="86">
        <v>0.28196666666666664</v>
      </c>
      <c r="F79" s="86">
        <v>1.5869666666666666</v>
      </c>
      <c r="G79" s="86">
        <v>7.681</v>
      </c>
      <c r="H79" s="86">
        <v>15.972333333333333</v>
      </c>
      <c r="I79" s="86">
        <f t="shared" si="4"/>
        <v>49.032566666666668</v>
      </c>
      <c r="J79" s="85"/>
      <c r="K79" s="85"/>
      <c r="L79" s="85"/>
      <c r="M79" s="85"/>
      <c r="N79" s="85"/>
      <c r="O79" s="85"/>
      <c r="P79" s="85"/>
      <c r="Q79" s="85"/>
      <c r="R79" s="85"/>
      <c r="S79" s="85"/>
      <c r="T79" s="85"/>
      <c r="U79" s="85"/>
      <c r="V79" s="85"/>
      <c r="W79" s="85"/>
      <c r="X79" s="85"/>
      <c r="Y79" s="85"/>
      <c r="Z79" s="85"/>
      <c r="AA79" s="85"/>
      <c r="AB79" s="85"/>
      <c r="AC79" s="85"/>
      <c r="AD79" s="85"/>
      <c r="AE79" s="85"/>
      <c r="AF79" s="85"/>
      <c r="AG79" s="85"/>
      <c r="AH79" s="85"/>
      <c r="AI79" s="85"/>
      <c r="AJ79" s="85"/>
      <c r="AK79" s="85"/>
      <c r="AL79" s="85"/>
      <c r="AM79" s="85"/>
      <c r="AN79" s="85"/>
      <c r="AO79" s="85"/>
      <c r="AP79" s="85"/>
      <c r="AQ79" s="85"/>
      <c r="AR79" s="85"/>
      <c r="AS79" s="85"/>
      <c r="AT79" s="85"/>
      <c r="AU79" s="85"/>
      <c r="AV79" s="85"/>
      <c r="AW79" s="85"/>
      <c r="AX79" s="85"/>
      <c r="AY79" s="85"/>
      <c r="AZ79" s="85"/>
      <c r="BA79" s="85"/>
      <c r="BB79" s="85"/>
      <c r="BC79" s="85"/>
      <c r="BD79" s="85"/>
      <c r="BE79" s="85"/>
      <c r="BF79" s="85"/>
      <c r="BG79" s="85"/>
      <c r="BH79" s="85"/>
      <c r="BI79" s="85"/>
      <c r="BJ79" s="85"/>
      <c r="BK79" s="85"/>
      <c r="BL79" s="85"/>
      <c r="BM79" s="85"/>
      <c r="BN79" s="85"/>
      <c r="BO79" s="85"/>
      <c r="BP79" s="85"/>
      <c r="BQ79" s="85"/>
      <c r="BR79" s="85"/>
      <c r="BS79" s="85"/>
      <c r="BT79" s="85"/>
      <c r="BU79" s="85"/>
      <c r="BV79" s="85"/>
      <c r="BW79" s="85"/>
      <c r="BX79" s="85"/>
      <c r="BY79" s="85"/>
      <c r="BZ79" s="85"/>
      <c r="CA79" s="85"/>
      <c r="CB79" s="85"/>
      <c r="CC79" s="85"/>
      <c r="CD79" s="85"/>
      <c r="CE79" s="85"/>
      <c r="CF79" s="85"/>
      <c r="CG79" s="85"/>
      <c r="CH79" s="85"/>
      <c r="CI79" s="85"/>
      <c r="CJ79" s="85"/>
      <c r="CK79" s="85"/>
      <c r="CL79" s="85"/>
      <c r="CM79" s="85"/>
      <c r="CN79" s="85"/>
      <c r="CO79" s="85"/>
      <c r="CP79" s="85"/>
      <c r="CQ79" s="85"/>
      <c r="CR79" s="85"/>
      <c r="CS79" s="85"/>
      <c r="CT79" s="85"/>
      <c r="CU79" s="85"/>
      <c r="CV79" s="85"/>
      <c r="CW79" s="85"/>
      <c r="CX79" s="85"/>
      <c r="CY79" s="84"/>
    </row>
    <row r="80" spans="1:103">
      <c r="A80" s="93">
        <v>43800</v>
      </c>
      <c r="B80" s="82">
        <f t="shared" si="3"/>
        <v>2019</v>
      </c>
      <c r="C80" s="86">
        <v>2.4221935483870967</v>
      </c>
      <c r="D80" s="86">
        <v>18.775806451612901</v>
      </c>
      <c r="E80" s="86">
        <v>0.29278709677419351</v>
      </c>
      <c r="F80" s="86">
        <v>1.477774193548387</v>
      </c>
      <c r="G80" s="86">
        <v>8.56</v>
      </c>
      <c r="H80" s="86">
        <v>13.333870967741936</v>
      </c>
      <c r="I80" s="86">
        <f t="shared" si="4"/>
        <v>44.862432258064516</v>
      </c>
      <c r="J80" s="85"/>
      <c r="K80" s="85"/>
      <c r="L80" s="85"/>
      <c r="M80" s="85"/>
      <c r="N80" s="85"/>
      <c r="O80" s="85"/>
      <c r="P80" s="85"/>
      <c r="Q80" s="85"/>
      <c r="R80" s="85"/>
      <c r="S80" s="85"/>
      <c r="T80" s="85"/>
      <c r="U80" s="85"/>
      <c r="V80" s="85"/>
      <c r="W80" s="85"/>
      <c r="X80" s="85"/>
      <c r="Y80" s="85"/>
      <c r="Z80" s="85"/>
      <c r="AA80" s="85"/>
      <c r="AB80" s="85"/>
      <c r="AC80" s="85"/>
      <c r="AD80" s="85"/>
      <c r="AE80" s="85"/>
      <c r="AF80" s="85"/>
      <c r="AG80" s="85"/>
      <c r="AH80" s="85"/>
      <c r="AI80" s="85"/>
      <c r="AJ80" s="85"/>
      <c r="AK80" s="85"/>
      <c r="AL80" s="85"/>
      <c r="AM80" s="85"/>
      <c r="AN80" s="85"/>
      <c r="AO80" s="85"/>
      <c r="AP80" s="85"/>
      <c r="AQ80" s="85"/>
      <c r="AR80" s="85"/>
      <c r="AS80" s="85"/>
      <c r="AT80" s="85"/>
      <c r="AU80" s="85"/>
      <c r="AV80" s="85"/>
      <c r="AW80" s="85"/>
      <c r="AX80" s="85"/>
      <c r="AY80" s="85"/>
      <c r="AZ80" s="85"/>
      <c r="BA80" s="85"/>
      <c r="BB80" s="85"/>
      <c r="BC80" s="85"/>
      <c r="BD80" s="85"/>
      <c r="BE80" s="85"/>
      <c r="BF80" s="85"/>
      <c r="BG80" s="85"/>
      <c r="BH80" s="85"/>
      <c r="BI80" s="85"/>
      <c r="BJ80" s="85"/>
      <c r="BK80" s="85"/>
      <c r="BL80" s="85"/>
      <c r="BM80" s="85"/>
      <c r="BN80" s="85"/>
      <c r="BO80" s="85"/>
      <c r="BP80" s="85"/>
      <c r="BQ80" s="85"/>
      <c r="BR80" s="85"/>
      <c r="BS80" s="85"/>
      <c r="BT80" s="85"/>
      <c r="BU80" s="85"/>
      <c r="BV80" s="85"/>
      <c r="BW80" s="85"/>
      <c r="BX80" s="85"/>
      <c r="BY80" s="85"/>
      <c r="BZ80" s="85"/>
      <c r="CA80" s="85"/>
      <c r="CB80" s="85"/>
      <c r="CC80" s="85"/>
      <c r="CD80" s="85"/>
      <c r="CE80" s="85"/>
      <c r="CF80" s="85"/>
      <c r="CG80" s="85"/>
      <c r="CH80" s="85"/>
      <c r="CI80" s="85"/>
      <c r="CJ80" s="85"/>
      <c r="CK80" s="85"/>
      <c r="CL80" s="85"/>
      <c r="CM80" s="85"/>
      <c r="CN80" s="85"/>
      <c r="CO80" s="85"/>
      <c r="CP80" s="85"/>
      <c r="CQ80" s="85"/>
      <c r="CR80" s="85"/>
      <c r="CS80" s="85"/>
      <c r="CT80" s="85"/>
      <c r="CU80" s="85"/>
      <c r="CV80" s="85"/>
      <c r="CW80" s="85"/>
      <c r="CX80" s="85"/>
      <c r="CY80" s="84"/>
    </row>
    <row r="81" spans="1:103">
      <c r="A81" s="93">
        <v>43831</v>
      </c>
      <c r="B81" s="82">
        <f t="shared" si="3"/>
        <v>2020</v>
      </c>
      <c r="C81" s="86">
        <v>2.3474838709677419</v>
      </c>
      <c r="D81" s="86">
        <v>17.368387096774192</v>
      </c>
      <c r="E81" s="86">
        <v>0.2885032258064516</v>
      </c>
      <c r="F81" s="86">
        <v>1.2610967741935484</v>
      </c>
      <c r="G81" s="86">
        <v>8.2238709677419362</v>
      </c>
      <c r="H81" s="86">
        <v>11.646451612903226</v>
      </c>
      <c r="I81" s="86">
        <f t="shared" si="4"/>
        <v>41.135793548387099</v>
      </c>
      <c r="J81" s="85"/>
      <c r="K81" s="85"/>
      <c r="L81" s="85"/>
      <c r="M81" s="85"/>
      <c r="N81" s="85"/>
      <c r="O81" s="85"/>
      <c r="P81" s="85"/>
      <c r="Q81" s="85"/>
      <c r="R81" s="85"/>
      <c r="S81" s="85"/>
      <c r="T81" s="85"/>
      <c r="U81" s="85"/>
      <c r="V81" s="85"/>
      <c r="W81" s="85"/>
      <c r="X81" s="85"/>
      <c r="Y81" s="85"/>
      <c r="Z81" s="85"/>
      <c r="AA81" s="85"/>
      <c r="AB81" s="85"/>
      <c r="AC81" s="85"/>
      <c r="AD81" s="85"/>
      <c r="AE81" s="85"/>
      <c r="AF81" s="85"/>
      <c r="AG81" s="85"/>
      <c r="AH81" s="85"/>
      <c r="AI81" s="85"/>
      <c r="AJ81" s="85"/>
      <c r="AK81" s="85"/>
      <c r="AL81" s="85"/>
      <c r="AM81" s="85"/>
      <c r="AN81" s="85"/>
      <c r="AO81" s="85"/>
      <c r="AP81" s="85"/>
      <c r="AQ81" s="85"/>
      <c r="AR81" s="85"/>
      <c r="AS81" s="85"/>
      <c r="AT81" s="85"/>
      <c r="AU81" s="85"/>
      <c r="AV81" s="85"/>
      <c r="AW81" s="85"/>
      <c r="AX81" s="85"/>
      <c r="AY81" s="85"/>
      <c r="AZ81" s="85"/>
      <c r="BA81" s="85"/>
      <c r="BB81" s="85"/>
      <c r="BC81" s="85"/>
      <c r="BD81" s="85"/>
      <c r="BE81" s="85"/>
      <c r="BF81" s="85"/>
      <c r="BG81" s="85"/>
      <c r="BH81" s="85"/>
      <c r="BI81" s="85"/>
      <c r="BJ81" s="85"/>
      <c r="BK81" s="85"/>
      <c r="BL81" s="85"/>
      <c r="BM81" s="85"/>
      <c r="BN81" s="85"/>
      <c r="BO81" s="85"/>
      <c r="BP81" s="85"/>
      <c r="BQ81" s="85"/>
      <c r="BR81" s="85"/>
      <c r="BS81" s="85"/>
      <c r="BT81" s="85"/>
      <c r="BU81" s="85"/>
      <c r="BV81" s="85"/>
      <c r="BW81" s="85"/>
      <c r="BX81" s="85"/>
      <c r="BY81" s="85"/>
      <c r="BZ81" s="85"/>
      <c r="CA81" s="85"/>
      <c r="CB81" s="85"/>
      <c r="CC81" s="85"/>
      <c r="CD81" s="85"/>
      <c r="CE81" s="85"/>
      <c r="CF81" s="85"/>
      <c r="CG81" s="85"/>
      <c r="CH81" s="85"/>
      <c r="CI81" s="85"/>
      <c r="CJ81" s="85"/>
      <c r="CK81" s="85"/>
      <c r="CL81" s="85"/>
      <c r="CM81" s="85"/>
      <c r="CN81" s="85"/>
      <c r="CO81" s="85"/>
      <c r="CP81" s="85"/>
      <c r="CQ81" s="85"/>
      <c r="CR81" s="85"/>
      <c r="CS81" s="85"/>
      <c r="CT81" s="85"/>
      <c r="CU81" s="85"/>
      <c r="CV81" s="85"/>
      <c r="CW81" s="85"/>
      <c r="CX81" s="85"/>
      <c r="CY81" s="84"/>
    </row>
    <row r="82" spans="1:103">
      <c r="A82" s="93">
        <v>43862</v>
      </c>
      <c r="B82" s="82">
        <f t="shared" si="3"/>
        <v>2020</v>
      </c>
      <c r="C82" s="86">
        <v>1.8795172413793104</v>
      </c>
      <c r="D82" s="86">
        <v>17.355172413793102</v>
      </c>
      <c r="E82" s="86">
        <v>0.28288965517241377</v>
      </c>
      <c r="F82" s="86">
        <v>1.2422758620689656</v>
      </c>
      <c r="G82" s="86">
        <v>5.9944827586206895</v>
      </c>
      <c r="H82" s="86">
        <v>12.053793103448276</v>
      </c>
      <c r="I82" s="86">
        <f t="shared" si="4"/>
        <v>38.808131034482763</v>
      </c>
      <c r="J82" s="85"/>
      <c r="K82" s="85"/>
      <c r="L82" s="85"/>
      <c r="M82" s="85"/>
      <c r="N82" s="85"/>
      <c r="O82" s="85"/>
      <c r="P82" s="85"/>
      <c r="Q82" s="85"/>
      <c r="R82" s="85"/>
      <c r="S82" s="85"/>
      <c r="T82" s="85"/>
      <c r="U82" s="85"/>
      <c r="V82" s="85"/>
      <c r="W82" s="85"/>
      <c r="X82" s="85"/>
      <c r="Y82" s="85"/>
      <c r="Z82" s="85"/>
      <c r="AA82" s="85"/>
      <c r="AB82" s="85"/>
      <c r="AC82" s="85"/>
      <c r="AD82" s="85"/>
      <c r="AE82" s="85"/>
      <c r="AF82" s="85"/>
      <c r="AG82" s="85"/>
      <c r="AH82" s="85"/>
      <c r="AI82" s="85"/>
      <c r="AJ82" s="85"/>
      <c r="AK82" s="85"/>
      <c r="AL82" s="85"/>
      <c r="AM82" s="85"/>
      <c r="AN82" s="85"/>
      <c r="AO82" s="85"/>
      <c r="AP82" s="85"/>
      <c r="AQ82" s="85"/>
      <c r="AR82" s="85"/>
      <c r="AS82" s="85"/>
      <c r="AT82" s="85"/>
      <c r="AU82" s="85"/>
      <c r="AV82" s="85"/>
      <c r="AW82" s="85"/>
      <c r="AX82" s="85"/>
      <c r="AY82" s="85"/>
      <c r="AZ82" s="85"/>
      <c r="BA82" s="85"/>
      <c r="BB82" s="85"/>
      <c r="BC82" s="85"/>
      <c r="BD82" s="85"/>
      <c r="BE82" s="85"/>
      <c r="BF82" s="85"/>
      <c r="BG82" s="85"/>
      <c r="BH82" s="85"/>
      <c r="BI82" s="85"/>
      <c r="BJ82" s="85"/>
      <c r="BK82" s="85"/>
      <c r="BL82" s="85"/>
      <c r="BM82" s="85"/>
      <c r="BN82" s="85"/>
      <c r="BO82" s="85"/>
      <c r="BP82" s="85"/>
      <c r="BQ82" s="85"/>
      <c r="BR82" s="85"/>
      <c r="BS82" s="85"/>
      <c r="BT82" s="85"/>
      <c r="BU82" s="85"/>
      <c r="BV82" s="85"/>
      <c r="BW82" s="85"/>
      <c r="BX82" s="85"/>
      <c r="BY82" s="85"/>
      <c r="BZ82" s="85"/>
      <c r="CA82" s="85"/>
      <c r="CB82" s="85"/>
      <c r="CC82" s="85"/>
      <c r="CD82" s="85"/>
      <c r="CE82" s="85"/>
      <c r="CF82" s="85"/>
      <c r="CG82" s="85"/>
      <c r="CH82" s="85"/>
      <c r="CI82" s="85"/>
      <c r="CJ82" s="85"/>
      <c r="CK82" s="85"/>
      <c r="CL82" s="85"/>
      <c r="CM82" s="85"/>
      <c r="CN82" s="85"/>
      <c r="CO82" s="85"/>
      <c r="CP82" s="85"/>
      <c r="CQ82" s="85"/>
      <c r="CR82" s="85"/>
      <c r="CS82" s="85"/>
      <c r="CT82" s="85"/>
      <c r="CU82" s="85"/>
      <c r="CV82" s="85"/>
      <c r="CW82" s="85"/>
      <c r="CX82" s="85"/>
      <c r="CY82" s="84"/>
    </row>
    <row r="83" spans="1:103">
      <c r="A83" s="93">
        <v>43891</v>
      </c>
      <c r="B83" s="82">
        <f t="shared" si="3"/>
        <v>2020</v>
      </c>
      <c r="C83" s="86">
        <v>1.713741935483871</v>
      </c>
      <c r="D83" s="86">
        <v>16.796129032258062</v>
      </c>
      <c r="E83" s="86">
        <v>0.29178709677419357</v>
      </c>
      <c r="F83" s="86">
        <v>1.4086774193548386</v>
      </c>
      <c r="G83" s="86">
        <v>6.9874193548387105</v>
      </c>
      <c r="H83" s="86">
        <v>12.268709677419354</v>
      </c>
      <c r="I83" s="86">
        <f t="shared" si="4"/>
        <v>39.46646451612903</v>
      </c>
      <c r="J83" s="85"/>
      <c r="K83" s="85"/>
      <c r="L83" s="85"/>
      <c r="M83" s="85"/>
      <c r="N83" s="85"/>
      <c r="O83" s="85"/>
      <c r="P83" s="85"/>
      <c r="Q83" s="85"/>
      <c r="R83" s="85"/>
      <c r="S83" s="85"/>
      <c r="T83" s="85"/>
      <c r="U83" s="85"/>
      <c r="V83" s="85"/>
      <c r="W83" s="85"/>
      <c r="X83" s="85"/>
      <c r="Y83" s="85"/>
      <c r="Z83" s="85"/>
      <c r="AA83" s="85"/>
      <c r="AB83" s="85"/>
      <c r="AC83" s="85"/>
      <c r="AD83" s="85"/>
      <c r="AE83" s="85"/>
      <c r="AF83" s="85"/>
      <c r="AG83" s="85"/>
      <c r="AH83" s="85"/>
      <c r="AI83" s="85"/>
      <c r="AJ83" s="85"/>
      <c r="AK83" s="85"/>
      <c r="AL83" s="85"/>
      <c r="AM83" s="85"/>
      <c r="AN83" s="85"/>
      <c r="AO83" s="85"/>
      <c r="AP83" s="85"/>
      <c r="AQ83" s="85"/>
      <c r="AR83" s="85"/>
      <c r="AS83" s="85"/>
      <c r="AT83" s="85"/>
      <c r="AU83" s="85"/>
      <c r="AV83" s="85"/>
      <c r="AW83" s="85"/>
      <c r="AX83" s="85"/>
      <c r="AY83" s="85"/>
      <c r="AZ83" s="85"/>
      <c r="BA83" s="85"/>
      <c r="BB83" s="85"/>
      <c r="BC83" s="85"/>
      <c r="BD83" s="85"/>
      <c r="BE83" s="85"/>
      <c r="BF83" s="85"/>
      <c r="BG83" s="85"/>
      <c r="BH83" s="85"/>
      <c r="BI83" s="85"/>
      <c r="BJ83" s="85"/>
      <c r="BK83" s="85"/>
      <c r="BL83" s="85"/>
      <c r="BM83" s="85"/>
      <c r="BN83" s="85"/>
      <c r="BO83" s="85"/>
      <c r="BP83" s="85"/>
      <c r="BQ83" s="85"/>
      <c r="BR83" s="85"/>
      <c r="BS83" s="85"/>
      <c r="BT83" s="85"/>
      <c r="BU83" s="85"/>
      <c r="BV83" s="85"/>
      <c r="BW83" s="85"/>
      <c r="BX83" s="85"/>
      <c r="BY83" s="85"/>
      <c r="BZ83" s="85"/>
      <c r="CA83" s="85"/>
      <c r="CB83" s="85"/>
      <c r="CC83" s="85"/>
      <c r="CD83" s="85"/>
      <c r="CE83" s="85"/>
      <c r="CF83" s="85"/>
      <c r="CG83" s="85"/>
      <c r="CH83" s="85"/>
      <c r="CI83" s="85"/>
      <c r="CJ83" s="85"/>
      <c r="CK83" s="85"/>
      <c r="CL83" s="85"/>
      <c r="CM83" s="85"/>
      <c r="CN83" s="85"/>
      <c r="CO83" s="85"/>
      <c r="CP83" s="85"/>
      <c r="CQ83" s="85"/>
      <c r="CR83" s="85"/>
      <c r="CS83" s="85"/>
      <c r="CT83" s="85"/>
      <c r="CU83" s="85"/>
      <c r="CV83" s="85"/>
      <c r="CW83" s="85"/>
      <c r="CX83" s="85"/>
      <c r="CY83" s="84"/>
    </row>
    <row r="84" spans="1:103">
      <c r="A84" s="93">
        <v>43922</v>
      </c>
      <c r="B84" s="82">
        <f t="shared" si="3"/>
        <v>2020</v>
      </c>
      <c r="C84" s="86">
        <v>1.5837666666666665</v>
      </c>
      <c r="D84" s="86">
        <v>20.087333333333333</v>
      </c>
      <c r="E84" s="86">
        <v>0.29611333333333334</v>
      </c>
      <c r="F84" s="86">
        <v>1.5714000000000001</v>
      </c>
      <c r="G84" s="86">
        <v>6.9929999999999994</v>
      </c>
      <c r="H84" s="86">
        <v>14.500666666666666</v>
      </c>
      <c r="I84" s="86">
        <f t="shared" si="4"/>
        <v>45.03228</v>
      </c>
      <c r="J84" s="85"/>
      <c r="K84" s="85"/>
      <c r="L84" s="85"/>
      <c r="M84" s="85"/>
      <c r="N84" s="85"/>
      <c r="O84" s="85"/>
      <c r="P84" s="85"/>
      <c r="Q84" s="85"/>
      <c r="R84" s="85"/>
      <c r="S84" s="85"/>
      <c r="T84" s="85"/>
      <c r="U84" s="85"/>
      <c r="V84" s="85"/>
      <c r="W84" s="85"/>
      <c r="X84" s="85"/>
      <c r="Y84" s="85"/>
      <c r="Z84" s="85"/>
      <c r="AA84" s="85"/>
      <c r="AB84" s="85"/>
      <c r="AC84" s="85"/>
      <c r="AD84" s="85"/>
      <c r="AE84" s="85"/>
      <c r="AF84" s="85"/>
      <c r="AG84" s="85"/>
      <c r="AH84" s="85"/>
      <c r="AI84" s="85"/>
      <c r="AJ84" s="85"/>
      <c r="AK84" s="85"/>
      <c r="AL84" s="85"/>
      <c r="AM84" s="85"/>
      <c r="AN84" s="85"/>
      <c r="AO84" s="85"/>
      <c r="AP84" s="85"/>
      <c r="AQ84" s="85"/>
      <c r="AR84" s="85"/>
      <c r="AS84" s="85"/>
      <c r="AT84" s="85"/>
      <c r="AU84" s="85"/>
      <c r="AV84" s="85"/>
      <c r="AW84" s="85"/>
      <c r="AX84" s="85"/>
      <c r="AY84" s="85"/>
      <c r="AZ84" s="85"/>
      <c r="BA84" s="85"/>
      <c r="BB84" s="85"/>
      <c r="BC84" s="85"/>
      <c r="BD84" s="85"/>
      <c r="BE84" s="85"/>
      <c r="BF84" s="85"/>
      <c r="BG84" s="85"/>
      <c r="BH84" s="85"/>
      <c r="BI84" s="85"/>
      <c r="BJ84" s="85"/>
      <c r="BK84" s="85"/>
      <c r="BL84" s="85"/>
      <c r="BM84" s="85"/>
      <c r="BN84" s="85"/>
      <c r="BO84" s="85"/>
      <c r="BP84" s="85"/>
      <c r="BQ84" s="85"/>
      <c r="BR84" s="85"/>
      <c r="BS84" s="85"/>
      <c r="BT84" s="85"/>
      <c r="BU84" s="85"/>
      <c r="BV84" s="85"/>
      <c r="BW84" s="85"/>
      <c r="BX84" s="85"/>
      <c r="BY84" s="85"/>
      <c r="BZ84" s="85"/>
      <c r="CA84" s="85"/>
      <c r="CB84" s="85"/>
      <c r="CC84" s="85"/>
      <c r="CD84" s="85"/>
      <c r="CE84" s="85"/>
      <c r="CF84" s="85"/>
      <c r="CG84" s="85"/>
      <c r="CH84" s="85"/>
      <c r="CI84" s="85"/>
      <c r="CJ84" s="85"/>
      <c r="CK84" s="85"/>
      <c r="CL84" s="85"/>
      <c r="CM84" s="85"/>
      <c r="CN84" s="85"/>
      <c r="CO84" s="85"/>
      <c r="CP84" s="85"/>
      <c r="CQ84" s="85"/>
      <c r="CR84" s="85"/>
      <c r="CS84" s="85"/>
      <c r="CT84" s="85"/>
      <c r="CU84" s="85"/>
      <c r="CV84" s="85"/>
      <c r="CW84" s="85"/>
      <c r="CX84" s="85"/>
      <c r="CY84" s="84"/>
    </row>
    <row r="85" spans="1:103">
      <c r="A85" s="93">
        <v>43952</v>
      </c>
      <c r="B85" s="82">
        <f t="shared" si="3"/>
        <v>2020</v>
      </c>
      <c r="C85" s="86">
        <v>1.8810967741935485</v>
      </c>
      <c r="D85" s="86">
        <v>17.579677419354841</v>
      </c>
      <c r="E85" s="86">
        <v>0.29572580645161289</v>
      </c>
      <c r="F85" s="86">
        <v>1.6266451612903225</v>
      </c>
      <c r="G85" s="86">
        <v>6.7122580645161296</v>
      </c>
      <c r="H85" s="86">
        <v>15.133870967741935</v>
      </c>
      <c r="I85" s="86">
        <f t="shared" si="4"/>
        <v>43.229274193548392</v>
      </c>
      <c r="J85" s="85"/>
      <c r="K85" s="85"/>
      <c r="L85" s="85"/>
      <c r="M85" s="85"/>
      <c r="N85" s="85"/>
      <c r="O85" s="85"/>
      <c r="P85" s="85"/>
      <c r="Q85" s="85"/>
      <c r="R85" s="85"/>
      <c r="S85" s="85"/>
      <c r="T85" s="85"/>
      <c r="U85" s="85"/>
      <c r="V85" s="85"/>
      <c r="W85" s="85"/>
      <c r="X85" s="85"/>
      <c r="Y85" s="85"/>
      <c r="Z85" s="85"/>
      <c r="AA85" s="85"/>
      <c r="AB85" s="85"/>
      <c r="AC85" s="85"/>
      <c r="AD85" s="85"/>
      <c r="AE85" s="85"/>
      <c r="AF85" s="85"/>
      <c r="AG85" s="85"/>
      <c r="AH85" s="85"/>
      <c r="AI85" s="85"/>
      <c r="AJ85" s="85"/>
      <c r="AK85" s="85"/>
      <c r="AL85" s="85"/>
      <c r="AM85" s="85"/>
      <c r="AN85" s="85"/>
      <c r="AO85" s="85"/>
      <c r="AP85" s="85"/>
      <c r="AQ85" s="85"/>
      <c r="AR85" s="85"/>
      <c r="AS85" s="85"/>
      <c r="AT85" s="85"/>
      <c r="AU85" s="85"/>
      <c r="AV85" s="85"/>
      <c r="AW85" s="85"/>
      <c r="AX85" s="85"/>
      <c r="AY85" s="85"/>
      <c r="AZ85" s="85"/>
      <c r="BA85" s="85"/>
      <c r="BB85" s="85"/>
      <c r="BC85" s="85"/>
      <c r="BD85" s="85"/>
      <c r="BE85" s="85"/>
      <c r="BF85" s="85"/>
      <c r="BG85" s="85"/>
      <c r="BH85" s="85"/>
      <c r="BI85" s="85"/>
      <c r="BJ85" s="85"/>
      <c r="BK85" s="85"/>
      <c r="BL85" s="85"/>
      <c r="BM85" s="85"/>
      <c r="BN85" s="85"/>
      <c r="BO85" s="85"/>
      <c r="BP85" s="85"/>
      <c r="BQ85" s="85"/>
      <c r="BR85" s="85"/>
      <c r="BS85" s="85"/>
      <c r="BT85" s="85"/>
      <c r="BU85" s="85"/>
      <c r="BV85" s="85"/>
      <c r="BW85" s="85"/>
      <c r="BX85" s="85"/>
      <c r="BY85" s="85"/>
      <c r="BZ85" s="85"/>
      <c r="CA85" s="85"/>
      <c r="CB85" s="85"/>
      <c r="CC85" s="85"/>
      <c r="CD85" s="85"/>
      <c r="CE85" s="85"/>
      <c r="CF85" s="85"/>
      <c r="CG85" s="85"/>
      <c r="CH85" s="85"/>
      <c r="CI85" s="85"/>
      <c r="CJ85" s="85"/>
      <c r="CK85" s="85"/>
      <c r="CL85" s="85"/>
      <c r="CM85" s="85"/>
      <c r="CN85" s="85"/>
      <c r="CO85" s="85"/>
      <c r="CP85" s="85"/>
      <c r="CQ85" s="85"/>
      <c r="CR85" s="85"/>
      <c r="CS85" s="85"/>
      <c r="CT85" s="85"/>
      <c r="CU85" s="85"/>
      <c r="CV85" s="85"/>
      <c r="CW85" s="85"/>
      <c r="CX85" s="85"/>
      <c r="CY85" s="84"/>
    </row>
    <row r="86" spans="1:103">
      <c r="A86" s="93">
        <v>43983</v>
      </c>
      <c r="B86" s="82">
        <f t="shared" si="3"/>
        <v>2020</v>
      </c>
      <c r="C86" s="86">
        <v>2.3131666666666666</v>
      </c>
      <c r="D86" s="86">
        <v>16.995333333333335</v>
      </c>
      <c r="E86" s="86">
        <v>0.28758666666666666</v>
      </c>
      <c r="F86" s="86">
        <v>1.6024333333333334</v>
      </c>
      <c r="G86" s="86">
        <v>7.0763333333333334</v>
      </c>
      <c r="H86" s="86">
        <v>14.194333333333333</v>
      </c>
      <c r="I86" s="86">
        <f t="shared" si="4"/>
        <v>42.469186666666673</v>
      </c>
      <c r="J86" s="85"/>
      <c r="K86" s="85"/>
      <c r="L86" s="85"/>
      <c r="M86" s="85"/>
      <c r="N86" s="85"/>
      <c r="O86" s="85"/>
      <c r="P86" s="85"/>
      <c r="Q86" s="85"/>
      <c r="R86" s="85"/>
      <c r="S86" s="85"/>
      <c r="T86" s="85"/>
      <c r="U86" s="85"/>
      <c r="V86" s="85"/>
      <c r="W86" s="85"/>
      <c r="X86" s="85"/>
      <c r="Y86" s="85"/>
      <c r="Z86" s="85"/>
      <c r="AA86" s="85"/>
      <c r="AB86" s="85"/>
      <c r="AC86" s="85"/>
      <c r="AD86" s="85"/>
      <c r="AE86" s="85"/>
      <c r="AF86" s="85"/>
      <c r="AG86" s="85"/>
      <c r="AH86" s="85"/>
      <c r="AI86" s="85"/>
      <c r="AJ86" s="85"/>
      <c r="AK86" s="85"/>
      <c r="AL86" s="85"/>
      <c r="AM86" s="85"/>
      <c r="AN86" s="85"/>
      <c r="AO86" s="85"/>
      <c r="AP86" s="85"/>
      <c r="AQ86" s="85"/>
      <c r="AR86" s="85"/>
      <c r="AS86" s="85"/>
      <c r="AT86" s="85"/>
      <c r="AU86" s="85"/>
      <c r="AV86" s="85"/>
      <c r="AW86" s="85"/>
      <c r="AX86" s="85"/>
      <c r="AY86" s="85"/>
      <c r="AZ86" s="85"/>
      <c r="BA86" s="85"/>
      <c r="BB86" s="85"/>
      <c r="BC86" s="85"/>
      <c r="BD86" s="85"/>
      <c r="BE86" s="85"/>
      <c r="BF86" s="85"/>
      <c r="BG86" s="85"/>
      <c r="BH86" s="85"/>
      <c r="BI86" s="85"/>
      <c r="BJ86" s="85"/>
      <c r="BK86" s="85"/>
      <c r="BL86" s="85"/>
      <c r="BM86" s="85"/>
      <c r="BN86" s="85"/>
      <c r="BO86" s="85"/>
      <c r="BP86" s="85"/>
      <c r="BQ86" s="85"/>
      <c r="BR86" s="85"/>
      <c r="BS86" s="85"/>
      <c r="BT86" s="85"/>
      <c r="BU86" s="85"/>
      <c r="BV86" s="85"/>
      <c r="BW86" s="85"/>
      <c r="BX86" s="85"/>
      <c r="BY86" s="85"/>
      <c r="BZ86" s="85"/>
      <c r="CA86" s="85"/>
      <c r="CB86" s="85"/>
      <c r="CC86" s="85"/>
      <c r="CD86" s="85"/>
      <c r="CE86" s="85"/>
      <c r="CF86" s="85"/>
      <c r="CG86" s="85"/>
      <c r="CH86" s="85"/>
      <c r="CI86" s="85"/>
      <c r="CJ86" s="85"/>
      <c r="CK86" s="85"/>
      <c r="CL86" s="85"/>
      <c r="CM86" s="85"/>
      <c r="CN86" s="85"/>
      <c r="CO86" s="85"/>
      <c r="CP86" s="85"/>
      <c r="CQ86" s="85"/>
      <c r="CR86" s="85"/>
      <c r="CS86" s="85"/>
      <c r="CT86" s="85"/>
      <c r="CU86" s="85"/>
      <c r="CV86" s="85"/>
      <c r="CW86" s="85"/>
      <c r="CX86" s="85"/>
      <c r="CY86" s="84"/>
    </row>
    <row r="87" spans="1:103">
      <c r="A87" s="93">
        <v>44013</v>
      </c>
      <c r="B87" s="82">
        <f t="shared" si="3"/>
        <v>2020</v>
      </c>
      <c r="C87" s="86">
        <v>2.6514193548387097</v>
      </c>
      <c r="D87" s="86">
        <v>17.602580645161289</v>
      </c>
      <c r="E87" s="86">
        <v>0.28991612903225805</v>
      </c>
      <c r="F87" s="86">
        <v>1.6193548387096774</v>
      </c>
      <c r="G87" s="86">
        <v>4.6687096774193542</v>
      </c>
      <c r="H87" s="86">
        <v>13.349032258064517</v>
      </c>
      <c r="I87" s="86">
        <f t="shared" si="4"/>
        <v>40.181012903225806</v>
      </c>
      <c r="J87" s="85"/>
      <c r="K87" s="85"/>
      <c r="L87" s="85"/>
      <c r="M87" s="85"/>
      <c r="N87" s="85"/>
      <c r="O87" s="85"/>
      <c r="P87" s="85"/>
      <c r="Q87" s="85"/>
      <c r="R87" s="85"/>
      <c r="S87" s="85"/>
      <c r="T87" s="85"/>
      <c r="U87" s="85"/>
      <c r="V87" s="85"/>
      <c r="W87" s="85"/>
      <c r="X87" s="85"/>
      <c r="Y87" s="85"/>
      <c r="Z87" s="85"/>
      <c r="AA87" s="85"/>
      <c r="AB87" s="85"/>
      <c r="AC87" s="85"/>
      <c r="AD87" s="85"/>
      <c r="AE87" s="85"/>
      <c r="AF87" s="85"/>
      <c r="AG87" s="85"/>
      <c r="AH87" s="85"/>
      <c r="AI87" s="85"/>
      <c r="AJ87" s="85"/>
      <c r="AK87" s="85"/>
      <c r="AL87" s="85"/>
      <c r="AM87" s="85"/>
      <c r="AN87" s="85"/>
      <c r="AO87" s="85"/>
      <c r="AP87" s="85"/>
      <c r="AQ87" s="85"/>
      <c r="AR87" s="85"/>
      <c r="AS87" s="85"/>
      <c r="AT87" s="85"/>
      <c r="AU87" s="85"/>
      <c r="AV87" s="85"/>
      <c r="AW87" s="85"/>
      <c r="AX87" s="85"/>
      <c r="AY87" s="85"/>
      <c r="AZ87" s="85"/>
      <c r="BA87" s="85"/>
      <c r="BB87" s="85"/>
      <c r="BC87" s="85"/>
      <c r="BD87" s="85"/>
      <c r="BE87" s="85"/>
      <c r="BF87" s="85"/>
      <c r="BG87" s="85"/>
      <c r="BH87" s="85"/>
      <c r="BI87" s="85"/>
      <c r="BJ87" s="85"/>
      <c r="BK87" s="85"/>
      <c r="BL87" s="85"/>
      <c r="BM87" s="85"/>
      <c r="BN87" s="85"/>
      <c r="BO87" s="85"/>
      <c r="BP87" s="85"/>
      <c r="BQ87" s="85"/>
      <c r="BR87" s="85"/>
      <c r="BS87" s="85"/>
      <c r="BT87" s="85"/>
      <c r="BU87" s="85"/>
      <c r="BV87" s="85"/>
      <c r="BW87" s="85"/>
      <c r="BX87" s="85"/>
      <c r="BY87" s="85"/>
      <c r="BZ87" s="85"/>
      <c r="CA87" s="85"/>
      <c r="CB87" s="85"/>
      <c r="CC87" s="85"/>
      <c r="CD87" s="85"/>
      <c r="CE87" s="85"/>
      <c r="CF87" s="85"/>
      <c r="CG87" s="85"/>
      <c r="CH87" s="85"/>
      <c r="CI87" s="85"/>
      <c r="CJ87" s="85"/>
      <c r="CK87" s="85"/>
      <c r="CL87" s="85"/>
      <c r="CM87" s="85"/>
      <c r="CN87" s="85"/>
      <c r="CO87" s="85"/>
      <c r="CP87" s="85"/>
      <c r="CQ87" s="85"/>
      <c r="CR87" s="85"/>
      <c r="CS87" s="85"/>
      <c r="CT87" s="85"/>
      <c r="CU87" s="85"/>
      <c r="CV87" s="85"/>
      <c r="CW87" s="85"/>
      <c r="CX87" s="85"/>
      <c r="CY87" s="84"/>
    </row>
    <row r="88" spans="1:103">
      <c r="A88" s="93">
        <v>44044</v>
      </c>
      <c r="B88" s="82">
        <f t="shared" si="3"/>
        <v>2020</v>
      </c>
      <c r="C88" s="86">
        <v>2.3437096774193549</v>
      </c>
      <c r="D88" s="86">
        <v>17.450967741935486</v>
      </c>
      <c r="E88" s="86">
        <v>0.27900322580645165</v>
      </c>
      <c r="F88" s="86">
        <v>1.5263548387096775</v>
      </c>
      <c r="G88" s="86">
        <v>3.504516129032258</v>
      </c>
      <c r="H88" s="86">
        <v>12.060967741935483</v>
      </c>
      <c r="I88" s="86">
        <f t="shared" si="4"/>
        <v>37.165519354838715</v>
      </c>
      <c r="J88" s="85"/>
      <c r="K88" s="85"/>
      <c r="L88" s="85"/>
      <c r="M88" s="85"/>
      <c r="N88" s="85"/>
      <c r="O88" s="85"/>
      <c r="P88" s="85"/>
      <c r="Q88" s="85"/>
      <c r="R88" s="85"/>
      <c r="S88" s="85"/>
      <c r="T88" s="85"/>
      <c r="U88" s="85"/>
      <c r="V88" s="85"/>
      <c r="W88" s="85"/>
      <c r="X88" s="85"/>
      <c r="Y88" s="85"/>
      <c r="Z88" s="85"/>
      <c r="AA88" s="85"/>
      <c r="AB88" s="85"/>
      <c r="AC88" s="85"/>
      <c r="AD88" s="85"/>
      <c r="AE88" s="85"/>
      <c r="AF88" s="85"/>
      <c r="AG88" s="85"/>
      <c r="AH88" s="85"/>
      <c r="AI88" s="85"/>
      <c r="AJ88" s="85"/>
      <c r="AK88" s="85"/>
      <c r="AL88" s="85"/>
      <c r="AM88" s="85"/>
      <c r="AN88" s="85"/>
      <c r="AO88" s="85"/>
      <c r="AP88" s="85"/>
      <c r="AQ88" s="85"/>
      <c r="AR88" s="85"/>
      <c r="AS88" s="85"/>
      <c r="AT88" s="85"/>
      <c r="AU88" s="85"/>
      <c r="AV88" s="85"/>
      <c r="AW88" s="85"/>
      <c r="AX88" s="85"/>
      <c r="AY88" s="85"/>
      <c r="AZ88" s="85"/>
      <c r="BA88" s="85"/>
      <c r="BB88" s="85"/>
      <c r="BC88" s="85"/>
      <c r="BD88" s="85"/>
      <c r="BE88" s="85"/>
      <c r="BF88" s="85"/>
      <c r="BG88" s="85"/>
      <c r="BH88" s="85"/>
      <c r="BI88" s="85"/>
      <c r="BJ88" s="85"/>
      <c r="BK88" s="85"/>
      <c r="BL88" s="85"/>
      <c r="BM88" s="85"/>
      <c r="BN88" s="85"/>
      <c r="BO88" s="85"/>
      <c r="BP88" s="85"/>
      <c r="BQ88" s="85"/>
      <c r="BR88" s="85"/>
      <c r="BS88" s="85"/>
      <c r="BT88" s="85"/>
      <c r="BU88" s="85"/>
      <c r="BV88" s="85"/>
      <c r="BW88" s="85"/>
      <c r="BX88" s="85"/>
      <c r="BY88" s="85"/>
      <c r="BZ88" s="85"/>
      <c r="CA88" s="85"/>
      <c r="CB88" s="85"/>
      <c r="CC88" s="85"/>
      <c r="CD88" s="85"/>
      <c r="CE88" s="85"/>
      <c r="CF88" s="85"/>
      <c r="CG88" s="85"/>
      <c r="CH88" s="85"/>
      <c r="CI88" s="85"/>
      <c r="CJ88" s="85"/>
      <c r="CK88" s="85"/>
      <c r="CL88" s="85"/>
      <c r="CM88" s="85"/>
      <c r="CN88" s="85"/>
      <c r="CO88" s="85"/>
      <c r="CP88" s="85"/>
      <c r="CQ88" s="85"/>
      <c r="CR88" s="85"/>
      <c r="CS88" s="85"/>
      <c r="CT88" s="85"/>
      <c r="CU88" s="85"/>
      <c r="CV88" s="85"/>
      <c r="CW88" s="85"/>
      <c r="CX88" s="85"/>
      <c r="CY88" s="84"/>
    </row>
    <row r="89" spans="1:103">
      <c r="A89" s="93">
        <v>44075</v>
      </c>
      <c r="B89" s="82">
        <f t="shared" si="3"/>
        <v>2020</v>
      </c>
      <c r="C89" s="86">
        <v>2.5409666666666668</v>
      </c>
      <c r="D89" s="86">
        <v>20.210333333333331</v>
      </c>
      <c r="E89" s="86">
        <v>0.28377666666666662</v>
      </c>
      <c r="F89" s="86">
        <v>1.4684999999999999</v>
      </c>
      <c r="G89" s="86">
        <v>5.389333333333334</v>
      </c>
      <c r="H89" s="86">
        <v>13.343999999999999</v>
      </c>
      <c r="I89" s="86">
        <f t="shared" si="4"/>
        <v>43.236909999999995</v>
      </c>
      <c r="J89" s="85"/>
      <c r="K89" s="85"/>
      <c r="L89" s="85"/>
      <c r="M89" s="85"/>
      <c r="N89" s="85"/>
      <c r="O89" s="85"/>
      <c r="P89" s="85"/>
      <c r="Q89" s="85"/>
      <c r="R89" s="85"/>
      <c r="S89" s="85"/>
      <c r="T89" s="85"/>
      <c r="U89" s="85"/>
      <c r="V89" s="85"/>
      <c r="W89" s="85"/>
      <c r="X89" s="85"/>
      <c r="Y89" s="85"/>
      <c r="Z89" s="85"/>
      <c r="AA89" s="85"/>
      <c r="AB89" s="85"/>
      <c r="AC89" s="85"/>
      <c r="AD89" s="85"/>
      <c r="AE89" s="85"/>
      <c r="AF89" s="85"/>
      <c r="AG89" s="85"/>
      <c r="AH89" s="85"/>
      <c r="AI89" s="85"/>
      <c r="AJ89" s="85"/>
      <c r="AK89" s="85"/>
      <c r="AL89" s="85"/>
      <c r="AM89" s="85"/>
      <c r="AN89" s="85"/>
      <c r="AO89" s="85"/>
      <c r="AP89" s="85"/>
      <c r="AQ89" s="85"/>
      <c r="AR89" s="85"/>
      <c r="AS89" s="85"/>
      <c r="AT89" s="85"/>
      <c r="AU89" s="85"/>
      <c r="AV89" s="85"/>
      <c r="AW89" s="85"/>
      <c r="AX89" s="85"/>
      <c r="AY89" s="85"/>
      <c r="AZ89" s="85"/>
      <c r="BA89" s="85"/>
      <c r="BB89" s="85"/>
      <c r="BC89" s="85"/>
      <c r="BD89" s="85"/>
      <c r="BE89" s="85"/>
      <c r="BF89" s="85"/>
      <c r="BG89" s="85"/>
      <c r="BH89" s="85"/>
      <c r="BI89" s="85"/>
      <c r="BJ89" s="85"/>
      <c r="BK89" s="85"/>
      <c r="BL89" s="85"/>
      <c r="BM89" s="85"/>
      <c r="BN89" s="85"/>
      <c r="BO89" s="85"/>
      <c r="BP89" s="85"/>
      <c r="BQ89" s="85"/>
      <c r="BR89" s="85"/>
      <c r="BS89" s="85"/>
      <c r="BT89" s="85"/>
      <c r="BU89" s="85"/>
      <c r="BV89" s="85"/>
      <c r="BW89" s="85"/>
      <c r="BX89" s="85"/>
      <c r="BY89" s="85"/>
      <c r="BZ89" s="85"/>
      <c r="CA89" s="85"/>
      <c r="CB89" s="85"/>
      <c r="CC89" s="85"/>
      <c r="CD89" s="85"/>
      <c r="CE89" s="85"/>
      <c r="CF89" s="85"/>
      <c r="CG89" s="85"/>
      <c r="CH89" s="85"/>
      <c r="CI89" s="85"/>
      <c r="CJ89" s="85"/>
      <c r="CK89" s="85"/>
      <c r="CL89" s="85"/>
      <c r="CM89" s="85"/>
      <c r="CN89" s="85"/>
      <c r="CO89" s="85"/>
      <c r="CP89" s="85"/>
      <c r="CQ89" s="85"/>
      <c r="CR89" s="85"/>
      <c r="CS89" s="85"/>
      <c r="CT89" s="85"/>
      <c r="CU89" s="85"/>
      <c r="CV89" s="85"/>
      <c r="CW89" s="85"/>
      <c r="CX89" s="85"/>
      <c r="CY89" s="84"/>
    </row>
    <row r="90" spans="1:103">
      <c r="A90" s="93">
        <v>44105</v>
      </c>
      <c r="B90" s="82">
        <f t="shared" si="3"/>
        <v>2020</v>
      </c>
      <c r="C90" s="86">
        <v>2.2235161290322583</v>
      </c>
      <c r="D90" s="86">
        <v>20.122580645161289</v>
      </c>
      <c r="E90" s="86">
        <v>0.27993870967741935</v>
      </c>
      <c r="F90" s="86">
        <v>1.5760000000000001</v>
      </c>
      <c r="G90" s="86">
        <v>5.9429032258064511</v>
      </c>
      <c r="H90" s="86">
        <v>13.866129032258065</v>
      </c>
      <c r="I90" s="86">
        <f t="shared" si="4"/>
        <v>44.011067741935484</v>
      </c>
      <c r="J90" s="85"/>
      <c r="K90" s="85"/>
      <c r="L90" s="85"/>
      <c r="M90" s="85"/>
      <c r="N90" s="85"/>
      <c r="O90" s="85"/>
      <c r="P90" s="85"/>
      <c r="Q90" s="85"/>
      <c r="R90" s="85"/>
      <c r="S90" s="85"/>
      <c r="T90" s="85"/>
      <c r="U90" s="85"/>
      <c r="V90" s="85"/>
      <c r="W90" s="85"/>
      <c r="X90" s="85"/>
      <c r="Y90" s="85"/>
      <c r="Z90" s="85"/>
      <c r="AA90" s="85"/>
      <c r="AB90" s="85"/>
      <c r="AC90" s="85"/>
      <c r="AD90" s="85"/>
      <c r="AE90" s="85"/>
      <c r="AF90" s="85"/>
      <c r="AG90" s="85"/>
      <c r="AH90" s="85"/>
      <c r="AI90" s="85"/>
      <c r="AJ90" s="85"/>
      <c r="AK90" s="85"/>
      <c r="AL90" s="85"/>
      <c r="AM90" s="85"/>
      <c r="AN90" s="85"/>
      <c r="AO90" s="85"/>
      <c r="AP90" s="85"/>
      <c r="AQ90" s="85"/>
      <c r="AR90" s="85"/>
      <c r="AS90" s="85"/>
      <c r="AT90" s="85"/>
      <c r="AU90" s="85"/>
      <c r="AV90" s="85"/>
      <c r="AW90" s="85"/>
      <c r="AX90" s="85"/>
      <c r="AY90" s="85"/>
      <c r="AZ90" s="85"/>
      <c r="BA90" s="85"/>
      <c r="BB90" s="85"/>
      <c r="BC90" s="85"/>
      <c r="BD90" s="85"/>
      <c r="BE90" s="85"/>
      <c r="BF90" s="85"/>
      <c r="BG90" s="85"/>
      <c r="BH90" s="85"/>
      <c r="BI90" s="85"/>
      <c r="BJ90" s="85"/>
      <c r="BK90" s="85"/>
      <c r="BL90" s="85"/>
      <c r="BM90" s="85"/>
      <c r="BN90" s="85"/>
      <c r="BO90" s="85"/>
      <c r="BP90" s="85"/>
      <c r="BQ90" s="85"/>
      <c r="BR90" s="85"/>
      <c r="BS90" s="85"/>
      <c r="BT90" s="85"/>
      <c r="BU90" s="85"/>
      <c r="BV90" s="85"/>
      <c r="BW90" s="85"/>
      <c r="BX90" s="85"/>
      <c r="BY90" s="85"/>
      <c r="BZ90" s="85"/>
      <c r="CA90" s="85"/>
      <c r="CB90" s="85"/>
      <c r="CC90" s="85"/>
      <c r="CD90" s="85"/>
      <c r="CE90" s="85"/>
      <c r="CF90" s="85"/>
      <c r="CG90" s="85"/>
      <c r="CH90" s="85"/>
      <c r="CI90" s="85"/>
      <c r="CJ90" s="85"/>
      <c r="CK90" s="85"/>
      <c r="CL90" s="85"/>
      <c r="CM90" s="85"/>
      <c r="CN90" s="85"/>
      <c r="CO90" s="85"/>
      <c r="CP90" s="85"/>
      <c r="CQ90" s="85"/>
      <c r="CR90" s="85"/>
      <c r="CS90" s="85"/>
      <c r="CT90" s="85"/>
      <c r="CU90" s="85"/>
      <c r="CV90" s="85"/>
      <c r="CW90" s="85"/>
      <c r="CX90" s="85"/>
      <c r="CY90" s="84"/>
    </row>
    <row r="91" spans="1:103">
      <c r="A91" s="93">
        <v>44136</v>
      </c>
      <c r="B91" s="82">
        <f t="shared" si="3"/>
        <v>2020</v>
      </c>
      <c r="C91" s="86">
        <v>2.3981666666666666</v>
      </c>
      <c r="D91" s="86">
        <v>21.717333333333332</v>
      </c>
      <c r="E91" s="86">
        <v>0.27876000000000001</v>
      </c>
      <c r="F91" s="86">
        <v>1.5437333333333332</v>
      </c>
      <c r="G91" s="86">
        <v>7.2286666666666672</v>
      </c>
      <c r="H91" s="86">
        <v>15.015666666666668</v>
      </c>
      <c r="I91" s="86">
        <f t="shared" si="4"/>
        <v>48.182326666666661</v>
      </c>
      <c r="J91" s="85"/>
      <c r="K91" s="85"/>
      <c r="L91" s="85"/>
      <c r="M91" s="85"/>
      <c r="N91" s="85"/>
      <c r="O91" s="85"/>
      <c r="P91" s="85"/>
      <c r="Q91" s="85"/>
      <c r="R91" s="85"/>
      <c r="S91" s="85"/>
      <c r="T91" s="85"/>
      <c r="U91" s="85"/>
      <c r="V91" s="85"/>
      <c r="W91" s="85"/>
      <c r="X91" s="85"/>
      <c r="Y91" s="85"/>
      <c r="Z91" s="85"/>
      <c r="AA91" s="85"/>
      <c r="AB91" s="85"/>
      <c r="AC91" s="85"/>
      <c r="AD91" s="85"/>
      <c r="AE91" s="85"/>
      <c r="AF91" s="85"/>
      <c r="AG91" s="85"/>
      <c r="AH91" s="85"/>
      <c r="AI91" s="85"/>
      <c r="AJ91" s="85"/>
      <c r="AK91" s="85"/>
      <c r="AL91" s="85"/>
      <c r="AM91" s="85"/>
      <c r="AN91" s="85"/>
      <c r="AO91" s="85"/>
      <c r="AP91" s="85"/>
      <c r="AQ91" s="85"/>
      <c r="AR91" s="85"/>
      <c r="AS91" s="85"/>
      <c r="AT91" s="85"/>
      <c r="AU91" s="85"/>
      <c r="AV91" s="85"/>
      <c r="AW91" s="85"/>
      <c r="AX91" s="85"/>
      <c r="AY91" s="85"/>
      <c r="AZ91" s="85"/>
      <c r="BA91" s="85"/>
      <c r="BB91" s="85"/>
      <c r="BC91" s="85"/>
      <c r="BD91" s="85"/>
      <c r="BE91" s="85"/>
      <c r="BF91" s="85"/>
      <c r="BG91" s="85"/>
      <c r="BH91" s="85"/>
      <c r="BI91" s="85"/>
      <c r="BJ91" s="85"/>
      <c r="BK91" s="85"/>
      <c r="BL91" s="85"/>
      <c r="BM91" s="85"/>
      <c r="BN91" s="85"/>
      <c r="BO91" s="85"/>
      <c r="BP91" s="85"/>
      <c r="BQ91" s="85"/>
      <c r="BR91" s="85"/>
      <c r="BS91" s="85"/>
      <c r="BT91" s="85"/>
      <c r="BU91" s="85"/>
      <c r="BV91" s="85"/>
      <c r="BW91" s="85"/>
      <c r="BX91" s="85"/>
      <c r="BY91" s="85"/>
      <c r="BZ91" s="85"/>
      <c r="CA91" s="85"/>
      <c r="CB91" s="85"/>
      <c r="CC91" s="85"/>
      <c r="CD91" s="85"/>
      <c r="CE91" s="85"/>
      <c r="CF91" s="85"/>
      <c r="CG91" s="85"/>
      <c r="CH91" s="85"/>
      <c r="CI91" s="85"/>
      <c r="CJ91" s="85"/>
      <c r="CK91" s="85"/>
      <c r="CL91" s="85"/>
      <c r="CM91" s="85"/>
      <c r="CN91" s="85"/>
      <c r="CO91" s="85"/>
      <c r="CP91" s="85"/>
      <c r="CQ91" s="85"/>
      <c r="CR91" s="85"/>
      <c r="CS91" s="85"/>
      <c r="CT91" s="85"/>
      <c r="CU91" s="85"/>
      <c r="CV91" s="85"/>
      <c r="CW91" s="85"/>
      <c r="CX91" s="85"/>
      <c r="CY91" s="84"/>
    </row>
    <row r="92" spans="1:103">
      <c r="A92" s="93">
        <v>44166</v>
      </c>
      <c r="B92" s="82">
        <f t="shared" si="3"/>
        <v>2020</v>
      </c>
      <c r="C92" s="86">
        <v>2.3810645161290322</v>
      </c>
      <c r="D92" s="86">
        <v>18.318387096774195</v>
      </c>
      <c r="E92" s="86">
        <v>0.29142903225806449</v>
      </c>
      <c r="F92" s="86">
        <v>1.4524193548387097</v>
      </c>
      <c r="G92" s="86">
        <v>8.4193548387096779</v>
      </c>
      <c r="H92" s="86">
        <v>12.864193548387098</v>
      </c>
      <c r="I92" s="86">
        <f t="shared" si="4"/>
        <v>43.72684838709678</v>
      </c>
      <c r="J92" s="85"/>
      <c r="K92" s="85"/>
      <c r="L92" s="85"/>
      <c r="M92" s="85"/>
      <c r="N92" s="85"/>
      <c r="O92" s="85"/>
      <c r="P92" s="85"/>
      <c r="Q92" s="85"/>
      <c r="R92" s="85"/>
      <c r="S92" s="85"/>
      <c r="T92" s="85"/>
      <c r="U92" s="85"/>
      <c r="V92" s="85"/>
      <c r="W92" s="85"/>
      <c r="X92" s="85"/>
      <c r="Y92" s="85"/>
      <c r="Z92" s="85"/>
      <c r="AA92" s="85"/>
      <c r="AB92" s="85"/>
      <c r="AC92" s="85"/>
      <c r="AD92" s="85"/>
      <c r="AE92" s="85"/>
      <c r="AF92" s="85"/>
      <c r="AG92" s="85"/>
      <c r="AH92" s="85"/>
      <c r="AI92" s="85"/>
      <c r="AJ92" s="85"/>
      <c r="AK92" s="85"/>
      <c r="AL92" s="85"/>
      <c r="AM92" s="85"/>
      <c r="AN92" s="85"/>
      <c r="AO92" s="85"/>
      <c r="AP92" s="85"/>
      <c r="AQ92" s="85"/>
      <c r="AR92" s="85"/>
      <c r="AS92" s="85"/>
      <c r="AT92" s="85"/>
      <c r="AU92" s="85"/>
      <c r="AV92" s="85"/>
      <c r="AW92" s="85"/>
      <c r="AX92" s="85"/>
      <c r="AY92" s="85"/>
      <c r="AZ92" s="85"/>
      <c r="BA92" s="85"/>
      <c r="BB92" s="85"/>
      <c r="BC92" s="85"/>
      <c r="BD92" s="85"/>
      <c r="BE92" s="85"/>
      <c r="BF92" s="85"/>
      <c r="BG92" s="85"/>
      <c r="BH92" s="85"/>
      <c r="BI92" s="85"/>
      <c r="BJ92" s="85"/>
      <c r="BK92" s="85"/>
      <c r="BL92" s="85"/>
      <c r="BM92" s="85"/>
      <c r="BN92" s="85"/>
      <c r="BO92" s="85"/>
      <c r="BP92" s="85"/>
      <c r="BQ92" s="85"/>
      <c r="BR92" s="85"/>
      <c r="BS92" s="85"/>
      <c r="BT92" s="85"/>
      <c r="BU92" s="85"/>
      <c r="BV92" s="85"/>
      <c r="BW92" s="85"/>
      <c r="BX92" s="85"/>
      <c r="BY92" s="85"/>
      <c r="BZ92" s="85"/>
      <c r="CA92" s="85"/>
      <c r="CB92" s="85"/>
      <c r="CC92" s="85"/>
      <c r="CD92" s="85"/>
      <c r="CE92" s="85"/>
      <c r="CF92" s="85"/>
      <c r="CG92" s="85"/>
      <c r="CH92" s="85"/>
      <c r="CI92" s="85"/>
      <c r="CJ92" s="85"/>
      <c r="CK92" s="85"/>
      <c r="CL92" s="85"/>
      <c r="CM92" s="85"/>
      <c r="CN92" s="85"/>
      <c r="CO92" s="85"/>
      <c r="CP92" s="85"/>
      <c r="CQ92" s="85"/>
      <c r="CR92" s="85"/>
      <c r="CS92" s="85"/>
      <c r="CT92" s="85"/>
      <c r="CU92" s="85"/>
      <c r="CV92" s="85"/>
      <c r="CW92" s="85"/>
      <c r="CX92" s="85"/>
      <c r="CY92" s="84"/>
    </row>
    <row r="93" spans="1:103">
      <c r="A93" s="93">
        <v>44197</v>
      </c>
      <c r="B93" s="82">
        <f t="shared" si="3"/>
        <v>2021</v>
      </c>
      <c r="C93" s="86">
        <v>2.4613870967741933</v>
      </c>
      <c r="D93" s="86">
        <v>17.580967741935485</v>
      </c>
      <c r="E93" s="86">
        <v>0.28894193548387098</v>
      </c>
      <c r="F93" s="86">
        <v>1.2733548387096774</v>
      </c>
      <c r="G93" s="86">
        <v>7.927096774193549</v>
      </c>
      <c r="H93" s="86">
        <v>11.672580645161291</v>
      </c>
      <c r="I93" s="86">
        <f t="shared" si="4"/>
        <v>41.204329032258066</v>
      </c>
      <c r="J93" s="85"/>
      <c r="K93" s="85"/>
      <c r="L93" s="85"/>
      <c r="M93" s="85"/>
      <c r="N93" s="85"/>
      <c r="O93" s="85"/>
      <c r="P93" s="85"/>
      <c r="Q93" s="85"/>
      <c r="R93" s="85"/>
      <c r="S93" s="85"/>
      <c r="T93" s="85"/>
      <c r="U93" s="85"/>
      <c r="V93" s="85"/>
      <c r="W93" s="85"/>
      <c r="X93" s="85"/>
      <c r="Y93" s="85"/>
      <c r="Z93" s="85"/>
      <c r="AA93" s="85"/>
      <c r="AB93" s="85"/>
      <c r="AC93" s="85"/>
      <c r="AD93" s="85"/>
      <c r="AE93" s="85"/>
      <c r="AF93" s="85"/>
      <c r="AG93" s="85"/>
      <c r="AH93" s="85"/>
      <c r="AI93" s="85"/>
      <c r="AJ93" s="85"/>
      <c r="AK93" s="85"/>
      <c r="AL93" s="85"/>
      <c r="AM93" s="85"/>
      <c r="AN93" s="85"/>
      <c r="AO93" s="85"/>
      <c r="AP93" s="85"/>
      <c r="AQ93" s="85"/>
      <c r="AR93" s="85"/>
      <c r="AS93" s="85"/>
      <c r="AT93" s="85"/>
      <c r="AU93" s="85"/>
      <c r="AV93" s="85"/>
      <c r="AW93" s="85"/>
      <c r="AX93" s="85"/>
      <c r="AY93" s="85"/>
      <c r="AZ93" s="85"/>
      <c r="BA93" s="85"/>
      <c r="BB93" s="85"/>
      <c r="BC93" s="85"/>
      <c r="BD93" s="85"/>
      <c r="BE93" s="85"/>
      <c r="BF93" s="85"/>
      <c r="BG93" s="85"/>
      <c r="BH93" s="85"/>
      <c r="BI93" s="85"/>
      <c r="BJ93" s="85"/>
      <c r="BK93" s="85"/>
      <c r="BL93" s="85"/>
      <c r="BM93" s="85"/>
      <c r="BN93" s="85"/>
      <c r="BO93" s="85"/>
      <c r="BP93" s="85"/>
      <c r="BQ93" s="85"/>
      <c r="BR93" s="85"/>
      <c r="BS93" s="85"/>
      <c r="BT93" s="85"/>
      <c r="BU93" s="85"/>
      <c r="BV93" s="85"/>
      <c r="BW93" s="85"/>
      <c r="BX93" s="85"/>
      <c r="BY93" s="85"/>
      <c r="BZ93" s="85"/>
      <c r="CA93" s="85"/>
      <c r="CB93" s="85"/>
      <c r="CC93" s="85"/>
      <c r="CD93" s="85"/>
      <c r="CE93" s="85"/>
      <c r="CF93" s="85"/>
      <c r="CG93" s="85"/>
      <c r="CH93" s="85"/>
      <c r="CI93" s="85"/>
      <c r="CJ93" s="85"/>
      <c r="CK93" s="85"/>
      <c r="CL93" s="85"/>
      <c r="CM93" s="85"/>
      <c r="CN93" s="85"/>
      <c r="CO93" s="85"/>
      <c r="CP93" s="85"/>
      <c r="CQ93" s="85"/>
      <c r="CR93" s="85"/>
      <c r="CS93" s="85"/>
      <c r="CT93" s="85"/>
      <c r="CU93" s="85"/>
      <c r="CV93" s="85"/>
      <c r="CW93" s="85"/>
      <c r="CX93" s="85"/>
      <c r="CY93" s="84"/>
    </row>
    <row r="94" spans="1:103">
      <c r="A94" s="93">
        <v>44228</v>
      </c>
      <c r="B94" s="82">
        <f t="shared" si="3"/>
        <v>2021</v>
      </c>
      <c r="C94" s="86">
        <v>2.0893214285714286</v>
      </c>
      <c r="D94" s="86">
        <v>17.807500000000001</v>
      </c>
      <c r="E94" s="86">
        <v>0.29007499999999997</v>
      </c>
      <c r="F94" s="86">
        <v>1.2942857142857143</v>
      </c>
      <c r="G94" s="86">
        <v>6.4207142857142854</v>
      </c>
      <c r="H94" s="86">
        <v>13.665357142857143</v>
      </c>
      <c r="I94" s="86">
        <f t="shared" si="4"/>
        <v>41.567253571428573</v>
      </c>
      <c r="J94" s="85"/>
      <c r="K94" s="85"/>
      <c r="L94" s="85"/>
      <c r="M94" s="85"/>
      <c r="N94" s="85"/>
      <c r="O94" s="85"/>
      <c r="P94" s="85"/>
      <c r="Q94" s="85"/>
      <c r="R94" s="85"/>
      <c r="S94" s="85"/>
      <c r="T94" s="85"/>
      <c r="U94" s="85"/>
      <c r="V94" s="85"/>
      <c r="W94" s="85"/>
      <c r="X94" s="85"/>
      <c r="Y94" s="85"/>
      <c r="Z94" s="85"/>
      <c r="AA94" s="85"/>
      <c r="AB94" s="85"/>
      <c r="AC94" s="85"/>
      <c r="AD94" s="85"/>
      <c r="AE94" s="85"/>
      <c r="AF94" s="85"/>
      <c r="AG94" s="85"/>
      <c r="AH94" s="85"/>
      <c r="AI94" s="85"/>
      <c r="AJ94" s="85"/>
      <c r="AK94" s="85"/>
      <c r="AL94" s="85"/>
      <c r="AM94" s="85"/>
      <c r="AN94" s="85"/>
      <c r="AO94" s="85"/>
      <c r="AP94" s="85"/>
      <c r="AQ94" s="85"/>
      <c r="AR94" s="85"/>
      <c r="AS94" s="85"/>
      <c r="AT94" s="85"/>
      <c r="AU94" s="85"/>
      <c r="AV94" s="85"/>
      <c r="AW94" s="85"/>
      <c r="AX94" s="85"/>
      <c r="AY94" s="85"/>
      <c r="AZ94" s="85"/>
      <c r="BA94" s="85"/>
      <c r="BB94" s="85"/>
      <c r="BC94" s="85"/>
      <c r="BD94" s="85"/>
      <c r="BE94" s="85"/>
      <c r="BF94" s="85"/>
      <c r="BG94" s="85"/>
      <c r="BH94" s="85"/>
      <c r="BI94" s="85"/>
      <c r="BJ94" s="85"/>
      <c r="BK94" s="85"/>
      <c r="BL94" s="85"/>
      <c r="BM94" s="85"/>
      <c r="BN94" s="85"/>
      <c r="BO94" s="85"/>
      <c r="BP94" s="85"/>
      <c r="BQ94" s="85"/>
      <c r="BR94" s="85"/>
      <c r="BS94" s="85"/>
      <c r="BT94" s="85"/>
      <c r="BU94" s="85"/>
      <c r="BV94" s="85"/>
      <c r="BW94" s="85"/>
      <c r="BX94" s="85"/>
      <c r="BY94" s="85"/>
      <c r="BZ94" s="85"/>
      <c r="CA94" s="85"/>
      <c r="CB94" s="85"/>
      <c r="CC94" s="85"/>
      <c r="CD94" s="85"/>
      <c r="CE94" s="85"/>
      <c r="CF94" s="85"/>
      <c r="CG94" s="85"/>
      <c r="CH94" s="85"/>
      <c r="CI94" s="85"/>
      <c r="CJ94" s="85"/>
      <c r="CK94" s="85"/>
      <c r="CL94" s="85"/>
      <c r="CM94" s="85"/>
      <c r="CN94" s="85"/>
      <c r="CO94" s="85"/>
      <c r="CP94" s="85"/>
      <c r="CQ94" s="85"/>
      <c r="CR94" s="85"/>
      <c r="CS94" s="85"/>
      <c r="CT94" s="85"/>
      <c r="CU94" s="85"/>
      <c r="CV94" s="85"/>
      <c r="CW94" s="85"/>
      <c r="CX94" s="85"/>
      <c r="CY94" s="84"/>
    </row>
    <row r="95" spans="1:103">
      <c r="A95" s="93">
        <v>44256</v>
      </c>
      <c r="B95" s="82">
        <f t="shared" si="3"/>
        <v>2021</v>
      </c>
      <c r="C95" s="86">
        <v>1.1798064516129032</v>
      </c>
      <c r="D95" s="86">
        <v>16.731612903225805</v>
      </c>
      <c r="E95" s="86">
        <v>0.28883870967741937</v>
      </c>
      <c r="F95" s="86">
        <v>1.4167741935483871</v>
      </c>
      <c r="G95" s="86">
        <v>6.7170967741935481</v>
      </c>
      <c r="H95" s="86">
        <v>12.080322580645161</v>
      </c>
      <c r="I95" s="86">
        <f t="shared" si="4"/>
        <v>38.414451612903228</v>
      </c>
      <c r="J95" s="85"/>
      <c r="K95" s="85"/>
      <c r="L95" s="85"/>
      <c r="M95" s="85"/>
      <c r="N95" s="85"/>
      <c r="O95" s="85"/>
      <c r="P95" s="85"/>
      <c r="Q95" s="85"/>
      <c r="R95" s="85"/>
      <c r="S95" s="85"/>
      <c r="T95" s="85"/>
      <c r="U95" s="85"/>
      <c r="V95" s="85"/>
      <c r="W95" s="85"/>
      <c r="X95" s="85"/>
      <c r="Y95" s="85"/>
      <c r="Z95" s="85"/>
      <c r="AA95" s="85"/>
      <c r="AB95" s="85"/>
      <c r="AC95" s="85"/>
      <c r="AD95" s="85"/>
      <c r="AE95" s="85"/>
      <c r="AF95" s="85"/>
      <c r="AG95" s="85"/>
      <c r="AH95" s="85"/>
      <c r="AI95" s="85"/>
      <c r="AJ95" s="85"/>
      <c r="AK95" s="85"/>
      <c r="AL95" s="85"/>
      <c r="AM95" s="85"/>
      <c r="AN95" s="85"/>
      <c r="AO95" s="85"/>
      <c r="AP95" s="85"/>
      <c r="AQ95" s="85"/>
      <c r="AR95" s="85"/>
      <c r="AS95" s="85"/>
      <c r="AT95" s="85"/>
      <c r="AU95" s="85"/>
      <c r="AV95" s="85"/>
      <c r="AW95" s="85"/>
      <c r="AX95" s="85"/>
      <c r="AY95" s="85"/>
      <c r="AZ95" s="85"/>
      <c r="BA95" s="85"/>
      <c r="BB95" s="85"/>
      <c r="BC95" s="85"/>
      <c r="BD95" s="85"/>
      <c r="BE95" s="85"/>
      <c r="BF95" s="85"/>
      <c r="BG95" s="85"/>
      <c r="BH95" s="85"/>
      <c r="BI95" s="85"/>
      <c r="BJ95" s="85"/>
      <c r="BK95" s="85"/>
      <c r="BL95" s="85"/>
      <c r="BM95" s="85"/>
      <c r="BN95" s="85"/>
      <c r="BO95" s="85"/>
      <c r="BP95" s="85"/>
      <c r="BQ95" s="85"/>
      <c r="BR95" s="85"/>
      <c r="BS95" s="85"/>
      <c r="BT95" s="85"/>
      <c r="BU95" s="85"/>
      <c r="BV95" s="85"/>
      <c r="BW95" s="85"/>
      <c r="BX95" s="85"/>
      <c r="BY95" s="85"/>
      <c r="BZ95" s="85"/>
      <c r="CA95" s="85"/>
      <c r="CB95" s="85"/>
      <c r="CC95" s="85"/>
      <c r="CD95" s="85"/>
      <c r="CE95" s="85"/>
      <c r="CF95" s="85"/>
      <c r="CG95" s="85"/>
      <c r="CH95" s="85"/>
      <c r="CI95" s="85"/>
      <c r="CJ95" s="85"/>
      <c r="CK95" s="85"/>
      <c r="CL95" s="85"/>
      <c r="CM95" s="85"/>
      <c r="CN95" s="85"/>
      <c r="CO95" s="85"/>
      <c r="CP95" s="85"/>
      <c r="CQ95" s="85"/>
      <c r="CR95" s="85"/>
      <c r="CS95" s="85"/>
      <c r="CT95" s="85"/>
      <c r="CU95" s="85"/>
      <c r="CV95" s="85"/>
      <c r="CW95" s="85"/>
      <c r="CX95" s="85"/>
      <c r="CY95" s="84"/>
    </row>
    <row r="96" spans="1:103">
      <c r="A96" s="93">
        <v>44287</v>
      </c>
      <c r="B96" s="82">
        <f t="shared" si="3"/>
        <v>2021</v>
      </c>
      <c r="C96" s="86">
        <v>1.8791</v>
      </c>
      <c r="D96" s="86">
        <v>19.319333333333336</v>
      </c>
      <c r="E96" s="86">
        <v>0.29547333333333337</v>
      </c>
      <c r="F96" s="86">
        <v>1.5755333333333332</v>
      </c>
      <c r="G96" s="86">
        <v>6.8889999999999993</v>
      </c>
      <c r="H96" s="86">
        <v>14.445666666666666</v>
      </c>
      <c r="I96" s="86">
        <f t="shared" si="4"/>
        <v>44.404106666666671</v>
      </c>
      <c r="J96" s="85"/>
      <c r="K96" s="85"/>
      <c r="L96" s="85"/>
      <c r="M96" s="85"/>
      <c r="N96" s="85"/>
      <c r="O96" s="85"/>
      <c r="P96" s="85"/>
      <c r="Q96" s="85"/>
      <c r="R96" s="85"/>
      <c r="S96" s="85"/>
      <c r="T96" s="85"/>
      <c r="U96" s="85"/>
      <c r="V96" s="85"/>
      <c r="W96" s="85"/>
      <c r="X96" s="85"/>
      <c r="Y96" s="85"/>
      <c r="Z96" s="85"/>
      <c r="AA96" s="85"/>
      <c r="AB96" s="85"/>
      <c r="AC96" s="85"/>
      <c r="AD96" s="85"/>
      <c r="AE96" s="85"/>
      <c r="AF96" s="85"/>
      <c r="AG96" s="85"/>
      <c r="AH96" s="85"/>
      <c r="AI96" s="85"/>
      <c r="AJ96" s="85"/>
      <c r="AK96" s="85"/>
      <c r="AL96" s="85"/>
      <c r="AM96" s="85"/>
      <c r="AN96" s="85"/>
      <c r="AO96" s="85"/>
      <c r="AP96" s="85"/>
      <c r="AQ96" s="85"/>
      <c r="AR96" s="85"/>
      <c r="AS96" s="85"/>
      <c r="AT96" s="85"/>
      <c r="AU96" s="85"/>
      <c r="AV96" s="85"/>
      <c r="AW96" s="85"/>
      <c r="AX96" s="85"/>
      <c r="AY96" s="85"/>
      <c r="AZ96" s="85"/>
      <c r="BA96" s="85"/>
      <c r="BB96" s="85"/>
      <c r="BC96" s="85"/>
      <c r="BD96" s="85"/>
      <c r="BE96" s="85"/>
      <c r="BF96" s="85"/>
      <c r="BG96" s="85"/>
      <c r="BH96" s="85"/>
      <c r="BI96" s="85"/>
      <c r="BJ96" s="85"/>
      <c r="BK96" s="85"/>
      <c r="BL96" s="85"/>
      <c r="BM96" s="85"/>
      <c r="BN96" s="85"/>
      <c r="BO96" s="85"/>
      <c r="BP96" s="85"/>
      <c r="BQ96" s="85"/>
      <c r="BR96" s="85"/>
      <c r="BS96" s="85"/>
      <c r="BT96" s="85"/>
      <c r="BU96" s="85"/>
      <c r="BV96" s="85"/>
      <c r="BW96" s="85"/>
      <c r="BX96" s="85"/>
      <c r="BY96" s="85"/>
      <c r="BZ96" s="85"/>
      <c r="CA96" s="85"/>
      <c r="CB96" s="85"/>
      <c r="CC96" s="85"/>
      <c r="CD96" s="85"/>
      <c r="CE96" s="85"/>
      <c r="CF96" s="85"/>
      <c r="CG96" s="85"/>
      <c r="CH96" s="85"/>
      <c r="CI96" s="85"/>
      <c r="CJ96" s="85"/>
      <c r="CK96" s="85"/>
      <c r="CL96" s="85"/>
      <c r="CM96" s="85"/>
      <c r="CN96" s="85"/>
      <c r="CO96" s="85"/>
      <c r="CP96" s="85"/>
      <c r="CQ96" s="85"/>
      <c r="CR96" s="85"/>
      <c r="CS96" s="85"/>
      <c r="CT96" s="85"/>
      <c r="CU96" s="85"/>
      <c r="CV96" s="85"/>
      <c r="CW96" s="85"/>
      <c r="CX96" s="85"/>
      <c r="CY96" s="84"/>
    </row>
    <row r="97" spans="1:103">
      <c r="A97" s="93">
        <v>44317</v>
      </c>
      <c r="B97" s="82">
        <f t="shared" si="3"/>
        <v>2021</v>
      </c>
      <c r="C97" s="86">
        <v>1.998225806451613</v>
      </c>
      <c r="D97" s="86">
        <v>19.206774193548387</v>
      </c>
      <c r="E97" s="86">
        <v>0.29560645161290322</v>
      </c>
      <c r="F97" s="86">
        <v>1.6286774193548386</v>
      </c>
      <c r="G97" s="86">
        <v>6.2661290322580649</v>
      </c>
      <c r="H97" s="86">
        <v>14.919677419354839</v>
      </c>
      <c r="I97" s="86">
        <f t="shared" si="4"/>
        <v>44.315090322580652</v>
      </c>
      <c r="J97" s="85"/>
      <c r="K97" s="85"/>
      <c r="L97" s="85"/>
      <c r="M97" s="85"/>
      <c r="N97" s="85"/>
      <c r="O97" s="85"/>
      <c r="P97" s="85"/>
      <c r="Q97" s="85"/>
      <c r="R97" s="85"/>
      <c r="S97" s="85"/>
      <c r="T97" s="85"/>
      <c r="U97" s="85"/>
      <c r="V97" s="85"/>
      <c r="W97" s="85"/>
      <c r="X97" s="85"/>
      <c r="Y97" s="85"/>
      <c r="Z97" s="85"/>
      <c r="AA97" s="85"/>
      <c r="AB97" s="85"/>
      <c r="AC97" s="85"/>
      <c r="AD97" s="85"/>
      <c r="AE97" s="85"/>
      <c r="AF97" s="85"/>
      <c r="AG97" s="85"/>
      <c r="AH97" s="85"/>
      <c r="AI97" s="85"/>
      <c r="AJ97" s="85"/>
      <c r="AK97" s="85"/>
      <c r="AL97" s="85"/>
      <c r="AM97" s="85"/>
      <c r="AN97" s="85"/>
      <c r="AO97" s="85"/>
      <c r="AP97" s="85"/>
      <c r="AQ97" s="85"/>
      <c r="AR97" s="85"/>
      <c r="AS97" s="85"/>
      <c r="AT97" s="85"/>
      <c r="AU97" s="85"/>
      <c r="AV97" s="85"/>
      <c r="AW97" s="85"/>
      <c r="AX97" s="85"/>
      <c r="AY97" s="85"/>
      <c r="AZ97" s="85"/>
      <c r="BA97" s="85"/>
      <c r="BB97" s="85"/>
      <c r="BC97" s="85"/>
      <c r="BD97" s="85"/>
      <c r="BE97" s="85"/>
      <c r="BF97" s="85"/>
      <c r="BG97" s="85"/>
      <c r="BH97" s="85"/>
      <c r="BI97" s="85"/>
      <c r="BJ97" s="85"/>
      <c r="BK97" s="85"/>
      <c r="BL97" s="85"/>
      <c r="BM97" s="85"/>
      <c r="BN97" s="85"/>
      <c r="BO97" s="85"/>
      <c r="BP97" s="85"/>
      <c r="BQ97" s="85"/>
      <c r="BR97" s="85"/>
      <c r="BS97" s="85"/>
      <c r="BT97" s="85"/>
      <c r="BU97" s="85"/>
      <c r="BV97" s="85"/>
      <c r="BW97" s="85"/>
      <c r="BX97" s="85"/>
      <c r="BY97" s="85"/>
      <c r="BZ97" s="85"/>
      <c r="CA97" s="85"/>
      <c r="CB97" s="85"/>
      <c r="CC97" s="85"/>
      <c r="CD97" s="85"/>
      <c r="CE97" s="85"/>
      <c r="CF97" s="85"/>
      <c r="CG97" s="85"/>
      <c r="CH97" s="85"/>
      <c r="CI97" s="85"/>
      <c r="CJ97" s="85"/>
      <c r="CK97" s="85"/>
      <c r="CL97" s="85"/>
      <c r="CM97" s="85"/>
      <c r="CN97" s="85"/>
      <c r="CO97" s="85"/>
      <c r="CP97" s="85"/>
      <c r="CQ97" s="85"/>
      <c r="CR97" s="85"/>
      <c r="CS97" s="85"/>
      <c r="CT97" s="85"/>
      <c r="CU97" s="85"/>
      <c r="CV97" s="85"/>
      <c r="CW97" s="85"/>
      <c r="CX97" s="85"/>
      <c r="CY97" s="84"/>
    </row>
    <row r="98" spans="1:103">
      <c r="A98" s="93">
        <v>44348</v>
      </c>
      <c r="B98" s="82">
        <f t="shared" si="3"/>
        <v>2021</v>
      </c>
      <c r="C98" s="86">
        <v>2.3173000000000004</v>
      </c>
      <c r="D98" s="86">
        <v>17.411000000000001</v>
      </c>
      <c r="E98" s="86">
        <v>0.28419666666666665</v>
      </c>
      <c r="F98" s="86">
        <v>1.6319666666666668</v>
      </c>
      <c r="G98" s="86">
        <v>6.6086666666666662</v>
      </c>
      <c r="H98" s="86">
        <v>13.723333333333333</v>
      </c>
      <c r="I98" s="86">
        <f t="shared" si="4"/>
        <v>41.976463333333328</v>
      </c>
      <c r="J98" s="85"/>
      <c r="K98" s="85"/>
      <c r="L98" s="85"/>
      <c r="M98" s="85"/>
      <c r="N98" s="85"/>
      <c r="O98" s="85"/>
      <c r="P98" s="85"/>
      <c r="Q98" s="85"/>
      <c r="R98" s="85"/>
      <c r="S98" s="85"/>
      <c r="T98" s="85"/>
      <c r="U98" s="85"/>
      <c r="V98" s="85"/>
      <c r="W98" s="85"/>
      <c r="X98" s="85"/>
      <c r="Y98" s="85"/>
      <c r="Z98" s="85"/>
      <c r="AA98" s="85"/>
      <c r="AB98" s="85"/>
      <c r="AC98" s="85"/>
      <c r="AD98" s="85"/>
      <c r="AE98" s="85"/>
      <c r="AF98" s="85"/>
      <c r="AG98" s="85"/>
      <c r="AH98" s="85"/>
      <c r="AI98" s="85"/>
      <c r="AJ98" s="85"/>
      <c r="AK98" s="85"/>
      <c r="AL98" s="85"/>
      <c r="AM98" s="85"/>
      <c r="AN98" s="85"/>
      <c r="AO98" s="85"/>
      <c r="AP98" s="85"/>
      <c r="AQ98" s="85"/>
      <c r="AR98" s="85"/>
      <c r="AS98" s="85"/>
      <c r="AT98" s="85"/>
      <c r="AU98" s="85"/>
      <c r="AV98" s="85"/>
      <c r="AW98" s="85"/>
      <c r="AX98" s="85"/>
      <c r="AY98" s="85"/>
      <c r="AZ98" s="85"/>
      <c r="BA98" s="85"/>
      <c r="BB98" s="85"/>
      <c r="BC98" s="85"/>
      <c r="BD98" s="85"/>
      <c r="BE98" s="85"/>
      <c r="BF98" s="85"/>
      <c r="BG98" s="85"/>
      <c r="BH98" s="85"/>
      <c r="BI98" s="85"/>
      <c r="BJ98" s="85"/>
      <c r="BK98" s="85"/>
      <c r="BL98" s="85"/>
      <c r="BM98" s="85"/>
      <c r="BN98" s="85"/>
      <c r="BO98" s="85"/>
      <c r="BP98" s="85"/>
      <c r="BQ98" s="85"/>
      <c r="BR98" s="85"/>
      <c r="BS98" s="85"/>
      <c r="BT98" s="85"/>
      <c r="BU98" s="85"/>
      <c r="BV98" s="85"/>
      <c r="BW98" s="85"/>
      <c r="BX98" s="85"/>
      <c r="BY98" s="85"/>
      <c r="BZ98" s="85"/>
      <c r="CA98" s="85"/>
      <c r="CB98" s="85"/>
      <c r="CC98" s="85"/>
      <c r="CD98" s="85"/>
      <c r="CE98" s="85"/>
      <c r="CF98" s="85"/>
      <c r="CG98" s="85"/>
      <c r="CH98" s="85"/>
      <c r="CI98" s="85"/>
      <c r="CJ98" s="85"/>
      <c r="CK98" s="85"/>
      <c r="CL98" s="85"/>
      <c r="CM98" s="85"/>
      <c r="CN98" s="85"/>
      <c r="CO98" s="85"/>
      <c r="CP98" s="85"/>
      <c r="CQ98" s="85"/>
      <c r="CR98" s="85"/>
      <c r="CS98" s="85"/>
      <c r="CT98" s="85"/>
      <c r="CU98" s="85"/>
      <c r="CV98" s="85"/>
      <c r="CW98" s="85"/>
      <c r="CX98" s="85"/>
      <c r="CY98" s="84"/>
    </row>
    <row r="99" spans="1:103">
      <c r="A99" s="93">
        <v>44378</v>
      </c>
      <c r="B99" s="82">
        <f t="shared" si="3"/>
        <v>2021</v>
      </c>
      <c r="C99" s="86">
        <v>2.6909032258064518</v>
      </c>
      <c r="D99" s="86">
        <v>18.071612903225809</v>
      </c>
      <c r="E99" s="86">
        <v>0.28662258064516133</v>
      </c>
      <c r="F99" s="86">
        <v>1.6345483870967741</v>
      </c>
      <c r="G99" s="86">
        <v>4.8012903225806456</v>
      </c>
      <c r="H99" s="86">
        <v>11.86225806451613</v>
      </c>
      <c r="I99" s="86">
        <f t="shared" si="4"/>
        <v>39.347235483870975</v>
      </c>
      <c r="J99" s="85"/>
      <c r="K99" s="85"/>
      <c r="L99" s="85"/>
      <c r="M99" s="85"/>
      <c r="N99" s="85"/>
      <c r="O99" s="85"/>
      <c r="P99" s="85"/>
      <c r="Q99" s="85"/>
      <c r="R99" s="85"/>
      <c r="S99" s="85"/>
      <c r="T99" s="85"/>
      <c r="U99" s="85"/>
      <c r="V99" s="85"/>
      <c r="W99" s="85"/>
      <c r="X99" s="85"/>
      <c r="Y99" s="85"/>
      <c r="Z99" s="85"/>
      <c r="AA99" s="85"/>
      <c r="AB99" s="85"/>
      <c r="AC99" s="85"/>
      <c r="AD99" s="85"/>
      <c r="AE99" s="85"/>
      <c r="AF99" s="85"/>
      <c r="AG99" s="85"/>
      <c r="AH99" s="85"/>
      <c r="AI99" s="85"/>
      <c r="AJ99" s="85"/>
      <c r="AK99" s="85"/>
      <c r="AL99" s="85"/>
      <c r="AM99" s="85"/>
      <c r="AN99" s="85"/>
      <c r="AO99" s="85"/>
      <c r="AP99" s="85"/>
      <c r="AQ99" s="85"/>
      <c r="AR99" s="85"/>
      <c r="AS99" s="85"/>
      <c r="AT99" s="85"/>
      <c r="AU99" s="85"/>
      <c r="AV99" s="85"/>
      <c r="AW99" s="85"/>
      <c r="AX99" s="85"/>
      <c r="AY99" s="85"/>
      <c r="AZ99" s="85"/>
      <c r="BA99" s="85"/>
      <c r="BB99" s="85"/>
      <c r="BC99" s="85"/>
      <c r="BD99" s="85"/>
      <c r="BE99" s="85"/>
      <c r="BF99" s="85"/>
      <c r="BG99" s="85"/>
      <c r="BH99" s="85"/>
      <c r="BI99" s="85"/>
      <c r="BJ99" s="85"/>
      <c r="BK99" s="85"/>
      <c r="BL99" s="85"/>
      <c r="BM99" s="85"/>
      <c r="BN99" s="85"/>
      <c r="BO99" s="85"/>
      <c r="BP99" s="85"/>
      <c r="BQ99" s="85"/>
      <c r="BR99" s="85"/>
      <c r="BS99" s="85"/>
      <c r="BT99" s="85"/>
      <c r="BU99" s="85"/>
      <c r="BV99" s="85"/>
      <c r="BW99" s="85"/>
      <c r="BX99" s="85"/>
      <c r="BY99" s="85"/>
      <c r="BZ99" s="85"/>
      <c r="CA99" s="85"/>
      <c r="CB99" s="85"/>
      <c r="CC99" s="85"/>
      <c r="CD99" s="85"/>
      <c r="CE99" s="85"/>
      <c r="CF99" s="85"/>
      <c r="CG99" s="85"/>
      <c r="CH99" s="85"/>
      <c r="CI99" s="85"/>
      <c r="CJ99" s="85"/>
      <c r="CK99" s="85"/>
      <c r="CL99" s="85"/>
      <c r="CM99" s="85"/>
      <c r="CN99" s="85"/>
      <c r="CO99" s="85"/>
      <c r="CP99" s="85"/>
      <c r="CQ99" s="85"/>
      <c r="CR99" s="85"/>
      <c r="CS99" s="85"/>
      <c r="CT99" s="85"/>
      <c r="CU99" s="85"/>
      <c r="CV99" s="85"/>
      <c r="CW99" s="85"/>
      <c r="CX99" s="85"/>
      <c r="CY99" s="84"/>
    </row>
    <row r="100" spans="1:103">
      <c r="A100" s="93">
        <v>44409</v>
      </c>
      <c r="B100" s="82">
        <f t="shared" si="3"/>
        <v>2021</v>
      </c>
      <c r="C100" s="86">
        <v>2.5597096774193546</v>
      </c>
      <c r="D100" s="86">
        <v>18.768709677419356</v>
      </c>
      <c r="E100" s="86">
        <v>0.2871903225806452</v>
      </c>
      <c r="F100" s="86">
        <v>1.5852903225806452</v>
      </c>
      <c r="G100" s="86">
        <v>3.4274193548387095</v>
      </c>
      <c r="H100" s="86">
        <v>11.508064516129032</v>
      </c>
      <c r="I100" s="86">
        <f t="shared" si="4"/>
        <v>38.136383870967741</v>
      </c>
      <c r="J100" s="85"/>
      <c r="K100" s="85"/>
      <c r="L100" s="85"/>
      <c r="M100" s="85"/>
      <c r="N100" s="85"/>
      <c r="O100" s="85"/>
      <c r="P100" s="85"/>
      <c r="Q100" s="85"/>
      <c r="R100" s="85"/>
      <c r="S100" s="85"/>
      <c r="T100" s="85"/>
      <c r="U100" s="85"/>
      <c r="V100" s="85"/>
      <c r="W100" s="85"/>
      <c r="X100" s="85"/>
      <c r="Y100" s="85"/>
      <c r="Z100" s="85"/>
      <c r="AA100" s="85"/>
      <c r="AB100" s="85"/>
      <c r="AC100" s="85"/>
      <c r="AD100" s="85"/>
      <c r="AE100" s="85"/>
      <c r="AF100" s="85"/>
      <c r="AG100" s="85"/>
      <c r="AH100" s="85"/>
      <c r="AI100" s="85"/>
      <c r="AJ100" s="85"/>
      <c r="AK100" s="85"/>
      <c r="AL100" s="85"/>
      <c r="AM100" s="85"/>
      <c r="AN100" s="85"/>
      <c r="AO100" s="85"/>
      <c r="AP100" s="85"/>
      <c r="AQ100" s="85"/>
      <c r="AR100" s="85"/>
      <c r="AS100" s="85"/>
      <c r="AT100" s="85"/>
      <c r="AU100" s="85"/>
      <c r="AV100" s="85"/>
      <c r="AW100" s="85"/>
      <c r="AX100" s="85"/>
      <c r="AY100" s="85"/>
      <c r="AZ100" s="85"/>
      <c r="BA100" s="85"/>
      <c r="BB100" s="85"/>
      <c r="BC100" s="85"/>
      <c r="BD100" s="85"/>
      <c r="BE100" s="85"/>
      <c r="BF100" s="85"/>
      <c r="BG100" s="85"/>
      <c r="BH100" s="85"/>
      <c r="BI100" s="85"/>
      <c r="BJ100" s="85"/>
      <c r="BK100" s="85"/>
      <c r="BL100" s="85"/>
      <c r="BM100" s="85"/>
      <c r="BN100" s="85"/>
      <c r="BO100" s="85"/>
      <c r="BP100" s="85"/>
      <c r="BQ100" s="85"/>
      <c r="BR100" s="85"/>
      <c r="BS100" s="85"/>
      <c r="BT100" s="85"/>
      <c r="BU100" s="85"/>
      <c r="BV100" s="85"/>
      <c r="BW100" s="85"/>
      <c r="BX100" s="85"/>
      <c r="BY100" s="85"/>
      <c r="BZ100" s="85"/>
      <c r="CA100" s="85"/>
      <c r="CB100" s="85"/>
      <c r="CC100" s="85"/>
      <c r="CD100" s="85"/>
      <c r="CE100" s="85"/>
      <c r="CF100" s="85"/>
      <c r="CG100" s="85"/>
      <c r="CH100" s="85"/>
      <c r="CI100" s="85"/>
      <c r="CJ100" s="85"/>
      <c r="CK100" s="85"/>
      <c r="CL100" s="85"/>
      <c r="CM100" s="85"/>
      <c r="CN100" s="85"/>
      <c r="CO100" s="85"/>
      <c r="CP100" s="85"/>
      <c r="CQ100" s="85"/>
      <c r="CR100" s="85"/>
      <c r="CS100" s="85"/>
      <c r="CT100" s="85"/>
      <c r="CU100" s="85"/>
      <c r="CV100" s="85"/>
      <c r="CW100" s="85"/>
      <c r="CX100" s="85"/>
      <c r="CY100" s="84"/>
    </row>
    <row r="101" spans="1:103">
      <c r="A101" s="93">
        <v>44440</v>
      </c>
      <c r="B101" s="82">
        <f t="shared" si="3"/>
        <v>2021</v>
      </c>
      <c r="C101" s="86">
        <v>2.4239999999999999</v>
      </c>
      <c r="D101" s="86">
        <v>20.91033333333333</v>
      </c>
      <c r="E101" s="86">
        <v>0.28991333333333336</v>
      </c>
      <c r="F101" s="86">
        <v>1.4449666666666665</v>
      </c>
      <c r="G101" s="86">
        <v>5.0439999999999996</v>
      </c>
      <c r="H101" s="86">
        <v>13.465666666666667</v>
      </c>
      <c r="I101" s="86">
        <f t="shared" si="4"/>
        <v>43.578879999999998</v>
      </c>
      <c r="J101" s="85"/>
      <c r="K101" s="85"/>
      <c r="L101" s="85"/>
      <c r="M101" s="85"/>
      <c r="N101" s="85"/>
      <c r="O101" s="85"/>
      <c r="P101" s="85"/>
      <c r="Q101" s="85"/>
      <c r="R101" s="85"/>
      <c r="S101" s="85"/>
      <c r="T101" s="85"/>
      <c r="U101" s="85"/>
      <c r="V101" s="85"/>
      <c r="W101" s="85"/>
      <c r="X101" s="85"/>
      <c r="Y101" s="85"/>
      <c r="Z101" s="85"/>
      <c r="AA101" s="85"/>
      <c r="AB101" s="85"/>
      <c r="AC101" s="85"/>
      <c r="AD101" s="85"/>
      <c r="AE101" s="85"/>
      <c r="AF101" s="85"/>
      <c r="AG101" s="85"/>
      <c r="AH101" s="85"/>
      <c r="AI101" s="85"/>
      <c r="AJ101" s="85"/>
      <c r="AK101" s="85"/>
      <c r="AL101" s="85"/>
      <c r="AM101" s="85"/>
      <c r="AN101" s="85"/>
      <c r="AO101" s="85"/>
      <c r="AP101" s="85"/>
      <c r="AQ101" s="85"/>
      <c r="AR101" s="85"/>
      <c r="AS101" s="85"/>
      <c r="AT101" s="85"/>
      <c r="AU101" s="85"/>
      <c r="AV101" s="85"/>
      <c r="AW101" s="85"/>
      <c r="AX101" s="85"/>
      <c r="AY101" s="85"/>
      <c r="AZ101" s="85"/>
      <c r="BA101" s="85"/>
      <c r="BB101" s="85"/>
      <c r="BC101" s="85"/>
      <c r="BD101" s="85"/>
      <c r="BE101" s="85"/>
      <c r="BF101" s="85"/>
      <c r="BG101" s="85"/>
      <c r="BH101" s="85"/>
      <c r="BI101" s="85"/>
      <c r="BJ101" s="85"/>
      <c r="BK101" s="85"/>
      <c r="BL101" s="85"/>
      <c r="BM101" s="85"/>
      <c r="BN101" s="85"/>
      <c r="BO101" s="85"/>
      <c r="BP101" s="85"/>
      <c r="BQ101" s="85"/>
      <c r="BR101" s="85"/>
      <c r="BS101" s="85"/>
      <c r="BT101" s="85"/>
      <c r="BU101" s="85"/>
      <c r="BV101" s="85"/>
      <c r="BW101" s="85"/>
      <c r="BX101" s="85"/>
      <c r="BY101" s="85"/>
      <c r="BZ101" s="85"/>
      <c r="CA101" s="85"/>
      <c r="CB101" s="85"/>
      <c r="CC101" s="85"/>
      <c r="CD101" s="85"/>
      <c r="CE101" s="85"/>
      <c r="CF101" s="85"/>
      <c r="CG101" s="85"/>
      <c r="CH101" s="85"/>
      <c r="CI101" s="85"/>
      <c r="CJ101" s="85"/>
      <c r="CK101" s="85"/>
      <c r="CL101" s="85"/>
      <c r="CM101" s="85"/>
      <c r="CN101" s="85"/>
      <c r="CO101" s="85"/>
      <c r="CP101" s="85"/>
      <c r="CQ101" s="85"/>
      <c r="CR101" s="85"/>
      <c r="CS101" s="85"/>
      <c r="CT101" s="85"/>
      <c r="CU101" s="85"/>
      <c r="CV101" s="85"/>
      <c r="CW101" s="85"/>
      <c r="CX101" s="85"/>
      <c r="CY101" s="84"/>
    </row>
    <row r="102" spans="1:103">
      <c r="A102" s="93">
        <v>44470</v>
      </c>
      <c r="B102" s="82">
        <f t="shared" si="3"/>
        <v>2021</v>
      </c>
      <c r="C102" s="86">
        <v>2.2796774193548388</v>
      </c>
      <c r="D102" s="86">
        <v>20.845806451612905</v>
      </c>
      <c r="E102" s="86">
        <v>0.29107741935483872</v>
      </c>
      <c r="F102" s="86">
        <v>1.5384516129032257</v>
      </c>
      <c r="G102" s="86">
        <v>5.6583870967741934</v>
      </c>
      <c r="H102" s="86">
        <v>13.692580645161291</v>
      </c>
      <c r="I102" s="86">
        <f t="shared" si="4"/>
        <v>44.305980645161299</v>
      </c>
      <c r="J102" s="85"/>
      <c r="K102" s="85"/>
      <c r="L102" s="85"/>
      <c r="M102" s="85"/>
      <c r="N102" s="85"/>
      <c r="O102" s="85"/>
      <c r="P102" s="85"/>
      <c r="Q102" s="85"/>
      <c r="R102" s="85"/>
      <c r="S102" s="85"/>
      <c r="T102" s="85"/>
      <c r="U102" s="85"/>
      <c r="V102" s="85"/>
      <c r="W102" s="85"/>
      <c r="X102" s="85"/>
      <c r="Y102" s="85"/>
      <c r="Z102" s="85"/>
      <c r="AA102" s="85"/>
      <c r="AB102" s="85"/>
      <c r="AC102" s="85"/>
      <c r="AD102" s="85"/>
      <c r="AE102" s="85"/>
      <c r="AF102" s="85"/>
      <c r="AG102" s="85"/>
      <c r="AH102" s="85"/>
      <c r="AI102" s="85"/>
      <c r="AJ102" s="85"/>
      <c r="AK102" s="85"/>
      <c r="AL102" s="85"/>
      <c r="AM102" s="85"/>
      <c r="AN102" s="85"/>
      <c r="AO102" s="85"/>
      <c r="AP102" s="85"/>
      <c r="AQ102" s="85"/>
      <c r="AR102" s="85"/>
      <c r="AS102" s="85"/>
      <c r="AT102" s="85"/>
      <c r="AU102" s="85"/>
      <c r="AV102" s="85"/>
      <c r="AW102" s="85"/>
      <c r="AX102" s="85"/>
      <c r="AY102" s="85"/>
      <c r="AZ102" s="85"/>
      <c r="BA102" s="85"/>
      <c r="BB102" s="85"/>
      <c r="BC102" s="85"/>
      <c r="BD102" s="85"/>
      <c r="BE102" s="85"/>
      <c r="BF102" s="85"/>
      <c r="BG102" s="85"/>
      <c r="BH102" s="85"/>
      <c r="BI102" s="85"/>
      <c r="BJ102" s="85"/>
      <c r="BK102" s="85"/>
      <c r="BL102" s="85"/>
      <c r="BM102" s="85"/>
      <c r="BN102" s="85"/>
      <c r="BO102" s="85"/>
      <c r="BP102" s="85"/>
      <c r="BQ102" s="85"/>
      <c r="BR102" s="85"/>
      <c r="BS102" s="85"/>
      <c r="BT102" s="85"/>
      <c r="BU102" s="85"/>
      <c r="BV102" s="85"/>
      <c r="BW102" s="85"/>
      <c r="BX102" s="85"/>
      <c r="BY102" s="85"/>
      <c r="BZ102" s="85"/>
      <c r="CA102" s="85"/>
      <c r="CB102" s="85"/>
      <c r="CC102" s="85"/>
      <c r="CD102" s="85"/>
      <c r="CE102" s="85"/>
      <c r="CF102" s="85"/>
      <c r="CG102" s="85"/>
      <c r="CH102" s="85"/>
      <c r="CI102" s="85"/>
      <c r="CJ102" s="85"/>
      <c r="CK102" s="85"/>
      <c r="CL102" s="85"/>
      <c r="CM102" s="85"/>
      <c r="CN102" s="85"/>
      <c r="CO102" s="85"/>
      <c r="CP102" s="85"/>
      <c r="CQ102" s="85"/>
      <c r="CR102" s="85"/>
      <c r="CS102" s="85"/>
      <c r="CT102" s="85"/>
      <c r="CU102" s="85"/>
      <c r="CV102" s="85"/>
      <c r="CW102" s="85"/>
      <c r="CX102" s="85"/>
      <c r="CY102" s="84"/>
    </row>
    <row r="103" spans="1:103">
      <c r="A103" s="93">
        <v>44501</v>
      </c>
      <c r="B103" s="82">
        <f t="shared" si="3"/>
        <v>2021</v>
      </c>
      <c r="C103" s="86">
        <v>2.0510333333333333</v>
      </c>
      <c r="D103" s="86">
        <v>20.825333333333333</v>
      </c>
      <c r="E103" s="86">
        <v>0.28445999999999999</v>
      </c>
      <c r="F103" s="86">
        <v>1.5516000000000001</v>
      </c>
      <c r="G103" s="86">
        <v>7.9610000000000003</v>
      </c>
      <c r="H103" s="86">
        <v>14.040333333333333</v>
      </c>
      <c r="I103" s="86">
        <f t="shared" si="4"/>
        <v>46.713759999999994</v>
      </c>
      <c r="J103" s="85"/>
      <c r="K103" s="85"/>
      <c r="L103" s="85"/>
      <c r="M103" s="85"/>
      <c r="N103" s="85"/>
      <c r="O103" s="85"/>
      <c r="P103" s="85"/>
      <c r="Q103" s="85"/>
      <c r="R103" s="85"/>
      <c r="S103" s="85"/>
      <c r="T103" s="85"/>
      <c r="U103" s="85"/>
      <c r="V103" s="85"/>
      <c r="W103" s="85"/>
      <c r="X103" s="85"/>
      <c r="Y103" s="85"/>
      <c r="Z103" s="85"/>
      <c r="AA103" s="85"/>
      <c r="AB103" s="85"/>
      <c r="AC103" s="85"/>
      <c r="AD103" s="85"/>
      <c r="AE103" s="85"/>
      <c r="AF103" s="85"/>
      <c r="AG103" s="85"/>
      <c r="AH103" s="85"/>
      <c r="AI103" s="85"/>
      <c r="AJ103" s="85"/>
      <c r="AK103" s="85"/>
      <c r="AL103" s="85"/>
      <c r="AM103" s="85"/>
      <c r="AN103" s="85"/>
      <c r="AO103" s="85"/>
      <c r="AP103" s="85"/>
      <c r="AQ103" s="85"/>
      <c r="AR103" s="85"/>
      <c r="AS103" s="85"/>
      <c r="AT103" s="85"/>
      <c r="AU103" s="85"/>
      <c r="AV103" s="85"/>
      <c r="AW103" s="85"/>
      <c r="AX103" s="85"/>
      <c r="AY103" s="85"/>
      <c r="AZ103" s="85"/>
      <c r="BA103" s="85"/>
      <c r="BB103" s="85"/>
      <c r="BC103" s="85"/>
      <c r="BD103" s="85"/>
      <c r="BE103" s="85"/>
      <c r="BF103" s="85"/>
      <c r="BG103" s="85"/>
      <c r="BH103" s="85"/>
      <c r="BI103" s="85"/>
      <c r="BJ103" s="85"/>
      <c r="BK103" s="85"/>
      <c r="BL103" s="85"/>
      <c r="BM103" s="85"/>
      <c r="BN103" s="85"/>
      <c r="BO103" s="85"/>
      <c r="BP103" s="85"/>
      <c r="BQ103" s="85"/>
      <c r="BR103" s="85"/>
      <c r="BS103" s="85"/>
      <c r="BT103" s="85"/>
      <c r="BU103" s="85"/>
      <c r="BV103" s="85"/>
      <c r="BW103" s="85"/>
      <c r="BX103" s="85"/>
      <c r="BY103" s="85"/>
      <c r="BZ103" s="85"/>
      <c r="CA103" s="85"/>
      <c r="CB103" s="85"/>
      <c r="CC103" s="85"/>
      <c r="CD103" s="85"/>
      <c r="CE103" s="85"/>
      <c r="CF103" s="85"/>
      <c r="CG103" s="85"/>
      <c r="CH103" s="85"/>
      <c r="CI103" s="85"/>
      <c r="CJ103" s="85"/>
      <c r="CK103" s="85"/>
      <c r="CL103" s="85"/>
      <c r="CM103" s="85"/>
      <c r="CN103" s="85"/>
      <c r="CO103" s="85"/>
      <c r="CP103" s="85"/>
      <c r="CQ103" s="85"/>
      <c r="CR103" s="85"/>
      <c r="CS103" s="85"/>
      <c r="CT103" s="85"/>
      <c r="CU103" s="85"/>
      <c r="CV103" s="85"/>
      <c r="CW103" s="85"/>
      <c r="CX103" s="85"/>
      <c r="CY103" s="84"/>
    </row>
    <row r="104" spans="1:103">
      <c r="A104" s="93">
        <v>44531</v>
      </c>
      <c r="B104" s="82">
        <f t="shared" si="3"/>
        <v>2021</v>
      </c>
      <c r="C104" s="86">
        <v>2.2113225806451613</v>
      </c>
      <c r="D104" s="86">
        <v>18.699354838709677</v>
      </c>
      <c r="E104" s="86">
        <v>0.2900612903225806</v>
      </c>
      <c r="F104" s="86">
        <v>1.4025806451612903</v>
      </c>
      <c r="G104" s="86">
        <v>7.8180645161290325</v>
      </c>
      <c r="H104" s="86">
        <v>13.607741935483871</v>
      </c>
      <c r="I104" s="86">
        <f t="shared" si="4"/>
        <v>44.029125806451617</v>
      </c>
      <c r="J104" s="85"/>
      <c r="K104" s="85"/>
      <c r="L104" s="85"/>
      <c r="M104" s="85"/>
      <c r="N104" s="85"/>
      <c r="O104" s="85"/>
      <c r="P104" s="85"/>
      <c r="Q104" s="85"/>
      <c r="R104" s="85"/>
      <c r="S104" s="85"/>
      <c r="T104" s="85"/>
      <c r="U104" s="85"/>
      <c r="V104" s="85"/>
      <c r="W104" s="85"/>
      <c r="X104" s="85"/>
      <c r="Y104" s="85"/>
      <c r="Z104" s="85"/>
      <c r="AA104" s="85"/>
      <c r="AB104" s="85"/>
      <c r="AC104" s="85"/>
      <c r="AD104" s="85"/>
      <c r="AE104" s="85"/>
      <c r="AF104" s="85"/>
      <c r="AG104" s="85"/>
      <c r="AH104" s="85"/>
      <c r="AI104" s="85"/>
      <c r="AJ104" s="85"/>
      <c r="AK104" s="85"/>
      <c r="AL104" s="85"/>
      <c r="AM104" s="85"/>
      <c r="AN104" s="85"/>
      <c r="AO104" s="85"/>
      <c r="AP104" s="85"/>
      <c r="AQ104" s="85"/>
      <c r="AR104" s="85"/>
      <c r="AS104" s="85"/>
      <c r="AT104" s="85"/>
      <c r="AU104" s="85"/>
      <c r="AV104" s="85"/>
      <c r="AW104" s="85"/>
      <c r="AX104" s="85"/>
      <c r="AY104" s="85"/>
      <c r="AZ104" s="85"/>
      <c r="BA104" s="85"/>
      <c r="BB104" s="85"/>
      <c r="BC104" s="85"/>
      <c r="BD104" s="85"/>
      <c r="BE104" s="85"/>
      <c r="BF104" s="85"/>
      <c r="BG104" s="85"/>
      <c r="BH104" s="85"/>
      <c r="BI104" s="85"/>
      <c r="BJ104" s="85"/>
      <c r="BK104" s="85"/>
      <c r="BL104" s="85"/>
      <c r="BM104" s="85"/>
      <c r="BN104" s="85"/>
      <c r="BO104" s="85"/>
      <c r="BP104" s="85"/>
      <c r="BQ104" s="85"/>
      <c r="BR104" s="85"/>
      <c r="BS104" s="85"/>
      <c r="BT104" s="85"/>
      <c r="BU104" s="85"/>
      <c r="BV104" s="85"/>
      <c r="BW104" s="85"/>
      <c r="BX104" s="85"/>
      <c r="BY104" s="85"/>
      <c r="BZ104" s="85"/>
      <c r="CA104" s="85"/>
      <c r="CB104" s="85"/>
      <c r="CC104" s="85"/>
      <c r="CD104" s="85"/>
      <c r="CE104" s="85"/>
      <c r="CF104" s="85"/>
      <c r="CG104" s="85"/>
      <c r="CH104" s="85"/>
      <c r="CI104" s="85"/>
      <c r="CJ104" s="85"/>
      <c r="CK104" s="85"/>
      <c r="CL104" s="85"/>
      <c r="CM104" s="85"/>
      <c r="CN104" s="85"/>
      <c r="CO104" s="85"/>
      <c r="CP104" s="85"/>
      <c r="CQ104" s="85"/>
      <c r="CR104" s="85"/>
      <c r="CS104" s="85"/>
      <c r="CT104" s="85"/>
      <c r="CU104" s="85"/>
      <c r="CV104" s="85"/>
      <c r="CW104" s="85"/>
      <c r="CX104" s="85"/>
      <c r="CY104" s="84"/>
    </row>
    <row r="105" spans="1:103">
      <c r="A105" s="93">
        <v>44562</v>
      </c>
      <c r="B105" s="82">
        <f t="shared" ref="B105:B133" si="5">YEAR(A105)</f>
        <v>2022</v>
      </c>
      <c r="C105" s="86">
        <v>2.3880000000000003</v>
      </c>
      <c r="D105" s="86">
        <v>18.338709677419356</v>
      </c>
      <c r="E105" s="86">
        <v>0.29075806451612907</v>
      </c>
      <c r="F105" s="86">
        <v>1.2353225806451613</v>
      </c>
      <c r="G105" s="86">
        <v>7.4748387096774191</v>
      </c>
      <c r="H105" s="86">
        <v>12.046451612903226</v>
      </c>
      <c r="I105" s="86">
        <f t="shared" si="4"/>
        <v>41.774080645161291</v>
      </c>
      <c r="J105" s="85"/>
      <c r="K105" s="85"/>
      <c r="L105" s="85"/>
      <c r="M105" s="85"/>
      <c r="N105" s="85"/>
      <c r="O105" s="85"/>
      <c r="P105" s="85"/>
      <c r="Q105" s="85"/>
      <c r="R105" s="85"/>
      <c r="S105" s="85"/>
      <c r="T105" s="85"/>
      <c r="U105" s="85"/>
      <c r="V105" s="85"/>
      <c r="W105" s="85"/>
      <c r="X105" s="85"/>
      <c r="Y105" s="85"/>
      <c r="Z105" s="85"/>
      <c r="AA105" s="85"/>
      <c r="AB105" s="85"/>
      <c r="AC105" s="85"/>
      <c r="AD105" s="85"/>
      <c r="AE105" s="85"/>
      <c r="AF105" s="85"/>
      <c r="AG105" s="85"/>
      <c r="AH105" s="85"/>
      <c r="AI105" s="85"/>
      <c r="AJ105" s="85"/>
      <c r="AK105" s="85"/>
      <c r="AL105" s="85"/>
      <c r="AM105" s="85"/>
      <c r="AN105" s="85"/>
      <c r="AO105" s="85"/>
      <c r="AP105" s="85"/>
      <c r="AQ105" s="85"/>
      <c r="AR105" s="85"/>
      <c r="AS105" s="85"/>
      <c r="AT105" s="85"/>
      <c r="AU105" s="85"/>
      <c r="AV105" s="85"/>
      <c r="AW105" s="85"/>
      <c r="AX105" s="85"/>
      <c r="AY105" s="85"/>
      <c r="AZ105" s="85"/>
      <c r="BA105" s="85"/>
      <c r="BB105" s="85"/>
      <c r="BC105" s="85"/>
      <c r="BD105" s="85"/>
      <c r="BE105" s="85"/>
      <c r="BF105" s="85"/>
      <c r="BG105" s="85"/>
      <c r="BH105" s="85"/>
      <c r="BI105" s="85"/>
      <c r="BJ105" s="85"/>
      <c r="BK105" s="85"/>
      <c r="BL105" s="85"/>
      <c r="BM105" s="85"/>
      <c r="BN105" s="85"/>
      <c r="BO105" s="85"/>
      <c r="BP105" s="85"/>
      <c r="BQ105" s="85"/>
      <c r="BR105" s="85"/>
      <c r="BS105" s="85"/>
      <c r="BT105" s="85"/>
      <c r="BU105" s="85"/>
      <c r="BV105" s="85"/>
      <c r="BW105" s="85"/>
      <c r="BX105" s="85"/>
      <c r="BY105" s="85"/>
      <c r="BZ105" s="85"/>
      <c r="CA105" s="85"/>
      <c r="CB105" s="85"/>
      <c r="CC105" s="85"/>
      <c r="CD105" s="85"/>
      <c r="CE105" s="85"/>
      <c r="CF105" s="85"/>
      <c r="CG105" s="85"/>
      <c r="CH105" s="85"/>
      <c r="CI105" s="85"/>
      <c r="CJ105" s="85"/>
      <c r="CK105" s="85"/>
      <c r="CL105" s="85"/>
      <c r="CM105" s="85"/>
      <c r="CN105" s="85"/>
      <c r="CO105" s="85"/>
      <c r="CP105" s="85"/>
      <c r="CQ105" s="85"/>
      <c r="CR105" s="85"/>
      <c r="CS105" s="85"/>
      <c r="CT105" s="85"/>
      <c r="CU105" s="85"/>
      <c r="CV105" s="85"/>
      <c r="CW105" s="85"/>
      <c r="CX105" s="85"/>
      <c r="CY105" s="84"/>
    </row>
    <row r="106" spans="1:103">
      <c r="A106" s="93">
        <v>44593</v>
      </c>
      <c r="B106" s="82">
        <f t="shared" si="5"/>
        <v>2022</v>
      </c>
      <c r="C106" s="86">
        <v>1.9251071428571429</v>
      </c>
      <c r="D106" s="86">
        <v>17.56642857142857</v>
      </c>
      <c r="E106" s="86">
        <v>0.28762499999999996</v>
      </c>
      <c r="F106" s="86">
        <v>1.2424642857142858</v>
      </c>
      <c r="G106" s="86">
        <v>6.3028571428571425</v>
      </c>
      <c r="H106" s="86">
        <v>13.661428571428571</v>
      </c>
      <c r="I106" s="86">
        <f t="shared" si="4"/>
        <v>40.985910714285708</v>
      </c>
      <c r="J106" s="85"/>
      <c r="K106" s="85"/>
      <c r="L106" s="85"/>
      <c r="M106" s="85"/>
      <c r="N106" s="85"/>
      <c r="O106" s="85"/>
      <c r="P106" s="85"/>
      <c r="Q106" s="85"/>
      <c r="R106" s="85"/>
      <c r="S106" s="85"/>
      <c r="T106" s="85"/>
      <c r="U106" s="85"/>
      <c r="V106" s="85"/>
      <c r="W106" s="85"/>
      <c r="X106" s="85"/>
      <c r="Y106" s="85"/>
      <c r="Z106" s="85"/>
      <c r="AA106" s="85"/>
      <c r="AB106" s="85"/>
      <c r="AC106" s="85"/>
      <c r="AD106" s="85"/>
      <c r="AE106" s="85"/>
      <c r="AF106" s="85"/>
      <c r="AG106" s="85"/>
      <c r="AH106" s="85"/>
      <c r="AI106" s="85"/>
      <c r="AJ106" s="85"/>
      <c r="AK106" s="85"/>
      <c r="AL106" s="85"/>
      <c r="AM106" s="85"/>
      <c r="AN106" s="85"/>
      <c r="AO106" s="85"/>
      <c r="AP106" s="85"/>
      <c r="AQ106" s="85"/>
      <c r="AR106" s="85"/>
      <c r="AS106" s="85"/>
      <c r="AT106" s="85"/>
      <c r="AU106" s="85"/>
      <c r="AV106" s="85"/>
      <c r="AW106" s="85"/>
      <c r="AX106" s="85"/>
      <c r="AY106" s="85"/>
      <c r="AZ106" s="85"/>
      <c r="BA106" s="85"/>
      <c r="BB106" s="85"/>
      <c r="BC106" s="85"/>
      <c r="BD106" s="85"/>
      <c r="BE106" s="85"/>
      <c r="BF106" s="85"/>
      <c r="BG106" s="85"/>
      <c r="BH106" s="85"/>
      <c r="BI106" s="85"/>
      <c r="BJ106" s="85"/>
      <c r="BK106" s="85"/>
      <c r="BL106" s="85"/>
      <c r="BM106" s="85"/>
      <c r="BN106" s="85"/>
      <c r="BO106" s="85"/>
      <c r="BP106" s="85"/>
      <c r="BQ106" s="85"/>
      <c r="BR106" s="85"/>
      <c r="BS106" s="85"/>
      <c r="BT106" s="85"/>
      <c r="BU106" s="85"/>
      <c r="BV106" s="85"/>
      <c r="BW106" s="85"/>
      <c r="BX106" s="85"/>
      <c r="BY106" s="85"/>
      <c r="BZ106" s="85"/>
      <c r="CA106" s="85"/>
      <c r="CB106" s="85"/>
      <c r="CC106" s="85"/>
      <c r="CD106" s="85"/>
      <c r="CE106" s="85"/>
      <c r="CF106" s="85"/>
      <c r="CG106" s="85"/>
      <c r="CH106" s="85"/>
      <c r="CI106" s="85"/>
      <c r="CJ106" s="85"/>
      <c r="CK106" s="85"/>
      <c r="CL106" s="85"/>
      <c r="CM106" s="85"/>
      <c r="CN106" s="85"/>
      <c r="CO106" s="85"/>
      <c r="CP106" s="85"/>
      <c r="CQ106" s="85"/>
      <c r="CR106" s="85"/>
      <c r="CS106" s="85"/>
      <c r="CT106" s="85"/>
      <c r="CU106" s="85"/>
      <c r="CV106" s="85"/>
      <c r="CW106" s="85"/>
      <c r="CX106" s="85"/>
      <c r="CY106" s="84"/>
    </row>
    <row r="107" spans="1:103">
      <c r="A107" s="93">
        <v>44621</v>
      </c>
      <c r="B107" s="82">
        <f t="shared" si="5"/>
        <v>2022</v>
      </c>
      <c r="C107" s="86">
        <v>1.5339032258064518</v>
      </c>
      <c r="D107" s="86">
        <v>18.147096774193546</v>
      </c>
      <c r="E107" s="86">
        <v>0.29170000000000001</v>
      </c>
      <c r="F107" s="86">
        <v>1.3879354838709679</v>
      </c>
      <c r="G107" s="86">
        <v>7.0532258064516133</v>
      </c>
      <c r="H107" s="86">
        <v>13.017096774193547</v>
      </c>
      <c r="I107" s="86">
        <f t="shared" si="4"/>
        <v>41.430958064516126</v>
      </c>
      <c r="J107" s="85"/>
      <c r="K107" s="85"/>
      <c r="L107" s="85"/>
      <c r="M107" s="85"/>
      <c r="N107" s="85"/>
      <c r="O107" s="85"/>
      <c r="P107" s="85"/>
      <c r="Q107" s="85"/>
      <c r="R107" s="85"/>
      <c r="S107" s="85"/>
      <c r="T107" s="85"/>
      <c r="U107" s="85"/>
      <c r="V107" s="85"/>
      <c r="W107" s="85"/>
      <c r="X107" s="85"/>
      <c r="Y107" s="85"/>
      <c r="Z107" s="85"/>
      <c r="AA107" s="85"/>
      <c r="AB107" s="85"/>
      <c r="AC107" s="85"/>
      <c r="AD107" s="85"/>
      <c r="AE107" s="85"/>
      <c r="AF107" s="85"/>
      <c r="AG107" s="85"/>
      <c r="AH107" s="85"/>
      <c r="AI107" s="85"/>
      <c r="AJ107" s="85"/>
      <c r="AK107" s="85"/>
      <c r="AL107" s="85"/>
      <c r="AM107" s="85"/>
      <c r="AN107" s="85"/>
      <c r="AO107" s="85"/>
      <c r="AP107" s="85"/>
      <c r="AQ107" s="85"/>
      <c r="AR107" s="85"/>
      <c r="AS107" s="85"/>
      <c r="AT107" s="85"/>
      <c r="AU107" s="85"/>
      <c r="AV107" s="85"/>
      <c r="AW107" s="85"/>
      <c r="AX107" s="85"/>
      <c r="AY107" s="85"/>
      <c r="AZ107" s="85"/>
      <c r="BA107" s="85"/>
      <c r="BB107" s="85"/>
      <c r="BC107" s="85"/>
      <c r="BD107" s="85"/>
      <c r="BE107" s="85"/>
      <c r="BF107" s="85"/>
      <c r="BG107" s="85"/>
      <c r="BH107" s="85"/>
      <c r="BI107" s="85"/>
      <c r="BJ107" s="85"/>
      <c r="BK107" s="85"/>
      <c r="BL107" s="85"/>
      <c r="BM107" s="85"/>
      <c r="BN107" s="85"/>
      <c r="BO107" s="85"/>
      <c r="BP107" s="85"/>
      <c r="BQ107" s="85"/>
      <c r="BR107" s="85"/>
      <c r="BS107" s="85"/>
      <c r="BT107" s="85"/>
      <c r="BU107" s="85"/>
      <c r="BV107" s="85"/>
      <c r="BW107" s="85"/>
      <c r="BX107" s="85"/>
      <c r="BY107" s="85"/>
      <c r="BZ107" s="85"/>
      <c r="CA107" s="85"/>
      <c r="CB107" s="85"/>
      <c r="CC107" s="85"/>
      <c r="CD107" s="85"/>
      <c r="CE107" s="85"/>
      <c r="CF107" s="85"/>
      <c r="CG107" s="85"/>
      <c r="CH107" s="85"/>
      <c r="CI107" s="85"/>
      <c r="CJ107" s="85"/>
      <c r="CK107" s="85"/>
      <c r="CL107" s="85"/>
      <c r="CM107" s="85"/>
      <c r="CN107" s="85"/>
      <c r="CO107" s="85"/>
      <c r="CP107" s="85"/>
      <c r="CQ107" s="85"/>
      <c r="CR107" s="85"/>
      <c r="CS107" s="85"/>
      <c r="CT107" s="85"/>
      <c r="CU107" s="85"/>
      <c r="CV107" s="85"/>
      <c r="CW107" s="85"/>
      <c r="CX107" s="85"/>
      <c r="CY107" s="84"/>
    </row>
    <row r="108" spans="1:103">
      <c r="A108" s="93">
        <v>44652</v>
      </c>
      <c r="B108" s="82">
        <f t="shared" si="5"/>
        <v>2022</v>
      </c>
      <c r="C108" s="86">
        <v>1.6285666666666667</v>
      </c>
      <c r="D108" s="86">
        <v>19.884333333333334</v>
      </c>
      <c r="E108" s="86">
        <v>0.29570999999999997</v>
      </c>
      <c r="F108" s="86">
        <v>1.5566666666666669</v>
      </c>
      <c r="G108" s="86">
        <v>6.2303333333333333</v>
      </c>
      <c r="H108" s="86">
        <v>14.545</v>
      </c>
      <c r="I108" s="86">
        <f t="shared" si="4"/>
        <v>44.140610000000002</v>
      </c>
      <c r="J108" s="85"/>
      <c r="K108" s="85"/>
      <c r="L108" s="85"/>
      <c r="M108" s="85"/>
      <c r="N108" s="85"/>
      <c r="O108" s="85"/>
      <c r="P108" s="85"/>
      <c r="Q108" s="85"/>
      <c r="R108" s="85"/>
      <c r="S108" s="85"/>
      <c r="T108" s="85"/>
      <c r="U108" s="85"/>
      <c r="V108" s="85"/>
      <c r="W108" s="85"/>
      <c r="X108" s="85"/>
      <c r="Y108" s="85"/>
      <c r="Z108" s="85"/>
      <c r="AA108" s="85"/>
      <c r="AB108" s="85"/>
      <c r="AC108" s="85"/>
      <c r="AD108" s="85"/>
      <c r="AE108" s="85"/>
      <c r="AF108" s="85"/>
      <c r="AG108" s="85"/>
      <c r="AH108" s="85"/>
      <c r="AI108" s="85"/>
      <c r="AJ108" s="85"/>
      <c r="AK108" s="85"/>
      <c r="AL108" s="85"/>
      <c r="AM108" s="85"/>
      <c r="AN108" s="85"/>
      <c r="AO108" s="85"/>
      <c r="AP108" s="85"/>
      <c r="AQ108" s="85"/>
      <c r="AR108" s="85"/>
      <c r="AS108" s="85"/>
      <c r="AT108" s="85"/>
      <c r="AU108" s="85"/>
      <c r="AV108" s="85"/>
      <c r="AW108" s="85"/>
      <c r="AX108" s="85"/>
      <c r="AY108" s="85"/>
      <c r="AZ108" s="85"/>
      <c r="BA108" s="85"/>
      <c r="BB108" s="85"/>
      <c r="BC108" s="85"/>
      <c r="BD108" s="85"/>
      <c r="BE108" s="85"/>
      <c r="BF108" s="85"/>
      <c r="BG108" s="85"/>
      <c r="BH108" s="85"/>
      <c r="BI108" s="85"/>
      <c r="BJ108" s="85"/>
      <c r="BK108" s="85"/>
      <c r="BL108" s="85"/>
      <c r="BM108" s="85"/>
      <c r="BN108" s="85"/>
      <c r="BO108" s="85"/>
      <c r="BP108" s="85"/>
      <c r="BQ108" s="85"/>
      <c r="BR108" s="85"/>
      <c r="BS108" s="85"/>
      <c r="BT108" s="85"/>
      <c r="BU108" s="85"/>
      <c r="BV108" s="85"/>
      <c r="BW108" s="85"/>
      <c r="BX108" s="85"/>
      <c r="BY108" s="85"/>
      <c r="BZ108" s="85"/>
      <c r="CA108" s="85"/>
      <c r="CB108" s="85"/>
      <c r="CC108" s="85"/>
      <c r="CD108" s="85"/>
      <c r="CE108" s="85"/>
      <c r="CF108" s="85"/>
      <c r="CG108" s="85"/>
      <c r="CH108" s="85"/>
      <c r="CI108" s="85"/>
      <c r="CJ108" s="85"/>
      <c r="CK108" s="85"/>
      <c r="CL108" s="85"/>
      <c r="CM108" s="85"/>
      <c r="CN108" s="85"/>
      <c r="CO108" s="85"/>
      <c r="CP108" s="85"/>
      <c r="CQ108" s="85"/>
      <c r="CR108" s="85"/>
      <c r="CS108" s="85"/>
      <c r="CT108" s="85"/>
      <c r="CU108" s="85"/>
      <c r="CV108" s="85"/>
      <c r="CW108" s="85"/>
      <c r="CX108" s="85"/>
      <c r="CY108" s="84"/>
    </row>
    <row r="109" spans="1:103">
      <c r="A109" s="93">
        <v>44682</v>
      </c>
      <c r="B109" s="82">
        <f t="shared" si="5"/>
        <v>2022</v>
      </c>
      <c r="C109" s="86">
        <v>2.1191935483870967</v>
      </c>
      <c r="D109" s="86">
        <v>19.206774193548387</v>
      </c>
      <c r="E109" s="86">
        <v>0.29500322580645161</v>
      </c>
      <c r="F109" s="86">
        <v>1.6318064516129032</v>
      </c>
      <c r="G109" s="86">
        <v>6.4164516129032254</v>
      </c>
      <c r="H109" s="86">
        <v>15.677741935483871</v>
      </c>
      <c r="I109" s="86">
        <f t="shared" si="4"/>
        <v>45.346970967741939</v>
      </c>
      <c r="J109" s="85"/>
      <c r="K109" s="85"/>
      <c r="L109" s="85"/>
      <c r="M109" s="85"/>
      <c r="N109" s="85"/>
      <c r="O109" s="85"/>
      <c r="P109" s="85"/>
      <c r="Q109" s="85"/>
      <c r="R109" s="85"/>
      <c r="S109" s="85"/>
      <c r="T109" s="85"/>
      <c r="U109" s="85"/>
      <c r="V109" s="85"/>
      <c r="W109" s="85"/>
      <c r="X109" s="85"/>
      <c r="Y109" s="85"/>
      <c r="Z109" s="85"/>
      <c r="AA109" s="85"/>
      <c r="AB109" s="85"/>
      <c r="AC109" s="85"/>
      <c r="AD109" s="85"/>
      <c r="AE109" s="85"/>
      <c r="AF109" s="85"/>
      <c r="AG109" s="85"/>
      <c r="AH109" s="85"/>
      <c r="AI109" s="85"/>
      <c r="AJ109" s="85"/>
      <c r="AK109" s="85"/>
      <c r="AL109" s="85"/>
      <c r="AM109" s="85"/>
      <c r="AN109" s="85"/>
      <c r="AO109" s="85"/>
      <c r="AP109" s="85"/>
      <c r="AQ109" s="85"/>
      <c r="AR109" s="85"/>
      <c r="AS109" s="85"/>
      <c r="AT109" s="85"/>
      <c r="AU109" s="85"/>
      <c r="AV109" s="85"/>
      <c r="AW109" s="85"/>
      <c r="AX109" s="85"/>
      <c r="AY109" s="85"/>
      <c r="AZ109" s="85"/>
      <c r="BA109" s="85"/>
      <c r="BB109" s="85"/>
      <c r="BC109" s="85"/>
      <c r="BD109" s="85"/>
      <c r="BE109" s="85"/>
      <c r="BF109" s="85"/>
      <c r="BG109" s="85"/>
      <c r="BH109" s="85"/>
      <c r="BI109" s="85"/>
      <c r="BJ109" s="85"/>
      <c r="BK109" s="85"/>
      <c r="BL109" s="85"/>
      <c r="BM109" s="85"/>
      <c r="BN109" s="85"/>
      <c r="BO109" s="85"/>
      <c r="BP109" s="85"/>
      <c r="BQ109" s="85"/>
      <c r="BR109" s="85"/>
      <c r="BS109" s="85"/>
      <c r="BT109" s="85"/>
      <c r="BU109" s="85"/>
      <c r="BV109" s="85"/>
      <c r="BW109" s="85"/>
      <c r="BX109" s="85"/>
      <c r="BY109" s="85"/>
      <c r="BZ109" s="85"/>
      <c r="CA109" s="85"/>
      <c r="CB109" s="85"/>
      <c r="CC109" s="85"/>
      <c r="CD109" s="85"/>
      <c r="CE109" s="85"/>
      <c r="CF109" s="85"/>
      <c r="CG109" s="85"/>
      <c r="CH109" s="85"/>
      <c r="CI109" s="85"/>
      <c r="CJ109" s="85"/>
      <c r="CK109" s="85"/>
      <c r="CL109" s="85"/>
      <c r="CM109" s="85"/>
      <c r="CN109" s="85"/>
      <c r="CO109" s="85"/>
      <c r="CP109" s="85"/>
      <c r="CQ109" s="85"/>
      <c r="CR109" s="85"/>
      <c r="CS109" s="85"/>
      <c r="CT109" s="85"/>
      <c r="CU109" s="85"/>
      <c r="CV109" s="85"/>
      <c r="CW109" s="85"/>
      <c r="CX109" s="85"/>
      <c r="CY109" s="84"/>
    </row>
    <row r="110" spans="1:103">
      <c r="A110" s="93">
        <v>44713</v>
      </c>
      <c r="B110" s="82">
        <f t="shared" si="5"/>
        <v>2022</v>
      </c>
      <c r="C110" s="86">
        <v>2.6756666666666664</v>
      </c>
      <c r="D110" s="86">
        <v>18.932333333333336</v>
      </c>
      <c r="E110" s="86">
        <v>0.29281000000000001</v>
      </c>
      <c r="F110" s="86">
        <v>1.6373333333333333</v>
      </c>
      <c r="G110" s="86">
        <v>7.0093333333333332</v>
      </c>
      <c r="H110" s="86">
        <v>14.574999999999999</v>
      </c>
      <c r="I110" s="86">
        <f t="shared" si="4"/>
        <v>45.122476666666671</v>
      </c>
      <c r="J110" s="85"/>
      <c r="K110" s="85"/>
      <c r="L110" s="85"/>
      <c r="M110" s="85"/>
      <c r="N110" s="85"/>
      <c r="O110" s="85"/>
      <c r="P110" s="85"/>
      <c r="Q110" s="85"/>
      <c r="R110" s="85"/>
      <c r="S110" s="85"/>
      <c r="T110" s="85"/>
      <c r="U110" s="85"/>
      <c r="V110" s="85"/>
      <c r="W110" s="85"/>
      <c r="X110" s="85"/>
      <c r="Y110" s="85"/>
      <c r="Z110" s="85"/>
      <c r="AA110" s="85"/>
      <c r="AB110" s="85"/>
      <c r="AC110" s="85"/>
      <c r="AD110" s="85"/>
      <c r="AE110" s="85"/>
      <c r="AF110" s="85"/>
      <c r="AG110" s="85"/>
      <c r="AH110" s="85"/>
      <c r="AI110" s="85"/>
      <c r="AJ110" s="85"/>
      <c r="AK110" s="85"/>
      <c r="AL110" s="85"/>
      <c r="AM110" s="85"/>
      <c r="AN110" s="85"/>
      <c r="AO110" s="85"/>
      <c r="AP110" s="85"/>
      <c r="AQ110" s="85"/>
      <c r="AR110" s="85"/>
      <c r="AS110" s="85"/>
      <c r="AT110" s="85"/>
      <c r="AU110" s="85"/>
      <c r="AV110" s="85"/>
      <c r="AW110" s="85"/>
      <c r="AX110" s="85"/>
      <c r="AY110" s="85"/>
      <c r="AZ110" s="85"/>
      <c r="BA110" s="85"/>
      <c r="BB110" s="85"/>
      <c r="BC110" s="85"/>
      <c r="BD110" s="85"/>
      <c r="BE110" s="85"/>
      <c r="BF110" s="85"/>
      <c r="BG110" s="85"/>
      <c r="BH110" s="85"/>
      <c r="BI110" s="85"/>
      <c r="BJ110" s="85"/>
      <c r="BK110" s="85"/>
      <c r="BL110" s="85"/>
      <c r="BM110" s="85"/>
      <c r="BN110" s="85"/>
      <c r="BO110" s="85"/>
      <c r="BP110" s="85"/>
      <c r="BQ110" s="85"/>
      <c r="BR110" s="85"/>
      <c r="BS110" s="85"/>
      <c r="BT110" s="85"/>
      <c r="BU110" s="85"/>
      <c r="BV110" s="85"/>
      <c r="BW110" s="85"/>
      <c r="BX110" s="85"/>
      <c r="BY110" s="85"/>
      <c r="BZ110" s="85"/>
      <c r="CA110" s="85"/>
      <c r="CB110" s="85"/>
      <c r="CC110" s="85"/>
      <c r="CD110" s="85"/>
      <c r="CE110" s="85"/>
      <c r="CF110" s="85"/>
      <c r="CG110" s="85"/>
      <c r="CH110" s="85"/>
      <c r="CI110" s="85"/>
      <c r="CJ110" s="85"/>
      <c r="CK110" s="85"/>
      <c r="CL110" s="85"/>
      <c r="CM110" s="85"/>
      <c r="CN110" s="85"/>
      <c r="CO110" s="85"/>
      <c r="CP110" s="85"/>
      <c r="CQ110" s="85"/>
      <c r="CR110" s="85"/>
      <c r="CS110" s="85"/>
      <c r="CT110" s="85"/>
      <c r="CU110" s="85"/>
      <c r="CV110" s="85"/>
      <c r="CW110" s="85"/>
      <c r="CX110" s="85"/>
      <c r="CY110" s="84"/>
    </row>
    <row r="111" spans="1:103">
      <c r="A111" s="93">
        <v>44743</v>
      </c>
      <c r="B111" s="82">
        <f t="shared" si="5"/>
        <v>2022</v>
      </c>
      <c r="C111" s="86">
        <v>2.5760967741935481</v>
      </c>
      <c r="D111" s="86">
        <v>18.570322580645161</v>
      </c>
      <c r="E111" s="86">
        <v>0.29010645161290322</v>
      </c>
      <c r="F111" s="86">
        <v>1.6436451612903227</v>
      </c>
      <c r="G111" s="86">
        <v>4.6522580645161291</v>
      </c>
      <c r="H111" s="86">
        <v>13.059354838709677</v>
      </c>
      <c r="I111" s="86">
        <f t="shared" si="4"/>
        <v>40.791783870967741</v>
      </c>
      <c r="J111" s="85"/>
      <c r="K111" s="85"/>
      <c r="L111" s="85"/>
      <c r="M111" s="85"/>
      <c r="N111" s="85"/>
      <c r="O111" s="85"/>
      <c r="P111" s="85"/>
      <c r="Q111" s="85"/>
      <c r="R111" s="85"/>
      <c r="S111" s="85"/>
      <c r="T111" s="85"/>
      <c r="U111" s="85"/>
      <c r="V111" s="85"/>
      <c r="W111" s="85"/>
      <c r="X111" s="85"/>
      <c r="Y111" s="85"/>
      <c r="Z111" s="85"/>
      <c r="AA111" s="85"/>
      <c r="AB111" s="85"/>
      <c r="AC111" s="85"/>
      <c r="AD111" s="85"/>
      <c r="AE111" s="85"/>
      <c r="AF111" s="85"/>
      <c r="AG111" s="85"/>
      <c r="AH111" s="85"/>
      <c r="AI111" s="85"/>
      <c r="AJ111" s="85"/>
      <c r="AK111" s="85"/>
      <c r="AL111" s="85"/>
      <c r="AM111" s="85"/>
      <c r="AN111" s="85"/>
      <c r="AO111" s="85"/>
      <c r="AP111" s="85"/>
      <c r="AQ111" s="85"/>
      <c r="AR111" s="85"/>
      <c r="AS111" s="85"/>
      <c r="AT111" s="85"/>
      <c r="AU111" s="85"/>
      <c r="AV111" s="85"/>
      <c r="AW111" s="85"/>
      <c r="AX111" s="85"/>
      <c r="AY111" s="85"/>
      <c r="AZ111" s="85"/>
      <c r="BA111" s="85"/>
      <c r="BB111" s="85"/>
      <c r="BC111" s="85"/>
      <c r="BD111" s="85"/>
      <c r="BE111" s="85"/>
      <c r="BF111" s="85"/>
      <c r="BG111" s="85"/>
      <c r="BH111" s="85"/>
      <c r="BI111" s="85"/>
      <c r="BJ111" s="85"/>
      <c r="BK111" s="85"/>
      <c r="BL111" s="85"/>
      <c r="BM111" s="85"/>
      <c r="BN111" s="85"/>
      <c r="BO111" s="85"/>
      <c r="BP111" s="85"/>
      <c r="BQ111" s="85"/>
      <c r="BR111" s="85"/>
      <c r="BS111" s="85"/>
      <c r="BT111" s="85"/>
      <c r="BU111" s="85"/>
      <c r="BV111" s="85"/>
      <c r="BW111" s="85"/>
      <c r="BX111" s="85"/>
      <c r="BY111" s="85"/>
      <c r="BZ111" s="85"/>
      <c r="CA111" s="85"/>
      <c r="CB111" s="85"/>
      <c r="CC111" s="85"/>
      <c r="CD111" s="85"/>
      <c r="CE111" s="85"/>
      <c r="CF111" s="85"/>
      <c r="CG111" s="85"/>
      <c r="CH111" s="85"/>
      <c r="CI111" s="85"/>
      <c r="CJ111" s="85"/>
      <c r="CK111" s="85"/>
      <c r="CL111" s="85"/>
      <c r="CM111" s="85"/>
      <c r="CN111" s="85"/>
      <c r="CO111" s="85"/>
      <c r="CP111" s="85"/>
      <c r="CQ111" s="85"/>
      <c r="CR111" s="85"/>
      <c r="CS111" s="85"/>
      <c r="CT111" s="85"/>
      <c r="CU111" s="85"/>
      <c r="CV111" s="85"/>
      <c r="CW111" s="85"/>
      <c r="CX111" s="85"/>
      <c r="CY111" s="84"/>
    </row>
    <row r="112" spans="1:103">
      <c r="A112" s="93">
        <v>44774</v>
      </c>
      <c r="B112" s="82">
        <f t="shared" si="5"/>
        <v>2022</v>
      </c>
      <c r="C112" s="86">
        <v>2.2690000000000001</v>
      </c>
      <c r="D112" s="86">
        <v>19.043225806451613</v>
      </c>
      <c r="E112" s="86">
        <v>0.28464516129032258</v>
      </c>
      <c r="F112" s="86">
        <v>1.5899677419354838</v>
      </c>
      <c r="G112" s="86">
        <v>4.5519354838709685</v>
      </c>
      <c r="H112" s="86">
        <v>12.12774193548387</v>
      </c>
      <c r="I112" s="86">
        <f t="shared" si="4"/>
        <v>39.866516129032256</v>
      </c>
      <c r="J112" s="85"/>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I112" s="85"/>
      <c r="AJ112" s="85"/>
      <c r="AK112" s="85"/>
      <c r="AL112" s="85"/>
      <c r="AM112" s="85"/>
      <c r="AN112" s="85"/>
      <c r="AO112" s="85"/>
      <c r="AP112" s="85"/>
      <c r="AQ112" s="85"/>
      <c r="AR112" s="85"/>
      <c r="AS112" s="85"/>
      <c r="AT112" s="85"/>
      <c r="AU112" s="85"/>
      <c r="AV112" s="85"/>
      <c r="AW112" s="85"/>
      <c r="AX112" s="85"/>
      <c r="AY112" s="85"/>
      <c r="AZ112" s="85"/>
      <c r="BA112" s="85"/>
      <c r="BB112" s="85"/>
      <c r="BC112" s="85"/>
      <c r="BD112" s="85"/>
      <c r="BE112" s="85"/>
      <c r="BF112" s="85"/>
      <c r="BG112" s="85"/>
      <c r="BH112" s="85"/>
      <c r="BI112" s="85"/>
      <c r="BJ112" s="85"/>
      <c r="BK112" s="85"/>
      <c r="BL112" s="85"/>
      <c r="BM112" s="85"/>
      <c r="BN112" s="85"/>
      <c r="BO112" s="85"/>
      <c r="BP112" s="85"/>
      <c r="BQ112" s="85"/>
      <c r="BR112" s="85"/>
      <c r="BS112" s="85"/>
      <c r="BT112" s="85"/>
      <c r="BU112" s="85"/>
      <c r="BV112" s="85"/>
      <c r="BW112" s="85"/>
      <c r="BX112" s="85"/>
      <c r="BY112" s="85"/>
      <c r="BZ112" s="85"/>
      <c r="CA112" s="85"/>
      <c r="CB112" s="85"/>
      <c r="CC112" s="85"/>
      <c r="CD112" s="85"/>
      <c r="CE112" s="85"/>
      <c r="CF112" s="85"/>
      <c r="CG112" s="85"/>
      <c r="CH112" s="85"/>
      <c r="CI112" s="85"/>
      <c r="CJ112" s="85"/>
      <c r="CK112" s="85"/>
      <c r="CL112" s="85"/>
      <c r="CM112" s="85"/>
      <c r="CN112" s="85"/>
      <c r="CO112" s="85"/>
      <c r="CP112" s="85"/>
      <c r="CQ112" s="85"/>
      <c r="CR112" s="85"/>
      <c r="CS112" s="85"/>
      <c r="CT112" s="85"/>
      <c r="CU112" s="85"/>
      <c r="CV112" s="85"/>
      <c r="CW112" s="85"/>
      <c r="CX112" s="85"/>
      <c r="CY112" s="84"/>
    </row>
    <row r="113" spans="1:103">
      <c r="A113" s="93">
        <v>44805</v>
      </c>
      <c r="B113" s="82">
        <f t="shared" si="5"/>
        <v>2022</v>
      </c>
      <c r="C113" s="86">
        <v>2.5433000000000003</v>
      </c>
      <c r="D113" s="86">
        <v>21.289666666666669</v>
      </c>
      <c r="E113" s="86">
        <v>0.29213666666666666</v>
      </c>
      <c r="F113" s="86">
        <v>1.5176666666666667</v>
      </c>
      <c r="G113" s="86">
        <v>4.7563333333333331</v>
      </c>
      <c r="H113" s="86">
        <v>13.952999999999999</v>
      </c>
      <c r="I113" s="86">
        <f t="shared" si="4"/>
        <v>44.352103333333339</v>
      </c>
      <c r="J113" s="85"/>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I113" s="85"/>
      <c r="AJ113" s="85"/>
      <c r="AK113" s="85"/>
      <c r="AL113" s="85"/>
      <c r="AM113" s="85"/>
      <c r="AN113" s="85"/>
      <c r="AO113" s="85"/>
      <c r="AP113" s="85"/>
      <c r="AQ113" s="85"/>
      <c r="AR113" s="85"/>
      <c r="AS113" s="85"/>
      <c r="AT113" s="85"/>
      <c r="AU113" s="85"/>
      <c r="AV113" s="85"/>
      <c r="AW113" s="85"/>
      <c r="AX113" s="85"/>
      <c r="AY113" s="85"/>
      <c r="AZ113" s="85"/>
      <c r="BA113" s="85"/>
      <c r="BB113" s="85"/>
      <c r="BC113" s="85"/>
      <c r="BD113" s="85"/>
      <c r="BE113" s="85"/>
      <c r="BF113" s="85"/>
      <c r="BG113" s="85"/>
      <c r="BH113" s="85"/>
      <c r="BI113" s="85"/>
      <c r="BJ113" s="85"/>
      <c r="BK113" s="85"/>
      <c r="BL113" s="85"/>
      <c r="BM113" s="85"/>
      <c r="BN113" s="85"/>
      <c r="BO113" s="85"/>
      <c r="BP113" s="85"/>
      <c r="BQ113" s="85"/>
      <c r="BR113" s="85"/>
      <c r="BS113" s="85"/>
      <c r="BT113" s="85"/>
      <c r="BU113" s="85"/>
      <c r="BV113" s="85"/>
      <c r="BW113" s="85"/>
      <c r="BX113" s="85"/>
      <c r="BY113" s="85"/>
      <c r="BZ113" s="85"/>
      <c r="CA113" s="85"/>
      <c r="CB113" s="85"/>
      <c r="CC113" s="85"/>
      <c r="CD113" s="85"/>
      <c r="CE113" s="85"/>
      <c r="CF113" s="85"/>
      <c r="CG113" s="85"/>
      <c r="CH113" s="85"/>
      <c r="CI113" s="85"/>
      <c r="CJ113" s="85"/>
      <c r="CK113" s="85"/>
      <c r="CL113" s="85"/>
      <c r="CM113" s="85"/>
      <c r="CN113" s="85"/>
      <c r="CO113" s="85"/>
      <c r="CP113" s="85"/>
      <c r="CQ113" s="85"/>
      <c r="CR113" s="85"/>
      <c r="CS113" s="85"/>
      <c r="CT113" s="85"/>
      <c r="CU113" s="85"/>
      <c r="CV113" s="85"/>
      <c r="CW113" s="85"/>
      <c r="CX113" s="85"/>
      <c r="CY113" s="84"/>
    </row>
    <row r="114" spans="1:103">
      <c r="A114" s="93">
        <v>44835</v>
      </c>
      <c r="B114" s="82">
        <f t="shared" si="5"/>
        <v>2022</v>
      </c>
      <c r="C114" s="86">
        <v>2.2845483870967742</v>
      </c>
      <c r="D114" s="86">
        <v>21.148709677419355</v>
      </c>
      <c r="E114" s="86">
        <v>0.29186774193548387</v>
      </c>
      <c r="F114" s="86">
        <v>1.6130645161290322</v>
      </c>
      <c r="G114" s="86">
        <v>6.2832258064516129</v>
      </c>
      <c r="H114" s="86">
        <v>14.70483870967742</v>
      </c>
      <c r="I114" s="86">
        <f t="shared" si="4"/>
        <v>46.326254838709673</v>
      </c>
      <c r="J114" s="85"/>
      <c r="K114" s="85"/>
      <c r="L114" s="85"/>
      <c r="M114" s="85"/>
      <c r="N114" s="85"/>
      <c r="O114" s="85"/>
      <c r="P114" s="85"/>
      <c r="Q114" s="85"/>
      <c r="R114" s="85"/>
      <c r="S114" s="85"/>
      <c r="T114" s="85"/>
      <c r="U114" s="85"/>
      <c r="V114" s="85"/>
      <c r="W114" s="85"/>
      <c r="X114" s="85"/>
      <c r="Y114" s="85"/>
      <c r="Z114" s="85"/>
      <c r="AA114" s="85"/>
      <c r="AB114" s="85"/>
      <c r="AC114" s="85"/>
      <c r="AD114" s="85"/>
      <c r="AE114" s="85"/>
      <c r="AF114" s="85"/>
      <c r="AG114" s="85"/>
      <c r="AH114" s="85"/>
      <c r="AI114" s="85"/>
      <c r="AJ114" s="85"/>
      <c r="AK114" s="85"/>
      <c r="AL114" s="85"/>
      <c r="AM114" s="85"/>
      <c r="AN114" s="85"/>
      <c r="AO114" s="85"/>
      <c r="AP114" s="85"/>
      <c r="AQ114" s="85"/>
      <c r="AR114" s="85"/>
      <c r="AS114" s="85"/>
      <c r="AT114" s="85"/>
      <c r="AU114" s="85"/>
      <c r="AV114" s="85"/>
      <c r="AW114" s="85"/>
      <c r="AX114" s="85"/>
      <c r="AY114" s="85"/>
      <c r="AZ114" s="85"/>
      <c r="BA114" s="85"/>
      <c r="BB114" s="85"/>
      <c r="BC114" s="85"/>
      <c r="BD114" s="85"/>
      <c r="BE114" s="85"/>
      <c r="BF114" s="85"/>
      <c r="BG114" s="85"/>
      <c r="BH114" s="85"/>
      <c r="BI114" s="85"/>
      <c r="BJ114" s="85"/>
      <c r="BK114" s="85"/>
      <c r="BL114" s="85"/>
      <c r="BM114" s="85"/>
      <c r="BN114" s="85"/>
      <c r="BO114" s="85"/>
      <c r="BP114" s="85"/>
      <c r="BQ114" s="85"/>
      <c r="BR114" s="85"/>
      <c r="BS114" s="85"/>
      <c r="BT114" s="85"/>
      <c r="BU114" s="85"/>
      <c r="BV114" s="85"/>
      <c r="BW114" s="85"/>
      <c r="BX114" s="85"/>
      <c r="BY114" s="85"/>
      <c r="BZ114" s="85"/>
      <c r="CA114" s="85"/>
      <c r="CB114" s="85"/>
      <c r="CC114" s="85"/>
      <c r="CD114" s="85"/>
      <c r="CE114" s="85"/>
      <c r="CF114" s="85"/>
      <c r="CG114" s="85"/>
      <c r="CH114" s="85"/>
      <c r="CI114" s="85"/>
      <c r="CJ114" s="85"/>
      <c r="CK114" s="85"/>
      <c r="CL114" s="85"/>
      <c r="CM114" s="85"/>
      <c r="CN114" s="85"/>
      <c r="CO114" s="85"/>
      <c r="CP114" s="85"/>
      <c r="CQ114" s="85"/>
      <c r="CR114" s="85"/>
      <c r="CS114" s="85"/>
      <c r="CT114" s="85"/>
      <c r="CU114" s="85"/>
      <c r="CV114" s="85"/>
      <c r="CW114" s="85"/>
      <c r="CX114" s="85"/>
      <c r="CY114" s="84"/>
    </row>
    <row r="115" spans="1:103">
      <c r="A115" s="93">
        <v>44866</v>
      </c>
      <c r="B115" s="82">
        <f t="shared" si="5"/>
        <v>2022</v>
      </c>
      <c r="C115" s="86">
        <v>2.1720333333333333</v>
      </c>
      <c r="D115" s="86">
        <v>20.894000000000002</v>
      </c>
      <c r="E115" s="86">
        <v>0.28908</v>
      </c>
      <c r="F115" s="86">
        <v>1.6024333333333334</v>
      </c>
      <c r="G115" s="86">
        <v>7.7863333333333333</v>
      </c>
      <c r="H115" s="86">
        <v>14.832333333333334</v>
      </c>
      <c r="I115" s="86">
        <f t="shared" si="4"/>
        <v>47.576213333333342</v>
      </c>
      <c r="J115" s="85"/>
      <c r="K115" s="85"/>
      <c r="L115" s="85"/>
      <c r="M115" s="85"/>
      <c r="N115" s="85"/>
      <c r="O115" s="85"/>
      <c r="P115" s="85"/>
      <c r="Q115" s="85"/>
      <c r="R115" s="85"/>
      <c r="S115" s="85"/>
      <c r="T115" s="85"/>
      <c r="U115" s="85"/>
      <c r="V115" s="85"/>
      <c r="W115" s="85"/>
      <c r="X115" s="85"/>
      <c r="Y115" s="85"/>
      <c r="Z115" s="85"/>
      <c r="AA115" s="85"/>
      <c r="AB115" s="85"/>
      <c r="AC115" s="85"/>
      <c r="AD115" s="85"/>
      <c r="AE115" s="85"/>
      <c r="AF115" s="85"/>
      <c r="AG115" s="85"/>
      <c r="AH115" s="85"/>
      <c r="AI115" s="85"/>
      <c r="AJ115" s="85"/>
      <c r="AK115" s="85"/>
      <c r="AL115" s="85"/>
      <c r="AM115" s="85"/>
      <c r="AN115" s="85"/>
      <c r="AO115" s="85"/>
      <c r="AP115" s="85"/>
      <c r="AQ115" s="85"/>
      <c r="AR115" s="85"/>
      <c r="AS115" s="85"/>
      <c r="AT115" s="85"/>
      <c r="AU115" s="85"/>
      <c r="AV115" s="85"/>
      <c r="AW115" s="85"/>
      <c r="AX115" s="85"/>
      <c r="AY115" s="85"/>
      <c r="AZ115" s="85"/>
      <c r="BA115" s="85"/>
      <c r="BB115" s="85"/>
      <c r="BC115" s="85"/>
      <c r="BD115" s="85"/>
      <c r="BE115" s="85"/>
      <c r="BF115" s="85"/>
      <c r="BG115" s="85"/>
      <c r="BH115" s="85"/>
      <c r="BI115" s="85"/>
      <c r="BJ115" s="85"/>
      <c r="BK115" s="85"/>
      <c r="BL115" s="85"/>
      <c r="BM115" s="85"/>
      <c r="BN115" s="85"/>
      <c r="BO115" s="85"/>
      <c r="BP115" s="85"/>
      <c r="BQ115" s="85"/>
      <c r="BR115" s="85"/>
      <c r="BS115" s="85"/>
      <c r="BT115" s="85"/>
      <c r="BU115" s="85"/>
      <c r="BV115" s="85"/>
      <c r="BW115" s="85"/>
      <c r="BX115" s="85"/>
      <c r="BY115" s="85"/>
      <c r="BZ115" s="85"/>
      <c r="CA115" s="85"/>
      <c r="CB115" s="85"/>
      <c r="CC115" s="85"/>
      <c r="CD115" s="85"/>
      <c r="CE115" s="85"/>
      <c r="CF115" s="85"/>
      <c r="CG115" s="85"/>
      <c r="CH115" s="85"/>
      <c r="CI115" s="85"/>
      <c r="CJ115" s="85"/>
      <c r="CK115" s="85"/>
      <c r="CL115" s="85"/>
      <c r="CM115" s="85"/>
      <c r="CN115" s="85"/>
      <c r="CO115" s="84"/>
      <c r="CP115" s="85"/>
      <c r="CQ115" s="85"/>
      <c r="CR115" s="85"/>
      <c r="CS115" s="85"/>
      <c r="CT115" s="85"/>
      <c r="CU115" s="85"/>
      <c r="CV115" s="85"/>
      <c r="CW115" s="85"/>
      <c r="CX115" s="85"/>
      <c r="CY115" s="84"/>
    </row>
    <row r="116" spans="1:103">
      <c r="A116" s="93">
        <v>44896</v>
      </c>
      <c r="B116" s="82">
        <f t="shared" si="5"/>
        <v>2022</v>
      </c>
      <c r="C116" s="86">
        <v>2.318516129032258</v>
      </c>
      <c r="D116" s="86">
        <v>19.010645161290324</v>
      </c>
      <c r="E116" s="86">
        <v>0.29501290322580648</v>
      </c>
      <c r="F116" s="86">
        <v>1.4956451612903225</v>
      </c>
      <c r="G116" s="86">
        <v>8.362580645161291</v>
      </c>
      <c r="H116" s="86">
        <v>13.177741935483871</v>
      </c>
      <c r="I116" s="86">
        <f t="shared" si="4"/>
        <v>44.660141935483871</v>
      </c>
      <c r="J116" s="85"/>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I116" s="85"/>
      <c r="AJ116" s="85"/>
      <c r="AK116" s="85"/>
      <c r="AL116" s="85"/>
      <c r="AM116" s="85"/>
      <c r="AN116" s="85"/>
      <c r="AO116" s="85"/>
      <c r="AP116" s="85"/>
      <c r="AQ116" s="85"/>
      <c r="AR116" s="85"/>
      <c r="AS116" s="85"/>
      <c r="AT116" s="85"/>
      <c r="AU116" s="85"/>
      <c r="AV116" s="85"/>
      <c r="AW116" s="85"/>
      <c r="AX116" s="85"/>
      <c r="AY116" s="85"/>
      <c r="AZ116" s="85"/>
      <c r="BA116" s="85"/>
      <c r="BB116" s="85"/>
      <c r="BC116" s="85"/>
      <c r="BD116" s="85"/>
      <c r="BE116" s="85"/>
      <c r="BF116" s="85"/>
      <c r="BG116" s="85"/>
      <c r="BH116" s="85"/>
      <c r="BI116" s="85"/>
      <c r="BJ116" s="85"/>
      <c r="BK116" s="85"/>
      <c r="BL116" s="85"/>
      <c r="BM116" s="85"/>
      <c r="BN116" s="85"/>
      <c r="BO116" s="85"/>
      <c r="BP116" s="85"/>
      <c r="BQ116" s="85"/>
      <c r="BR116" s="85"/>
      <c r="BS116" s="85"/>
      <c r="BT116" s="85"/>
      <c r="BU116" s="85"/>
      <c r="BV116" s="85"/>
      <c r="BW116" s="85"/>
      <c r="BX116" s="85"/>
      <c r="BY116" s="85"/>
      <c r="BZ116" s="85"/>
      <c r="CA116" s="85"/>
      <c r="CB116" s="85"/>
      <c r="CC116" s="85"/>
      <c r="CD116" s="85"/>
      <c r="CE116" s="85"/>
      <c r="CF116" s="85"/>
      <c r="CG116" s="85"/>
      <c r="CH116" s="85"/>
      <c r="CI116" s="85"/>
      <c r="CJ116" s="85"/>
      <c r="CK116" s="85"/>
      <c r="CL116" s="85"/>
      <c r="CM116" s="85"/>
      <c r="CN116" s="85"/>
      <c r="CO116" s="84"/>
      <c r="CP116" s="85"/>
      <c r="CQ116" s="85"/>
      <c r="CR116" s="85"/>
      <c r="CS116" s="85"/>
      <c r="CT116" s="85"/>
      <c r="CU116" s="85"/>
      <c r="CV116" s="85"/>
      <c r="CW116" s="85"/>
      <c r="CX116" s="85"/>
      <c r="CY116" s="84"/>
    </row>
    <row r="117" spans="1:103">
      <c r="A117" s="93">
        <v>44927</v>
      </c>
      <c r="B117" s="82">
        <f t="shared" si="5"/>
        <v>2023</v>
      </c>
      <c r="C117" s="86">
        <v>2.3358709677419358</v>
      </c>
      <c r="D117" s="86">
        <v>18.24483870967742</v>
      </c>
      <c r="E117" s="86">
        <v>0.28541290322580642</v>
      </c>
      <c r="F117" s="86">
        <v>1.308741935483871</v>
      </c>
      <c r="G117" s="86">
        <v>7.9625806451612906</v>
      </c>
      <c r="H117" s="86">
        <v>12.410322580645163</v>
      </c>
      <c r="I117" s="86">
        <f t="shared" si="4"/>
        <v>42.547767741935488</v>
      </c>
      <c r="J117" s="85"/>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I117" s="85"/>
      <c r="AJ117" s="85"/>
      <c r="AK117" s="85"/>
      <c r="AL117" s="85"/>
      <c r="AM117" s="85"/>
      <c r="AN117" s="85"/>
      <c r="AO117" s="85"/>
      <c r="AP117" s="85"/>
      <c r="AQ117" s="85"/>
      <c r="AR117" s="85"/>
      <c r="AS117" s="85"/>
      <c r="AT117" s="85"/>
      <c r="AU117" s="85"/>
      <c r="AV117" s="85"/>
      <c r="AW117" s="85"/>
      <c r="AX117" s="85"/>
      <c r="AY117" s="85"/>
      <c r="AZ117" s="85"/>
      <c r="BA117" s="85"/>
      <c r="BB117" s="85"/>
      <c r="BC117" s="85"/>
      <c r="BD117" s="85"/>
      <c r="BE117" s="85"/>
      <c r="BF117" s="85"/>
      <c r="BG117" s="85"/>
      <c r="BH117" s="85"/>
      <c r="BI117" s="85"/>
      <c r="BJ117" s="85"/>
      <c r="BK117" s="85"/>
      <c r="BL117" s="85"/>
      <c r="BM117" s="85"/>
      <c r="BN117" s="85"/>
      <c r="BO117" s="85"/>
      <c r="BP117" s="85"/>
      <c r="BQ117" s="85"/>
      <c r="BR117" s="85"/>
      <c r="BS117" s="85"/>
      <c r="BT117" s="85"/>
      <c r="BU117" s="85"/>
      <c r="BV117" s="85"/>
      <c r="BW117" s="85"/>
      <c r="BX117" s="85"/>
      <c r="BY117" s="85"/>
      <c r="BZ117" s="85"/>
      <c r="CA117" s="85"/>
      <c r="CB117" s="85"/>
      <c r="CC117" s="85"/>
      <c r="CD117" s="85"/>
      <c r="CE117" s="85"/>
      <c r="CF117" s="85"/>
      <c r="CG117" s="85"/>
      <c r="CH117" s="85"/>
      <c r="CI117" s="85"/>
      <c r="CJ117" s="85"/>
      <c r="CK117" s="85"/>
      <c r="CL117" s="85"/>
      <c r="CM117" s="85"/>
      <c r="CN117" s="85"/>
      <c r="CO117" s="85"/>
      <c r="CP117" s="85"/>
      <c r="CQ117" s="85"/>
      <c r="CR117" s="85"/>
      <c r="CS117" s="85"/>
      <c r="CT117" s="85"/>
      <c r="CU117" s="85"/>
      <c r="CV117" s="85"/>
      <c r="CW117" s="85"/>
      <c r="CX117" s="85"/>
      <c r="CY117" s="84"/>
    </row>
    <row r="118" spans="1:103">
      <c r="A118" s="93">
        <v>44958</v>
      </c>
      <c r="B118" s="82">
        <f t="shared" si="5"/>
        <v>2023</v>
      </c>
      <c r="C118" s="86">
        <v>1.8448571428571428</v>
      </c>
      <c r="D118" s="86">
        <v>18.386785714285715</v>
      </c>
      <c r="E118" s="86">
        <v>0.28803571428571428</v>
      </c>
      <c r="F118" s="86">
        <v>1.3551428571428572</v>
      </c>
      <c r="G118" s="86">
        <v>6.8849999999999998</v>
      </c>
      <c r="H118" s="86">
        <v>12.271071428571428</v>
      </c>
      <c r="I118" s="86">
        <f t="shared" si="4"/>
        <v>41.030892857142859</v>
      </c>
      <c r="J118" s="85"/>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I118" s="85"/>
      <c r="AJ118" s="85"/>
      <c r="AK118" s="85"/>
      <c r="AL118" s="85"/>
      <c r="AM118" s="85"/>
      <c r="AN118" s="85"/>
      <c r="AO118" s="85"/>
      <c r="AP118" s="85"/>
      <c r="AQ118" s="85"/>
      <c r="AR118" s="85"/>
      <c r="AS118" s="85"/>
      <c r="AT118" s="85"/>
      <c r="AU118" s="85"/>
      <c r="AV118" s="85"/>
      <c r="AW118" s="85"/>
      <c r="AX118" s="85"/>
      <c r="AY118" s="85"/>
      <c r="AZ118" s="85"/>
      <c r="BA118" s="85"/>
      <c r="BB118" s="85"/>
      <c r="BC118" s="85"/>
      <c r="BD118" s="85"/>
      <c r="BE118" s="85"/>
      <c r="BF118" s="85"/>
      <c r="BG118" s="85"/>
      <c r="BH118" s="85"/>
      <c r="BI118" s="85"/>
      <c r="BJ118" s="85"/>
      <c r="BK118" s="85"/>
      <c r="BL118" s="85"/>
      <c r="BM118" s="85"/>
      <c r="BN118" s="85"/>
      <c r="BO118" s="85"/>
      <c r="BP118" s="85"/>
      <c r="BQ118" s="85"/>
      <c r="BR118" s="85"/>
      <c r="BS118" s="85"/>
      <c r="BT118" s="85"/>
      <c r="BU118" s="85"/>
      <c r="BV118" s="85"/>
      <c r="BW118" s="85"/>
      <c r="BX118" s="85"/>
      <c r="BY118" s="85"/>
      <c r="BZ118" s="85"/>
      <c r="CA118" s="85"/>
      <c r="CB118" s="85"/>
      <c r="CC118" s="85"/>
      <c r="CD118" s="85"/>
      <c r="CE118" s="85"/>
      <c r="CF118" s="85"/>
      <c r="CG118" s="85"/>
      <c r="CH118" s="85"/>
      <c r="CI118" s="85"/>
      <c r="CJ118" s="85"/>
      <c r="CK118" s="85"/>
      <c r="CL118" s="85"/>
      <c r="CM118" s="85"/>
      <c r="CN118" s="85"/>
      <c r="CO118" s="85"/>
      <c r="CP118" s="85"/>
      <c r="CQ118" s="85"/>
      <c r="CR118" s="85"/>
      <c r="CS118" s="85"/>
      <c r="CT118" s="85"/>
      <c r="CU118" s="85"/>
      <c r="CV118" s="85"/>
      <c r="CW118" s="85"/>
      <c r="CX118" s="85"/>
      <c r="CY118" s="84"/>
    </row>
    <row r="119" spans="1:103">
      <c r="A119" s="93">
        <v>44986</v>
      </c>
      <c r="B119" s="82">
        <f t="shared" si="5"/>
        <v>2023</v>
      </c>
      <c r="C119" s="86">
        <v>1.6483870967741936</v>
      </c>
      <c r="D119" s="86">
        <v>18.162258064516127</v>
      </c>
      <c r="E119" s="86">
        <v>0.29351290322580648</v>
      </c>
      <c r="F119" s="86">
        <v>1.4519032258064517</v>
      </c>
      <c r="G119" s="86">
        <v>7.0287096774193545</v>
      </c>
      <c r="H119" s="86">
        <v>11.775483870967742</v>
      </c>
      <c r="I119" s="86">
        <f t="shared" si="4"/>
        <v>40.360254838709672</v>
      </c>
      <c r="J119" s="85"/>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I119" s="85"/>
      <c r="AJ119" s="85"/>
      <c r="AK119" s="85"/>
      <c r="AL119" s="85"/>
      <c r="AM119" s="85"/>
      <c r="AN119" s="85"/>
      <c r="AO119" s="85"/>
      <c r="AP119" s="85"/>
      <c r="AQ119" s="85"/>
      <c r="AR119" s="85"/>
      <c r="AS119" s="85"/>
      <c r="AT119" s="85"/>
      <c r="AU119" s="85"/>
      <c r="AV119" s="85"/>
      <c r="AW119" s="85"/>
      <c r="AX119" s="85"/>
      <c r="AY119" s="85"/>
      <c r="AZ119" s="85"/>
      <c r="BA119" s="85"/>
      <c r="BB119" s="85"/>
      <c r="BC119" s="85"/>
      <c r="BD119" s="85"/>
      <c r="BE119" s="85"/>
      <c r="BF119" s="85"/>
      <c r="BG119" s="85"/>
      <c r="BH119" s="85"/>
      <c r="BI119" s="85"/>
      <c r="BJ119" s="85"/>
      <c r="BK119" s="85"/>
      <c r="BL119" s="85"/>
      <c r="BM119" s="85"/>
      <c r="BN119" s="85"/>
      <c r="BO119" s="85"/>
      <c r="BP119" s="85"/>
      <c r="BQ119" s="85"/>
      <c r="BR119" s="85"/>
      <c r="BS119" s="85"/>
      <c r="BT119" s="85"/>
      <c r="BU119" s="85"/>
      <c r="BV119" s="85"/>
      <c r="BW119" s="85"/>
      <c r="BX119" s="85"/>
      <c r="BY119" s="85"/>
      <c r="BZ119" s="85"/>
      <c r="CA119" s="85"/>
      <c r="CB119" s="85"/>
      <c r="CC119" s="85"/>
      <c r="CD119" s="85"/>
      <c r="CE119" s="85"/>
      <c r="CF119" s="85"/>
      <c r="CG119" s="85"/>
      <c r="CH119" s="85"/>
      <c r="CI119" s="85"/>
      <c r="CJ119" s="85"/>
      <c r="CK119" s="85"/>
      <c r="CL119" s="85"/>
      <c r="CM119" s="85"/>
      <c r="CN119" s="85"/>
      <c r="CO119" s="85"/>
      <c r="CP119" s="85"/>
      <c r="CQ119" s="85"/>
      <c r="CR119" s="85"/>
      <c r="CS119" s="85"/>
      <c r="CT119" s="85"/>
      <c r="CU119" s="85"/>
      <c r="CV119" s="85"/>
      <c r="CW119" s="85"/>
      <c r="CX119" s="85"/>
      <c r="CY119" s="84"/>
    </row>
    <row r="120" spans="1:103">
      <c r="A120" s="93">
        <v>45017</v>
      </c>
      <c r="B120" s="82">
        <f t="shared" si="5"/>
        <v>2023</v>
      </c>
      <c r="C120" s="86">
        <v>1.8642000000000001</v>
      </c>
      <c r="D120" s="86">
        <v>20.921666666666667</v>
      </c>
      <c r="E120" s="86">
        <v>0.29592666666666667</v>
      </c>
      <c r="F120" s="86">
        <v>1.5478333333333334</v>
      </c>
      <c r="G120" s="86">
        <v>5.8456666666666672</v>
      </c>
      <c r="H120" s="86">
        <v>14.611666666666668</v>
      </c>
      <c r="I120" s="86">
        <f t="shared" si="4"/>
        <v>45.086960000000005</v>
      </c>
      <c r="J120" s="85"/>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5"/>
      <c r="AJ120" s="85"/>
      <c r="AK120" s="85"/>
      <c r="AL120" s="85"/>
      <c r="AM120" s="85"/>
      <c r="AN120" s="85"/>
      <c r="AO120" s="85"/>
      <c r="AP120" s="85"/>
      <c r="AQ120" s="85"/>
      <c r="AR120" s="85"/>
      <c r="AS120" s="85"/>
      <c r="AT120" s="85"/>
      <c r="AU120" s="85"/>
      <c r="AV120" s="85"/>
      <c r="AW120" s="85"/>
      <c r="AX120" s="85"/>
      <c r="AY120" s="85"/>
      <c r="AZ120" s="85"/>
      <c r="BA120" s="85"/>
      <c r="BB120" s="85"/>
      <c r="BC120" s="85"/>
      <c r="BD120" s="85"/>
      <c r="BE120" s="85"/>
      <c r="BF120" s="85"/>
      <c r="BG120" s="85"/>
      <c r="BH120" s="85"/>
      <c r="BI120" s="85"/>
      <c r="BJ120" s="85"/>
      <c r="BK120" s="85"/>
      <c r="BL120" s="85"/>
      <c r="BM120" s="85"/>
      <c r="BN120" s="85"/>
      <c r="BO120" s="85"/>
      <c r="BP120" s="85"/>
      <c r="BQ120" s="85"/>
      <c r="BR120" s="85"/>
      <c r="BS120" s="85"/>
      <c r="BT120" s="85"/>
      <c r="BU120" s="85"/>
      <c r="BV120" s="85"/>
      <c r="BW120" s="85"/>
      <c r="BX120" s="85"/>
      <c r="BY120" s="85"/>
      <c r="BZ120" s="85"/>
      <c r="CA120" s="85"/>
      <c r="CB120" s="85"/>
      <c r="CC120" s="85"/>
      <c r="CD120" s="85"/>
      <c r="CE120" s="85"/>
      <c r="CF120" s="85"/>
      <c r="CG120" s="85"/>
      <c r="CH120" s="85"/>
      <c r="CI120" s="85"/>
      <c r="CJ120" s="85"/>
      <c r="CK120" s="85"/>
      <c r="CL120" s="85"/>
      <c r="CM120" s="85"/>
      <c r="CN120" s="85"/>
      <c r="CO120" s="85"/>
      <c r="CP120" s="85"/>
      <c r="CQ120" s="85"/>
      <c r="CR120" s="85"/>
      <c r="CS120" s="85"/>
      <c r="CT120" s="85"/>
      <c r="CU120" s="85"/>
      <c r="CV120" s="85"/>
      <c r="CW120" s="85"/>
      <c r="CX120" s="85"/>
      <c r="CY120" s="84"/>
    </row>
    <row r="121" spans="1:103">
      <c r="A121" s="93">
        <v>45047</v>
      </c>
      <c r="B121" s="82">
        <f t="shared" si="5"/>
        <v>2023</v>
      </c>
      <c r="C121" s="86">
        <v>1.6476774193548389</v>
      </c>
      <c r="D121" s="86">
        <v>19.46193548387097</v>
      </c>
      <c r="E121" s="86">
        <v>0.29512903225806447</v>
      </c>
      <c r="F121" s="86">
        <v>1.6344193548387098</v>
      </c>
      <c r="G121" s="86">
        <v>7.2238709677419353</v>
      </c>
      <c r="H121" s="86">
        <v>15.371612903225806</v>
      </c>
      <c r="I121" s="86">
        <f t="shared" si="4"/>
        <v>45.634645161290322</v>
      </c>
      <c r="J121" s="85"/>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5"/>
      <c r="AJ121" s="85"/>
      <c r="AK121" s="85"/>
      <c r="AL121" s="85"/>
      <c r="AM121" s="85"/>
      <c r="AN121" s="85"/>
      <c r="AO121" s="85"/>
      <c r="AP121" s="85"/>
      <c r="AQ121" s="85"/>
      <c r="AR121" s="85"/>
      <c r="AS121" s="85"/>
      <c r="AT121" s="85"/>
      <c r="AU121" s="85"/>
      <c r="AV121" s="85"/>
      <c r="AW121" s="85"/>
      <c r="AX121" s="85"/>
      <c r="AY121" s="85"/>
      <c r="AZ121" s="85"/>
      <c r="BA121" s="85"/>
      <c r="BB121" s="85"/>
      <c r="BC121" s="85"/>
      <c r="BD121" s="85"/>
      <c r="BE121" s="85"/>
      <c r="BF121" s="85"/>
      <c r="BG121" s="85"/>
      <c r="BH121" s="85"/>
      <c r="BI121" s="85"/>
      <c r="BJ121" s="85"/>
      <c r="BK121" s="85"/>
      <c r="BL121" s="85"/>
      <c r="BM121" s="85"/>
      <c r="BN121" s="85"/>
      <c r="BO121" s="85"/>
      <c r="BP121" s="85"/>
      <c r="BQ121" s="85"/>
      <c r="BR121" s="85"/>
      <c r="BS121" s="85"/>
      <c r="BT121" s="85"/>
      <c r="BU121" s="85"/>
      <c r="BV121" s="85"/>
      <c r="BW121" s="85"/>
      <c r="BX121" s="85"/>
      <c r="BY121" s="85"/>
      <c r="BZ121" s="85"/>
      <c r="CA121" s="85"/>
      <c r="CB121" s="85"/>
      <c r="CC121" s="85"/>
      <c r="CD121" s="85"/>
      <c r="CE121" s="85"/>
      <c r="CF121" s="85"/>
      <c r="CG121" s="85"/>
      <c r="CH121" s="85"/>
      <c r="CI121" s="85"/>
      <c r="CJ121" s="85"/>
      <c r="CK121" s="85"/>
      <c r="CL121" s="85"/>
      <c r="CM121" s="85"/>
      <c r="CN121" s="85"/>
      <c r="CO121" s="85"/>
      <c r="CP121" s="85"/>
      <c r="CQ121" s="85"/>
      <c r="CR121" s="85"/>
      <c r="CS121" s="85"/>
      <c r="CT121" s="85"/>
      <c r="CU121" s="85"/>
      <c r="CV121" s="85"/>
      <c r="CW121" s="85"/>
      <c r="CX121" s="85"/>
      <c r="CY121" s="84"/>
    </row>
    <row r="122" spans="1:103">
      <c r="A122" s="93">
        <v>45078</v>
      </c>
      <c r="B122" s="82">
        <f t="shared" si="5"/>
        <v>2023</v>
      </c>
      <c r="C122" s="86">
        <v>2.4007000000000001</v>
      </c>
      <c r="D122" s="86">
        <v>17.650333333333332</v>
      </c>
      <c r="E122" s="86">
        <v>0.2939133333333333</v>
      </c>
      <c r="F122" s="86">
        <v>1.6164333333333334</v>
      </c>
      <c r="G122" s="86">
        <v>6.0419999999999998</v>
      </c>
      <c r="H122" s="86">
        <v>14.568000000000001</v>
      </c>
      <c r="I122" s="86">
        <f t="shared" si="4"/>
        <v>42.571380000000005</v>
      </c>
      <c r="J122" s="85"/>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I122" s="85"/>
      <c r="AJ122" s="85"/>
      <c r="AK122" s="85"/>
      <c r="AL122" s="85"/>
      <c r="AM122" s="85"/>
      <c r="AN122" s="85"/>
      <c r="AO122" s="85"/>
      <c r="AP122" s="85"/>
      <c r="AQ122" s="85"/>
      <c r="AR122" s="85"/>
      <c r="AS122" s="85"/>
      <c r="AT122" s="85"/>
      <c r="AU122" s="85"/>
      <c r="AV122" s="85"/>
      <c r="AW122" s="85"/>
      <c r="AX122" s="85"/>
      <c r="AY122" s="85"/>
      <c r="AZ122" s="85"/>
      <c r="BA122" s="85"/>
      <c r="BB122" s="85"/>
      <c r="BC122" s="85"/>
      <c r="BD122" s="85"/>
      <c r="BE122" s="85"/>
      <c r="BF122" s="85"/>
      <c r="BG122" s="85"/>
      <c r="BH122" s="85"/>
      <c r="BI122" s="85"/>
      <c r="BJ122" s="85"/>
      <c r="BK122" s="85"/>
      <c r="BL122" s="85"/>
      <c r="BM122" s="85"/>
      <c r="BN122" s="85"/>
      <c r="BO122" s="85"/>
      <c r="BP122" s="85"/>
      <c r="BQ122" s="85"/>
      <c r="BR122" s="85"/>
      <c r="BS122" s="85"/>
      <c r="BT122" s="85"/>
      <c r="BU122" s="85"/>
      <c r="BV122" s="85"/>
      <c r="BW122" s="85"/>
      <c r="BX122" s="85"/>
      <c r="BY122" s="85"/>
      <c r="BZ122" s="85"/>
      <c r="CA122" s="85"/>
      <c r="CB122" s="85"/>
      <c r="CC122" s="85"/>
      <c r="CD122" s="85"/>
      <c r="CE122" s="85"/>
      <c r="CF122" s="85"/>
      <c r="CG122" s="85"/>
      <c r="CH122" s="85"/>
      <c r="CI122" s="85"/>
      <c r="CJ122" s="85"/>
      <c r="CK122" s="85"/>
      <c r="CL122" s="85"/>
      <c r="CM122" s="85"/>
      <c r="CN122" s="85"/>
      <c r="CO122" s="85"/>
      <c r="CP122" s="85"/>
      <c r="CQ122" s="85"/>
      <c r="CR122" s="85"/>
      <c r="CS122" s="85"/>
      <c r="CT122" s="85"/>
      <c r="CU122" s="85"/>
      <c r="CV122" s="85"/>
      <c r="CW122" s="85"/>
      <c r="CX122" s="85"/>
      <c r="CY122" s="84"/>
    </row>
    <row r="123" spans="1:103">
      <c r="A123" s="93">
        <v>45108</v>
      </c>
      <c r="B123" s="82">
        <f t="shared" si="5"/>
        <v>2023</v>
      </c>
      <c r="C123" s="86">
        <v>2.689290322580645</v>
      </c>
      <c r="D123" s="86">
        <v>18.245483870967742</v>
      </c>
      <c r="E123" s="86">
        <v>0.29229032258064513</v>
      </c>
      <c r="F123" s="86">
        <v>1.6320645161290324</v>
      </c>
      <c r="G123" s="86">
        <v>5.1022580645161284</v>
      </c>
      <c r="H123" s="86">
        <v>13.593548387096773</v>
      </c>
      <c r="I123" s="86">
        <f t="shared" si="4"/>
        <v>41.554935483870963</v>
      </c>
      <c r="J123" s="85"/>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I123" s="85"/>
      <c r="AJ123" s="85"/>
      <c r="AK123" s="85"/>
      <c r="AL123" s="85"/>
      <c r="AM123" s="85"/>
      <c r="AN123" s="85"/>
      <c r="AO123" s="85"/>
      <c r="AP123" s="85"/>
      <c r="AQ123" s="85"/>
      <c r="AR123" s="85"/>
      <c r="AS123" s="85"/>
      <c r="AT123" s="85"/>
      <c r="AU123" s="85"/>
      <c r="AV123" s="85"/>
      <c r="AW123" s="85"/>
      <c r="AX123" s="85"/>
      <c r="AY123" s="85"/>
      <c r="AZ123" s="85"/>
      <c r="BA123" s="85"/>
      <c r="BB123" s="85"/>
      <c r="BC123" s="85"/>
      <c r="BD123" s="85"/>
      <c r="BE123" s="85"/>
      <c r="BF123" s="85"/>
      <c r="BG123" s="85"/>
      <c r="BH123" s="85"/>
      <c r="BI123" s="85"/>
      <c r="BJ123" s="85"/>
      <c r="BK123" s="85"/>
      <c r="BL123" s="85"/>
      <c r="BM123" s="85"/>
      <c r="BN123" s="85"/>
      <c r="BO123" s="85"/>
      <c r="BP123" s="85"/>
      <c r="BQ123" s="85"/>
      <c r="BR123" s="85"/>
      <c r="BS123" s="85"/>
      <c r="BT123" s="85"/>
      <c r="BU123" s="85"/>
      <c r="BV123" s="85"/>
      <c r="BW123" s="85"/>
      <c r="BX123" s="85"/>
      <c r="BY123" s="85"/>
      <c r="BZ123" s="85"/>
      <c r="CA123" s="85"/>
      <c r="CB123" s="85"/>
      <c r="CC123" s="85"/>
      <c r="CD123" s="85"/>
      <c r="CE123" s="85"/>
      <c r="CF123" s="85"/>
      <c r="CG123" s="85"/>
      <c r="CH123" s="85"/>
      <c r="CI123" s="85"/>
      <c r="CJ123" s="85"/>
      <c r="CK123" s="85"/>
      <c r="CL123" s="85"/>
      <c r="CM123" s="85"/>
      <c r="CN123" s="85"/>
      <c r="CO123" s="85"/>
      <c r="CP123" s="85"/>
      <c r="CQ123" s="85"/>
      <c r="CR123" s="85"/>
      <c r="CS123" s="85"/>
      <c r="CT123" s="85"/>
      <c r="CU123" s="85"/>
      <c r="CV123" s="85"/>
      <c r="CW123" s="85"/>
      <c r="CX123" s="85"/>
      <c r="CY123" s="84"/>
    </row>
    <row r="124" spans="1:103">
      <c r="A124" s="93">
        <v>45139</v>
      </c>
      <c r="B124" s="82">
        <f t="shared" si="5"/>
        <v>2023</v>
      </c>
      <c r="C124" s="86">
        <v>2.500290322580645</v>
      </c>
      <c r="D124" s="86">
        <v>18.623548387096776</v>
      </c>
      <c r="E124" s="86">
        <v>0.29525483870967745</v>
      </c>
      <c r="F124" s="86">
        <v>1.5669354838709679</v>
      </c>
      <c r="G124" s="86">
        <v>3.0852580645161289</v>
      </c>
      <c r="H124" s="86">
        <v>12.285483870967743</v>
      </c>
      <c r="I124" s="86">
        <f t="shared" si="4"/>
        <v>38.356770967741937</v>
      </c>
      <c r="J124" s="85"/>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I124" s="85"/>
      <c r="AJ124" s="85"/>
      <c r="AK124" s="85"/>
      <c r="AL124" s="85"/>
      <c r="AM124" s="85"/>
      <c r="AN124" s="85"/>
      <c r="AO124" s="85"/>
      <c r="AP124" s="85"/>
      <c r="AQ124" s="85"/>
      <c r="AR124" s="85"/>
      <c r="AS124" s="85"/>
      <c r="AT124" s="85"/>
      <c r="AU124" s="85"/>
      <c r="AV124" s="85"/>
      <c r="AW124" s="85"/>
      <c r="AX124" s="85"/>
      <c r="AY124" s="85"/>
      <c r="AZ124" s="85"/>
      <c r="BA124" s="85"/>
      <c r="BB124" s="85"/>
      <c r="BC124" s="85"/>
      <c r="BD124" s="85"/>
      <c r="BE124" s="85"/>
      <c r="BF124" s="85"/>
      <c r="BG124" s="85"/>
      <c r="BH124" s="85"/>
      <c r="BI124" s="85"/>
      <c r="BJ124" s="85"/>
      <c r="BK124" s="85"/>
      <c r="BL124" s="85"/>
      <c r="BM124" s="85"/>
      <c r="BN124" s="85"/>
      <c r="BO124" s="85"/>
      <c r="BP124" s="85"/>
      <c r="BQ124" s="85"/>
      <c r="BR124" s="85"/>
      <c r="BS124" s="85"/>
      <c r="BT124" s="85"/>
      <c r="BU124" s="85"/>
      <c r="BV124" s="85"/>
      <c r="BW124" s="85"/>
      <c r="BX124" s="85"/>
      <c r="BY124" s="85"/>
      <c r="BZ124" s="85"/>
      <c r="CA124" s="85"/>
      <c r="CB124" s="85"/>
      <c r="CC124" s="85"/>
      <c r="CD124" s="85"/>
      <c r="CE124" s="85"/>
      <c r="CF124" s="85"/>
      <c r="CG124" s="85"/>
      <c r="CH124" s="85"/>
      <c r="CI124" s="85"/>
      <c r="CJ124" s="85"/>
      <c r="CK124" s="85"/>
      <c r="CL124" s="85"/>
      <c r="CM124" s="85"/>
      <c r="CN124" s="85"/>
      <c r="CO124" s="85"/>
      <c r="CP124" s="85"/>
      <c r="CQ124" s="85"/>
      <c r="CR124" s="85"/>
      <c r="CS124" s="85"/>
      <c r="CT124" s="85"/>
      <c r="CU124" s="85"/>
      <c r="CV124" s="85"/>
      <c r="CW124" s="85"/>
      <c r="CX124" s="85"/>
      <c r="CY124" s="84"/>
    </row>
    <row r="125" spans="1:103">
      <c r="A125" s="93">
        <v>45170</v>
      </c>
      <c r="B125" s="82">
        <f t="shared" si="5"/>
        <v>2023</v>
      </c>
      <c r="C125" s="86">
        <v>2.3282333333333329</v>
      </c>
      <c r="D125" s="86">
        <v>21.152333333333335</v>
      </c>
      <c r="E125" s="86">
        <v>0.29611333333333334</v>
      </c>
      <c r="F125" s="86">
        <v>1.4697333333333333</v>
      </c>
      <c r="G125" s="86">
        <v>5.6949999999999994</v>
      </c>
      <c r="H125" s="86">
        <v>13.840333333333332</v>
      </c>
      <c r="I125" s="86">
        <f t="shared" si="4"/>
        <v>44.78174666666667</v>
      </c>
      <c r="J125" s="85"/>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I125" s="85"/>
      <c r="AJ125" s="85"/>
      <c r="AK125" s="85"/>
      <c r="AL125" s="85"/>
      <c r="AM125" s="85"/>
      <c r="AN125" s="85"/>
      <c r="AO125" s="85"/>
      <c r="AP125" s="85"/>
      <c r="AQ125" s="85"/>
      <c r="AR125" s="85"/>
      <c r="AS125" s="85"/>
      <c r="AT125" s="85"/>
      <c r="AU125" s="85"/>
      <c r="AV125" s="85"/>
      <c r="AW125" s="85"/>
      <c r="AX125" s="85"/>
      <c r="AY125" s="85"/>
      <c r="AZ125" s="85"/>
      <c r="BA125" s="85"/>
      <c r="BB125" s="85"/>
      <c r="BC125" s="85"/>
      <c r="BD125" s="85"/>
      <c r="BE125" s="85"/>
      <c r="BF125" s="85"/>
      <c r="BG125" s="85"/>
      <c r="BH125" s="85"/>
      <c r="BI125" s="85"/>
      <c r="BJ125" s="85"/>
      <c r="BK125" s="85"/>
      <c r="BL125" s="85"/>
      <c r="BM125" s="85"/>
      <c r="BN125" s="85"/>
      <c r="BO125" s="85"/>
      <c r="BP125" s="85"/>
      <c r="BQ125" s="85"/>
      <c r="BR125" s="85"/>
      <c r="BS125" s="85"/>
      <c r="BT125" s="85"/>
      <c r="BU125" s="85"/>
      <c r="BV125" s="85"/>
      <c r="BW125" s="85"/>
      <c r="BX125" s="85"/>
      <c r="BY125" s="85"/>
      <c r="BZ125" s="85"/>
      <c r="CA125" s="85"/>
      <c r="CB125" s="85"/>
      <c r="CC125" s="85"/>
      <c r="CD125" s="85"/>
      <c r="CE125" s="85"/>
      <c r="CF125" s="85"/>
      <c r="CG125" s="85"/>
      <c r="CH125" s="85"/>
      <c r="CI125" s="85"/>
      <c r="CJ125" s="85"/>
      <c r="CK125" s="85"/>
      <c r="CL125" s="85"/>
      <c r="CM125" s="85"/>
      <c r="CN125" s="85"/>
      <c r="CO125" s="85"/>
      <c r="CP125" s="85"/>
      <c r="CQ125" s="85"/>
      <c r="CR125" s="85"/>
      <c r="CS125" s="85"/>
      <c r="CT125" s="85"/>
      <c r="CU125" s="85"/>
      <c r="CV125" s="85"/>
      <c r="CW125" s="85"/>
      <c r="CX125" s="85"/>
      <c r="CY125" s="84"/>
    </row>
    <row r="126" spans="1:103">
      <c r="A126" s="93">
        <v>45200</v>
      </c>
      <c r="B126" s="82">
        <f t="shared" si="5"/>
        <v>2023</v>
      </c>
      <c r="C126" s="86">
        <v>2.2236129032258067</v>
      </c>
      <c r="D126" s="86">
        <v>20.343225806451613</v>
      </c>
      <c r="E126" s="86">
        <v>0.2913290322580645</v>
      </c>
      <c r="F126" s="86">
        <v>1.5629677419354837</v>
      </c>
      <c r="G126" s="86">
        <v>5.3045161290322582</v>
      </c>
      <c r="H126" s="86">
        <v>14.486451612903226</v>
      </c>
      <c r="I126" s="86">
        <f t="shared" si="4"/>
        <v>44.212103225806452</v>
      </c>
      <c r="J126" s="85"/>
      <c r="K126" s="85"/>
      <c r="L126" s="85"/>
      <c r="M126" s="85"/>
      <c r="N126" s="85"/>
      <c r="O126" s="85"/>
      <c r="P126" s="85"/>
      <c r="Q126" s="85"/>
      <c r="R126" s="85"/>
      <c r="S126" s="85"/>
      <c r="T126" s="85"/>
      <c r="U126" s="85"/>
      <c r="V126" s="85"/>
      <c r="W126" s="85"/>
      <c r="X126" s="85"/>
      <c r="Y126" s="85"/>
      <c r="Z126" s="85"/>
      <c r="AA126" s="85"/>
      <c r="AB126" s="85"/>
      <c r="AC126" s="85"/>
      <c r="AD126" s="85"/>
      <c r="AE126" s="85"/>
      <c r="AF126" s="85"/>
      <c r="AG126" s="85"/>
      <c r="AH126" s="85"/>
      <c r="AI126" s="85"/>
      <c r="AJ126" s="85"/>
      <c r="AK126" s="85"/>
      <c r="AL126" s="85"/>
      <c r="AM126" s="85"/>
      <c r="AN126" s="85"/>
      <c r="AO126" s="85"/>
      <c r="AP126" s="85"/>
      <c r="AQ126" s="85"/>
      <c r="AR126" s="85"/>
      <c r="AS126" s="85"/>
      <c r="AT126" s="85"/>
      <c r="AU126" s="85"/>
      <c r="AV126" s="85"/>
      <c r="AW126" s="85"/>
      <c r="AX126" s="85"/>
      <c r="AY126" s="85"/>
      <c r="AZ126" s="85"/>
      <c r="BA126" s="85"/>
      <c r="BB126" s="85"/>
      <c r="BC126" s="85"/>
      <c r="BD126" s="85"/>
      <c r="BE126" s="85"/>
      <c r="BF126" s="85"/>
      <c r="BG126" s="85"/>
      <c r="BH126" s="85"/>
      <c r="BI126" s="85"/>
      <c r="BJ126" s="85"/>
      <c r="BK126" s="85"/>
      <c r="BL126" s="85"/>
      <c r="BM126" s="85"/>
      <c r="BN126" s="85"/>
      <c r="BO126" s="85"/>
      <c r="BP126" s="85"/>
      <c r="BQ126" s="85"/>
      <c r="BR126" s="85"/>
      <c r="BS126" s="85"/>
      <c r="BT126" s="85"/>
      <c r="BU126" s="85"/>
      <c r="BV126" s="85"/>
      <c r="BW126" s="85"/>
      <c r="BX126" s="85"/>
      <c r="BY126" s="85"/>
      <c r="BZ126" s="85"/>
      <c r="CA126" s="85"/>
      <c r="CB126" s="85"/>
      <c r="CC126" s="85"/>
      <c r="CD126" s="85"/>
      <c r="CE126" s="85"/>
      <c r="CF126" s="85"/>
      <c r="CG126" s="85"/>
      <c r="CH126" s="85"/>
      <c r="CI126" s="85"/>
      <c r="CJ126" s="85"/>
      <c r="CK126" s="85"/>
      <c r="CL126" s="85"/>
      <c r="CM126" s="85"/>
      <c r="CN126" s="85"/>
      <c r="CO126" s="85"/>
      <c r="CP126" s="85"/>
      <c r="CQ126" s="85"/>
      <c r="CR126" s="85"/>
      <c r="CS126" s="85"/>
      <c r="CT126" s="85"/>
      <c r="CU126" s="85"/>
      <c r="CV126" s="85"/>
      <c r="CW126" s="85"/>
      <c r="CX126" s="85"/>
      <c r="CY126" s="84"/>
    </row>
    <row r="127" spans="1:103">
      <c r="A127" s="93">
        <v>45231</v>
      </c>
      <c r="B127" s="82">
        <f t="shared" si="5"/>
        <v>2023</v>
      </c>
      <c r="C127" s="86">
        <v>2.2341333333333333</v>
      </c>
      <c r="D127" s="86">
        <v>20.673333333333336</v>
      </c>
      <c r="E127" s="86">
        <v>0.29374333333333336</v>
      </c>
      <c r="F127" s="86">
        <v>1.5700666666666665</v>
      </c>
      <c r="G127" s="86">
        <v>7.5843333333333334</v>
      </c>
      <c r="H127" s="86">
        <v>15.514666666666667</v>
      </c>
      <c r="I127" s="86">
        <f t="shared" si="4"/>
        <v>47.870276666666669</v>
      </c>
      <c r="J127" s="85"/>
      <c r="K127" s="85"/>
      <c r="L127" s="85"/>
      <c r="M127" s="85"/>
      <c r="N127" s="85"/>
      <c r="O127" s="85"/>
      <c r="P127" s="85"/>
      <c r="Q127" s="85"/>
      <c r="R127" s="85"/>
      <c r="S127" s="85"/>
      <c r="T127" s="85"/>
      <c r="U127" s="85"/>
      <c r="V127" s="85"/>
      <c r="W127" s="85"/>
      <c r="X127" s="85"/>
      <c r="Y127" s="85"/>
      <c r="Z127" s="85"/>
      <c r="AA127" s="85"/>
      <c r="AB127" s="85"/>
      <c r="AC127" s="85"/>
      <c r="AD127" s="85"/>
      <c r="AE127" s="85"/>
      <c r="AF127" s="85"/>
      <c r="AG127" s="85"/>
      <c r="AH127" s="85"/>
      <c r="AI127" s="85"/>
      <c r="AJ127" s="85"/>
      <c r="AK127" s="85"/>
      <c r="AL127" s="85"/>
      <c r="AM127" s="85"/>
      <c r="AN127" s="85"/>
      <c r="AO127" s="85"/>
      <c r="AP127" s="85"/>
      <c r="AQ127" s="85"/>
      <c r="AR127" s="85"/>
      <c r="AS127" s="85"/>
      <c r="AT127" s="85"/>
      <c r="AU127" s="85"/>
      <c r="AV127" s="85"/>
      <c r="AW127" s="85"/>
      <c r="AX127" s="85"/>
      <c r="AY127" s="85"/>
      <c r="AZ127" s="85"/>
      <c r="BA127" s="85"/>
      <c r="BB127" s="85"/>
      <c r="BC127" s="85"/>
      <c r="BD127" s="85"/>
      <c r="BE127" s="85"/>
      <c r="BF127" s="85"/>
      <c r="BG127" s="85"/>
      <c r="BH127" s="85"/>
      <c r="BI127" s="85"/>
      <c r="BJ127" s="85"/>
      <c r="BK127" s="85"/>
      <c r="BL127" s="85"/>
      <c r="BM127" s="85"/>
      <c r="BN127" s="85"/>
      <c r="BO127" s="85"/>
      <c r="BP127" s="85"/>
      <c r="BQ127" s="85"/>
      <c r="BR127" s="85"/>
      <c r="BS127" s="85"/>
      <c r="BT127" s="85"/>
      <c r="BU127" s="85"/>
      <c r="BV127" s="85"/>
      <c r="BW127" s="85"/>
      <c r="BX127" s="85"/>
      <c r="BY127" s="85"/>
      <c r="BZ127" s="85"/>
      <c r="CA127" s="85"/>
      <c r="CB127" s="85"/>
      <c r="CC127" s="85"/>
      <c r="CD127" s="85"/>
      <c r="CE127" s="85"/>
      <c r="CF127" s="85"/>
      <c r="CG127" s="85"/>
      <c r="CH127" s="85"/>
      <c r="CI127" s="85"/>
      <c r="CJ127" s="85"/>
      <c r="CK127" s="85"/>
      <c r="CL127" s="85"/>
      <c r="CM127" s="85"/>
      <c r="CN127" s="85"/>
      <c r="CO127" s="85"/>
      <c r="CP127" s="85"/>
      <c r="CQ127" s="85"/>
      <c r="CR127" s="85"/>
      <c r="CS127" s="85"/>
      <c r="CT127" s="85"/>
      <c r="CU127" s="85"/>
      <c r="CV127" s="85"/>
      <c r="CW127" s="85"/>
      <c r="CX127" s="85"/>
      <c r="CY127" s="84"/>
    </row>
    <row r="128" spans="1:103">
      <c r="A128" s="93">
        <v>45261</v>
      </c>
      <c r="B128" s="82">
        <f t="shared" si="5"/>
        <v>2023</v>
      </c>
      <c r="C128" s="86">
        <v>2.3855806451612902</v>
      </c>
      <c r="D128" s="86">
        <v>19.054516129032258</v>
      </c>
      <c r="E128" s="86">
        <v>0.29371290322580645</v>
      </c>
      <c r="F128" s="86">
        <v>1.4592258064516128</v>
      </c>
      <c r="G128" s="86">
        <v>8.3354838709677406</v>
      </c>
      <c r="H128" s="86">
        <v>13.53225806451613</v>
      </c>
      <c r="I128" s="86">
        <f t="shared" si="4"/>
        <v>45.060777419354835</v>
      </c>
      <c r="J128" s="85"/>
      <c r="K128" s="85"/>
      <c r="L128" s="85"/>
      <c r="M128" s="85"/>
      <c r="N128" s="85"/>
      <c r="O128" s="85"/>
      <c r="P128" s="85"/>
      <c r="Q128" s="85"/>
      <c r="R128" s="85"/>
      <c r="S128" s="85"/>
      <c r="T128" s="85"/>
      <c r="U128" s="85"/>
      <c r="V128" s="85"/>
      <c r="W128" s="85"/>
      <c r="X128" s="85"/>
      <c r="Y128" s="85"/>
      <c r="Z128" s="85"/>
      <c r="AA128" s="85"/>
      <c r="AB128" s="85"/>
      <c r="AC128" s="85"/>
      <c r="AD128" s="85"/>
      <c r="AE128" s="85"/>
      <c r="AF128" s="85"/>
      <c r="AG128" s="85"/>
      <c r="AH128" s="85"/>
      <c r="AI128" s="85"/>
      <c r="AJ128" s="85"/>
      <c r="AK128" s="85"/>
      <c r="AL128" s="85"/>
      <c r="AM128" s="85"/>
      <c r="AN128" s="85"/>
      <c r="AO128" s="85"/>
      <c r="AP128" s="85"/>
      <c r="AQ128" s="85"/>
      <c r="AR128" s="85"/>
      <c r="AS128" s="85"/>
      <c r="AT128" s="85"/>
      <c r="AU128" s="85"/>
      <c r="AV128" s="85"/>
      <c r="AW128" s="85"/>
      <c r="AX128" s="85"/>
      <c r="AY128" s="85"/>
      <c r="AZ128" s="85"/>
      <c r="BA128" s="85"/>
      <c r="BB128" s="85"/>
      <c r="BC128" s="85"/>
      <c r="BD128" s="85"/>
      <c r="BE128" s="85"/>
      <c r="BF128" s="85"/>
      <c r="BG128" s="85"/>
      <c r="BH128" s="85"/>
      <c r="BI128" s="85"/>
      <c r="BJ128" s="85"/>
      <c r="BK128" s="85"/>
      <c r="BL128" s="85"/>
      <c r="BM128" s="85"/>
      <c r="BN128" s="85"/>
      <c r="BO128" s="85"/>
      <c r="BP128" s="85"/>
      <c r="BQ128" s="85"/>
      <c r="BR128" s="85"/>
      <c r="BS128" s="85"/>
      <c r="BT128" s="85"/>
      <c r="BU128" s="85"/>
      <c r="BV128" s="85"/>
      <c r="BW128" s="85"/>
      <c r="BX128" s="85"/>
      <c r="BY128" s="85"/>
      <c r="BZ128" s="85"/>
      <c r="CA128" s="85"/>
      <c r="CB128" s="85"/>
      <c r="CC128" s="85"/>
      <c r="CD128" s="85"/>
      <c r="CE128" s="85"/>
      <c r="CF128" s="85"/>
      <c r="CG128" s="85"/>
      <c r="CH128" s="85"/>
      <c r="CI128" s="85"/>
      <c r="CJ128" s="85"/>
      <c r="CK128" s="85"/>
      <c r="CL128" s="85"/>
      <c r="CM128" s="85"/>
      <c r="CN128" s="85"/>
      <c r="CO128" s="85"/>
      <c r="CP128" s="85"/>
      <c r="CQ128" s="85"/>
      <c r="CR128" s="85"/>
      <c r="CS128" s="85"/>
      <c r="CT128" s="85"/>
      <c r="CU128" s="85"/>
      <c r="CV128" s="85"/>
      <c r="CW128" s="85"/>
      <c r="CX128" s="85"/>
      <c r="CY128" s="84"/>
    </row>
    <row r="129" spans="1:103">
      <c r="A129" s="93">
        <v>45292</v>
      </c>
      <c r="B129" s="82">
        <f t="shared" si="5"/>
        <v>2024</v>
      </c>
      <c r="C129" s="86">
        <v>2.1611612903225805</v>
      </c>
      <c r="D129" s="86">
        <v>17.723870967741938</v>
      </c>
      <c r="E129" s="86">
        <v>0.28726774193548388</v>
      </c>
      <c r="F129" s="86">
        <v>1.250032258064516</v>
      </c>
      <c r="G129" s="86">
        <v>7.4483870967741934</v>
      </c>
      <c r="H129" s="86">
        <v>12.632903225806452</v>
      </c>
      <c r="I129" s="86">
        <f t="shared" si="4"/>
        <v>41.503622580645164</v>
      </c>
      <c r="J129" s="85"/>
      <c r="K129" s="85"/>
      <c r="L129" s="85"/>
      <c r="M129" s="85"/>
      <c r="N129" s="85"/>
      <c r="O129" s="85"/>
      <c r="P129" s="85"/>
      <c r="Q129" s="85"/>
      <c r="R129" s="85"/>
      <c r="S129" s="85"/>
      <c r="T129" s="85"/>
      <c r="U129" s="85"/>
      <c r="V129" s="85"/>
      <c r="W129" s="85"/>
      <c r="X129" s="85"/>
      <c r="Y129" s="85"/>
      <c r="Z129" s="85"/>
      <c r="AA129" s="85"/>
      <c r="AB129" s="85"/>
      <c r="AC129" s="85"/>
      <c r="AD129" s="85"/>
      <c r="AE129" s="85"/>
      <c r="AF129" s="85"/>
      <c r="AG129" s="85"/>
      <c r="AH129" s="85"/>
      <c r="AI129" s="85"/>
      <c r="AJ129" s="85"/>
      <c r="AK129" s="85"/>
      <c r="AL129" s="85"/>
      <c r="AM129" s="85"/>
      <c r="AN129" s="85"/>
      <c r="AO129" s="85"/>
      <c r="AP129" s="85"/>
      <c r="AQ129" s="85"/>
      <c r="AR129" s="85"/>
      <c r="AS129" s="85"/>
      <c r="AT129" s="85"/>
      <c r="AU129" s="85"/>
      <c r="AV129" s="85"/>
      <c r="AW129" s="85"/>
      <c r="AX129" s="85"/>
      <c r="AY129" s="85"/>
      <c r="AZ129" s="85"/>
      <c r="BA129" s="85"/>
      <c r="BB129" s="85"/>
      <c r="BC129" s="85"/>
      <c r="BD129" s="85"/>
      <c r="BE129" s="85"/>
      <c r="BF129" s="85"/>
      <c r="BG129" s="85"/>
      <c r="BH129" s="85"/>
      <c r="BI129" s="85"/>
      <c r="BJ129" s="85"/>
      <c r="BK129" s="85"/>
      <c r="BL129" s="85"/>
      <c r="BM129" s="85"/>
      <c r="BN129" s="85"/>
      <c r="BO129" s="85"/>
      <c r="BP129" s="85"/>
      <c r="BQ129" s="85"/>
      <c r="BR129" s="85"/>
      <c r="BS129" s="85"/>
      <c r="BT129" s="85"/>
      <c r="BU129" s="84"/>
      <c r="BV129" s="85"/>
      <c r="BW129" s="85"/>
      <c r="BX129" s="85"/>
      <c r="BY129" s="85"/>
      <c r="BZ129" s="85"/>
      <c r="CA129" s="85"/>
      <c r="CB129" s="85"/>
      <c r="CC129" s="85"/>
      <c r="CD129" s="85"/>
      <c r="CE129" s="85"/>
      <c r="CF129" s="85"/>
      <c r="CG129" s="85"/>
      <c r="CH129" s="85"/>
      <c r="CI129" s="85"/>
      <c r="CJ129" s="85"/>
      <c r="CK129" s="85"/>
      <c r="CL129" s="85"/>
      <c r="CM129" s="85"/>
      <c r="CN129" s="85"/>
      <c r="CO129" s="85"/>
      <c r="CP129" s="85"/>
      <c r="CQ129" s="85"/>
      <c r="CR129" s="85"/>
      <c r="CS129" s="85"/>
      <c r="CT129" s="85"/>
      <c r="CU129" s="85"/>
      <c r="CV129" s="85"/>
      <c r="CW129" s="85"/>
      <c r="CX129" s="85"/>
      <c r="CY129" s="84"/>
    </row>
    <row r="130" spans="1:103">
      <c r="A130" s="93">
        <v>45323</v>
      </c>
      <c r="B130" s="82">
        <f t="shared" si="5"/>
        <v>2024</v>
      </c>
      <c r="C130" s="86">
        <v>1.8169655172413792</v>
      </c>
      <c r="D130" s="86">
        <v>17.25</v>
      </c>
      <c r="E130" s="86">
        <v>0.27647241379310344</v>
      </c>
      <c r="F130" s="86">
        <v>1.2179655172413792</v>
      </c>
      <c r="G130" s="86">
        <v>6.0048275862068961</v>
      </c>
      <c r="H130" s="86">
        <v>11.266206896551726</v>
      </c>
      <c r="I130" s="86">
        <f t="shared" si="4"/>
        <v>37.832437931034484</v>
      </c>
      <c r="J130" s="85"/>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5"/>
      <c r="AJ130" s="85"/>
      <c r="AK130" s="85"/>
      <c r="AL130" s="85"/>
      <c r="AM130" s="85"/>
      <c r="AN130" s="85"/>
      <c r="AO130" s="85"/>
      <c r="AP130" s="85"/>
      <c r="AQ130" s="85"/>
      <c r="AR130" s="85"/>
      <c r="AS130" s="85"/>
      <c r="AT130" s="85"/>
      <c r="AU130" s="85"/>
      <c r="AV130" s="85"/>
      <c r="AW130" s="85"/>
      <c r="AX130" s="85"/>
      <c r="AY130" s="85"/>
      <c r="AZ130" s="85"/>
      <c r="BA130" s="85"/>
      <c r="BB130" s="85"/>
      <c r="BC130" s="85"/>
      <c r="BD130" s="85"/>
      <c r="BE130" s="85"/>
      <c r="BF130" s="85"/>
      <c r="BG130" s="85"/>
      <c r="BH130" s="85"/>
      <c r="BI130" s="85"/>
      <c r="BJ130" s="85"/>
      <c r="BK130" s="85"/>
      <c r="BL130" s="85"/>
      <c r="BM130" s="85"/>
      <c r="BN130" s="85"/>
      <c r="BO130" s="85"/>
      <c r="BP130" s="85"/>
      <c r="BQ130" s="85"/>
      <c r="BR130" s="85"/>
      <c r="BS130" s="85"/>
      <c r="BT130" s="85"/>
      <c r="BU130" s="85"/>
      <c r="BV130" s="85"/>
      <c r="BW130" s="85"/>
      <c r="BX130" s="85"/>
      <c r="BY130" s="85"/>
      <c r="BZ130" s="85"/>
      <c r="CA130" s="85"/>
      <c r="CB130" s="85"/>
      <c r="CC130" s="85"/>
      <c r="CD130" s="85"/>
      <c r="CE130" s="85"/>
      <c r="CF130" s="85"/>
      <c r="CG130" s="85"/>
      <c r="CH130" s="85"/>
      <c r="CI130" s="85"/>
      <c r="CJ130" s="85"/>
      <c r="CK130" s="85"/>
      <c r="CL130" s="85"/>
      <c r="CM130" s="85"/>
      <c r="CN130" s="85"/>
      <c r="CO130" s="85"/>
      <c r="CP130" s="85"/>
      <c r="CQ130" s="85"/>
      <c r="CR130" s="85"/>
      <c r="CS130" s="85"/>
      <c r="CT130" s="85"/>
      <c r="CU130" s="85"/>
      <c r="CV130" s="85"/>
      <c r="CW130" s="85"/>
      <c r="CX130" s="85"/>
      <c r="CY130" s="84"/>
    </row>
    <row r="131" spans="1:103">
      <c r="A131" s="93">
        <v>45352</v>
      </c>
      <c r="B131" s="82">
        <f t="shared" si="5"/>
        <v>2024</v>
      </c>
      <c r="C131" s="86">
        <v>1.6961290322580644</v>
      </c>
      <c r="D131" s="86">
        <v>17.589677419354839</v>
      </c>
      <c r="E131" s="86">
        <v>0.28990645161290324</v>
      </c>
      <c r="F131" s="86">
        <v>1.3392258064516129</v>
      </c>
      <c r="G131" s="86">
        <v>6.1525806451612901</v>
      </c>
      <c r="H131" s="86">
        <v>10.531935483870969</v>
      </c>
      <c r="I131" s="86">
        <f t="shared" si="4"/>
        <v>37.599454838709676</v>
      </c>
      <c r="J131" s="85"/>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c r="AI131" s="85"/>
      <c r="AJ131" s="85"/>
      <c r="AK131" s="85"/>
      <c r="AL131" s="85"/>
      <c r="AM131" s="85"/>
      <c r="AN131" s="85"/>
      <c r="AO131" s="85"/>
      <c r="AP131" s="85"/>
      <c r="AQ131" s="85"/>
      <c r="AR131" s="85"/>
      <c r="AS131" s="85"/>
      <c r="AT131" s="85"/>
      <c r="AU131" s="85"/>
      <c r="AV131" s="85"/>
      <c r="AW131" s="85"/>
      <c r="AX131" s="85"/>
      <c r="AY131" s="85"/>
      <c r="AZ131" s="85"/>
      <c r="BA131" s="85"/>
      <c r="BB131" s="85"/>
      <c r="BC131" s="85"/>
      <c r="BD131" s="85"/>
      <c r="BE131" s="85"/>
      <c r="BF131" s="85"/>
      <c r="BG131" s="85"/>
      <c r="BH131" s="85"/>
      <c r="BI131" s="85"/>
      <c r="BJ131" s="85"/>
      <c r="BK131" s="85"/>
      <c r="BL131" s="85"/>
      <c r="BM131" s="85"/>
      <c r="BN131" s="85"/>
      <c r="BO131" s="85"/>
      <c r="BP131" s="85"/>
      <c r="BQ131" s="85"/>
      <c r="BR131" s="85"/>
      <c r="BS131" s="85"/>
      <c r="BT131" s="85"/>
      <c r="BU131" s="85"/>
      <c r="BV131" s="85"/>
      <c r="BW131" s="85"/>
      <c r="BX131" s="85"/>
      <c r="BY131" s="85"/>
      <c r="BZ131" s="85"/>
      <c r="CA131" s="85"/>
      <c r="CB131" s="85"/>
      <c r="CC131" s="85"/>
      <c r="CD131" s="85"/>
      <c r="CE131" s="85"/>
      <c r="CF131" s="85"/>
      <c r="CG131" s="85"/>
      <c r="CH131" s="85"/>
      <c r="CI131" s="85"/>
      <c r="CJ131" s="85"/>
      <c r="CK131" s="85"/>
      <c r="CL131" s="85"/>
      <c r="CM131" s="85"/>
      <c r="CN131" s="85"/>
      <c r="CO131" s="85"/>
      <c r="CP131" s="85"/>
      <c r="CQ131" s="85"/>
      <c r="CR131" s="85"/>
      <c r="CS131" s="85"/>
      <c r="CT131" s="85"/>
      <c r="CU131" s="85"/>
      <c r="CV131" s="85"/>
      <c r="CW131" s="85"/>
      <c r="CX131" s="85"/>
      <c r="CY131" s="84"/>
    </row>
    <row r="132" spans="1:103">
      <c r="A132" s="93">
        <v>45383</v>
      </c>
      <c r="B132" s="82">
        <f t="shared" si="5"/>
        <v>2024</v>
      </c>
      <c r="C132" s="86">
        <v>1.6928666666666667</v>
      </c>
      <c r="D132" s="86">
        <v>19.913666666666664</v>
      </c>
      <c r="E132" s="86">
        <v>0.29570999999999997</v>
      </c>
      <c r="F132" s="86">
        <v>1.5332666666666666</v>
      </c>
      <c r="G132" s="86">
        <v>6.7493333333333334</v>
      </c>
      <c r="H132" s="86">
        <v>14.389333333333333</v>
      </c>
      <c r="I132" s="86">
        <f t="shared" si="4"/>
        <v>44.574176666666659</v>
      </c>
      <c r="J132" s="85"/>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I132" s="85"/>
      <c r="AJ132" s="85"/>
      <c r="AK132" s="85"/>
      <c r="AL132" s="85"/>
      <c r="AM132" s="85"/>
      <c r="AN132" s="85"/>
      <c r="AO132" s="85"/>
      <c r="AP132" s="85"/>
      <c r="AQ132" s="85"/>
      <c r="AR132" s="85"/>
      <c r="AS132" s="85"/>
      <c r="AT132" s="85"/>
      <c r="AU132" s="85"/>
      <c r="AV132" s="85"/>
      <c r="AW132" s="85"/>
      <c r="AX132" s="85"/>
      <c r="AY132" s="85"/>
      <c r="AZ132" s="85"/>
      <c r="BA132" s="85"/>
      <c r="BB132" s="85"/>
      <c r="BC132" s="85"/>
      <c r="BD132" s="85"/>
      <c r="BE132" s="85"/>
      <c r="BF132" s="85"/>
      <c r="BG132" s="85"/>
      <c r="BH132" s="85"/>
      <c r="BI132" s="85"/>
      <c r="BJ132" s="85"/>
      <c r="BK132" s="85"/>
      <c r="BL132" s="85"/>
      <c r="BM132" s="85"/>
      <c r="BN132" s="85"/>
      <c r="BO132" s="85"/>
      <c r="BP132" s="85"/>
      <c r="BQ132" s="85"/>
      <c r="BR132" s="85"/>
      <c r="BS132" s="85"/>
      <c r="BT132" s="85"/>
      <c r="BU132" s="85"/>
      <c r="BV132" s="85"/>
      <c r="BW132" s="85"/>
      <c r="BX132" s="85"/>
      <c r="BY132" s="85"/>
      <c r="BZ132" s="85"/>
      <c r="CA132" s="85"/>
      <c r="CB132" s="85"/>
      <c r="CC132" s="85"/>
      <c r="CD132" s="85"/>
      <c r="CE132" s="85"/>
      <c r="CF132" s="85"/>
      <c r="CG132" s="85"/>
      <c r="CH132" s="85"/>
      <c r="CI132" s="85"/>
      <c r="CJ132" s="85"/>
      <c r="CK132" s="85"/>
      <c r="CL132" s="85"/>
      <c r="CM132" s="85"/>
      <c r="CN132" s="85"/>
      <c r="CO132" s="85"/>
      <c r="CP132" s="85"/>
      <c r="CQ132" s="85"/>
      <c r="CR132" s="85"/>
      <c r="CS132" s="85"/>
      <c r="CT132" s="85"/>
      <c r="CU132" s="85"/>
      <c r="CV132" s="85"/>
      <c r="CW132" s="85"/>
      <c r="CX132" s="85"/>
      <c r="CY132" s="84"/>
    </row>
    <row r="133" spans="1:103">
      <c r="A133" s="93">
        <v>45413</v>
      </c>
      <c r="B133" s="82">
        <f t="shared" si="5"/>
        <v>2024</v>
      </c>
      <c r="C133" s="86">
        <v>1.5671612903225807</v>
      </c>
      <c r="D133" s="86">
        <v>18.908064516129031</v>
      </c>
      <c r="E133" s="86">
        <v>0.29611290322580647</v>
      </c>
      <c r="F133" s="86">
        <v>1.637483870967742</v>
      </c>
      <c r="G133" s="86">
        <v>6.29</v>
      </c>
      <c r="H133" s="86">
        <v>16.067096774193548</v>
      </c>
      <c r="I133" s="86">
        <f t="shared" si="4"/>
        <v>44.765919354838708</v>
      </c>
      <c r="J133" s="85"/>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I133" s="85"/>
      <c r="AJ133" s="85"/>
      <c r="AK133" s="85"/>
      <c r="AL133" s="85"/>
      <c r="AM133" s="85"/>
      <c r="AN133" s="85"/>
      <c r="AO133" s="85"/>
      <c r="AP133" s="85"/>
      <c r="AQ133" s="85"/>
      <c r="AR133" s="85"/>
      <c r="AS133" s="85"/>
      <c r="AT133" s="85"/>
      <c r="AU133" s="85"/>
      <c r="AV133" s="85"/>
      <c r="AW133" s="85"/>
      <c r="AX133" s="85"/>
      <c r="AY133" s="85"/>
      <c r="AZ133" s="85"/>
      <c r="BA133" s="85"/>
      <c r="BB133" s="85"/>
      <c r="BC133" s="85"/>
      <c r="BD133" s="85"/>
      <c r="BE133" s="85"/>
      <c r="BF133" s="85"/>
      <c r="BG133" s="85"/>
      <c r="BH133" s="85"/>
      <c r="BI133" s="85"/>
      <c r="BJ133" s="85"/>
      <c r="BK133" s="85"/>
      <c r="BL133" s="85"/>
      <c r="BM133" s="85"/>
      <c r="BN133" s="85"/>
      <c r="BO133" s="85"/>
      <c r="BP133" s="85"/>
      <c r="BQ133" s="85"/>
      <c r="BR133" s="85"/>
      <c r="BS133" s="85"/>
      <c r="BT133" s="85"/>
      <c r="BU133" s="85"/>
      <c r="BV133" s="85"/>
      <c r="BW133" s="85"/>
      <c r="BX133" s="85"/>
      <c r="BY133" s="85"/>
      <c r="BZ133" s="85"/>
      <c r="CA133" s="85"/>
      <c r="CB133" s="85"/>
      <c r="CC133" s="85"/>
      <c r="CD133" s="85"/>
      <c r="CE133" s="85"/>
      <c r="CF133" s="85"/>
      <c r="CG133" s="85"/>
      <c r="CH133" s="85"/>
      <c r="CI133" s="85"/>
      <c r="CJ133" s="85"/>
      <c r="CK133" s="85"/>
      <c r="CL133" s="85"/>
      <c r="CM133" s="85"/>
      <c r="CN133" s="85"/>
      <c r="CO133" s="85"/>
      <c r="CP133" s="85"/>
      <c r="CQ133" s="85"/>
      <c r="CR133" s="85"/>
      <c r="CS133" s="85"/>
      <c r="CT133" s="85"/>
      <c r="CU133" s="85"/>
      <c r="CV133" s="85"/>
      <c r="CW133" s="85"/>
      <c r="CX133" s="85"/>
      <c r="CY133" s="84"/>
    </row>
    <row r="134" spans="1:103">
      <c r="A134" s="93">
        <v>45444</v>
      </c>
      <c r="B134" s="82">
        <f t="shared" ref="B134:B140" si="6">YEAR(A134)</f>
        <v>2024</v>
      </c>
      <c r="C134" s="86">
        <v>2.4081999999999999</v>
      </c>
      <c r="D134" s="86">
        <v>18.108333333333334</v>
      </c>
      <c r="E134" s="86">
        <v>0.2949033333333333</v>
      </c>
      <c r="F134" s="86">
        <v>1.6408666666666667</v>
      </c>
      <c r="G134" s="86">
        <v>6.9316666666666666</v>
      </c>
      <c r="H134" s="86">
        <v>15.189333333333334</v>
      </c>
      <c r="I134" s="86">
        <f t="shared" ref="I134:I140" si="7">SUM(C134:H134)</f>
        <v>44.573303333333342</v>
      </c>
    </row>
    <row r="135" spans="1:103">
      <c r="A135" s="93">
        <v>45474</v>
      </c>
      <c r="B135" s="82">
        <f t="shared" si="6"/>
        <v>2024</v>
      </c>
      <c r="C135" s="86">
        <v>2.2668709677419354</v>
      </c>
      <c r="D135" s="86">
        <v>17.051612903225806</v>
      </c>
      <c r="E135" s="86">
        <v>0.2857709677419355</v>
      </c>
      <c r="F135" s="86">
        <v>1.6368064516129033</v>
      </c>
      <c r="G135" s="86">
        <v>4.6974193548387095</v>
      </c>
      <c r="H135" s="86">
        <v>12.152903225806451</v>
      </c>
      <c r="I135" s="86">
        <f t="shared" si="7"/>
        <v>38.091383870967732</v>
      </c>
    </row>
    <row r="136" spans="1:103">
      <c r="A136" s="93">
        <v>45505</v>
      </c>
      <c r="B136" s="82">
        <f t="shared" si="6"/>
        <v>2024</v>
      </c>
      <c r="C136" s="86">
        <v>2.3314516129032259</v>
      </c>
      <c r="D136" s="86">
        <v>18.022580645161291</v>
      </c>
      <c r="E136" s="86">
        <v>0.28196129032258066</v>
      </c>
      <c r="F136" s="86">
        <v>1.5455483870967741</v>
      </c>
      <c r="G136" s="86">
        <v>3.5574193548387099</v>
      </c>
      <c r="H136" s="86">
        <v>11.209354838709677</v>
      </c>
      <c r="I136" s="86">
        <f t="shared" si="7"/>
        <v>36.948316129032257</v>
      </c>
    </row>
    <row r="137" spans="1:103">
      <c r="A137" s="93">
        <v>45536</v>
      </c>
      <c r="B137" s="82">
        <f t="shared" si="6"/>
        <v>2024</v>
      </c>
      <c r="C137" s="86">
        <v>2.247266666666667</v>
      </c>
      <c r="D137" s="86">
        <v>20.126333333333331</v>
      </c>
      <c r="E137" s="86">
        <v>0.29194999999999999</v>
      </c>
      <c r="F137" s="86">
        <v>1.4747333333333332</v>
      </c>
      <c r="G137" s="86">
        <v>5.0720000000000001</v>
      </c>
      <c r="H137" s="86">
        <v>12.545</v>
      </c>
      <c r="I137" s="86">
        <f t="shared" si="7"/>
        <v>41.757283333333334</v>
      </c>
    </row>
    <row r="138" spans="1:103">
      <c r="A138" s="93">
        <v>45566</v>
      </c>
      <c r="B138" s="82">
        <f t="shared" si="6"/>
        <v>2024</v>
      </c>
      <c r="C138" s="86">
        <v>2.1176129032258064</v>
      </c>
      <c r="D138" s="86">
        <v>20.763870967741934</v>
      </c>
      <c r="E138" s="86">
        <v>0.28854516129032259</v>
      </c>
      <c r="F138" s="86">
        <v>1.5558064516129031</v>
      </c>
      <c r="G138" s="86">
        <v>6.3038709677419353</v>
      </c>
      <c r="H138" s="86">
        <v>14.62516129032258</v>
      </c>
      <c r="I138" s="86">
        <f t="shared" si="7"/>
        <v>45.654867741935483</v>
      </c>
    </row>
    <row r="139" spans="1:103">
      <c r="A139" s="93">
        <v>45597</v>
      </c>
      <c r="B139" s="82">
        <f t="shared" si="6"/>
        <v>2024</v>
      </c>
      <c r="C139" s="86">
        <v>1.9748666666666668</v>
      </c>
      <c r="D139" s="86">
        <v>20.792666666666666</v>
      </c>
      <c r="E139" s="86">
        <v>0.29338333333333338</v>
      </c>
      <c r="F139" s="86">
        <v>1.5739333333333334</v>
      </c>
      <c r="G139" s="86">
        <v>7.6033333333333335</v>
      </c>
      <c r="H139" s="86">
        <v>15.222000000000001</v>
      </c>
      <c r="I139" s="86">
        <f t="shared" si="7"/>
        <v>47.460183333333333</v>
      </c>
    </row>
    <row r="140" spans="1:103">
      <c r="A140" s="93">
        <v>45627</v>
      </c>
      <c r="B140" s="82">
        <f t="shared" si="6"/>
        <v>2024</v>
      </c>
      <c r="C140" s="86">
        <v>2.1792258064516128</v>
      </c>
      <c r="D140" s="86">
        <v>19.155483870967743</v>
      </c>
      <c r="E140" s="86">
        <v>0.29547096774193549</v>
      </c>
      <c r="F140" s="86">
        <v>1.4371612903225806</v>
      </c>
      <c r="G140" s="86">
        <v>8.0606451612903225</v>
      </c>
      <c r="H140" s="86">
        <v>13.06516129032258</v>
      </c>
      <c r="I140" s="86">
        <f t="shared" si="7"/>
        <v>44.19314838709677</v>
      </c>
    </row>
  </sheetData>
  <dataConsolidate/>
  <pageMargins left="0.75" right="0.75" top="1" bottom="1" header="0" footer="0"/>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0"/>
  <dimension ref="A1:DS140"/>
  <sheetViews>
    <sheetView workbookViewId="0">
      <selection activeCell="D18" sqref="D18"/>
    </sheetView>
  </sheetViews>
  <sheetFormatPr baseColWidth="10" defaultRowHeight="12.75"/>
  <cols>
    <col min="1" max="1" width="11.42578125" style="88"/>
    <col min="2" max="2" width="17.28515625" style="87" customWidth="1"/>
    <col min="3" max="3" width="26" style="87" bestFit="1" customWidth="1"/>
    <col min="4" max="4" width="19.85546875" style="87" bestFit="1" customWidth="1"/>
    <col min="5" max="16384" width="11.42578125" style="87"/>
  </cols>
  <sheetData>
    <row r="1" spans="1:123">
      <c r="A1" s="84" t="s">
        <v>245</v>
      </c>
      <c r="B1" s="84"/>
      <c r="C1" s="84"/>
      <c r="D1" s="84"/>
      <c r="E1" s="84"/>
      <c r="F1" s="84"/>
      <c r="G1" s="84"/>
      <c r="H1" s="84"/>
      <c r="I1" s="84"/>
      <c r="J1" s="84"/>
      <c r="K1" s="84"/>
      <c r="L1" s="84"/>
      <c r="M1" s="84"/>
      <c r="N1" s="84"/>
      <c r="O1" s="84"/>
      <c r="P1" s="84"/>
      <c r="Q1" s="84"/>
      <c r="R1" s="84"/>
      <c r="S1" s="84"/>
      <c r="T1" s="84"/>
      <c r="U1" s="84"/>
      <c r="V1" s="84"/>
      <c r="W1" s="84"/>
      <c r="X1" s="84"/>
      <c r="Y1" s="84"/>
      <c r="Z1" s="84"/>
      <c r="AA1" s="84"/>
      <c r="AB1" s="84"/>
      <c r="AC1" s="84"/>
      <c r="AD1" s="84"/>
      <c r="AE1" s="84"/>
      <c r="AF1" s="84"/>
      <c r="AG1" s="84"/>
      <c r="AH1" s="84"/>
      <c r="AI1" s="84"/>
      <c r="AJ1" s="84"/>
      <c r="AK1" s="84"/>
      <c r="AL1" s="84"/>
      <c r="AM1" s="84"/>
      <c r="AN1" s="84"/>
      <c r="AO1" s="84"/>
      <c r="AP1" s="84"/>
      <c r="AQ1" s="84"/>
      <c r="AR1" s="84"/>
      <c r="AS1" s="84"/>
      <c r="AT1" s="84"/>
      <c r="AU1" s="84"/>
      <c r="AV1" s="84"/>
      <c r="AW1" s="84"/>
      <c r="AX1" s="84"/>
      <c r="AY1" s="84"/>
      <c r="AZ1" s="84"/>
      <c r="BA1" s="84"/>
      <c r="BB1" s="84"/>
      <c r="BC1" s="84"/>
      <c r="BD1" s="84"/>
      <c r="BE1" s="84"/>
      <c r="BF1" s="84"/>
      <c r="BG1" s="84"/>
      <c r="BH1" s="84"/>
      <c r="BI1" s="84"/>
      <c r="BJ1" s="84"/>
      <c r="BK1" s="84"/>
      <c r="BL1" s="84"/>
      <c r="BM1" s="84"/>
      <c r="BN1" s="84"/>
      <c r="BO1" s="84"/>
      <c r="BP1" s="84"/>
      <c r="BQ1" s="84"/>
      <c r="BR1" s="84"/>
      <c r="BS1" s="84"/>
      <c r="BT1" s="84"/>
      <c r="BU1" s="84"/>
      <c r="BV1" s="84"/>
      <c r="BW1" s="84"/>
      <c r="BX1" s="84"/>
      <c r="BY1" s="84"/>
      <c r="BZ1" s="84"/>
      <c r="CA1" s="84"/>
      <c r="CB1" s="84"/>
      <c r="CC1" s="84"/>
      <c r="CD1" s="84"/>
      <c r="CE1" s="84"/>
      <c r="CF1" s="84"/>
      <c r="CG1" s="84"/>
      <c r="CH1" s="84"/>
      <c r="CI1" s="84"/>
      <c r="CJ1" s="84"/>
      <c r="CK1" s="84"/>
      <c r="CL1" s="84"/>
      <c r="CM1" s="84"/>
      <c r="CN1" s="84"/>
      <c r="CO1" s="84"/>
      <c r="CP1" s="84"/>
      <c r="CQ1" s="84"/>
      <c r="CR1" s="84"/>
      <c r="CS1" s="84"/>
      <c r="CT1" s="84"/>
      <c r="CU1" s="84"/>
      <c r="CV1" s="84"/>
      <c r="CW1" s="84"/>
      <c r="CX1" s="84"/>
      <c r="CY1" s="84"/>
      <c r="CZ1" s="84"/>
      <c r="DA1" s="84"/>
      <c r="DB1" s="84"/>
      <c r="DC1" s="84"/>
      <c r="DD1" s="84"/>
      <c r="DE1" s="84"/>
      <c r="DF1" s="84"/>
      <c r="DG1" s="84"/>
      <c r="DH1" s="84"/>
      <c r="DI1" s="84"/>
      <c r="DJ1" s="84"/>
      <c r="DK1" s="84"/>
      <c r="DL1" s="84"/>
      <c r="DM1" s="84"/>
      <c r="DN1" s="84"/>
      <c r="DO1" s="84"/>
      <c r="DP1" s="84"/>
      <c r="DQ1" s="84"/>
      <c r="DR1" s="84"/>
      <c r="DS1" s="84"/>
    </row>
    <row r="2" spans="1:123">
      <c r="A2" s="84" t="s">
        <v>14</v>
      </c>
      <c r="B2" s="84"/>
      <c r="C2" s="84"/>
      <c r="D2" s="84"/>
      <c r="E2" s="84"/>
      <c r="F2" s="84"/>
      <c r="G2" s="84"/>
      <c r="H2" s="84"/>
      <c r="I2" s="84"/>
      <c r="J2" s="84"/>
      <c r="K2" s="84"/>
      <c r="L2" s="84"/>
      <c r="M2" s="84"/>
      <c r="N2" s="84"/>
      <c r="O2" s="84"/>
      <c r="P2" s="84"/>
      <c r="Q2" s="84"/>
      <c r="R2" s="84"/>
      <c r="S2" s="84"/>
      <c r="T2" s="84"/>
      <c r="U2" s="84"/>
      <c r="V2" s="84"/>
      <c r="W2" s="84"/>
      <c r="X2" s="84"/>
      <c r="Y2" s="84"/>
      <c r="Z2" s="84"/>
      <c r="AA2" s="84"/>
      <c r="AB2" s="84"/>
      <c r="AC2" s="84"/>
      <c r="AD2" s="84"/>
      <c r="AE2" s="84"/>
      <c r="AF2" s="84"/>
      <c r="AG2" s="84"/>
      <c r="AH2" s="84"/>
      <c r="AI2" s="84"/>
      <c r="AJ2" s="84"/>
      <c r="AK2" s="84"/>
      <c r="AL2" s="84"/>
      <c r="AM2" s="84"/>
      <c r="AN2" s="84"/>
      <c r="AO2" s="84"/>
      <c r="AP2" s="84"/>
      <c r="AQ2" s="84"/>
      <c r="AR2" s="84"/>
      <c r="AS2" s="84"/>
      <c r="AT2" s="84"/>
      <c r="AU2" s="84"/>
      <c r="AV2" s="84"/>
      <c r="AW2" s="84"/>
      <c r="AX2" s="84"/>
      <c r="AY2" s="84"/>
      <c r="AZ2" s="84"/>
      <c r="BA2" s="84"/>
      <c r="BB2" s="84"/>
      <c r="BC2" s="84"/>
      <c r="BD2" s="84"/>
      <c r="BE2" s="84"/>
      <c r="BF2" s="84"/>
      <c r="BG2" s="84"/>
      <c r="BH2" s="84"/>
      <c r="BI2" s="84"/>
      <c r="BJ2" s="84"/>
      <c r="BK2" s="84"/>
      <c r="BL2" s="84"/>
      <c r="BM2" s="84"/>
      <c r="BN2" s="84"/>
      <c r="BO2" s="84"/>
      <c r="BP2" s="84"/>
      <c r="BQ2" s="84"/>
      <c r="BR2" s="84"/>
      <c r="BS2" s="84"/>
      <c r="BT2" s="84"/>
      <c r="BU2" s="84"/>
      <c r="BV2" s="84"/>
      <c r="BW2" s="84"/>
      <c r="BX2" s="84"/>
      <c r="BY2" s="84"/>
      <c r="BZ2" s="84"/>
      <c r="CA2" s="84"/>
      <c r="CB2" s="84"/>
      <c r="CC2" s="84"/>
      <c r="CD2" s="84"/>
      <c r="CE2" s="84"/>
      <c r="CF2" s="84"/>
      <c r="CG2" s="84"/>
      <c r="CH2" s="84"/>
      <c r="CI2" s="84"/>
      <c r="CJ2" s="84"/>
      <c r="CK2" s="84"/>
      <c r="CL2" s="84"/>
      <c r="CM2" s="84"/>
      <c r="CN2" s="84"/>
      <c r="CO2" s="84"/>
      <c r="CP2" s="84"/>
      <c r="CQ2" s="84"/>
      <c r="CR2" s="84"/>
      <c r="CS2" s="84"/>
      <c r="CT2" s="84"/>
      <c r="CU2" s="84"/>
      <c r="CV2" s="84"/>
      <c r="CW2" s="84"/>
      <c r="CX2" s="84"/>
      <c r="CY2" s="84"/>
      <c r="CZ2" s="84"/>
      <c r="DA2" s="84"/>
      <c r="DB2" s="84"/>
      <c r="DC2" s="84"/>
      <c r="DD2" s="84"/>
      <c r="DE2" s="84"/>
      <c r="DF2" s="84"/>
      <c r="DG2" s="84"/>
      <c r="DH2" s="84"/>
      <c r="DI2" s="84"/>
      <c r="DJ2" s="84"/>
      <c r="DK2" s="84"/>
      <c r="DL2" s="84"/>
      <c r="DM2" s="84"/>
      <c r="DN2" s="84"/>
      <c r="DO2" s="84"/>
      <c r="DP2" s="84"/>
      <c r="DQ2" s="84"/>
      <c r="DR2" s="84"/>
      <c r="DS2" s="84"/>
    </row>
    <row r="3" spans="1:123">
      <c r="A3" s="84" t="s">
        <v>14</v>
      </c>
      <c r="B3" s="84" t="s">
        <v>240</v>
      </c>
      <c r="C3" s="84"/>
      <c r="D3" s="84"/>
      <c r="E3" s="84"/>
      <c r="F3" s="84"/>
      <c r="G3" s="84"/>
      <c r="H3" s="84"/>
      <c r="I3" s="84"/>
      <c r="J3" s="84"/>
      <c r="K3" s="84"/>
      <c r="L3" s="84"/>
      <c r="M3" s="84"/>
      <c r="N3" s="84"/>
      <c r="O3" s="84"/>
      <c r="P3" s="84"/>
      <c r="Q3" s="84"/>
      <c r="R3" s="84"/>
      <c r="S3" s="84"/>
      <c r="T3" s="84"/>
      <c r="U3" s="84"/>
      <c r="V3" s="84"/>
      <c r="W3" s="84"/>
      <c r="X3" s="84"/>
      <c r="Y3" s="84"/>
      <c r="Z3" s="84"/>
      <c r="AA3" s="84"/>
      <c r="AB3" s="84"/>
      <c r="AC3" s="84"/>
      <c r="AD3" s="84"/>
      <c r="AE3" s="84"/>
      <c r="AF3" s="84"/>
      <c r="AG3" s="84"/>
      <c r="AH3" s="84"/>
      <c r="AI3" s="84"/>
      <c r="AJ3" s="84"/>
      <c r="AK3" s="84"/>
      <c r="AL3" s="84"/>
      <c r="AM3" s="84"/>
      <c r="AN3" s="84"/>
      <c r="AO3" s="84"/>
      <c r="AP3" s="84"/>
      <c r="AQ3" s="84"/>
      <c r="AR3" s="84"/>
      <c r="AS3" s="84"/>
      <c r="AT3" s="84"/>
      <c r="AU3" s="84"/>
      <c r="AV3" s="84"/>
      <c r="AW3" s="84"/>
      <c r="AX3" s="84"/>
      <c r="AY3" s="84"/>
      <c r="AZ3" s="84"/>
      <c r="BA3" s="84"/>
      <c r="BB3" s="84"/>
      <c r="BC3" s="84"/>
      <c r="BD3" s="84"/>
      <c r="BE3" s="84"/>
      <c r="BF3" s="84"/>
      <c r="BG3" s="84"/>
      <c r="BH3" s="84"/>
      <c r="BI3" s="84"/>
      <c r="BJ3" s="84"/>
      <c r="BK3" s="84"/>
      <c r="BL3" s="84"/>
      <c r="BM3" s="84"/>
      <c r="BN3" s="84"/>
      <c r="BO3" s="84"/>
      <c r="BP3" s="84"/>
      <c r="BQ3" s="84"/>
      <c r="BR3" s="84"/>
      <c r="BS3" s="84"/>
      <c r="BT3" s="84"/>
      <c r="BU3" s="84"/>
      <c r="BV3" s="84"/>
      <c r="BW3" s="84"/>
      <c r="BX3" s="84"/>
      <c r="BY3" s="84"/>
      <c r="BZ3" s="84"/>
      <c r="CA3" s="84"/>
      <c r="CB3" s="84"/>
      <c r="CC3" s="84"/>
      <c r="CD3" s="84"/>
      <c r="CE3" s="84"/>
      <c r="CF3" s="84"/>
      <c r="CG3" s="84"/>
      <c r="CH3" s="84"/>
      <c r="CI3" s="84"/>
      <c r="CJ3" s="84"/>
      <c r="CK3" s="84"/>
      <c r="CL3" s="84"/>
      <c r="CM3" s="84"/>
      <c r="CN3" s="84"/>
      <c r="CO3" s="84"/>
      <c r="CP3" s="84"/>
      <c r="CQ3" s="84"/>
      <c r="CR3" s="84"/>
      <c r="CS3" s="84"/>
      <c r="CT3" s="84"/>
      <c r="CU3" s="84"/>
      <c r="CV3" s="84"/>
      <c r="CW3" s="84"/>
      <c r="CX3" s="84"/>
      <c r="CY3" s="84"/>
      <c r="CZ3" s="84"/>
      <c r="DA3" s="84"/>
      <c r="DB3" s="84"/>
      <c r="DC3" s="84"/>
      <c r="DD3" s="84"/>
      <c r="DE3" s="84"/>
      <c r="DF3" s="84"/>
      <c r="DG3" s="84"/>
      <c r="DH3" s="84"/>
      <c r="DI3" s="84"/>
      <c r="DJ3" s="84"/>
      <c r="DK3" s="84"/>
      <c r="DL3" s="84"/>
      <c r="DM3" s="84"/>
      <c r="DN3" s="84"/>
      <c r="DO3" s="84"/>
      <c r="DP3" s="84"/>
      <c r="DQ3" s="84"/>
      <c r="DR3" s="84"/>
      <c r="DS3" s="84"/>
    </row>
    <row r="4" spans="1:123">
      <c r="A4" s="84" t="s">
        <v>14</v>
      </c>
      <c r="B4" s="84" t="s">
        <v>239</v>
      </c>
      <c r="C4" s="84"/>
      <c r="D4" s="84"/>
      <c r="E4" s="84"/>
      <c r="F4" s="84"/>
      <c r="G4" s="84"/>
      <c r="H4" s="84"/>
      <c r="I4" s="84"/>
      <c r="J4" s="84"/>
      <c r="K4" s="84"/>
      <c r="L4" s="84"/>
      <c r="M4" s="84"/>
      <c r="N4" s="84"/>
      <c r="O4" s="84"/>
      <c r="P4" s="84"/>
      <c r="Q4" s="84"/>
      <c r="R4" s="84"/>
      <c r="S4" s="84"/>
      <c r="T4" s="84"/>
      <c r="U4" s="84"/>
      <c r="V4" s="84"/>
      <c r="W4" s="84"/>
      <c r="X4" s="84"/>
      <c r="Y4" s="84"/>
      <c r="Z4" s="84"/>
      <c r="AA4" s="84"/>
      <c r="AB4" s="84"/>
      <c r="AC4" s="84"/>
      <c r="AD4" s="84"/>
      <c r="AE4" s="84"/>
      <c r="AF4" s="84"/>
      <c r="AG4" s="84"/>
      <c r="AH4" s="84"/>
      <c r="AI4" s="84"/>
      <c r="AJ4" s="84"/>
      <c r="AK4" s="84"/>
      <c r="AL4" s="84"/>
      <c r="AM4" s="84"/>
      <c r="AN4" s="84"/>
      <c r="AO4" s="84"/>
      <c r="AP4" s="84"/>
      <c r="AQ4" s="84"/>
      <c r="AR4" s="84"/>
      <c r="AS4" s="84"/>
      <c r="AT4" s="84"/>
      <c r="AU4" s="84"/>
      <c r="AV4" s="84"/>
      <c r="AW4" s="84"/>
      <c r="AX4" s="84"/>
      <c r="AY4" s="84"/>
      <c r="AZ4" s="84"/>
      <c r="BA4" s="84"/>
      <c r="BB4" s="84"/>
      <c r="BC4" s="84"/>
      <c r="BD4" s="84"/>
      <c r="BE4" s="84"/>
      <c r="BF4" s="84"/>
      <c r="BG4" s="84"/>
      <c r="BH4" s="84"/>
      <c r="BI4" s="84"/>
      <c r="BJ4" s="84"/>
      <c r="BK4" s="84"/>
      <c r="BL4" s="84"/>
      <c r="BM4" s="84"/>
      <c r="BN4" s="84"/>
      <c r="BO4" s="84"/>
      <c r="BP4" s="84"/>
      <c r="BQ4" s="84"/>
      <c r="BR4" s="84"/>
      <c r="BS4" s="84"/>
      <c r="BT4" s="84"/>
      <c r="BU4" s="84"/>
      <c r="BV4" s="84"/>
      <c r="BW4" s="84"/>
      <c r="BX4" s="84"/>
      <c r="BY4" s="84"/>
      <c r="BZ4" s="84"/>
      <c r="CA4" s="84"/>
      <c r="CB4" s="84"/>
      <c r="CC4" s="84"/>
      <c r="CD4" s="84"/>
      <c r="CE4" s="84"/>
      <c r="CF4" s="84"/>
      <c r="CG4" s="84"/>
      <c r="CH4" s="84"/>
      <c r="CI4" s="84"/>
      <c r="CJ4" s="84"/>
      <c r="CK4" s="84"/>
      <c r="CL4" s="84"/>
      <c r="CM4" s="84"/>
      <c r="CN4" s="84"/>
      <c r="CO4" s="84"/>
      <c r="CP4" s="84"/>
      <c r="CQ4" s="84"/>
      <c r="CR4" s="84"/>
      <c r="CS4" s="84"/>
      <c r="CT4" s="84"/>
      <c r="CU4" s="84"/>
      <c r="CV4" s="84"/>
      <c r="CW4" s="84"/>
      <c r="CX4" s="84"/>
      <c r="CY4" s="84"/>
      <c r="CZ4" s="84"/>
      <c r="DA4" s="84"/>
      <c r="DB4" s="84"/>
      <c r="DC4" s="84"/>
      <c r="DD4" s="84"/>
      <c r="DE4" s="84"/>
      <c r="DF4" s="84"/>
      <c r="DG4" s="84"/>
      <c r="DH4" s="84"/>
      <c r="DI4" s="84"/>
      <c r="DJ4" s="84"/>
      <c r="DK4" s="84"/>
      <c r="DL4" s="84"/>
      <c r="DM4" s="84"/>
      <c r="DN4" s="84"/>
      <c r="DO4" s="84"/>
      <c r="DP4" s="84"/>
      <c r="DQ4" s="84"/>
      <c r="DR4" s="84"/>
      <c r="DS4" s="84"/>
    </row>
    <row r="5" spans="1:123">
      <c r="A5" s="84" t="s">
        <v>18</v>
      </c>
      <c r="B5" s="84"/>
      <c r="C5" s="84"/>
      <c r="D5" s="84"/>
      <c r="E5" s="84"/>
      <c r="F5" s="84"/>
      <c r="G5" s="84"/>
      <c r="H5" s="84"/>
      <c r="I5" s="84"/>
      <c r="J5" s="84"/>
      <c r="K5" s="84"/>
      <c r="L5" s="84"/>
      <c r="M5" s="84"/>
      <c r="N5" s="84"/>
      <c r="O5" s="84"/>
      <c r="P5" s="84"/>
      <c r="Q5" s="84"/>
      <c r="R5" s="84"/>
      <c r="S5" s="84"/>
      <c r="T5" s="84"/>
      <c r="U5" s="84"/>
      <c r="V5" s="84"/>
      <c r="W5" s="84"/>
      <c r="X5" s="84"/>
      <c r="Y5" s="84"/>
      <c r="Z5" s="84"/>
    </row>
    <row r="6" spans="1:123">
      <c r="A6" s="84" t="s">
        <v>18</v>
      </c>
      <c r="B6" s="84" t="s">
        <v>244</v>
      </c>
      <c r="C6" s="84" t="s">
        <v>244</v>
      </c>
      <c r="D6" s="84"/>
      <c r="E6" s="84"/>
      <c r="F6" s="84"/>
      <c r="G6" s="84"/>
      <c r="H6" s="84"/>
      <c r="I6" s="84"/>
      <c r="J6" s="84"/>
      <c r="K6" s="84"/>
      <c r="L6" s="84"/>
      <c r="M6" s="84"/>
      <c r="N6" s="84"/>
      <c r="O6" s="84"/>
      <c r="P6" s="84"/>
      <c r="Q6" s="84"/>
      <c r="R6" s="84"/>
      <c r="S6" s="84"/>
      <c r="T6" s="84"/>
      <c r="U6" s="84"/>
      <c r="V6" s="84"/>
      <c r="W6" s="84"/>
      <c r="X6" s="84"/>
      <c r="Y6" s="84"/>
      <c r="Z6" s="84"/>
    </row>
    <row r="7" spans="1:123">
      <c r="A7" s="84" t="s">
        <v>18</v>
      </c>
      <c r="C7" s="84" t="s">
        <v>243</v>
      </c>
      <c r="D7" s="84" t="s">
        <v>242</v>
      </c>
      <c r="E7" s="84"/>
      <c r="F7" s="84"/>
      <c r="G7" s="84"/>
      <c r="H7" s="84"/>
      <c r="I7" s="84"/>
      <c r="J7" s="84"/>
      <c r="K7" s="84"/>
      <c r="L7" s="84"/>
      <c r="M7" s="84"/>
      <c r="N7" s="84"/>
      <c r="O7" s="84"/>
      <c r="P7" s="84"/>
      <c r="Q7" s="84"/>
      <c r="R7" s="84"/>
      <c r="S7" s="84"/>
      <c r="T7" s="84"/>
      <c r="U7" s="84"/>
      <c r="V7" s="84"/>
      <c r="W7" s="84"/>
      <c r="X7" s="84"/>
      <c r="Y7" s="84"/>
      <c r="Z7" s="84"/>
    </row>
    <row r="8" spans="1:123">
      <c r="A8" s="84" t="s">
        <v>21</v>
      </c>
      <c r="B8" s="84"/>
      <c r="C8" s="84" t="s">
        <v>122</v>
      </c>
      <c r="D8" s="84" t="s">
        <v>122</v>
      </c>
      <c r="E8" s="84"/>
      <c r="F8" s="84"/>
      <c r="G8" s="84"/>
      <c r="H8" s="84"/>
      <c r="I8" s="84"/>
      <c r="J8" s="84"/>
      <c r="K8" s="84"/>
      <c r="L8" s="84"/>
      <c r="M8" s="84"/>
      <c r="N8" s="84"/>
      <c r="O8" s="84"/>
      <c r="P8" s="84"/>
      <c r="Q8" s="84"/>
      <c r="R8" s="84"/>
      <c r="S8" s="84"/>
      <c r="T8" s="84"/>
      <c r="U8" s="84"/>
      <c r="V8" s="84"/>
      <c r="W8" s="84"/>
      <c r="X8" s="84"/>
      <c r="Y8" s="84"/>
      <c r="Z8" s="84"/>
      <c r="AA8" s="84"/>
    </row>
    <row r="9" spans="1:123">
      <c r="A9" s="93">
        <v>41640</v>
      </c>
      <c r="B9" s="82">
        <f>YEAR(A9)</f>
        <v>2014</v>
      </c>
      <c r="C9" s="89">
        <v>0</v>
      </c>
      <c r="D9" s="89">
        <v>0</v>
      </c>
      <c r="E9" s="84"/>
      <c r="F9" s="84"/>
      <c r="G9" s="84"/>
      <c r="H9" s="84"/>
      <c r="I9" s="84"/>
      <c r="J9" s="84"/>
      <c r="K9" s="84"/>
      <c r="L9" s="84"/>
      <c r="M9" s="84"/>
      <c r="N9" s="84"/>
      <c r="O9" s="84"/>
      <c r="P9" s="84"/>
      <c r="Q9" s="84"/>
      <c r="R9" s="84"/>
      <c r="S9" s="84"/>
      <c r="T9" s="84"/>
      <c r="U9" s="84"/>
      <c r="V9" s="84"/>
      <c r="W9" s="84"/>
      <c r="X9" s="84"/>
      <c r="Y9" s="84"/>
      <c r="Z9" s="84"/>
      <c r="AA9" s="84"/>
    </row>
    <row r="10" spans="1:123">
      <c r="A10" s="93">
        <v>41671</v>
      </c>
      <c r="B10" s="82">
        <f t="shared" ref="B10:B73" si="0">YEAR(A10)</f>
        <v>2014</v>
      </c>
      <c r="C10" s="89">
        <v>0</v>
      </c>
      <c r="D10" s="89">
        <v>0</v>
      </c>
      <c r="E10" s="84"/>
      <c r="F10" s="84"/>
      <c r="G10" s="84"/>
      <c r="H10" s="84"/>
      <c r="I10" s="84"/>
      <c r="J10" s="84"/>
      <c r="K10" s="84"/>
      <c r="L10" s="84"/>
      <c r="M10" s="84"/>
      <c r="N10" s="84"/>
      <c r="O10" s="84"/>
      <c r="P10" s="84"/>
      <c r="Q10" s="84"/>
      <c r="R10" s="84"/>
      <c r="S10" s="84"/>
      <c r="T10" s="84"/>
      <c r="U10" s="84"/>
      <c r="V10" s="84"/>
      <c r="W10" s="84"/>
      <c r="X10" s="84"/>
      <c r="Y10" s="84"/>
      <c r="Z10" s="84"/>
      <c r="AA10" s="84"/>
    </row>
    <row r="11" spans="1:123">
      <c r="A11" s="93">
        <v>41699</v>
      </c>
      <c r="B11" s="82">
        <f t="shared" si="0"/>
        <v>2014</v>
      </c>
      <c r="C11" s="89">
        <v>0</v>
      </c>
      <c r="D11" s="89">
        <v>0</v>
      </c>
      <c r="E11" s="84"/>
      <c r="F11" s="84"/>
      <c r="G11" s="84"/>
      <c r="H11" s="84"/>
      <c r="I11" s="84"/>
      <c r="J11" s="84"/>
      <c r="K11" s="84"/>
      <c r="L11" s="84"/>
      <c r="M11" s="84"/>
      <c r="N11" s="84"/>
      <c r="O11" s="84"/>
      <c r="P11" s="84"/>
      <c r="Q11" s="84"/>
      <c r="R11" s="84"/>
      <c r="S11" s="84"/>
      <c r="T11" s="84"/>
      <c r="U11" s="84"/>
      <c r="V11" s="84"/>
      <c r="W11" s="84"/>
      <c r="X11" s="84"/>
      <c r="Y11" s="84"/>
      <c r="Z11" s="84"/>
      <c r="AA11" s="84"/>
    </row>
    <row r="12" spans="1:123">
      <c r="A12" s="93">
        <v>41730</v>
      </c>
      <c r="B12" s="82">
        <f t="shared" si="0"/>
        <v>2014</v>
      </c>
      <c r="C12" s="89">
        <v>0</v>
      </c>
      <c r="D12" s="89">
        <v>3.5356666666666668E-2</v>
      </c>
      <c r="E12" s="84"/>
      <c r="F12" s="84"/>
      <c r="G12" s="84"/>
      <c r="H12" s="84"/>
      <c r="I12" s="84"/>
      <c r="J12" s="84"/>
      <c r="K12" s="84"/>
      <c r="L12" s="84"/>
      <c r="M12" s="84"/>
      <c r="N12" s="84"/>
      <c r="O12" s="84"/>
      <c r="P12" s="84"/>
      <c r="Q12" s="84"/>
      <c r="R12" s="84"/>
      <c r="S12" s="84"/>
      <c r="T12" s="84"/>
      <c r="U12" s="84"/>
      <c r="V12" s="84"/>
      <c r="W12" s="84"/>
      <c r="X12" s="84"/>
      <c r="Y12" s="84"/>
      <c r="Z12" s="84"/>
      <c r="AA12" s="84"/>
    </row>
    <row r="13" spans="1:123">
      <c r="A13" s="93">
        <v>41760</v>
      </c>
      <c r="B13" s="82">
        <f t="shared" si="0"/>
        <v>2014</v>
      </c>
      <c r="C13" s="89">
        <v>0</v>
      </c>
      <c r="D13" s="89">
        <v>0</v>
      </c>
      <c r="E13" s="84"/>
      <c r="F13" s="84"/>
      <c r="G13" s="84"/>
      <c r="H13" s="84"/>
      <c r="I13" s="84"/>
      <c r="J13" s="84"/>
      <c r="K13" s="84"/>
      <c r="L13" s="84"/>
      <c r="M13" s="84"/>
      <c r="N13" s="84"/>
      <c r="O13" s="84"/>
      <c r="P13" s="84"/>
      <c r="Q13" s="84"/>
      <c r="R13" s="84"/>
      <c r="S13" s="84"/>
      <c r="T13" s="84"/>
      <c r="U13" s="84"/>
      <c r="V13" s="84"/>
      <c r="W13" s="84"/>
      <c r="X13" s="84"/>
      <c r="Y13" s="84"/>
      <c r="Z13" s="84"/>
      <c r="AA13" s="84"/>
    </row>
    <row r="14" spans="1:123">
      <c r="A14" s="93">
        <v>41791</v>
      </c>
      <c r="B14" s="82">
        <f t="shared" si="0"/>
        <v>2014</v>
      </c>
      <c r="C14" s="89">
        <v>0</v>
      </c>
      <c r="D14" s="89">
        <v>4.1980000000000003E-2</v>
      </c>
      <c r="E14" s="84"/>
      <c r="F14" s="84"/>
      <c r="G14" s="84"/>
      <c r="H14" s="84"/>
      <c r="I14" s="84"/>
      <c r="J14" s="84"/>
      <c r="K14" s="84"/>
      <c r="L14" s="84"/>
      <c r="M14" s="84"/>
      <c r="N14" s="84"/>
      <c r="O14" s="84"/>
      <c r="P14" s="84"/>
      <c r="Q14" s="84"/>
      <c r="R14" s="84"/>
      <c r="S14" s="84"/>
      <c r="T14" s="84"/>
      <c r="U14" s="84"/>
      <c r="V14" s="84"/>
      <c r="W14" s="84"/>
      <c r="X14" s="84"/>
      <c r="Y14" s="84"/>
      <c r="Z14" s="84"/>
      <c r="AA14" s="84"/>
    </row>
    <row r="15" spans="1:123">
      <c r="A15" s="93">
        <v>41821</v>
      </c>
      <c r="B15" s="82">
        <f t="shared" si="0"/>
        <v>2014</v>
      </c>
      <c r="C15" s="89">
        <v>0</v>
      </c>
      <c r="D15" s="89">
        <v>0</v>
      </c>
      <c r="E15" s="84"/>
      <c r="F15" s="84"/>
      <c r="G15" s="84"/>
      <c r="H15" s="84"/>
      <c r="I15" s="84"/>
      <c r="J15" s="84"/>
      <c r="K15" s="84"/>
      <c r="L15" s="84"/>
      <c r="M15" s="84"/>
      <c r="N15" s="84"/>
      <c r="O15" s="84"/>
      <c r="P15" s="84"/>
      <c r="Q15" s="84"/>
      <c r="R15" s="84"/>
      <c r="S15" s="84"/>
      <c r="T15" s="84"/>
      <c r="U15" s="84"/>
      <c r="V15" s="84"/>
      <c r="W15" s="84"/>
      <c r="X15" s="84"/>
      <c r="Y15" s="84"/>
      <c r="Z15" s="84"/>
      <c r="AA15" s="84"/>
    </row>
    <row r="16" spans="1:123">
      <c r="A16" s="93">
        <v>41852</v>
      </c>
      <c r="B16" s="82">
        <f t="shared" si="0"/>
        <v>2014</v>
      </c>
      <c r="C16" s="89">
        <v>0</v>
      </c>
      <c r="D16" s="89">
        <v>9.9506451612903224E-4</v>
      </c>
      <c r="E16" s="84"/>
      <c r="F16" s="84"/>
      <c r="G16" s="84"/>
      <c r="H16" s="84"/>
      <c r="I16" s="84"/>
      <c r="J16" s="84"/>
      <c r="K16" s="84"/>
      <c r="L16" s="84"/>
      <c r="M16" s="84"/>
      <c r="N16" s="84"/>
      <c r="O16" s="84"/>
      <c r="P16" s="84"/>
      <c r="Q16" s="84"/>
      <c r="R16" s="84"/>
      <c r="S16" s="84"/>
      <c r="T16" s="84"/>
      <c r="U16" s="84"/>
      <c r="V16" s="84"/>
      <c r="W16" s="84"/>
      <c r="X16" s="84"/>
      <c r="Y16" s="84"/>
      <c r="Z16" s="84"/>
      <c r="AA16" s="84"/>
    </row>
    <row r="17" spans="1:27">
      <c r="A17" s="93">
        <v>41883</v>
      </c>
      <c r="B17" s="82">
        <f t="shared" si="0"/>
        <v>2014</v>
      </c>
      <c r="C17" s="89">
        <v>0</v>
      </c>
      <c r="D17" s="89">
        <v>5.9113333333333337E-2</v>
      </c>
      <c r="E17" s="84"/>
      <c r="F17" s="84"/>
      <c r="G17" s="84"/>
      <c r="H17" s="84"/>
      <c r="I17" s="84"/>
      <c r="J17" s="84"/>
      <c r="K17" s="84"/>
      <c r="L17" s="84"/>
      <c r="M17" s="84"/>
      <c r="N17" s="84"/>
      <c r="O17" s="84"/>
      <c r="P17" s="84"/>
      <c r="Q17" s="84"/>
      <c r="R17" s="84"/>
      <c r="S17" s="84"/>
      <c r="T17" s="84"/>
      <c r="U17" s="84"/>
      <c r="V17" s="84"/>
      <c r="W17" s="84"/>
      <c r="X17" s="84"/>
      <c r="Y17" s="84"/>
      <c r="Z17" s="84"/>
      <c r="AA17" s="84"/>
    </row>
    <row r="18" spans="1:27">
      <c r="A18" s="93">
        <v>41913</v>
      </c>
      <c r="B18" s="82">
        <f t="shared" si="0"/>
        <v>2014</v>
      </c>
      <c r="C18" s="89">
        <v>0</v>
      </c>
      <c r="D18" s="89">
        <v>9.8754838709677411E-4</v>
      </c>
      <c r="E18" s="84"/>
      <c r="F18" s="84"/>
      <c r="G18" s="84"/>
      <c r="H18" s="84"/>
      <c r="I18" s="84"/>
      <c r="J18" s="84"/>
      <c r="K18" s="84"/>
      <c r="L18" s="84"/>
      <c r="M18" s="84"/>
      <c r="N18" s="84"/>
      <c r="O18" s="84"/>
      <c r="P18" s="84"/>
      <c r="Q18" s="84"/>
      <c r="R18" s="84"/>
      <c r="S18" s="84"/>
      <c r="T18" s="84"/>
      <c r="U18" s="84"/>
      <c r="V18" s="84"/>
      <c r="W18" s="84"/>
      <c r="X18" s="84"/>
      <c r="Y18" s="84"/>
      <c r="Z18" s="84"/>
      <c r="AA18" s="84"/>
    </row>
    <row r="19" spans="1:27">
      <c r="A19" s="93">
        <v>41944</v>
      </c>
      <c r="B19" s="82">
        <f t="shared" si="0"/>
        <v>2014</v>
      </c>
      <c r="C19" s="89">
        <v>0</v>
      </c>
      <c r="D19" s="89">
        <v>5.4170000000000003E-2</v>
      </c>
      <c r="E19" s="84"/>
      <c r="F19" s="84"/>
      <c r="G19" s="84"/>
      <c r="H19" s="84"/>
      <c r="I19" s="84"/>
      <c r="J19" s="84"/>
      <c r="K19" s="84"/>
      <c r="L19" s="84"/>
      <c r="M19" s="84"/>
      <c r="N19" s="84"/>
      <c r="O19" s="84"/>
      <c r="P19" s="84"/>
      <c r="Q19" s="84"/>
      <c r="R19" s="84"/>
      <c r="S19" s="84"/>
      <c r="T19" s="84"/>
      <c r="U19" s="84"/>
      <c r="V19" s="84"/>
      <c r="W19" s="84"/>
      <c r="X19" s="84"/>
      <c r="Y19" s="84"/>
      <c r="Z19" s="84"/>
      <c r="AA19" s="84"/>
    </row>
    <row r="20" spans="1:27">
      <c r="A20" s="93">
        <v>41974</v>
      </c>
      <c r="B20" s="82">
        <f t="shared" si="0"/>
        <v>2014</v>
      </c>
      <c r="C20" s="89">
        <v>0</v>
      </c>
      <c r="D20" s="89">
        <v>0.18802903225806453</v>
      </c>
      <c r="E20" s="84"/>
      <c r="F20" s="84"/>
      <c r="G20" s="84"/>
      <c r="H20" s="84"/>
      <c r="I20" s="84"/>
      <c r="J20" s="84"/>
      <c r="K20" s="84"/>
      <c r="L20" s="84"/>
      <c r="M20" s="84"/>
      <c r="N20" s="84"/>
      <c r="O20" s="84"/>
      <c r="P20" s="84"/>
      <c r="Q20" s="84"/>
      <c r="R20" s="84"/>
      <c r="S20" s="84"/>
      <c r="T20" s="84"/>
      <c r="U20" s="84"/>
      <c r="V20" s="84"/>
      <c r="W20" s="84"/>
      <c r="X20" s="84"/>
      <c r="Y20" s="84"/>
      <c r="Z20" s="84"/>
      <c r="AA20" s="84"/>
    </row>
    <row r="21" spans="1:27">
      <c r="A21" s="93">
        <v>42005</v>
      </c>
      <c r="B21" s="82">
        <f t="shared" si="0"/>
        <v>2015</v>
      </c>
      <c r="C21" s="89">
        <v>0</v>
      </c>
      <c r="D21" s="89">
        <v>0.66187096774193555</v>
      </c>
      <c r="E21" s="84"/>
      <c r="F21" s="84"/>
      <c r="G21" s="84"/>
      <c r="H21" s="84"/>
      <c r="I21" s="84"/>
      <c r="J21" s="84"/>
      <c r="K21" s="84"/>
      <c r="L21" s="84"/>
      <c r="M21" s="84"/>
      <c r="N21" s="84"/>
      <c r="O21" s="84"/>
      <c r="P21" s="84"/>
      <c r="Q21" s="84"/>
      <c r="R21" s="84"/>
      <c r="S21" s="84"/>
      <c r="T21" s="84"/>
      <c r="U21" s="84"/>
      <c r="V21" s="84"/>
      <c r="W21" s="84"/>
      <c r="X21" s="84"/>
      <c r="Y21" s="84"/>
      <c r="Z21" s="84"/>
      <c r="AA21" s="84"/>
    </row>
    <row r="22" spans="1:27">
      <c r="A22" s="93">
        <v>42036</v>
      </c>
      <c r="B22" s="82">
        <f t="shared" si="0"/>
        <v>2015</v>
      </c>
      <c r="C22" s="89">
        <v>0</v>
      </c>
      <c r="D22" s="89">
        <v>0.84310714285714283</v>
      </c>
      <c r="E22" s="84"/>
      <c r="F22" s="84"/>
      <c r="G22" s="84"/>
      <c r="H22" s="84"/>
      <c r="I22" s="84"/>
      <c r="J22" s="84"/>
      <c r="K22" s="84"/>
      <c r="L22" s="84"/>
      <c r="M22" s="84"/>
      <c r="N22" s="84"/>
      <c r="O22" s="84"/>
      <c r="P22" s="84"/>
      <c r="Q22" s="84"/>
      <c r="R22" s="84"/>
      <c r="S22" s="84"/>
      <c r="T22" s="84"/>
      <c r="U22" s="84"/>
      <c r="V22" s="84"/>
      <c r="W22" s="84"/>
      <c r="X22" s="84"/>
      <c r="Y22" s="84"/>
      <c r="Z22" s="84"/>
      <c r="AA22" s="84"/>
    </row>
    <row r="23" spans="1:27">
      <c r="A23" s="93">
        <v>42064</v>
      </c>
      <c r="B23" s="82">
        <f t="shared" si="0"/>
        <v>2015</v>
      </c>
      <c r="C23" s="89">
        <v>0</v>
      </c>
      <c r="D23" s="89">
        <v>0.90890322580645155</v>
      </c>
      <c r="E23" s="84"/>
      <c r="F23" s="84"/>
      <c r="G23" s="84"/>
      <c r="H23" s="84"/>
      <c r="I23" s="84"/>
      <c r="J23" s="84"/>
      <c r="K23" s="84"/>
      <c r="L23" s="84"/>
      <c r="M23" s="84"/>
      <c r="N23" s="84"/>
      <c r="O23" s="84"/>
      <c r="P23" s="84"/>
      <c r="Q23" s="84"/>
      <c r="R23" s="84"/>
      <c r="S23" s="84"/>
      <c r="T23" s="84"/>
      <c r="U23" s="84"/>
      <c r="V23" s="84"/>
      <c r="W23" s="84"/>
      <c r="X23" s="84"/>
      <c r="Y23" s="84"/>
      <c r="Z23" s="84"/>
      <c r="AA23" s="84"/>
    </row>
    <row r="24" spans="1:27">
      <c r="A24" s="93">
        <v>42095</v>
      </c>
      <c r="B24" s="82">
        <f t="shared" si="0"/>
        <v>2015</v>
      </c>
      <c r="C24" s="89">
        <v>0</v>
      </c>
      <c r="D24" s="89">
        <v>0</v>
      </c>
      <c r="E24" s="84"/>
      <c r="F24" s="84"/>
      <c r="G24" s="84"/>
      <c r="H24" s="84"/>
      <c r="I24" s="84"/>
      <c r="J24" s="84"/>
      <c r="K24" s="84"/>
      <c r="L24" s="84"/>
      <c r="M24" s="84"/>
      <c r="N24" s="84"/>
      <c r="O24" s="84"/>
      <c r="P24" s="84"/>
      <c r="Q24" s="84"/>
      <c r="R24" s="84"/>
      <c r="S24" s="84"/>
      <c r="T24" s="84"/>
      <c r="U24" s="84"/>
      <c r="V24" s="84"/>
      <c r="W24" s="84"/>
      <c r="X24" s="84"/>
      <c r="Y24" s="84"/>
      <c r="Z24" s="84"/>
      <c r="AA24" s="84"/>
    </row>
    <row r="25" spans="1:27">
      <c r="A25" s="93">
        <v>42125</v>
      </c>
      <c r="B25" s="82">
        <f t="shared" si="0"/>
        <v>2015</v>
      </c>
      <c r="C25" s="89">
        <v>0</v>
      </c>
      <c r="D25" s="89">
        <v>0</v>
      </c>
      <c r="E25" s="84"/>
      <c r="F25" s="84"/>
      <c r="G25" s="84"/>
      <c r="H25" s="84"/>
      <c r="I25" s="84"/>
      <c r="J25" s="84"/>
      <c r="K25" s="84"/>
      <c r="L25" s="84"/>
      <c r="M25" s="84"/>
      <c r="N25" s="84"/>
      <c r="O25" s="84"/>
      <c r="P25" s="84"/>
      <c r="Q25" s="84"/>
      <c r="R25" s="84"/>
      <c r="S25" s="84"/>
      <c r="T25" s="84"/>
      <c r="U25" s="84"/>
      <c r="V25" s="84"/>
      <c r="W25" s="84"/>
      <c r="X25" s="84"/>
      <c r="Y25" s="84"/>
      <c r="Z25" s="84"/>
      <c r="AA25" s="84"/>
    </row>
    <row r="26" spans="1:27">
      <c r="A26" s="93">
        <v>42156</v>
      </c>
      <c r="B26" s="82">
        <f t="shared" si="0"/>
        <v>2015</v>
      </c>
      <c r="C26" s="89">
        <v>0</v>
      </c>
      <c r="D26" s="89">
        <v>4.7006666666666662E-2</v>
      </c>
      <c r="E26" s="84"/>
      <c r="F26" s="84"/>
      <c r="G26" s="84"/>
      <c r="H26" s="84"/>
      <c r="I26" s="84"/>
      <c r="J26" s="84"/>
      <c r="K26" s="84"/>
      <c r="L26" s="84"/>
      <c r="M26" s="84"/>
      <c r="N26" s="84"/>
      <c r="O26" s="84"/>
      <c r="P26" s="84"/>
      <c r="Q26" s="84"/>
      <c r="R26" s="84"/>
      <c r="S26" s="84"/>
      <c r="T26" s="84"/>
      <c r="U26" s="84"/>
      <c r="V26" s="84"/>
      <c r="W26" s="84"/>
      <c r="X26" s="84"/>
      <c r="Y26" s="84"/>
      <c r="Z26" s="84"/>
      <c r="AA26" s="84"/>
    </row>
    <row r="27" spans="1:27">
      <c r="A27" s="93">
        <v>42186</v>
      </c>
      <c r="B27" s="82">
        <f t="shared" si="0"/>
        <v>2015</v>
      </c>
      <c r="C27" s="89">
        <v>0</v>
      </c>
      <c r="D27" s="89">
        <v>0</v>
      </c>
      <c r="E27" s="84"/>
      <c r="F27" s="84"/>
      <c r="G27" s="84"/>
      <c r="H27" s="84"/>
      <c r="I27" s="84"/>
      <c r="J27" s="84"/>
      <c r="K27" s="84"/>
      <c r="L27" s="84"/>
      <c r="M27" s="84"/>
      <c r="N27" s="84"/>
      <c r="O27" s="84"/>
      <c r="P27" s="84"/>
      <c r="Q27" s="84"/>
      <c r="R27" s="84"/>
      <c r="S27" s="84"/>
      <c r="T27" s="84"/>
      <c r="U27" s="84"/>
      <c r="V27" s="84"/>
      <c r="W27" s="84"/>
      <c r="X27" s="84"/>
      <c r="Y27" s="84"/>
      <c r="Z27" s="84"/>
      <c r="AA27" s="84"/>
    </row>
    <row r="28" spans="1:27">
      <c r="A28" s="93">
        <v>42217</v>
      </c>
      <c r="B28" s="82">
        <f t="shared" si="0"/>
        <v>2015</v>
      </c>
      <c r="C28" s="89">
        <v>0</v>
      </c>
      <c r="D28" s="89">
        <v>0</v>
      </c>
      <c r="E28" s="84"/>
      <c r="F28" s="84"/>
      <c r="G28" s="84"/>
      <c r="H28" s="84"/>
      <c r="I28" s="84"/>
      <c r="J28" s="84"/>
      <c r="K28" s="84"/>
      <c r="L28" s="84"/>
      <c r="M28" s="84"/>
      <c r="N28" s="84"/>
      <c r="O28" s="84"/>
      <c r="P28" s="84"/>
      <c r="Q28" s="84"/>
      <c r="R28" s="84"/>
      <c r="S28" s="84"/>
      <c r="T28" s="84"/>
      <c r="U28" s="84"/>
      <c r="V28" s="84"/>
      <c r="W28" s="84"/>
      <c r="X28" s="84"/>
      <c r="Y28" s="84"/>
      <c r="Z28" s="84"/>
      <c r="AA28" s="84"/>
    </row>
    <row r="29" spans="1:27">
      <c r="A29" s="93">
        <v>42248</v>
      </c>
      <c r="B29" s="82">
        <f t="shared" si="0"/>
        <v>2015</v>
      </c>
      <c r="C29" s="89">
        <v>0</v>
      </c>
      <c r="D29" s="89">
        <v>0</v>
      </c>
      <c r="E29" s="84"/>
      <c r="F29" s="84"/>
      <c r="G29" s="84"/>
      <c r="H29" s="84"/>
      <c r="I29" s="84"/>
      <c r="J29" s="84"/>
      <c r="K29" s="84"/>
      <c r="L29" s="84"/>
      <c r="M29" s="84"/>
      <c r="N29" s="84"/>
      <c r="O29" s="84"/>
      <c r="P29" s="84"/>
      <c r="Q29" s="84"/>
      <c r="R29" s="84"/>
      <c r="S29" s="84"/>
      <c r="T29" s="84"/>
      <c r="U29" s="84"/>
      <c r="V29" s="84"/>
      <c r="W29" s="84"/>
      <c r="X29" s="84"/>
      <c r="Y29" s="84"/>
      <c r="Z29" s="84"/>
      <c r="AA29" s="84"/>
    </row>
    <row r="30" spans="1:27">
      <c r="A30" s="93">
        <v>42278</v>
      </c>
      <c r="B30" s="82">
        <f t="shared" si="0"/>
        <v>2015</v>
      </c>
      <c r="C30" s="89">
        <v>0</v>
      </c>
      <c r="D30" s="89">
        <v>4.9622580645161292E-2</v>
      </c>
      <c r="E30" s="84"/>
      <c r="F30" s="84"/>
      <c r="G30" s="84"/>
      <c r="H30" s="84"/>
      <c r="I30" s="84"/>
      <c r="J30" s="84"/>
      <c r="K30" s="84"/>
      <c r="L30" s="84"/>
      <c r="M30" s="84"/>
      <c r="N30" s="84"/>
      <c r="O30" s="84"/>
      <c r="P30" s="84"/>
      <c r="Q30" s="84"/>
      <c r="R30" s="84"/>
      <c r="S30" s="84"/>
      <c r="T30" s="84"/>
      <c r="U30" s="84"/>
      <c r="V30" s="84"/>
      <c r="W30" s="84"/>
      <c r="X30" s="84"/>
      <c r="Y30" s="84"/>
      <c r="Z30" s="84"/>
      <c r="AA30" s="84"/>
    </row>
    <row r="31" spans="1:27">
      <c r="A31" s="93">
        <v>42309</v>
      </c>
      <c r="B31" s="82">
        <f t="shared" si="0"/>
        <v>2015</v>
      </c>
      <c r="C31" s="89">
        <v>0</v>
      </c>
      <c r="D31" s="89">
        <v>6.2676666666666672E-2</v>
      </c>
      <c r="E31" s="84"/>
      <c r="F31" s="84"/>
      <c r="G31" s="84"/>
      <c r="H31" s="84"/>
      <c r="I31" s="84"/>
      <c r="J31" s="84"/>
      <c r="K31" s="84"/>
      <c r="L31" s="84"/>
      <c r="M31" s="84"/>
      <c r="N31" s="84"/>
      <c r="O31" s="84"/>
      <c r="P31" s="84"/>
      <c r="Q31" s="84"/>
      <c r="R31" s="84"/>
      <c r="S31" s="84"/>
      <c r="T31" s="84"/>
      <c r="U31" s="84"/>
      <c r="V31" s="84"/>
      <c r="W31" s="84"/>
      <c r="X31" s="84"/>
      <c r="Y31" s="84"/>
      <c r="Z31" s="84"/>
      <c r="AA31" s="84"/>
    </row>
    <row r="32" spans="1:27">
      <c r="A32" s="93">
        <v>42339</v>
      </c>
      <c r="B32" s="82">
        <f t="shared" si="0"/>
        <v>2015</v>
      </c>
      <c r="C32" s="89">
        <v>0</v>
      </c>
      <c r="D32" s="89">
        <v>0.10770645161290324</v>
      </c>
      <c r="E32" s="84"/>
      <c r="F32" s="84"/>
      <c r="G32" s="84"/>
      <c r="H32" s="84"/>
      <c r="I32" s="84"/>
      <c r="J32" s="84"/>
      <c r="K32" s="84"/>
      <c r="L32" s="84"/>
      <c r="M32" s="84"/>
      <c r="N32" s="84"/>
      <c r="O32" s="84"/>
      <c r="P32" s="84"/>
      <c r="Q32" s="84"/>
      <c r="R32" s="84"/>
      <c r="S32" s="84"/>
      <c r="T32" s="84"/>
      <c r="U32" s="84"/>
      <c r="V32" s="84"/>
      <c r="W32" s="84"/>
      <c r="X32" s="84"/>
      <c r="Y32" s="84"/>
      <c r="Z32" s="84"/>
      <c r="AA32" s="84"/>
    </row>
    <row r="33" spans="1:27">
      <c r="A33" s="93">
        <v>42370</v>
      </c>
      <c r="B33" s="82">
        <f t="shared" si="0"/>
        <v>2016</v>
      </c>
      <c r="C33" s="89">
        <v>0</v>
      </c>
      <c r="D33" s="89">
        <v>0.18802903225806453</v>
      </c>
      <c r="E33" s="84"/>
      <c r="F33" s="84"/>
      <c r="G33" s="84"/>
      <c r="H33" s="84"/>
      <c r="I33" s="84"/>
      <c r="J33" s="84"/>
      <c r="K33" s="84"/>
      <c r="L33" s="84"/>
      <c r="M33" s="84"/>
      <c r="N33" s="84"/>
      <c r="O33" s="84"/>
      <c r="P33" s="84"/>
      <c r="Q33" s="84"/>
      <c r="R33" s="84"/>
      <c r="S33" s="84"/>
      <c r="T33" s="84"/>
      <c r="U33" s="84"/>
      <c r="V33" s="84"/>
      <c r="W33" s="84"/>
      <c r="X33" s="84"/>
      <c r="Y33" s="84"/>
      <c r="Z33" s="84"/>
      <c r="AA33" s="84"/>
    </row>
    <row r="34" spans="1:27">
      <c r="A34" s="93">
        <v>42401</v>
      </c>
      <c r="B34" s="82">
        <f t="shared" si="0"/>
        <v>2016</v>
      </c>
      <c r="C34" s="89">
        <v>0</v>
      </c>
      <c r="D34" s="89">
        <v>0.46062068965517244</v>
      </c>
      <c r="E34" s="84"/>
      <c r="F34" s="84"/>
      <c r="G34" s="84"/>
      <c r="H34" s="84"/>
      <c r="I34" s="84"/>
      <c r="J34" s="84"/>
      <c r="K34" s="84"/>
      <c r="L34" s="84"/>
      <c r="M34" s="84"/>
      <c r="N34" s="84"/>
      <c r="O34" s="84"/>
      <c r="P34" s="84"/>
      <c r="Q34" s="84"/>
      <c r="R34" s="84"/>
      <c r="S34" s="84"/>
      <c r="T34" s="84"/>
      <c r="U34" s="84"/>
      <c r="V34" s="84"/>
      <c r="W34" s="84"/>
      <c r="X34" s="84"/>
      <c r="Y34" s="84"/>
      <c r="Z34" s="84"/>
      <c r="AA34" s="84"/>
    </row>
    <row r="35" spans="1:27">
      <c r="A35" s="93">
        <v>42430</v>
      </c>
      <c r="B35" s="82">
        <f t="shared" si="0"/>
        <v>2016</v>
      </c>
      <c r="C35" s="89">
        <v>0</v>
      </c>
      <c r="D35" s="89">
        <v>0.38887096774193547</v>
      </c>
      <c r="E35" s="84"/>
      <c r="F35" s="84"/>
      <c r="G35" s="84"/>
      <c r="H35" s="84"/>
      <c r="I35" s="84"/>
      <c r="J35" s="84"/>
      <c r="K35" s="84"/>
      <c r="L35" s="84"/>
      <c r="M35" s="84"/>
      <c r="N35" s="84"/>
      <c r="O35" s="84"/>
      <c r="P35" s="84"/>
      <c r="Q35" s="84"/>
      <c r="R35" s="84"/>
      <c r="S35" s="84"/>
      <c r="T35" s="84"/>
      <c r="U35" s="84"/>
      <c r="V35" s="84"/>
      <c r="W35" s="84"/>
      <c r="X35" s="84"/>
      <c r="Y35" s="84"/>
      <c r="Z35" s="84"/>
      <c r="AA35" s="84"/>
    </row>
    <row r="36" spans="1:27">
      <c r="A36" s="93">
        <v>42461</v>
      </c>
      <c r="B36" s="82">
        <f t="shared" si="0"/>
        <v>2016</v>
      </c>
      <c r="C36" s="89">
        <v>0</v>
      </c>
      <c r="D36" s="89">
        <v>6.1973333333333332E-2</v>
      </c>
      <c r="E36" s="84"/>
      <c r="F36" s="84"/>
      <c r="G36" s="84"/>
      <c r="H36" s="84"/>
      <c r="I36" s="84"/>
      <c r="J36" s="84"/>
      <c r="K36" s="84"/>
      <c r="L36" s="84"/>
      <c r="M36" s="84"/>
      <c r="N36" s="84"/>
      <c r="O36" s="84"/>
      <c r="P36" s="84"/>
      <c r="Q36" s="84"/>
      <c r="R36" s="84"/>
      <c r="S36" s="84"/>
      <c r="T36" s="84"/>
      <c r="U36" s="84"/>
      <c r="V36" s="84"/>
      <c r="W36" s="84"/>
      <c r="X36" s="84"/>
      <c r="Y36" s="84"/>
      <c r="Z36" s="84"/>
      <c r="AA36" s="84"/>
    </row>
    <row r="37" spans="1:27">
      <c r="A37" s="93">
        <v>42491</v>
      </c>
      <c r="B37" s="82">
        <f t="shared" si="0"/>
        <v>2016</v>
      </c>
      <c r="C37" s="89">
        <v>0</v>
      </c>
      <c r="D37" s="89">
        <v>0</v>
      </c>
      <c r="E37" s="84"/>
      <c r="F37" s="84"/>
      <c r="G37" s="84"/>
      <c r="H37" s="84"/>
      <c r="I37" s="84"/>
      <c r="J37" s="84"/>
      <c r="K37" s="84"/>
      <c r="L37" s="84"/>
      <c r="M37" s="84"/>
      <c r="N37" s="84"/>
      <c r="O37" s="84"/>
      <c r="P37" s="84"/>
      <c r="Q37" s="84"/>
      <c r="R37" s="84"/>
      <c r="S37" s="84"/>
      <c r="T37" s="84"/>
      <c r="U37" s="84"/>
      <c r="V37" s="84"/>
      <c r="W37" s="84"/>
      <c r="X37" s="84"/>
      <c r="Y37" s="84"/>
      <c r="Z37" s="84"/>
      <c r="AA37" s="84"/>
    </row>
    <row r="38" spans="1:27">
      <c r="A38" s="93">
        <v>42522</v>
      </c>
      <c r="B38" s="82">
        <f t="shared" si="0"/>
        <v>2016</v>
      </c>
      <c r="C38" s="89">
        <v>0</v>
      </c>
      <c r="D38" s="89">
        <v>0</v>
      </c>
      <c r="E38" s="84"/>
      <c r="F38" s="84"/>
      <c r="G38" s="84"/>
      <c r="H38" s="84"/>
      <c r="I38" s="84"/>
      <c r="J38" s="84"/>
      <c r="K38" s="84"/>
      <c r="L38" s="84"/>
      <c r="M38" s="84"/>
      <c r="N38" s="84"/>
      <c r="O38" s="84"/>
      <c r="P38" s="84"/>
      <c r="Q38" s="84"/>
      <c r="R38" s="84"/>
      <c r="S38" s="84"/>
      <c r="T38" s="84"/>
      <c r="U38" s="84"/>
      <c r="V38" s="84"/>
      <c r="W38" s="84"/>
      <c r="X38" s="84"/>
      <c r="Y38" s="84"/>
      <c r="Z38" s="84"/>
      <c r="AA38" s="84"/>
    </row>
    <row r="39" spans="1:27">
      <c r="A39" s="93">
        <v>42552</v>
      </c>
      <c r="B39" s="82">
        <f t="shared" si="0"/>
        <v>2016</v>
      </c>
      <c r="C39" s="89">
        <v>0</v>
      </c>
      <c r="D39" s="89">
        <v>0</v>
      </c>
      <c r="E39" s="84"/>
      <c r="F39" s="84"/>
      <c r="G39" s="84"/>
      <c r="H39" s="84"/>
      <c r="I39" s="84"/>
      <c r="J39" s="84"/>
      <c r="K39" s="84"/>
      <c r="L39" s="84"/>
      <c r="M39" s="84"/>
      <c r="N39" s="84"/>
      <c r="O39" s="84"/>
      <c r="P39" s="84"/>
      <c r="Q39" s="84"/>
      <c r="R39" s="84"/>
      <c r="S39" s="84"/>
      <c r="T39" s="84"/>
      <c r="U39" s="84"/>
      <c r="V39" s="84"/>
      <c r="W39" s="84"/>
      <c r="X39" s="84"/>
      <c r="Y39" s="84"/>
      <c r="Z39" s="84"/>
      <c r="AA39" s="84"/>
    </row>
    <row r="40" spans="1:27">
      <c r="A40" s="93">
        <v>42583</v>
      </c>
      <c r="B40" s="82">
        <f t="shared" si="0"/>
        <v>2016</v>
      </c>
      <c r="C40" s="89">
        <v>0</v>
      </c>
      <c r="D40" s="89">
        <v>0</v>
      </c>
      <c r="E40" s="84"/>
      <c r="F40" s="84"/>
      <c r="G40" s="84"/>
      <c r="H40" s="84"/>
      <c r="I40" s="84"/>
      <c r="J40" s="84"/>
      <c r="K40" s="84"/>
      <c r="L40" s="84"/>
      <c r="M40" s="84"/>
      <c r="N40" s="84"/>
      <c r="O40" s="84"/>
      <c r="P40" s="84"/>
      <c r="Q40" s="84"/>
      <c r="R40" s="84"/>
      <c r="S40" s="84"/>
      <c r="T40" s="84"/>
      <c r="U40" s="84"/>
      <c r="V40" s="84"/>
      <c r="W40" s="84"/>
      <c r="X40" s="84"/>
      <c r="Y40" s="84"/>
      <c r="Z40" s="84"/>
      <c r="AA40" s="84"/>
    </row>
    <row r="41" spans="1:27">
      <c r="A41" s="93">
        <v>42614</v>
      </c>
      <c r="B41" s="82">
        <f t="shared" si="0"/>
        <v>2016</v>
      </c>
      <c r="C41" s="89">
        <v>0</v>
      </c>
      <c r="D41" s="89">
        <v>6.2676666666666672E-2</v>
      </c>
      <c r="E41" s="84"/>
      <c r="F41" s="84"/>
      <c r="G41" s="84"/>
      <c r="H41" s="84"/>
      <c r="I41" s="84"/>
      <c r="J41" s="84"/>
      <c r="K41" s="84"/>
      <c r="L41" s="84"/>
      <c r="M41" s="84"/>
      <c r="N41" s="84"/>
      <c r="O41" s="84"/>
      <c r="P41" s="84"/>
      <c r="Q41" s="84"/>
      <c r="R41" s="84"/>
      <c r="S41" s="84"/>
      <c r="T41" s="84"/>
      <c r="U41" s="84"/>
      <c r="V41" s="84"/>
      <c r="W41" s="84"/>
      <c r="X41" s="84"/>
      <c r="Y41" s="84"/>
      <c r="Z41" s="84"/>
      <c r="AA41" s="84"/>
    </row>
    <row r="42" spans="1:27">
      <c r="A42" s="93">
        <v>42644</v>
      </c>
      <c r="B42" s="82">
        <f t="shared" si="0"/>
        <v>2016</v>
      </c>
      <c r="C42" s="89">
        <v>0</v>
      </c>
      <c r="D42" s="89">
        <v>0</v>
      </c>
      <c r="E42" s="84"/>
      <c r="F42" s="84"/>
      <c r="G42" s="84"/>
      <c r="H42" s="84"/>
      <c r="I42" s="84"/>
      <c r="J42" s="84"/>
      <c r="K42" s="84"/>
      <c r="L42" s="84"/>
      <c r="M42" s="84"/>
      <c r="N42" s="84"/>
      <c r="O42" s="84"/>
      <c r="P42" s="84"/>
      <c r="Q42" s="84"/>
      <c r="R42" s="84"/>
      <c r="S42" s="84"/>
      <c r="T42" s="84"/>
      <c r="U42" s="84"/>
      <c r="V42" s="84"/>
      <c r="W42" s="84"/>
      <c r="X42" s="84"/>
      <c r="Y42" s="84"/>
      <c r="Z42" s="84"/>
      <c r="AA42" s="84"/>
    </row>
    <row r="43" spans="1:27">
      <c r="A43" s="93">
        <v>42675</v>
      </c>
      <c r="B43" s="82">
        <f t="shared" si="0"/>
        <v>2016</v>
      </c>
      <c r="C43" s="89">
        <v>0</v>
      </c>
      <c r="D43" s="89">
        <v>0</v>
      </c>
      <c r="E43" s="84"/>
      <c r="F43" s="84"/>
      <c r="G43" s="84"/>
      <c r="H43" s="84"/>
      <c r="I43" s="84"/>
      <c r="J43" s="84"/>
      <c r="K43" s="84"/>
      <c r="L43" s="84"/>
      <c r="M43" s="84"/>
      <c r="N43" s="84"/>
      <c r="O43" s="84"/>
      <c r="P43" s="84"/>
      <c r="Q43" s="84"/>
      <c r="R43" s="84"/>
      <c r="S43" s="84"/>
      <c r="T43" s="84"/>
      <c r="U43" s="84"/>
      <c r="V43" s="84"/>
      <c r="W43" s="84"/>
      <c r="X43" s="84"/>
      <c r="Y43" s="84"/>
      <c r="Z43" s="84"/>
      <c r="AA43" s="84"/>
    </row>
    <row r="44" spans="1:27">
      <c r="A44" s="93">
        <v>42705</v>
      </c>
      <c r="B44" s="82">
        <f t="shared" si="0"/>
        <v>2016</v>
      </c>
      <c r="C44" s="89">
        <v>0</v>
      </c>
      <c r="D44" s="89">
        <v>0.12553548387096775</v>
      </c>
      <c r="E44" s="84"/>
      <c r="F44" s="84"/>
      <c r="G44" s="84"/>
      <c r="H44" s="84"/>
      <c r="I44" s="84"/>
      <c r="J44" s="84"/>
      <c r="K44" s="84"/>
      <c r="L44" s="84"/>
      <c r="M44" s="84"/>
      <c r="N44" s="84"/>
      <c r="O44" s="84"/>
      <c r="P44" s="84"/>
      <c r="Q44" s="84"/>
      <c r="R44" s="84"/>
      <c r="S44" s="84"/>
      <c r="T44" s="84"/>
      <c r="U44" s="84"/>
      <c r="V44" s="84"/>
      <c r="W44" s="84"/>
      <c r="X44" s="84"/>
      <c r="Y44" s="84"/>
      <c r="Z44" s="84"/>
      <c r="AA44" s="84"/>
    </row>
    <row r="45" spans="1:27">
      <c r="A45" s="93">
        <v>42736</v>
      </c>
      <c r="B45" s="82">
        <f t="shared" si="0"/>
        <v>2017</v>
      </c>
      <c r="C45" s="89">
        <v>0</v>
      </c>
      <c r="D45" s="89">
        <v>0.3735806451612903</v>
      </c>
      <c r="E45" s="84"/>
      <c r="F45" s="84"/>
      <c r="G45" s="84"/>
      <c r="H45" s="84"/>
      <c r="I45" s="84"/>
      <c r="J45" s="84"/>
      <c r="K45" s="84"/>
      <c r="L45" s="84"/>
      <c r="M45" s="84"/>
      <c r="N45" s="84"/>
      <c r="O45" s="84"/>
      <c r="P45" s="84"/>
      <c r="Q45" s="84"/>
      <c r="R45" s="84"/>
      <c r="S45" s="84"/>
      <c r="T45" s="84"/>
      <c r="U45" s="84"/>
      <c r="V45" s="84"/>
      <c r="W45" s="84"/>
      <c r="X45" s="84"/>
      <c r="Y45" s="84"/>
      <c r="Z45" s="84"/>
      <c r="AA45" s="84"/>
    </row>
    <row r="46" spans="1:27">
      <c r="A46" s="93">
        <v>42767</v>
      </c>
      <c r="B46" s="82">
        <f t="shared" si="0"/>
        <v>2017</v>
      </c>
      <c r="C46" s="89">
        <v>0</v>
      </c>
      <c r="D46" s="89">
        <v>0.66864285714285721</v>
      </c>
      <c r="E46" s="84"/>
      <c r="F46" s="84"/>
      <c r="G46" s="84"/>
      <c r="H46" s="84"/>
      <c r="I46" s="84"/>
      <c r="J46" s="84"/>
      <c r="K46" s="84"/>
      <c r="L46" s="84"/>
      <c r="M46" s="84"/>
      <c r="N46" s="84"/>
      <c r="O46" s="84"/>
      <c r="P46" s="84"/>
      <c r="Q46" s="84"/>
      <c r="R46" s="84"/>
      <c r="S46" s="84"/>
      <c r="T46" s="84"/>
      <c r="U46" s="84"/>
      <c r="V46" s="84"/>
      <c r="W46" s="84"/>
      <c r="X46" s="84"/>
      <c r="Y46" s="84"/>
      <c r="Z46" s="84"/>
      <c r="AA46" s="84"/>
    </row>
    <row r="47" spans="1:27">
      <c r="A47" s="93">
        <v>42795</v>
      </c>
      <c r="B47" s="82">
        <f t="shared" si="0"/>
        <v>2017</v>
      </c>
      <c r="C47" s="89">
        <v>0</v>
      </c>
      <c r="D47" s="89">
        <v>0.23100645161290323</v>
      </c>
      <c r="E47" s="84"/>
      <c r="F47" s="84"/>
      <c r="G47" s="84"/>
      <c r="H47" s="84"/>
      <c r="I47" s="84"/>
      <c r="J47" s="84"/>
      <c r="K47" s="84"/>
      <c r="L47" s="84"/>
      <c r="M47" s="84"/>
      <c r="N47" s="84"/>
      <c r="O47" s="84"/>
      <c r="P47" s="84"/>
      <c r="Q47" s="84"/>
      <c r="R47" s="84"/>
      <c r="S47" s="84"/>
      <c r="T47" s="84"/>
      <c r="U47" s="84"/>
      <c r="V47" s="84"/>
      <c r="W47" s="84"/>
      <c r="X47" s="84"/>
      <c r="Y47" s="84"/>
      <c r="Z47" s="84"/>
      <c r="AA47" s="84"/>
    </row>
    <row r="48" spans="1:27">
      <c r="A48" s="93">
        <v>42826</v>
      </c>
      <c r="B48" s="82">
        <f t="shared" si="0"/>
        <v>2017</v>
      </c>
      <c r="C48" s="89">
        <v>0</v>
      </c>
      <c r="D48" s="89">
        <v>6.3986666666666664E-2</v>
      </c>
      <c r="E48" s="84"/>
      <c r="F48" s="84"/>
      <c r="G48" s="84"/>
      <c r="H48" s="84"/>
      <c r="I48" s="84"/>
      <c r="J48" s="84"/>
      <c r="K48" s="84"/>
      <c r="L48" s="84"/>
      <c r="M48" s="84"/>
      <c r="N48" s="84"/>
      <c r="O48" s="84"/>
      <c r="P48" s="84"/>
      <c r="Q48" s="84"/>
      <c r="R48" s="84"/>
      <c r="S48" s="84"/>
      <c r="T48" s="84"/>
      <c r="U48" s="84"/>
      <c r="V48" s="84"/>
      <c r="W48" s="84"/>
      <c r="X48" s="84"/>
      <c r="Y48" s="84"/>
      <c r="Z48" s="84"/>
      <c r="AA48" s="84"/>
    </row>
    <row r="49" spans="1:27">
      <c r="A49" s="93">
        <v>42856</v>
      </c>
      <c r="B49" s="82">
        <f t="shared" si="0"/>
        <v>2017</v>
      </c>
      <c r="C49" s="89">
        <v>0</v>
      </c>
      <c r="D49" s="89">
        <v>0</v>
      </c>
      <c r="E49" s="84"/>
      <c r="F49" s="84"/>
      <c r="G49" s="84"/>
      <c r="H49" s="84"/>
      <c r="I49" s="84"/>
      <c r="J49" s="84"/>
      <c r="K49" s="84"/>
      <c r="L49" s="84"/>
      <c r="M49" s="84"/>
      <c r="N49" s="84"/>
      <c r="O49" s="84"/>
      <c r="P49" s="84"/>
      <c r="Q49" s="84"/>
      <c r="R49" s="84"/>
      <c r="S49" s="84"/>
      <c r="T49" s="84"/>
      <c r="U49" s="84"/>
      <c r="V49" s="84"/>
      <c r="W49" s="84"/>
      <c r="X49" s="84"/>
      <c r="Y49" s="84"/>
      <c r="Z49" s="84"/>
      <c r="AA49" s="84"/>
    </row>
    <row r="50" spans="1:27">
      <c r="A50" s="93">
        <v>42887</v>
      </c>
      <c r="B50" s="82">
        <f t="shared" si="0"/>
        <v>2017</v>
      </c>
      <c r="C50" s="89">
        <v>0</v>
      </c>
      <c r="D50" s="89">
        <v>0</v>
      </c>
      <c r="E50" s="84"/>
      <c r="F50" s="84"/>
      <c r="G50" s="84"/>
      <c r="H50" s="84"/>
      <c r="I50" s="84"/>
      <c r="J50" s="84"/>
      <c r="K50" s="84"/>
      <c r="L50" s="84"/>
      <c r="M50" s="84"/>
      <c r="N50" s="84"/>
      <c r="O50" s="84"/>
      <c r="P50" s="84"/>
      <c r="Q50" s="84"/>
      <c r="R50" s="84"/>
      <c r="S50" s="84"/>
      <c r="T50" s="84"/>
      <c r="U50" s="84"/>
      <c r="V50" s="84"/>
      <c r="W50" s="84"/>
      <c r="X50" s="84"/>
      <c r="Y50" s="84"/>
      <c r="Z50" s="84"/>
      <c r="AA50" s="84"/>
    </row>
    <row r="51" spans="1:27">
      <c r="A51" s="93">
        <v>42917</v>
      </c>
      <c r="B51" s="82">
        <f t="shared" si="0"/>
        <v>2017</v>
      </c>
      <c r="C51" s="89">
        <v>0</v>
      </c>
      <c r="D51" s="89">
        <v>6.2677419354838712E-2</v>
      </c>
      <c r="E51" s="84"/>
      <c r="F51" s="84"/>
      <c r="G51" s="84"/>
      <c r="H51" s="84"/>
      <c r="I51" s="84"/>
      <c r="J51" s="84"/>
      <c r="K51" s="84"/>
      <c r="L51" s="84"/>
      <c r="M51" s="84"/>
      <c r="N51" s="84"/>
      <c r="O51" s="84"/>
      <c r="P51" s="84"/>
      <c r="Q51" s="84"/>
      <c r="R51" s="84"/>
      <c r="S51" s="84"/>
      <c r="T51" s="84"/>
      <c r="U51" s="84"/>
      <c r="V51" s="84"/>
      <c r="W51" s="84"/>
      <c r="X51" s="84"/>
      <c r="Y51" s="84"/>
      <c r="Z51" s="84"/>
      <c r="AA51" s="84"/>
    </row>
    <row r="52" spans="1:27">
      <c r="A52" s="93">
        <v>42948</v>
      </c>
      <c r="B52" s="82">
        <f t="shared" si="0"/>
        <v>2017</v>
      </c>
      <c r="C52" s="89">
        <v>0</v>
      </c>
      <c r="D52" s="89">
        <v>0</v>
      </c>
      <c r="E52" s="84"/>
      <c r="F52" s="84"/>
      <c r="G52" s="84"/>
      <c r="H52" s="84"/>
      <c r="I52" s="84"/>
      <c r="J52" s="84"/>
      <c r="K52" s="84"/>
      <c r="L52" s="84"/>
      <c r="M52" s="84"/>
      <c r="N52" s="84"/>
      <c r="O52" s="84"/>
      <c r="P52" s="84"/>
      <c r="Q52" s="84"/>
      <c r="R52" s="84"/>
      <c r="S52" s="84"/>
      <c r="T52" s="84"/>
      <c r="U52" s="84"/>
      <c r="V52" s="84"/>
      <c r="W52" s="84"/>
      <c r="X52" s="84"/>
      <c r="Y52" s="84"/>
      <c r="Z52" s="84"/>
      <c r="AA52" s="84"/>
    </row>
    <row r="53" spans="1:27">
      <c r="A53" s="93">
        <v>42979</v>
      </c>
      <c r="B53" s="82">
        <f t="shared" si="0"/>
        <v>2017</v>
      </c>
      <c r="C53" s="89">
        <v>0</v>
      </c>
      <c r="D53" s="89">
        <v>0</v>
      </c>
      <c r="E53" s="84"/>
      <c r="F53" s="84"/>
      <c r="G53" s="84"/>
      <c r="H53" s="84"/>
      <c r="I53" s="84"/>
      <c r="J53" s="84"/>
      <c r="K53" s="84"/>
      <c r="L53" s="84"/>
      <c r="M53" s="84"/>
      <c r="N53" s="84"/>
      <c r="O53" s="84"/>
      <c r="P53" s="84"/>
      <c r="Q53" s="84"/>
      <c r="R53" s="84"/>
      <c r="S53" s="84"/>
      <c r="T53" s="84"/>
      <c r="U53" s="84"/>
      <c r="V53" s="84"/>
      <c r="W53" s="84"/>
      <c r="X53" s="84"/>
      <c r="Y53" s="84"/>
      <c r="Z53" s="84"/>
      <c r="AA53" s="84"/>
    </row>
    <row r="54" spans="1:27">
      <c r="A54" s="93">
        <v>43009</v>
      </c>
      <c r="B54" s="82">
        <f t="shared" si="0"/>
        <v>2017</v>
      </c>
      <c r="C54" s="89">
        <v>0</v>
      </c>
      <c r="D54" s="89">
        <v>0</v>
      </c>
      <c r="E54" s="84"/>
      <c r="F54" s="84"/>
      <c r="G54" s="84"/>
      <c r="H54" s="84"/>
      <c r="I54" s="84"/>
      <c r="J54" s="84"/>
      <c r="K54" s="84"/>
      <c r="L54" s="84"/>
      <c r="M54" s="84"/>
      <c r="N54" s="84"/>
      <c r="O54" s="84"/>
      <c r="P54" s="84"/>
      <c r="Q54" s="84"/>
      <c r="R54" s="84"/>
      <c r="S54" s="84"/>
      <c r="T54" s="84"/>
      <c r="U54" s="84"/>
      <c r="V54" s="84"/>
      <c r="W54" s="84"/>
      <c r="X54" s="84"/>
      <c r="Y54" s="84"/>
      <c r="Z54" s="84"/>
      <c r="AA54" s="84"/>
    </row>
    <row r="55" spans="1:27">
      <c r="A55" s="93">
        <v>43040</v>
      </c>
      <c r="B55" s="82">
        <f t="shared" si="0"/>
        <v>2017</v>
      </c>
      <c r="C55" s="89">
        <v>0</v>
      </c>
      <c r="D55" s="89">
        <v>3.0335333333333333E-3</v>
      </c>
      <c r="E55" s="84"/>
      <c r="F55" s="84"/>
      <c r="G55" s="84"/>
      <c r="H55" s="84"/>
      <c r="I55" s="84"/>
      <c r="J55" s="84"/>
      <c r="K55" s="84"/>
      <c r="L55" s="84"/>
      <c r="M55" s="84"/>
      <c r="N55" s="84"/>
      <c r="O55" s="84"/>
      <c r="P55" s="84"/>
      <c r="Q55" s="84"/>
      <c r="R55" s="84"/>
      <c r="S55" s="84"/>
      <c r="T55" s="84"/>
      <c r="U55" s="84"/>
      <c r="V55" s="84"/>
      <c r="W55" s="84"/>
      <c r="X55" s="84"/>
      <c r="Y55" s="84"/>
      <c r="Z55" s="84"/>
      <c r="AA55" s="84"/>
    </row>
    <row r="56" spans="1:27">
      <c r="A56" s="93">
        <v>43070</v>
      </c>
      <c r="B56" s="82">
        <f t="shared" si="0"/>
        <v>2017</v>
      </c>
      <c r="C56" s="89">
        <v>0</v>
      </c>
      <c r="D56" s="89">
        <v>0.31338387096774195</v>
      </c>
      <c r="E56" s="84"/>
      <c r="F56" s="84"/>
      <c r="G56" s="84"/>
      <c r="H56" s="84"/>
      <c r="I56" s="84"/>
      <c r="J56" s="84"/>
      <c r="K56" s="84"/>
      <c r="L56" s="84"/>
      <c r="M56" s="84"/>
      <c r="N56" s="84"/>
      <c r="O56" s="84"/>
      <c r="P56" s="84"/>
      <c r="Q56" s="84"/>
      <c r="R56" s="84"/>
      <c r="S56" s="84"/>
      <c r="T56" s="84"/>
      <c r="U56" s="84"/>
      <c r="V56" s="84"/>
      <c r="W56" s="84"/>
      <c r="X56" s="84"/>
      <c r="Y56" s="84"/>
      <c r="Z56" s="84"/>
      <c r="AA56" s="84"/>
    </row>
    <row r="57" spans="1:27">
      <c r="A57" s="93">
        <v>43101</v>
      </c>
      <c r="B57" s="82">
        <f t="shared" si="0"/>
        <v>2018</v>
      </c>
      <c r="C57" s="89">
        <v>0</v>
      </c>
      <c r="D57" s="89">
        <v>0.252058064516129</v>
      </c>
      <c r="E57" s="84"/>
      <c r="F57" s="84"/>
      <c r="G57" s="84"/>
      <c r="H57" s="84"/>
      <c r="I57" s="84"/>
      <c r="J57" s="84"/>
      <c r="K57" s="84"/>
      <c r="L57" s="84"/>
      <c r="M57" s="84"/>
      <c r="N57" s="84"/>
      <c r="O57" s="84"/>
      <c r="P57" s="84"/>
      <c r="Q57" s="84"/>
      <c r="R57" s="84"/>
      <c r="S57" s="84"/>
      <c r="T57" s="84"/>
      <c r="U57" s="84"/>
      <c r="V57" s="84"/>
      <c r="W57" s="84"/>
      <c r="X57" s="84"/>
      <c r="Y57" s="84"/>
      <c r="Z57" s="84"/>
      <c r="AA57" s="84"/>
    </row>
    <row r="58" spans="1:27">
      <c r="A58" s="93">
        <v>43132</v>
      </c>
      <c r="B58" s="82">
        <f t="shared" si="0"/>
        <v>2018</v>
      </c>
      <c r="C58" s="89">
        <v>0</v>
      </c>
      <c r="D58" s="89">
        <v>0.55564285714285711</v>
      </c>
      <c r="E58" s="84"/>
      <c r="F58" s="84"/>
      <c r="G58" s="84"/>
      <c r="H58" s="84"/>
      <c r="I58" s="84"/>
      <c r="J58" s="84"/>
      <c r="K58" s="84"/>
      <c r="L58" s="84"/>
      <c r="M58" s="84"/>
      <c r="N58" s="84"/>
      <c r="O58" s="84"/>
      <c r="P58" s="84"/>
      <c r="Q58" s="84"/>
      <c r="R58" s="84"/>
      <c r="S58" s="84"/>
      <c r="T58" s="84"/>
      <c r="U58" s="84"/>
      <c r="V58" s="84"/>
      <c r="W58" s="84"/>
      <c r="X58" s="84"/>
      <c r="Y58" s="84"/>
      <c r="Z58" s="84"/>
      <c r="AA58" s="84"/>
    </row>
    <row r="59" spans="1:27">
      <c r="A59" s="93">
        <v>43160</v>
      </c>
      <c r="B59" s="82">
        <f t="shared" si="0"/>
        <v>2018</v>
      </c>
      <c r="C59" s="89">
        <v>0</v>
      </c>
      <c r="D59" s="89">
        <v>0.94016129032258067</v>
      </c>
      <c r="E59" s="84"/>
      <c r="F59" s="84"/>
      <c r="G59" s="84"/>
      <c r="H59" s="84"/>
      <c r="I59" s="84"/>
      <c r="J59" s="84"/>
      <c r="K59" s="84"/>
      <c r="L59" s="84"/>
      <c r="M59" s="84"/>
      <c r="N59" s="84"/>
      <c r="O59" s="84"/>
      <c r="P59" s="84"/>
      <c r="Q59" s="84"/>
      <c r="R59" s="84"/>
      <c r="S59" s="84"/>
      <c r="T59" s="84"/>
      <c r="U59" s="84"/>
      <c r="V59" s="84"/>
      <c r="W59" s="84"/>
      <c r="X59" s="84"/>
      <c r="Y59" s="84"/>
      <c r="Z59" s="84"/>
      <c r="AA59" s="84"/>
    </row>
    <row r="60" spans="1:27">
      <c r="A60" s="93">
        <v>43191</v>
      </c>
      <c r="B60" s="82">
        <f t="shared" si="0"/>
        <v>2018</v>
      </c>
      <c r="C60" s="89">
        <v>0</v>
      </c>
      <c r="D60" s="89">
        <v>0.17041999999999999</v>
      </c>
      <c r="E60" s="84"/>
      <c r="F60" s="84"/>
      <c r="G60" s="84"/>
      <c r="H60" s="84"/>
      <c r="I60" s="84"/>
      <c r="J60" s="84"/>
      <c r="K60" s="84"/>
      <c r="L60" s="84"/>
      <c r="M60" s="84"/>
      <c r="N60" s="84"/>
      <c r="O60" s="84"/>
      <c r="P60" s="84"/>
      <c r="Q60" s="84"/>
      <c r="R60" s="84"/>
      <c r="S60" s="84"/>
      <c r="T60" s="84"/>
      <c r="U60" s="84"/>
      <c r="V60" s="84"/>
      <c r="W60" s="84"/>
      <c r="X60" s="84"/>
      <c r="Y60" s="84"/>
      <c r="Z60" s="84"/>
      <c r="AA60" s="84"/>
    </row>
    <row r="61" spans="1:27">
      <c r="A61" s="93">
        <v>43221</v>
      </c>
      <c r="B61" s="82">
        <f t="shared" si="0"/>
        <v>2018</v>
      </c>
      <c r="C61" s="89">
        <v>0</v>
      </c>
      <c r="D61" s="89">
        <v>6.2677419354838712E-2</v>
      </c>
      <c r="E61" s="84"/>
      <c r="F61" s="84"/>
      <c r="G61" s="84"/>
      <c r="H61" s="84"/>
      <c r="I61" s="84"/>
      <c r="J61" s="84"/>
      <c r="K61" s="84"/>
      <c r="L61" s="84"/>
      <c r="M61" s="84"/>
      <c r="N61" s="84"/>
      <c r="O61" s="84"/>
      <c r="P61" s="84"/>
      <c r="Q61" s="84"/>
      <c r="R61" s="84"/>
      <c r="S61" s="84"/>
      <c r="T61" s="84"/>
      <c r="U61" s="84"/>
      <c r="V61" s="84"/>
      <c r="W61" s="84"/>
      <c r="X61" s="84"/>
      <c r="Y61" s="84"/>
      <c r="Z61" s="84"/>
      <c r="AA61" s="84"/>
    </row>
    <row r="62" spans="1:27">
      <c r="A62" s="93">
        <v>43252</v>
      </c>
      <c r="B62" s="82">
        <f t="shared" si="0"/>
        <v>2018</v>
      </c>
      <c r="C62" s="89">
        <v>0</v>
      </c>
      <c r="D62" s="89">
        <v>6.2676666666666672E-2</v>
      </c>
      <c r="E62" s="84"/>
      <c r="F62" s="84"/>
      <c r="G62" s="84"/>
      <c r="H62" s="84"/>
      <c r="I62" s="84"/>
      <c r="J62" s="84"/>
      <c r="K62" s="84"/>
      <c r="L62" s="84"/>
      <c r="M62" s="84"/>
      <c r="N62" s="84"/>
      <c r="O62" s="84"/>
      <c r="P62" s="84"/>
      <c r="Q62" s="84"/>
      <c r="R62" s="84"/>
      <c r="S62" s="84"/>
      <c r="T62" s="84"/>
      <c r="U62" s="84"/>
      <c r="V62" s="84"/>
      <c r="W62" s="84"/>
      <c r="X62" s="84"/>
      <c r="Y62" s="84"/>
      <c r="Z62" s="84"/>
      <c r="AA62" s="84"/>
    </row>
    <row r="63" spans="1:27">
      <c r="A63" s="93">
        <v>43282</v>
      </c>
      <c r="B63" s="82">
        <f t="shared" si="0"/>
        <v>2018</v>
      </c>
      <c r="C63" s="89">
        <v>0</v>
      </c>
      <c r="D63" s="89">
        <v>0.15081612903225808</v>
      </c>
      <c r="E63" s="84"/>
      <c r="F63" s="84"/>
      <c r="G63" s="84"/>
      <c r="H63" s="84"/>
      <c r="I63" s="84"/>
      <c r="J63" s="84"/>
      <c r="K63" s="84"/>
      <c r="L63" s="84"/>
      <c r="M63" s="84"/>
      <c r="N63" s="84"/>
      <c r="O63" s="84"/>
      <c r="P63" s="84"/>
      <c r="Q63" s="84"/>
      <c r="R63" s="84"/>
      <c r="S63" s="84"/>
      <c r="T63" s="84"/>
      <c r="U63" s="84"/>
      <c r="V63" s="84"/>
      <c r="W63" s="84"/>
      <c r="X63" s="84"/>
      <c r="Y63" s="84"/>
      <c r="Z63" s="84"/>
      <c r="AA63" s="84"/>
    </row>
    <row r="64" spans="1:27">
      <c r="A64" s="93">
        <v>43313</v>
      </c>
      <c r="B64" s="82">
        <f t="shared" si="0"/>
        <v>2018</v>
      </c>
      <c r="C64" s="89">
        <v>0</v>
      </c>
      <c r="D64" s="89">
        <v>6.2254838709677421E-2</v>
      </c>
      <c r="E64" s="84"/>
      <c r="F64" s="84"/>
      <c r="G64" s="84"/>
      <c r="H64" s="84"/>
      <c r="I64" s="84"/>
      <c r="J64" s="84"/>
      <c r="K64" s="84"/>
      <c r="L64" s="84"/>
      <c r="M64" s="84"/>
      <c r="N64" s="84"/>
      <c r="O64" s="84"/>
      <c r="P64" s="84"/>
      <c r="Q64" s="84"/>
      <c r="R64" s="84"/>
      <c r="S64" s="84"/>
      <c r="T64" s="84"/>
      <c r="U64" s="84"/>
      <c r="V64" s="84"/>
      <c r="W64" s="84"/>
      <c r="X64" s="84"/>
      <c r="Y64" s="84"/>
      <c r="Z64" s="84"/>
      <c r="AA64" s="84"/>
    </row>
    <row r="65" spans="1:27">
      <c r="A65" s="93">
        <v>43344</v>
      </c>
      <c r="B65" s="82">
        <f t="shared" si="0"/>
        <v>2018</v>
      </c>
      <c r="C65" s="89">
        <v>0</v>
      </c>
      <c r="D65" s="89">
        <v>0.12535333333333334</v>
      </c>
      <c r="E65" s="84"/>
      <c r="F65" s="84"/>
      <c r="G65" s="84"/>
      <c r="H65" s="84"/>
      <c r="I65" s="84"/>
      <c r="J65" s="84"/>
      <c r="K65" s="84"/>
      <c r="L65" s="84"/>
      <c r="M65" s="84"/>
      <c r="N65" s="84"/>
      <c r="O65" s="84"/>
      <c r="P65" s="84"/>
      <c r="Q65" s="84"/>
      <c r="R65" s="84"/>
      <c r="S65" s="84"/>
      <c r="T65" s="84"/>
      <c r="U65" s="84"/>
      <c r="V65" s="84"/>
      <c r="W65" s="84"/>
      <c r="X65" s="84"/>
      <c r="Y65" s="84"/>
      <c r="Z65" s="84"/>
      <c r="AA65" s="84"/>
    </row>
    <row r="66" spans="1:27">
      <c r="A66" s="93">
        <v>43374</v>
      </c>
      <c r="B66" s="82">
        <f t="shared" si="0"/>
        <v>2018</v>
      </c>
      <c r="C66" s="89">
        <v>0</v>
      </c>
      <c r="D66" s="89">
        <v>0.24543225806451613</v>
      </c>
      <c r="E66" s="84"/>
      <c r="F66" s="84"/>
      <c r="G66" s="84"/>
      <c r="H66" s="84"/>
      <c r="I66" s="84"/>
      <c r="J66" s="84"/>
      <c r="K66" s="84"/>
      <c r="L66" s="84"/>
      <c r="M66" s="84"/>
      <c r="N66" s="84"/>
      <c r="O66" s="84"/>
      <c r="P66" s="84"/>
      <c r="Q66" s="84"/>
      <c r="R66" s="84"/>
      <c r="S66" s="84"/>
      <c r="T66" s="84"/>
      <c r="U66" s="84"/>
      <c r="V66" s="84"/>
      <c r="W66" s="84"/>
      <c r="X66" s="84"/>
      <c r="Y66" s="84"/>
      <c r="Z66" s="84"/>
      <c r="AA66" s="84"/>
    </row>
    <row r="67" spans="1:27">
      <c r="A67" s="93">
        <v>43405</v>
      </c>
      <c r="B67" s="82">
        <f t="shared" si="0"/>
        <v>2018</v>
      </c>
      <c r="C67" s="89">
        <v>0</v>
      </c>
      <c r="D67" s="89">
        <v>0.37606666666666666</v>
      </c>
      <c r="E67" s="84"/>
      <c r="F67" s="84"/>
      <c r="G67" s="84"/>
      <c r="H67" s="84"/>
      <c r="I67" s="84"/>
      <c r="J67" s="84"/>
      <c r="K67" s="84"/>
      <c r="L67" s="84"/>
      <c r="M67" s="84"/>
      <c r="N67" s="84"/>
      <c r="O67" s="84"/>
      <c r="P67" s="84"/>
      <c r="Q67" s="84"/>
      <c r="R67" s="84"/>
      <c r="S67" s="84"/>
      <c r="T67" s="84"/>
      <c r="U67" s="84"/>
      <c r="V67" s="84"/>
      <c r="W67" s="84"/>
      <c r="X67" s="84"/>
      <c r="Y67" s="84"/>
      <c r="Z67" s="84"/>
      <c r="AA67" s="84"/>
    </row>
    <row r="68" spans="1:27">
      <c r="A68" s="93">
        <v>43435</v>
      </c>
      <c r="B68" s="82">
        <f t="shared" si="0"/>
        <v>2018</v>
      </c>
      <c r="C68" s="89">
        <v>0</v>
      </c>
      <c r="D68" s="89">
        <v>0.56409677419354831</v>
      </c>
      <c r="E68" s="84"/>
      <c r="F68" s="84"/>
      <c r="G68" s="84"/>
      <c r="H68" s="84"/>
      <c r="I68" s="84"/>
      <c r="J68" s="84"/>
      <c r="K68" s="84"/>
      <c r="L68" s="84"/>
      <c r="M68" s="84"/>
      <c r="N68" s="84"/>
      <c r="O68" s="84"/>
      <c r="P68" s="84"/>
      <c r="Q68" s="84"/>
      <c r="R68" s="84"/>
      <c r="S68" s="84"/>
      <c r="T68" s="84"/>
      <c r="U68" s="84"/>
      <c r="V68" s="84"/>
      <c r="W68" s="84"/>
      <c r="X68" s="84"/>
      <c r="Y68" s="84"/>
      <c r="Z68" s="84"/>
      <c r="AA68" s="84"/>
    </row>
    <row r="69" spans="1:27">
      <c r="A69" s="93">
        <v>43466</v>
      </c>
      <c r="B69" s="82">
        <f t="shared" si="0"/>
        <v>2019</v>
      </c>
      <c r="C69" s="89">
        <v>0</v>
      </c>
      <c r="D69" s="89">
        <v>0.57725806451612904</v>
      </c>
      <c r="E69" s="84"/>
      <c r="F69" s="84"/>
      <c r="G69" s="84"/>
      <c r="H69" s="84"/>
      <c r="I69" s="84"/>
      <c r="J69" s="84"/>
      <c r="K69" s="84"/>
      <c r="L69" s="84"/>
      <c r="M69" s="84"/>
      <c r="N69" s="84"/>
      <c r="O69" s="84"/>
      <c r="P69" s="84"/>
      <c r="Q69" s="84"/>
      <c r="R69" s="84"/>
      <c r="S69" s="84"/>
      <c r="T69" s="84"/>
      <c r="U69" s="84"/>
      <c r="V69" s="84"/>
      <c r="W69" s="84"/>
      <c r="X69" s="84"/>
      <c r="Y69" s="84"/>
      <c r="Z69" s="84"/>
      <c r="AA69" s="84"/>
    </row>
    <row r="70" spans="1:27">
      <c r="A70" s="93">
        <v>43497</v>
      </c>
      <c r="B70" s="82">
        <f t="shared" si="0"/>
        <v>2019</v>
      </c>
      <c r="C70" s="89">
        <v>0</v>
      </c>
      <c r="D70" s="89">
        <v>1.0321071428571429</v>
      </c>
      <c r="E70" s="84"/>
      <c r="F70" s="84"/>
      <c r="G70" s="84"/>
      <c r="H70" s="84"/>
      <c r="I70" s="84"/>
      <c r="J70" s="84"/>
      <c r="K70" s="84"/>
      <c r="L70" s="84"/>
      <c r="M70" s="84"/>
      <c r="N70" s="84"/>
      <c r="O70" s="84"/>
      <c r="P70" s="84"/>
      <c r="Q70" s="84"/>
      <c r="R70" s="84"/>
      <c r="S70" s="84"/>
      <c r="T70" s="84"/>
      <c r="U70" s="84"/>
      <c r="V70" s="84"/>
      <c r="W70" s="84"/>
      <c r="X70" s="84"/>
      <c r="Y70" s="84"/>
      <c r="Z70" s="84"/>
      <c r="AA70" s="84"/>
    </row>
    <row r="71" spans="1:27">
      <c r="A71" s="93">
        <v>43525</v>
      </c>
      <c r="B71" s="82">
        <f t="shared" si="0"/>
        <v>2019</v>
      </c>
      <c r="C71" s="89">
        <v>0</v>
      </c>
      <c r="D71" s="89">
        <v>0.14656451612903226</v>
      </c>
      <c r="E71" s="84"/>
      <c r="F71" s="84"/>
      <c r="G71" s="84"/>
      <c r="H71" s="84"/>
      <c r="I71" s="84"/>
      <c r="J71" s="84"/>
      <c r="K71" s="84"/>
      <c r="L71" s="84"/>
      <c r="M71" s="84"/>
      <c r="N71" s="84"/>
      <c r="O71" s="84"/>
      <c r="P71" s="84"/>
      <c r="Q71" s="84"/>
      <c r="R71" s="84"/>
      <c r="S71" s="84"/>
      <c r="T71" s="84"/>
      <c r="U71" s="84"/>
      <c r="V71" s="84"/>
      <c r="W71" s="84"/>
      <c r="X71" s="84"/>
      <c r="Y71" s="84"/>
      <c r="Z71" s="84"/>
      <c r="AA71" s="84"/>
    </row>
    <row r="72" spans="1:27">
      <c r="A72" s="93">
        <v>43556</v>
      </c>
      <c r="B72" s="82">
        <f t="shared" si="0"/>
        <v>2019</v>
      </c>
      <c r="C72" s="89">
        <v>0</v>
      </c>
      <c r="D72" s="89">
        <v>6.2676666666666672E-2</v>
      </c>
      <c r="E72" s="84"/>
      <c r="F72" s="84"/>
      <c r="G72" s="84"/>
      <c r="H72" s="84"/>
      <c r="I72" s="84"/>
      <c r="J72" s="84"/>
      <c r="K72" s="84"/>
      <c r="L72" s="84"/>
      <c r="M72" s="84"/>
      <c r="N72" s="84"/>
      <c r="O72" s="84"/>
      <c r="P72" s="84"/>
      <c r="Q72" s="84"/>
      <c r="R72" s="84"/>
      <c r="S72" s="84"/>
      <c r="T72" s="84"/>
      <c r="U72" s="84"/>
      <c r="V72" s="84"/>
      <c r="W72" s="84"/>
      <c r="X72" s="84"/>
      <c r="Y72" s="84"/>
      <c r="Z72" s="84"/>
      <c r="AA72" s="84"/>
    </row>
    <row r="73" spans="1:27">
      <c r="A73" s="93">
        <v>43586</v>
      </c>
      <c r="B73" s="82">
        <f t="shared" si="0"/>
        <v>2019</v>
      </c>
      <c r="C73" s="89">
        <v>0</v>
      </c>
      <c r="D73" s="89">
        <v>0</v>
      </c>
      <c r="E73" s="84"/>
      <c r="F73" s="84"/>
      <c r="G73" s="84"/>
      <c r="H73" s="84"/>
      <c r="I73" s="84"/>
      <c r="J73" s="84"/>
      <c r="K73" s="84"/>
      <c r="L73" s="84"/>
      <c r="M73" s="84"/>
      <c r="N73" s="84"/>
      <c r="O73" s="84"/>
      <c r="P73" s="84"/>
      <c r="Q73" s="84"/>
      <c r="R73" s="84"/>
      <c r="S73" s="84"/>
      <c r="T73" s="84"/>
      <c r="U73" s="84"/>
      <c r="V73" s="84"/>
      <c r="W73" s="84"/>
      <c r="X73" s="84"/>
      <c r="Y73" s="84"/>
      <c r="Z73" s="84"/>
      <c r="AA73" s="84"/>
    </row>
    <row r="74" spans="1:27">
      <c r="A74" s="93">
        <v>43617</v>
      </c>
      <c r="B74" s="82">
        <f t="shared" ref="B74:B128" si="1">YEAR(A74)</f>
        <v>2019</v>
      </c>
      <c r="C74" s="89">
        <v>0</v>
      </c>
      <c r="D74" s="89">
        <v>0</v>
      </c>
      <c r="E74" s="84"/>
      <c r="F74" s="84"/>
      <c r="G74" s="84"/>
      <c r="H74" s="84"/>
      <c r="I74" s="84"/>
      <c r="J74" s="84"/>
      <c r="K74" s="84"/>
      <c r="L74" s="84"/>
      <c r="M74" s="84"/>
      <c r="N74" s="84"/>
      <c r="O74" s="84"/>
      <c r="P74" s="84"/>
      <c r="Q74" s="84"/>
      <c r="R74" s="84"/>
      <c r="S74" s="84"/>
      <c r="T74" s="84"/>
      <c r="U74" s="84"/>
      <c r="V74" s="84"/>
      <c r="W74" s="84"/>
      <c r="X74" s="84"/>
      <c r="Y74" s="84"/>
      <c r="Z74" s="84"/>
      <c r="AA74" s="84"/>
    </row>
    <row r="75" spans="1:27">
      <c r="A75" s="93">
        <v>43647</v>
      </c>
      <c r="B75" s="82">
        <f t="shared" si="1"/>
        <v>2019</v>
      </c>
      <c r="C75" s="89">
        <v>0</v>
      </c>
      <c r="D75" s="89">
        <v>0</v>
      </c>
      <c r="E75" s="84"/>
      <c r="F75" s="84"/>
      <c r="G75" s="84"/>
      <c r="H75" s="84"/>
      <c r="I75" s="84"/>
      <c r="J75" s="84"/>
      <c r="K75" s="84"/>
      <c r="L75" s="84"/>
      <c r="M75" s="84"/>
      <c r="N75" s="84"/>
      <c r="O75" s="84"/>
      <c r="P75" s="84"/>
      <c r="Q75" s="84"/>
      <c r="R75" s="84"/>
      <c r="S75" s="84"/>
      <c r="T75" s="84"/>
      <c r="U75" s="84"/>
      <c r="V75" s="84"/>
      <c r="W75" s="84"/>
      <c r="X75" s="84"/>
      <c r="Y75" s="84"/>
      <c r="Z75" s="84"/>
      <c r="AA75" s="84"/>
    </row>
    <row r="76" spans="1:27">
      <c r="A76" s="93">
        <v>43678</v>
      </c>
      <c r="B76" s="82">
        <f t="shared" si="1"/>
        <v>2019</v>
      </c>
      <c r="C76" s="89">
        <v>0</v>
      </c>
      <c r="D76" s="89">
        <v>0</v>
      </c>
      <c r="E76" s="84"/>
      <c r="F76" s="84"/>
      <c r="G76" s="84"/>
      <c r="H76" s="84"/>
      <c r="I76" s="84"/>
      <c r="J76" s="84"/>
      <c r="K76" s="84"/>
      <c r="L76" s="84"/>
      <c r="M76" s="84"/>
      <c r="N76" s="84"/>
      <c r="O76" s="84"/>
      <c r="P76" s="84"/>
      <c r="Q76" s="84"/>
      <c r="R76" s="84"/>
      <c r="S76" s="84"/>
      <c r="T76" s="84"/>
      <c r="U76" s="84"/>
      <c r="V76" s="84"/>
      <c r="W76" s="84"/>
      <c r="X76" s="84"/>
      <c r="Y76" s="84"/>
      <c r="Z76" s="84"/>
      <c r="AA76" s="84"/>
    </row>
    <row r="77" spans="1:27">
      <c r="A77" s="93">
        <v>43709</v>
      </c>
      <c r="B77" s="82">
        <f t="shared" si="1"/>
        <v>2019</v>
      </c>
      <c r="C77" s="89">
        <v>0</v>
      </c>
      <c r="D77" s="89">
        <v>6.2676666666666672E-2</v>
      </c>
      <c r="E77" s="84"/>
      <c r="F77" s="84"/>
      <c r="G77" s="84"/>
      <c r="H77" s="84"/>
      <c r="I77" s="84"/>
      <c r="J77" s="84"/>
      <c r="K77" s="84"/>
      <c r="L77" s="84"/>
      <c r="M77" s="84"/>
      <c r="N77" s="84"/>
      <c r="O77" s="84"/>
      <c r="P77" s="84"/>
      <c r="Q77" s="84"/>
      <c r="R77" s="84"/>
      <c r="S77" s="84"/>
      <c r="T77" s="84"/>
      <c r="U77" s="84"/>
      <c r="V77" s="84"/>
      <c r="W77" s="84"/>
      <c r="X77" s="84"/>
      <c r="Y77" s="84"/>
      <c r="Z77" s="84"/>
      <c r="AA77" s="84"/>
    </row>
    <row r="78" spans="1:27">
      <c r="A78" s="93">
        <v>43739</v>
      </c>
      <c r="B78" s="82">
        <f t="shared" si="1"/>
        <v>2019</v>
      </c>
      <c r="C78" s="89">
        <v>0</v>
      </c>
      <c r="D78" s="89">
        <v>0</v>
      </c>
      <c r="E78" s="84"/>
      <c r="F78" s="84"/>
      <c r="G78" s="84"/>
      <c r="H78" s="84"/>
      <c r="I78" s="84"/>
      <c r="J78" s="84"/>
      <c r="K78" s="84"/>
      <c r="L78" s="84"/>
      <c r="M78" s="84"/>
      <c r="N78" s="84"/>
      <c r="O78" s="84"/>
      <c r="P78" s="84"/>
      <c r="Q78" s="84"/>
      <c r="R78" s="84"/>
      <c r="S78" s="84"/>
      <c r="T78" s="84"/>
      <c r="U78" s="84"/>
      <c r="V78" s="84"/>
      <c r="W78" s="84"/>
      <c r="X78" s="84"/>
      <c r="Y78" s="84"/>
      <c r="Z78" s="84"/>
      <c r="AA78" s="84"/>
    </row>
    <row r="79" spans="1:27">
      <c r="A79" s="93">
        <v>43770</v>
      </c>
      <c r="B79" s="82">
        <f t="shared" si="1"/>
        <v>2019</v>
      </c>
      <c r="C79" s="89">
        <v>0</v>
      </c>
      <c r="D79" s="89">
        <v>0</v>
      </c>
      <c r="E79" s="84"/>
      <c r="F79" s="84"/>
      <c r="G79" s="84"/>
      <c r="H79" s="84"/>
      <c r="I79" s="84"/>
      <c r="J79" s="84"/>
      <c r="K79" s="84"/>
      <c r="L79" s="84"/>
      <c r="M79" s="84"/>
      <c r="N79" s="84"/>
      <c r="O79" s="84"/>
      <c r="P79" s="84"/>
      <c r="Q79" s="84"/>
      <c r="R79" s="84"/>
      <c r="S79" s="84"/>
      <c r="T79" s="84"/>
      <c r="U79" s="84"/>
      <c r="V79" s="84"/>
      <c r="W79" s="84"/>
      <c r="X79" s="84"/>
      <c r="Y79" s="84"/>
      <c r="Z79" s="84"/>
      <c r="AA79" s="84"/>
    </row>
    <row r="80" spans="1:27">
      <c r="A80" s="93">
        <v>43800</v>
      </c>
      <c r="B80" s="82">
        <f t="shared" si="1"/>
        <v>2019</v>
      </c>
      <c r="C80" s="89">
        <v>0</v>
      </c>
      <c r="D80" s="89">
        <v>6.2677419354838712E-2</v>
      </c>
      <c r="E80" s="84"/>
      <c r="F80" s="84"/>
      <c r="G80" s="84"/>
      <c r="H80" s="84"/>
      <c r="I80" s="84"/>
      <c r="J80" s="84"/>
      <c r="K80" s="84"/>
      <c r="L80" s="84"/>
      <c r="M80" s="84"/>
      <c r="N80" s="84"/>
      <c r="O80" s="84"/>
      <c r="P80" s="84"/>
      <c r="Q80" s="84"/>
      <c r="R80" s="84"/>
      <c r="S80" s="84"/>
      <c r="T80" s="84"/>
      <c r="U80" s="84"/>
      <c r="V80" s="84"/>
      <c r="W80" s="84"/>
      <c r="X80" s="84"/>
      <c r="Y80" s="84"/>
      <c r="Z80" s="84"/>
      <c r="AA80" s="84"/>
    </row>
    <row r="81" spans="1:27">
      <c r="A81" s="93">
        <v>43831</v>
      </c>
      <c r="B81" s="82">
        <f t="shared" si="1"/>
        <v>2020</v>
      </c>
      <c r="C81" s="89">
        <v>0</v>
      </c>
      <c r="D81" s="89">
        <v>0.25070645161290323</v>
      </c>
      <c r="E81" s="84"/>
      <c r="F81" s="84"/>
      <c r="G81" s="84"/>
      <c r="H81" s="84"/>
      <c r="I81" s="84"/>
      <c r="J81" s="84"/>
      <c r="K81" s="84"/>
      <c r="L81" s="84"/>
      <c r="M81" s="84"/>
      <c r="N81" s="84"/>
      <c r="O81" s="84"/>
      <c r="P81" s="84"/>
      <c r="Q81" s="84"/>
      <c r="R81" s="84"/>
      <c r="S81" s="84"/>
      <c r="T81" s="84"/>
      <c r="U81" s="84"/>
      <c r="V81" s="84"/>
      <c r="W81" s="84"/>
      <c r="X81" s="84"/>
      <c r="Y81" s="84"/>
      <c r="Z81" s="84"/>
      <c r="AA81" s="84"/>
    </row>
    <row r="82" spans="1:27">
      <c r="A82" s="93">
        <v>43862</v>
      </c>
      <c r="B82" s="82">
        <f t="shared" si="1"/>
        <v>2020</v>
      </c>
      <c r="C82" s="89">
        <v>0</v>
      </c>
      <c r="D82" s="89">
        <v>0.60517241379310349</v>
      </c>
      <c r="E82" s="84"/>
      <c r="F82" s="84"/>
      <c r="G82" s="84"/>
      <c r="H82" s="84"/>
      <c r="I82" s="84"/>
      <c r="J82" s="84"/>
      <c r="K82" s="84"/>
      <c r="L82" s="84"/>
      <c r="M82" s="84"/>
      <c r="N82" s="84"/>
      <c r="O82" s="84"/>
      <c r="P82" s="84"/>
      <c r="Q82" s="84"/>
      <c r="R82" s="84"/>
      <c r="S82" s="84"/>
      <c r="T82" s="84"/>
      <c r="U82" s="84"/>
      <c r="V82" s="84"/>
      <c r="W82" s="84"/>
      <c r="X82" s="84"/>
      <c r="Y82" s="84"/>
      <c r="Z82" s="84"/>
      <c r="AA82" s="84"/>
    </row>
    <row r="83" spans="1:27">
      <c r="A83" s="93">
        <v>43891</v>
      </c>
      <c r="B83" s="82">
        <f t="shared" si="1"/>
        <v>2020</v>
      </c>
      <c r="C83" s="89">
        <v>0</v>
      </c>
      <c r="D83" s="89">
        <v>3.3683870967741933E-2</v>
      </c>
      <c r="E83" s="84"/>
      <c r="F83" s="84"/>
      <c r="G83" s="84"/>
      <c r="H83" s="84"/>
      <c r="I83" s="84"/>
      <c r="J83" s="84"/>
      <c r="K83" s="84"/>
      <c r="L83" s="84"/>
      <c r="M83" s="84"/>
      <c r="N83" s="84"/>
      <c r="O83" s="84"/>
      <c r="P83" s="84"/>
      <c r="Q83" s="84"/>
      <c r="R83" s="84"/>
      <c r="S83" s="84"/>
      <c r="T83" s="84"/>
      <c r="U83" s="84"/>
      <c r="V83" s="84"/>
      <c r="W83" s="84"/>
      <c r="X83" s="84"/>
      <c r="Y83" s="84"/>
      <c r="Z83" s="84"/>
      <c r="AA83" s="84"/>
    </row>
    <row r="84" spans="1:27">
      <c r="A84" s="93">
        <v>43922</v>
      </c>
      <c r="B84" s="82">
        <f t="shared" si="1"/>
        <v>2020</v>
      </c>
      <c r="C84" s="89">
        <v>0</v>
      </c>
      <c r="D84" s="89">
        <v>6.2676666666666672E-2</v>
      </c>
      <c r="E84" s="84"/>
      <c r="F84" s="84"/>
      <c r="G84" s="84"/>
      <c r="H84" s="84"/>
      <c r="I84" s="84"/>
      <c r="J84" s="84"/>
      <c r="K84" s="84"/>
      <c r="L84" s="84"/>
      <c r="M84" s="84"/>
      <c r="N84" s="84"/>
      <c r="O84" s="84"/>
      <c r="P84" s="84"/>
      <c r="Q84" s="84"/>
      <c r="R84" s="84"/>
      <c r="S84" s="84"/>
      <c r="T84" s="84"/>
      <c r="U84" s="84"/>
      <c r="V84" s="84"/>
      <c r="W84" s="84"/>
      <c r="X84" s="84"/>
      <c r="Y84" s="84"/>
      <c r="Z84" s="84"/>
      <c r="AA84" s="84"/>
    </row>
    <row r="85" spans="1:27">
      <c r="A85" s="93">
        <v>43952</v>
      </c>
      <c r="B85" s="82">
        <f t="shared" si="1"/>
        <v>2020</v>
      </c>
      <c r="C85" s="89">
        <v>0</v>
      </c>
      <c r="D85" s="89">
        <v>0</v>
      </c>
      <c r="E85" s="84"/>
      <c r="F85" s="84"/>
      <c r="G85" s="84"/>
      <c r="H85" s="84"/>
      <c r="I85" s="84"/>
      <c r="J85" s="84"/>
      <c r="K85" s="84"/>
      <c r="L85" s="84"/>
      <c r="M85" s="84"/>
      <c r="N85" s="84"/>
      <c r="O85" s="84"/>
      <c r="P85" s="84"/>
      <c r="Q85" s="84"/>
      <c r="R85" s="84"/>
      <c r="S85" s="84"/>
      <c r="T85" s="84"/>
      <c r="U85" s="84"/>
      <c r="V85" s="84"/>
      <c r="W85" s="84"/>
      <c r="X85" s="84"/>
      <c r="Y85" s="84"/>
      <c r="Z85" s="84"/>
      <c r="AA85" s="84"/>
    </row>
    <row r="86" spans="1:27">
      <c r="A86" s="93">
        <v>43983</v>
      </c>
      <c r="B86" s="82">
        <f t="shared" si="1"/>
        <v>2020</v>
      </c>
      <c r="C86" s="89">
        <v>0</v>
      </c>
      <c r="D86" s="89">
        <v>0</v>
      </c>
      <c r="E86" s="84"/>
      <c r="F86" s="84"/>
      <c r="G86" s="84"/>
      <c r="H86" s="84"/>
      <c r="I86" s="84"/>
      <c r="J86" s="84"/>
      <c r="K86" s="84"/>
      <c r="L86" s="84"/>
      <c r="M86" s="84"/>
      <c r="N86" s="84"/>
      <c r="O86" s="84"/>
      <c r="P86" s="84"/>
      <c r="Q86" s="84"/>
      <c r="R86" s="84"/>
      <c r="S86" s="84"/>
      <c r="T86" s="84"/>
      <c r="U86" s="84"/>
      <c r="V86" s="84"/>
      <c r="W86" s="84"/>
      <c r="X86" s="84"/>
      <c r="Y86" s="84"/>
      <c r="Z86" s="84"/>
      <c r="AA86" s="84"/>
    </row>
    <row r="87" spans="1:27">
      <c r="A87" s="93">
        <v>44013</v>
      </c>
      <c r="B87" s="82">
        <f t="shared" si="1"/>
        <v>2020</v>
      </c>
      <c r="C87" s="89">
        <v>0</v>
      </c>
      <c r="D87" s="89">
        <v>6.4332258064516132E-2</v>
      </c>
      <c r="E87" s="84"/>
      <c r="F87" s="84"/>
      <c r="G87" s="84"/>
      <c r="H87" s="84"/>
      <c r="I87" s="84"/>
      <c r="J87" s="84"/>
      <c r="K87" s="84"/>
      <c r="L87" s="84"/>
      <c r="M87" s="84"/>
      <c r="N87" s="84"/>
      <c r="O87" s="84"/>
      <c r="P87" s="84"/>
      <c r="Q87" s="84"/>
      <c r="R87" s="84"/>
      <c r="S87" s="84"/>
      <c r="T87" s="84"/>
      <c r="U87" s="84"/>
      <c r="V87" s="84"/>
      <c r="W87" s="84"/>
      <c r="X87" s="84"/>
      <c r="Y87" s="84"/>
      <c r="Z87" s="84"/>
      <c r="AA87" s="84"/>
    </row>
    <row r="88" spans="1:27">
      <c r="A88" s="93">
        <v>44044</v>
      </c>
      <c r="B88" s="82">
        <f t="shared" si="1"/>
        <v>2020</v>
      </c>
      <c r="C88" s="89">
        <v>0</v>
      </c>
      <c r="D88" s="89">
        <v>6.2677419354838712E-2</v>
      </c>
      <c r="E88" s="84"/>
      <c r="F88" s="84"/>
      <c r="G88" s="84"/>
      <c r="H88" s="84"/>
      <c r="I88" s="84"/>
      <c r="J88" s="84"/>
      <c r="K88" s="84"/>
      <c r="L88" s="84"/>
      <c r="M88" s="84"/>
      <c r="N88" s="84"/>
      <c r="O88" s="84"/>
      <c r="P88" s="84"/>
      <c r="Q88" s="84"/>
      <c r="R88" s="84"/>
      <c r="S88" s="84"/>
      <c r="T88" s="84"/>
      <c r="U88" s="84"/>
      <c r="V88" s="84"/>
      <c r="W88" s="84"/>
      <c r="X88" s="84"/>
      <c r="Y88" s="84"/>
      <c r="Z88" s="84"/>
      <c r="AA88" s="84"/>
    </row>
    <row r="89" spans="1:27">
      <c r="A89" s="93">
        <v>44075</v>
      </c>
      <c r="B89" s="82">
        <f t="shared" si="1"/>
        <v>2020</v>
      </c>
      <c r="C89" s="89">
        <v>0</v>
      </c>
      <c r="D89" s="89">
        <v>0.18803</v>
      </c>
      <c r="E89" s="84"/>
      <c r="F89" s="84"/>
      <c r="G89" s="84"/>
      <c r="H89" s="84"/>
      <c r="I89" s="84"/>
      <c r="J89" s="84"/>
      <c r="K89" s="84"/>
      <c r="L89" s="84"/>
      <c r="M89" s="84"/>
      <c r="N89" s="84"/>
      <c r="O89" s="84"/>
      <c r="P89" s="84"/>
      <c r="Q89" s="84"/>
      <c r="R89" s="84"/>
      <c r="S89" s="84"/>
      <c r="T89" s="84"/>
      <c r="U89" s="84"/>
      <c r="V89" s="84"/>
      <c r="W89" s="84"/>
      <c r="X89" s="84"/>
      <c r="Y89" s="84"/>
      <c r="Z89" s="84"/>
      <c r="AA89" s="84"/>
    </row>
    <row r="90" spans="1:27">
      <c r="A90" s="93">
        <v>44105</v>
      </c>
      <c r="B90" s="82">
        <f t="shared" si="1"/>
        <v>2020</v>
      </c>
      <c r="C90" s="89">
        <v>0</v>
      </c>
      <c r="D90" s="89">
        <v>0.12535483870967742</v>
      </c>
      <c r="E90" s="84"/>
      <c r="F90" s="84"/>
      <c r="G90" s="84"/>
      <c r="H90" s="84"/>
      <c r="I90" s="84"/>
      <c r="J90" s="84"/>
      <c r="K90" s="84"/>
      <c r="L90" s="84"/>
      <c r="M90" s="84"/>
      <c r="N90" s="84"/>
      <c r="O90" s="84"/>
      <c r="P90" s="84"/>
      <c r="Q90" s="84"/>
      <c r="R90" s="84"/>
      <c r="S90" s="84"/>
      <c r="T90" s="84"/>
      <c r="U90" s="84"/>
      <c r="V90" s="84"/>
      <c r="W90" s="84"/>
      <c r="X90" s="84"/>
      <c r="Y90" s="84"/>
      <c r="Z90" s="84"/>
      <c r="AA90" s="84"/>
    </row>
    <row r="91" spans="1:27">
      <c r="A91" s="93">
        <v>44136</v>
      </c>
      <c r="B91" s="82">
        <f t="shared" si="1"/>
        <v>2020</v>
      </c>
      <c r="C91" s="89">
        <v>0</v>
      </c>
      <c r="D91" s="89">
        <v>0.12535333333333334</v>
      </c>
      <c r="E91" s="84"/>
      <c r="F91" s="84"/>
      <c r="G91" s="84"/>
      <c r="H91" s="84"/>
      <c r="I91" s="84"/>
      <c r="J91" s="84"/>
      <c r="K91" s="84"/>
      <c r="L91" s="84"/>
      <c r="M91" s="84"/>
      <c r="N91" s="84"/>
      <c r="O91" s="84"/>
      <c r="P91" s="84"/>
      <c r="Q91" s="84"/>
      <c r="R91" s="84"/>
      <c r="S91" s="84"/>
      <c r="T91" s="84"/>
      <c r="U91" s="84"/>
      <c r="V91" s="84"/>
      <c r="W91" s="84"/>
      <c r="X91" s="84"/>
      <c r="Y91" s="84"/>
      <c r="Z91" s="84"/>
      <c r="AA91" s="84"/>
    </row>
    <row r="92" spans="1:27">
      <c r="A92" s="93">
        <v>44166</v>
      </c>
      <c r="B92" s="82">
        <f t="shared" si="1"/>
        <v>2020</v>
      </c>
      <c r="C92" s="89">
        <v>0</v>
      </c>
      <c r="D92" s="89">
        <v>0.14563870967741935</v>
      </c>
      <c r="E92" s="84"/>
      <c r="F92" s="84"/>
      <c r="G92" s="84"/>
      <c r="H92" s="84"/>
      <c r="I92" s="84"/>
      <c r="J92" s="84"/>
      <c r="K92" s="84"/>
      <c r="L92" s="84"/>
      <c r="M92" s="84"/>
      <c r="N92" s="84"/>
      <c r="O92" s="84"/>
      <c r="P92" s="84"/>
      <c r="Q92" s="84"/>
      <c r="R92" s="84"/>
      <c r="S92" s="84"/>
      <c r="T92" s="84"/>
      <c r="U92" s="84"/>
      <c r="V92" s="84"/>
      <c r="W92" s="84"/>
      <c r="X92" s="84"/>
      <c r="Y92" s="84"/>
      <c r="Z92" s="84"/>
      <c r="AA92" s="84"/>
    </row>
    <row r="93" spans="1:27">
      <c r="A93" s="93">
        <v>44197</v>
      </c>
      <c r="B93" s="82">
        <f t="shared" si="1"/>
        <v>2021</v>
      </c>
      <c r="C93" s="89">
        <v>0</v>
      </c>
      <c r="D93" s="89">
        <v>0.12535483870967742</v>
      </c>
      <c r="E93" s="84"/>
      <c r="F93" s="84"/>
      <c r="G93" s="84"/>
      <c r="H93" s="84"/>
      <c r="I93" s="84"/>
      <c r="J93" s="84"/>
      <c r="K93" s="84"/>
      <c r="L93" s="84"/>
      <c r="M93" s="84"/>
      <c r="N93" s="84"/>
      <c r="O93" s="84"/>
      <c r="P93" s="84"/>
      <c r="Q93" s="84"/>
      <c r="R93" s="84"/>
      <c r="S93" s="84"/>
      <c r="T93" s="84"/>
      <c r="U93" s="84"/>
      <c r="V93" s="84"/>
      <c r="W93" s="84"/>
      <c r="X93" s="84"/>
      <c r="Y93" s="84"/>
      <c r="Z93" s="84"/>
      <c r="AA93" s="84"/>
    </row>
    <row r="94" spans="1:27">
      <c r="A94" s="93">
        <v>44228</v>
      </c>
      <c r="B94" s="82">
        <f t="shared" si="1"/>
        <v>2021</v>
      </c>
      <c r="C94" s="89">
        <v>0</v>
      </c>
      <c r="D94" s="89">
        <v>0.37607142857142856</v>
      </c>
      <c r="E94" s="84"/>
      <c r="F94" s="84"/>
      <c r="G94" s="84"/>
      <c r="H94" s="84"/>
      <c r="I94" s="84"/>
      <c r="J94" s="84"/>
      <c r="K94" s="84"/>
      <c r="L94" s="84"/>
      <c r="M94" s="84"/>
      <c r="N94" s="84"/>
      <c r="O94" s="84"/>
      <c r="P94" s="84"/>
      <c r="Q94" s="84"/>
      <c r="R94" s="84"/>
      <c r="S94" s="84"/>
      <c r="T94" s="84"/>
      <c r="U94" s="84"/>
      <c r="V94" s="84"/>
      <c r="W94" s="84"/>
      <c r="X94" s="84"/>
      <c r="Y94" s="84"/>
      <c r="Z94" s="84"/>
      <c r="AA94" s="84"/>
    </row>
    <row r="95" spans="1:27">
      <c r="A95" s="93">
        <v>44256</v>
      </c>
      <c r="B95" s="82">
        <f t="shared" si="1"/>
        <v>2021</v>
      </c>
      <c r="C95" s="89">
        <v>0</v>
      </c>
      <c r="D95" s="89">
        <v>0.31338387096774195</v>
      </c>
      <c r="E95" s="84"/>
      <c r="F95" s="84"/>
      <c r="G95" s="84"/>
      <c r="H95" s="84"/>
      <c r="I95" s="84"/>
      <c r="J95" s="84"/>
      <c r="K95" s="84"/>
      <c r="L95" s="84"/>
      <c r="M95" s="84"/>
      <c r="N95" s="84"/>
      <c r="O95" s="84"/>
      <c r="P95" s="84"/>
      <c r="Q95" s="84"/>
      <c r="R95" s="84"/>
      <c r="S95" s="84"/>
      <c r="T95" s="84"/>
      <c r="U95" s="84"/>
      <c r="V95" s="84"/>
      <c r="W95" s="84"/>
      <c r="X95" s="84"/>
      <c r="Y95" s="84"/>
      <c r="Z95" s="84"/>
      <c r="AA95" s="84"/>
    </row>
    <row r="96" spans="1:27">
      <c r="A96" s="93">
        <v>44287</v>
      </c>
      <c r="B96" s="82">
        <f t="shared" si="1"/>
        <v>2021</v>
      </c>
      <c r="C96" s="89">
        <v>0</v>
      </c>
      <c r="D96" s="89">
        <v>0</v>
      </c>
      <c r="E96" s="84"/>
      <c r="F96" s="84"/>
      <c r="G96" s="84"/>
      <c r="H96" s="84"/>
      <c r="I96" s="84"/>
      <c r="J96" s="84"/>
      <c r="K96" s="84"/>
      <c r="L96" s="84"/>
      <c r="M96" s="84"/>
      <c r="N96" s="84"/>
      <c r="O96" s="84"/>
      <c r="P96" s="84"/>
      <c r="Q96" s="84"/>
      <c r="R96" s="84"/>
      <c r="S96" s="84"/>
      <c r="T96" s="84"/>
      <c r="U96" s="84"/>
      <c r="V96" s="84"/>
      <c r="W96" s="84"/>
      <c r="X96" s="84"/>
      <c r="Y96" s="84"/>
      <c r="Z96" s="84"/>
      <c r="AA96" s="84"/>
    </row>
    <row r="97" spans="1:27">
      <c r="A97" s="93">
        <v>44317</v>
      </c>
      <c r="B97" s="82">
        <f t="shared" si="1"/>
        <v>2021</v>
      </c>
      <c r="C97" s="89">
        <v>0</v>
      </c>
      <c r="D97" s="89">
        <v>0</v>
      </c>
      <c r="E97" s="84"/>
      <c r="F97" s="84"/>
      <c r="G97" s="84"/>
      <c r="H97" s="84"/>
      <c r="I97" s="84"/>
      <c r="J97" s="84"/>
      <c r="K97" s="84"/>
      <c r="L97" s="84"/>
      <c r="M97" s="84"/>
      <c r="N97" s="84"/>
      <c r="O97" s="84"/>
      <c r="P97" s="84"/>
      <c r="Q97" s="84"/>
      <c r="R97" s="84"/>
      <c r="S97" s="84"/>
      <c r="T97" s="84"/>
      <c r="U97" s="84"/>
      <c r="V97" s="84"/>
      <c r="W97" s="84"/>
      <c r="X97" s="84"/>
      <c r="Y97" s="84"/>
      <c r="Z97" s="84"/>
      <c r="AA97" s="84"/>
    </row>
    <row r="98" spans="1:27">
      <c r="A98" s="93">
        <v>44348</v>
      </c>
      <c r="B98" s="82">
        <f t="shared" si="1"/>
        <v>2021</v>
      </c>
      <c r="C98" s="89">
        <v>0</v>
      </c>
      <c r="D98" s="89">
        <v>0</v>
      </c>
      <c r="E98" s="84"/>
      <c r="F98" s="84"/>
      <c r="G98" s="84"/>
      <c r="H98" s="84"/>
      <c r="I98" s="84"/>
      <c r="J98" s="84"/>
      <c r="K98" s="84"/>
      <c r="L98" s="84"/>
      <c r="M98" s="84"/>
      <c r="N98" s="84"/>
      <c r="O98" s="84"/>
      <c r="P98" s="84"/>
      <c r="Q98" s="84"/>
      <c r="R98" s="84"/>
      <c r="S98" s="84"/>
      <c r="T98" s="84"/>
      <c r="U98" s="84"/>
      <c r="V98" s="84"/>
      <c r="W98" s="84"/>
      <c r="X98" s="84"/>
      <c r="Y98" s="84"/>
      <c r="Z98" s="84"/>
      <c r="AA98" s="84"/>
    </row>
    <row r="99" spans="1:27">
      <c r="A99" s="93">
        <v>44378</v>
      </c>
      <c r="B99" s="82">
        <f t="shared" si="1"/>
        <v>2021</v>
      </c>
      <c r="C99" s="89">
        <v>0</v>
      </c>
      <c r="D99" s="89">
        <v>0</v>
      </c>
      <c r="E99" s="84"/>
      <c r="F99" s="84"/>
      <c r="G99" s="84"/>
      <c r="H99" s="84"/>
      <c r="I99" s="84"/>
      <c r="J99" s="84"/>
      <c r="K99" s="84"/>
      <c r="L99" s="84"/>
      <c r="M99" s="84"/>
      <c r="N99" s="84"/>
      <c r="O99" s="84"/>
      <c r="P99" s="84"/>
      <c r="Q99" s="84"/>
      <c r="R99" s="84"/>
      <c r="S99" s="84"/>
      <c r="T99" s="84"/>
      <c r="U99" s="84"/>
      <c r="V99" s="84"/>
      <c r="W99" s="84"/>
      <c r="X99" s="84"/>
      <c r="Y99" s="84"/>
      <c r="Z99" s="84"/>
      <c r="AA99" s="84"/>
    </row>
    <row r="100" spans="1:27">
      <c r="A100" s="93">
        <v>44409</v>
      </c>
      <c r="B100" s="82">
        <f t="shared" si="1"/>
        <v>2021</v>
      </c>
      <c r="C100" s="89">
        <v>0</v>
      </c>
      <c r="D100" s="89">
        <v>0</v>
      </c>
      <c r="E100" s="84"/>
      <c r="F100" s="84"/>
      <c r="G100" s="84"/>
      <c r="H100" s="84"/>
      <c r="I100" s="84"/>
      <c r="J100" s="84"/>
      <c r="K100" s="84"/>
      <c r="L100" s="84"/>
      <c r="M100" s="84"/>
      <c r="N100" s="84"/>
      <c r="O100" s="84"/>
      <c r="P100" s="84"/>
      <c r="Q100" s="84"/>
      <c r="R100" s="84"/>
      <c r="S100" s="84"/>
      <c r="T100" s="84"/>
      <c r="U100" s="84"/>
      <c r="V100" s="84"/>
      <c r="W100" s="84"/>
      <c r="X100" s="84"/>
      <c r="Y100" s="84"/>
      <c r="Z100" s="84"/>
      <c r="AA100" s="84"/>
    </row>
    <row r="101" spans="1:27">
      <c r="A101" s="93">
        <v>44440</v>
      </c>
      <c r="B101" s="82">
        <f t="shared" si="1"/>
        <v>2021</v>
      </c>
      <c r="C101" s="89">
        <v>0</v>
      </c>
      <c r="D101" s="89">
        <v>0</v>
      </c>
      <c r="E101" s="84"/>
      <c r="F101" s="84"/>
      <c r="G101" s="84"/>
      <c r="H101" s="84"/>
      <c r="I101" s="84"/>
      <c r="J101" s="84"/>
      <c r="K101" s="84"/>
      <c r="L101" s="84"/>
      <c r="M101" s="84"/>
      <c r="N101" s="84"/>
      <c r="O101" s="84"/>
      <c r="P101" s="84"/>
      <c r="Q101" s="84"/>
      <c r="R101" s="84"/>
      <c r="S101" s="84"/>
      <c r="T101" s="84"/>
      <c r="U101" s="84"/>
      <c r="V101" s="84"/>
      <c r="W101" s="84"/>
      <c r="X101" s="84"/>
      <c r="Y101" s="84"/>
      <c r="Z101" s="84"/>
      <c r="AA101" s="84"/>
    </row>
    <row r="102" spans="1:27">
      <c r="A102" s="93">
        <v>44470</v>
      </c>
      <c r="B102" s="82">
        <f t="shared" si="1"/>
        <v>2021</v>
      </c>
      <c r="C102" s="89">
        <v>0</v>
      </c>
      <c r="D102" s="89">
        <v>0.18802903225806453</v>
      </c>
      <c r="E102" s="84"/>
      <c r="F102" s="84"/>
      <c r="G102" s="84"/>
      <c r="H102" s="84"/>
      <c r="I102" s="84"/>
      <c r="J102" s="84"/>
      <c r="K102" s="84"/>
      <c r="L102" s="84"/>
      <c r="M102" s="84"/>
      <c r="N102" s="84"/>
      <c r="O102" s="84"/>
      <c r="P102" s="84"/>
      <c r="Q102" s="84"/>
      <c r="R102" s="84"/>
      <c r="S102" s="84"/>
      <c r="T102" s="84"/>
      <c r="U102" s="84"/>
      <c r="V102" s="84"/>
      <c r="W102" s="84"/>
      <c r="X102" s="84"/>
      <c r="Y102" s="84"/>
      <c r="Z102" s="84"/>
      <c r="AA102" s="84"/>
    </row>
    <row r="103" spans="1:27">
      <c r="A103" s="93">
        <v>44501</v>
      </c>
      <c r="B103" s="82">
        <f t="shared" si="1"/>
        <v>2021</v>
      </c>
      <c r="C103" s="89">
        <v>0</v>
      </c>
      <c r="D103" s="89">
        <v>0.25070666666666669</v>
      </c>
      <c r="E103" s="84"/>
      <c r="F103" s="84"/>
      <c r="G103" s="84"/>
      <c r="H103" s="84"/>
      <c r="I103" s="84"/>
      <c r="J103" s="84"/>
      <c r="K103" s="84"/>
      <c r="L103" s="84"/>
      <c r="M103" s="84"/>
      <c r="N103" s="84"/>
      <c r="O103" s="84"/>
      <c r="P103" s="84"/>
      <c r="Q103" s="84"/>
      <c r="R103" s="84"/>
      <c r="S103" s="84"/>
      <c r="T103" s="84"/>
      <c r="U103" s="84"/>
      <c r="V103" s="84"/>
      <c r="W103" s="84"/>
      <c r="X103" s="84"/>
      <c r="Y103" s="84"/>
      <c r="Z103" s="84"/>
      <c r="AA103" s="84"/>
    </row>
    <row r="104" spans="1:27">
      <c r="A104" s="93">
        <v>44531</v>
      </c>
      <c r="B104" s="82">
        <f t="shared" si="1"/>
        <v>2021</v>
      </c>
      <c r="C104" s="89">
        <v>0</v>
      </c>
      <c r="D104" s="89">
        <v>0.43874193548387097</v>
      </c>
      <c r="E104" s="84"/>
      <c r="F104" s="84"/>
      <c r="G104" s="84"/>
      <c r="H104" s="84"/>
      <c r="I104" s="84"/>
      <c r="J104" s="84"/>
      <c r="K104" s="84"/>
      <c r="L104" s="84"/>
      <c r="M104" s="84"/>
      <c r="N104" s="84"/>
      <c r="O104" s="84"/>
      <c r="P104" s="84"/>
      <c r="Q104" s="84"/>
      <c r="R104" s="84"/>
      <c r="S104" s="84"/>
      <c r="T104" s="84"/>
      <c r="U104" s="84"/>
      <c r="V104" s="84"/>
      <c r="W104" s="84"/>
      <c r="X104" s="84"/>
      <c r="Y104" s="84"/>
      <c r="Z104" s="84"/>
      <c r="AA104" s="84"/>
    </row>
    <row r="105" spans="1:27">
      <c r="A105" s="93">
        <v>44562</v>
      </c>
      <c r="B105" s="82">
        <f t="shared" si="1"/>
        <v>2022</v>
      </c>
      <c r="C105" s="89">
        <v>0</v>
      </c>
      <c r="D105" s="89">
        <v>0.43874193548387097</v>
      </c>
      <c r="E105" s="84"/>
      <c r="F105" s="84"/>
      <c r="G105" s="84"/>
      <c r="H105" s="84"/>
      <c r="I105" s="84"/>
      <c r="J105" s="84"/>
      <c r="K105" s="84"/>
      <c r="L105" s="84"/>
      <c r="M105" s="84"/>
      <c r="N105" s="84"/>
      <c r="O105" s="84"/>
      <c r="P105" s="84"/>
      <c r="Q105" s="84"/>
      <c r="R105" s="84"/>
      <c r="S105" s="84"/>
      <c r="T105" s="84"/>
      <c r="U105" s="84"/>
      <c r="V105" s="84"/>
      <c r="W105" s="84"/>
      <c r="X105" s="84"/>
      <c r="Y105" s="84"/>
      <c r="Z105" s="84"/>
      <c r="AA105" s="84"/>
    </row>
    <row r="106" spans="1:27">
      <c r="A106" s="93">
        <v>44593</v>
      </c>
      <c r="B106" s="82">
        <f t="shared" si="1"/>
        <v>2022</v>
      </c>
      <c r="C106" s="89">
        <v>0</v>
      </c>
      <c r="D106" s="89">
        <v>0.81478571428571434</v>
      </c>
      <c r="E106" s="84"/>
      <c r="F106" s="84"/>
      <c r="G106" s="84"/>
      <c r="H106" s="84"/>
      <c r="I106" s="84"/>
      <c r="J106" s="84"/>
      <c r="K106" s="84"/>
      <c r="L106" s="84"/>
      <c r="M106" s="84"/>
      <c r="N106" s="84"/>
      <c r="O106" s="84"/>
      <c r="P106" s="84"/>
      <c r="Q106" s="84"/>
      <c r="R106" s="84"/>
      <c r="S106" s="84"/>
      <c r="T106" s="84"/>
      <c r="U106" s="84"/>
      <c r="V106" s="84"/>
      <c r="W106" s="84"/>
      <c r="X106" s="84"/>
      <c r="Y106" s="84"/>
      <c r="Z106" s="84"/>
      <c r="AA106" s="84"/>
    </row>
    <row r="107" spans="1:27">
      <c r="A107" s="93">
        <v>44621</v>
      </c>
      <c r="B107" s="82">
        <f t="shared" si="1"/>
        <v>2022</v>
      </c>
      <c r="C107" s="89">
        <v>0</v>
      </c>
      <c r="D107" s="89">
        <v>0.53193548387096767</v>
      </c>
      <c r="E107" s="84"/>
      <c r="F107" s="84"/>
      <c r="G107" s="84"/>
      <c r="H107" s="84"/>
      <c r="I107" s="84"/>
      <c r="J107" s="84"/>
      <c r="K107" s="84"/>
      <c r="L107" s="84"/>
      <c r="M107" s="84"/>
      <c r="N107" s="84"/>
      <c r="O107" s="84"/>
      <c r="P107" s="84"/>
      <c r="Q107" s="84"/>
      <c r="R107" s="84"/>
      <c r="S107" s="84"/>
      <c r="T107" s="84"/>
      <c r="U107" s="84"/>
      <c r="V107" s="84"/>
      <c r="W107" s="84"/>
      <c r="X107" s="84"/>
      <c r="Y107" s="84"/>
      <c r="Z107" s="84"/>
      <c r="AA107" s="84"/>
    </row>
    <row r="108" spans="1:27">
      <c r="A108" s="93">
        <v>44652</v>
      </c>
      <c r="B108" s="82">
        <f t="shared" si="1"/>
        <v>2022</v>
      </c>
      <c r="C108" s="89">
        <v>0</v>
      </c>
      <c r="D108" s="89">
        <v>0</v>
      </c>
      <c r="E108" s="84"/>
      <c r="F108" s="84"/>
      <c r="G108" s="84"/>
      <c r="H108" s="84"/>
      <c r="I108" s="84"/>
      <c r="J108" s="84"/>
      <c r="K108" s="84"/>
      <c r="L108" s="84"/>
      <c r="M108" s="84"/>
      <c r="N108" s="84"/>
      <c r="O108" s="84"/>
      <c r="P108" s="84"/>
      <c r="Q108" s="84"/>
      <c r="R108" s="84"/>
      <c r="S108" s="84"/>
      <c r="T108" s="84"/>
      <c r="U108" s="84"/>
      <c r="V108" s="84"/>
      <c r="W108" s="84"/>
      <c r="X108" s="84"/>
      <c r="Y108" s="84"/>
      <c r="Z108" s="84"/>
      <c r="AA108" s="84"/>
    </row>
    <row r="109" spans="1:27">
      <c r="A109" s="93">
        <v>44682</v>
      </c>
      <c r="B109" s="82">
        <f t="shared" si="1"/>
        <v>2022</v>
      </c>
      <c r="C109" s="89">
        <v>0</v>
      </c>
      <c r="D109" s="89">
        <v>0</v>
      </c>
      <c r="E109" s="84"/>
      <c r="F109" s="84"/>
      <c r="G109" s="84"/>
      <c r="H109" s="84"/>
      <c r="I109" s="84"/>
      <c r="J109" s="84"/>
      <c r="K109" s="84"/>
      <c r="L109" s="84"/>
      <c r="M109" s="84"/>
      <c r="N109" s="84"/>
      <c r="O109" s="84"/>
      <c r="P109" s="84"/>
      <c r="Q109" s="84"/>
      <c r="R109" s="84"/>
      <c r="S109" s="84"/>
      <c r="T109" s="84"/>
      <c r="U109" s="84"/>
      <c r="V109" s="84"/>
      <c r="W109" s="84"/>
      <c r="X109" s="84"/>
      <c r="Y109" s="84"/>
      <c r="Z109" s="84"/>
      <c r="AA109" s="84"/>
    </row>
    <row r="110" spans="1:27">
      <c r="A110" s="93">
        <v>44713</v>
      </c>
      <c r="B110" s="82">
        <f t="shared" si="1"/>
        <v>2022</v>
      </c>
      <c r="C110" s="89">
        <v>0</v>
      </c>
      <c r="D110" s="89">
        <v>0</v>
      </c>
      <c r="E110" s="84"/>
      <c r="F110" s="84"/>
      <c r="G110" s="84"/>
      <c r="H110" s="84"/>
      <c r="I110" s="84"/>
      <c r="J110" s="84"/>
      <c r="K110" s="84"/>
      <c r="L110" s="84"/>
      <c r="M110" s="84"/>
      <c r="N110" s="84"/>
      <c r="O110" s="84"/>
      <c r="P110" s="84"/>
      <c r="Q110" s="84"/>
      <c r="R110" s="84"/>
      <c r="S110" s="84"/>
      <c r="T110" s="84"/>
      <c r="U110" s="84"/>
      <c r="V110" s="84"/>
      <c r="W110" s="84"/>
      <c r="X110" s="84"/>
      <c r="Y110" s="84"/>
      <c r="Z110" s="84"/>
      <c r="AA110" s="84"/>
    </row>
    <row r="111" spans="1:27">
      <c r="A111" s="93">
        <v>44743</v>
      </c>
      <c r="B111" s="82">
        <f t="shared" si="1"/>
        <v>2022</v>
      </c>
      <c r="C111" s="89">
        <v>0</v>
      </c>
      <c r="D111" s="89">
        <v>0</v>
      </c>
      <c r="E111" s="84"/>
      <c r="F111" s="84"/>
      <c r="G111" s="84"/>
      <c r="H111" s="84"/>
      <c r="I111" s="84"/>
      <c r="J111" s="84"/>
      <c r="K111" s="84"/>
      <c r="L111" s="84"/>
      <c r="M111" s="84"/>
      <c r="N111" s="84"/>
      <c r="O111" s="84"/>
      <c r="P111" s="84"/>
      <c r="Q111" s="84"/>
      <c r="R111" s="84"/>
      <c r="S111" s="84"/>
      <c r="T111" s="84"/>
      <c r="U111" s="84"/>
      <c r="V111" s="84"/>
      <c r="W111" s="84"/>
      <c r="X111" s="84"/>
      <c r="Y111" s="84"/>
      <c r="Z111" s="84"/>
      <c r="AA111" s="84"/>
    </row>
    <row r="112" spans="1:27">
      <c r="A112" s="93">
        <v>44774</v>
      </c>
      <c r="B112" s="82">
        <f t="shared" si="1"/>
        <v>2022</v>
      </c>
      <c r="C112" s="89">
        <v>0</v>
      </c>
      <c r="D112" s="89">
        <v>0</v>
      </c>
      <c r="E112" s="84"/>
      <c r="F112" s="84"/>
      <c r="G112" s="84"/>
      <c r="H112" s="84"/>
      <c r="I112" s="84"/>
      <c r="J112" s="84"/>
      <c r="K112" s="84"/>
      <c r="L112" s="84"/>
      <c r="M112" s="84"/>
      <c r="N112" s="84"/>
      <c r="O112" s="84"/>
      <c r="P112" s="84"/>
      <c r="Q112" s="84"/>
      <c r="R112" s="84"/>
      <c r="S112" s="84"/>
      <c r="T112" s="84"/>
      <c r="U112" s="84"/>
      <c r="V112" s="84"/>
      <c r="W112" s="84"/>
      <c r="X112" s="84"/>
      <c r="Y112" s="84"/>
      <c r="Z112" s="84"/>
      <c r="AA112" s="84"/>
    </row>
    <row r="113" spans="1:27">
      <c r="A113" s="93">
        <v>44805</v>
      </c>
      <c r="B113" s="82">
        <f t="shared" si="1"/>
        <v>2022</v>
      </c>
      <c r="C113" s="89">
        <v>0</v>
      </c>
      <c r="D113" s="89">
        <v>0</v>
      </c>
      <c r="E113" s="84"/>
      <c r="F113" s="84"/>
      <c r="G113" s="84"/>
      <c r="H113" s="84"/>
      <c r="I113" s="84"/>
      <c r="J113" s="84"/>
      <c r="K113" s="84"/>
      <c r="L113" s="84"/>
      <c r="M113" s="84"/>
      <c r="N113" s="84"/>
      <c r="O113" s="84"/>
      <c r="P113" s="84"/>
      <c r="Q113" s="84"/>
      <c r="R113" s="84"/>
      <c r="S113" s="84"/>
      <c r="T113" s="84"/>
      <c r="U113" s="84"/>
      <c r="V113" s="84"/>
      <c r="W113" s="84"/>
      <c r="X113" s="84"/>
      <c r="Y113" s="84"/>
      <c r="Z113" s="84"/>
      <c r="AA113" s="84"/>
    </row>
    <row r="114" spans="1:27">
      <c r="A114" s="93">
        <v>44835</v>
      </c>
      <c r="B114" s="82">
        <f t="shared" si="1"/>
        <v>2022</v>
      </c>
      <c r="C114" s="89">
        <v>0</v>
      </c>
      <c r="D114" s="89">
        <v>2.9328064516129033E-2</v>
      </c>
      <c r="E114" s="84"/>
      <c r="F114" s="84"/>
      <c r="G114" s="84"/>
      <c r="H114" s="84"/>
      <c r="I114" s="84"/>
      <c r="J114" s="84"/>
      <c r="K114" s="85"/>
      <c r="L114" s="85"/>
      <c r="M114" s="85"/>
      <c r="N114" s="85"/>
      <c r="O114" s="85"/>
      <c r="P114" s="85"/>
      <c r="Q114" s="85"/>
      <c r="R114" s="85"/>
      <c r="S114" s="85"/>
      <c r="T114" s="85"/>
      <c r="U114" s="85"/>
      <c r="V114" s="84"/>
    </row>
    <row r="115" spans="1:27">
      <c r="A115" s="93">
        <v>44866</v>
      </c>
      <c r="B115" s="82">
        <f t="shared" si="1"/>
        <v>2022</v>
      </c>
      <c r="C115" s="89">
        <v>0</v>
      </c>
      <c r="D115" s="89">
        <v>0.25070666666666669</v>
      </c>
      <c r="E115" s="84"/>
      <c r="F115" s="84"/>
      <c r="G115" s="84"/>
      <c r="H115" s="84"/>
      <c r="I115" s="84"/>
      <c r="J115" s="84"/>
      <c r="K115" s="85"/>
      <c r="L115" s="85"/>
      <c r="M115" s="85"/>
      <c r="N115" s="85"/>
      <c r="O115" s="85"/>
      <c r="P115" s="85"/>
      <c r="Q115" s="85"/>
      <c r="R115" s="85"/>
      <c r="S115" s="85"/>
      <c r="T115" s="85"/>
      <c r="U115" s="85"/>
      <c r="V115" s="84"/>
    </row>
    <row r="116" spans="1:27">
      <c r="A116" s="93">
        <v>44896</v>
      </c>
      <c r="B116" s="82">
        <f t="shared" si="1"/>
        <v>2022</v>
      </c>
      <c r="C116" s="89">
        <v>0</v>
      </c>
      <c r="D116" s="89">
        <v>0.25070645161290323</v>
      </c>
      <c r="E116" s="84"/>
      <c r="F116" s="84"/>
      <c r="G116" s="84"/>
      <c r="H116" s="84"/>
      <c r="I116" s="84"/>
      <c r="J116" s="84"/>
      <c r="K116" s="85"/>
      <c r="L116" s="85"/>
      <c r="M116" s="85"/>
      <c r="N116" s="85"/>
      <c r="O116" s="85"/>
      <c r="P116" s="85"/>
      <c r="Q116" s="85"/>
      <c r="R116" s="85"/>
      <c r="S116" s="85"/>
      <c r="T116" s="85"/>
      <c r="U116" s="85"/>
      <c r="V116" s="84"/>
    </row>
    <row r="117" spans="1:27">
      <c r="A117" s="93">
        <v>44927</v>
      </c>
      <c r="B117" s="82">
        <f t="shared" si="1"/>
        <v>2023</v>
      </c>
      <c r="C117" s="89">
        <v>0</v>
      </c>
      <c r="D117" s="89">
        <v>0.53835483870967737</v>
      </c>
      <c r="E117" s="84"/>
      <c r="F117" s="84"/>
      <c r="G117" s="84"/>
      <c r="H117" s="84"/>
      <c r="I117" s="84"/>
      <c r="J117" s="84"/>
      <c r="K117" s="85"/>
      <c r="L117" s="85"/>
      <c r="M117" s="85"/>
      <c r="N117" s="85"/>
      <c r="O117" s="85"/>
      <c r="P117" s="85"/>
      <c r="Q117" s="85"/>
      <c r="R117" s="85"/>
      <c r="S117" s="85"/>
      <c r="T117" s="85"/>
      <c r="U117" s="85"/>
      <c r="V117" s="84"/>
    </row>
    <row r="118" spans="1:27">
      <c r="A118" s="93">
        <v>44958</v>
      </c>
      <c r="B118" s="82">
        <f t="shared" si="1"/>
        <v>2023</v>
      </c>
      <c r="C118" s="89">
        <v>0</v>
      </c>
      <c r="D118" s="89">
        <v>0.68946428571428575</v>
      </c>
      <c r="E118" s="84"/>
      <c r="F118" s="84"/>
      <c r="G118" s="84"/>
      <c r="H118" s="84"/>
      <c r="I118" s="84"/>
      <c r="J118" s="84"/>
      <c r="K118" s="85"/>
      <c r="L118" s="85"/>
      <c r="M118" s="85"/>
      <c r="N118" s="85"/>
      <c r="O118" s="85"/>
      <c r="P118" s="85"/>
      <c r="Q118" s="85"/>
      <c r="R118" s="85"/>
      <c r="S118" s="85"/>
      <c r="T118" s="85"/>
      <c r="U118" s="85"/>
      <c r="V118" s="84"/>
    </row>
    <row r="119" spans="1:27">
      <c r="A119" s="93">
        <v>44986</v>
      </c>
      <c r="B119" s="82">
        <f t="shared" si="1"/>
        <v>2023</v>
      </c>
      <c r="C119" s="89">
        <v>0</v>
      </c>
      <c r="D119" s="89">
        <v>0.47777419354838707</v>
      </c>
      <c r="E119" s="84"/>
      <c r="F119" s="84"/>
      <c r="G119" s="84"/>
      <c r="H119" s="84"/>
      <c r="I119" s="84"/>
      <c r="J119" s="84"/>
      <c r="K119" s="85"/>
      <c r="L119" s="85"/>
      <c r="M119" s="85"/>
      <c r="N119" s="85"/>
      <c r="O119" s="85"/>
      <c r="P119" s="85"/>
      <c r="Q119" s="85"/>
      <c r="R119" s="85"/>
      <c r="S119" s="85"/>
      <c r="T119" s="85"/>
      <c r="U119" s="85"/>
      <c r="V119" s="84"/>
    </row>
    <row r="120" spans="1:27">
      <c r="A120" s="93">
        <v>45017</v>
      </c>
      <c r="B120" s="82">
        <f t="shared" si="1"/>
        <v>2023</v>
      </c>
      <c r="C120" s="89">
        <v>0</v>
      </c>
      <c r="D120" s="89">
        <v>0</v>
      </c>
      <c r="E120" s="84"/>
      <c r="F120" s="84"/>
      <c r="G120" s="84"/>
      <c r="H120" s="84"/>
      <c r="I120" s="84"/>
      <c r="J120" s="84"/>
      <c r="K120" s="85"/>
      <c r="L120" s="85"/>
      <c r="M120" s="85"/>
      <c r="N120" s="85"/>
      <c r="O120" s="85"/>
      <c r="P120" s="85"/>
      <c r="Q120" s="85"/>
      <c r="R120" s="85"/>
      <c r="S120" s="85"/>
      <c r="T120" s="85"/>
      <c r="U120" s="85"/>
      <c r="V120" s="84"/>
    </row>
    <row r="121" spans="1:27">
      <c r="A121" s="93">
        <v>45047</v>
      </c>
      <c r="B121" s="82">
        <f t="shared" si="1"/>
        <v>2023</v>
      </c>
      <c r="C121" s="89">
        <v>0</v>
      </c>
      <c r="D121" s="89">
        <v>1.8335483870967742E-2</v>
      </c>
      <c r="E121" s="84"/>
      <c r="F121" s="84"/>
      <c r="G121" s="84"/>
      <c r="H121" s="84"/>
      <c r="I121" s="84"/>
      <c r="J121" s="84"/>
      <c r="K121" s="85"/>
      <c r="L121" s="85"/>
      <c r="M121" s="85"/>
      <c r="N121" s="85"/>
      <c r="O121" s="85"/>
      <c r="P121" s="85"/>
      <c r="Q121" s="85"/>
      <c r="R121" s="85"/>
      <c r="S121" s="85"/>
      <c r="T121" s="85"/>
      <c r="U121" s="85"/>
      <c r="V121" s="84"/>
    </row>
    <row r="122" spans="1:27">
      <c r="A122" s="93">
        <v>45078</v>
      </c>
      <c r="B122" s="82">
        <f t="shared" si="1"/>
        <v>2023</v>
      </c>
      <c r="C122" s="89">
        <v>0</v>
      </c>
      <c r="D122" s="89">
        <v>0.14264000000000002</v>
      </c>
      <c r="E122" s="84"/>
      <c r="F122" s="84"/>
      <c r="G122" s="84"/>
      <c r="H122" s="84"/>
      <c r="I122" s="84"/>
      <c r="J122" s="84"/>
      <c r="K122" s="85"/>
      <c r="L122" s="85"/>
      <c r="M122" s="85"/>
      <c r="N122" s="85"/>
      <c r="O122" s="85"/>
      <c r="P122" s="85"/>
      <c r="Q122" s="85"/>
      <c r="R122" s="85"/>
      <c r="S122" s="85"/>
      <c r="T122" s="85"/>
      <c r="U122" s="85"/>
      <c r="V122" s="84"/>
    </row>
    <row r="123" spans="1:27">
      <c r="A123" s="93">
        <v>45108</v>
      </c>
      <c r="B123" s="82">
        <f t="shared" si="1"/>
        <v>2023</v>
      </c>
      <c r="C123" s="89">
        <v>0</v>
      </c>
      <c r="D123" s="89">
        <v>0.17772903225806452</v>
      </c>
      <c r="E123" s="84"/>
      <c r="F123" s="84"/>
      <c r="G123" s="84"/>
      <c r="H123" s="84"/>
      <c r="I123" s="84"/>
      <c r="J123" s="84"/>
      <c r="K123" s="85"/>
      <c r="L123" s="85"/>
      <c r="M123" s="85"/>
      <c r="N123" s="85"/>
      <c r="O123" s="85"/>
      <c r="P123" s="85"/>
      <c r="Q123" s="85"/>
      <c r="R123" s="85"/>
      <c r="S123" s="85"/>
      <c r="T123" s="85"/>
      <c r="U123" s="85"/>
      <c r="V123" s="84"/>
    </row>
    <row r="124" spans="1:27">
      <c r="A124" s="93">
        <v>45139</v>
      </c>
      <c r="B124" s="82">
        <f t="shared" si="1"/>
        <v>2023</v>
      </c>
      <c r="C124" s="89">
        <v>0</v>
      </c>
      <c r="D124" s="89">
        <v>0.12535483870967742</v>
      </c>
      <c r="E124" s="84"/>
      <c r="F124" s="84"/>
      <c r="G124" s="84"/>
      <c r="H124" s="84"/>
      <c r="I124" s="84"/>
      <c r="J124" s="84"/>
      <c r="K124" s="85"/>
      <c r="L124" s="85"/>
      <c r="M124" s="85"/>
      <c r="N124" s="85"/>
      <c r="O124" s="85"/>
      <c r="P124" s="85"/>
      <c r="Q124" s="85"/>
      <c r="R124" s="85"/>
      <c r="S124" s="85"/>
      <c r="T124" s="85"/>
      <c r="U124" s="85"/>
      <c r="V124" s="84"/>
    </row>
    <row r="125" spans="1:27">
      <c r="A125" s="93">
        <v>45170</v>
      </c>
      <c r="B125" s="82">
        <f t="shared" si="1"/>
        <v>2023</v>
      </c>
      <c r="C125" s="89">
        <v>0</v>
      </c>
      <c r="D125" s="89">
        <v>0.22829666666666668</v>
      </c>
      <c r="E125" s="84"/>
      <c r="F125" s="84"/>
      <c r="G125" s="84"/>
      <c r="H125" s="84"/>
      <c r="I125" s="84"/>
      <c r="J125" s="84"/>
      <c r="K125" s="85"/>
      <c r="L125" s="85"/>
      <c r="M125" s="85"/>
      <c r="N125" s="85"/>
      <c r="O125" s="85"/>
      <c r="P125" s="85"/>
      <c r="Q125" s="85"/>
      <c r="R125" s="85"/>
      <c r="S125" s="85"/>
      <c r="T125" s="85"/>
      <c r="U125" s="85"/>
      <c r="V125" s="84"/>
    </row>
    <row r="126" spans="1:27">
      <c r="A126" s="93">
        <v>45200</v>
      </c>
      <c r="B126" s="82">
        <f t="shared" si="1"/>
        <v>2023</v>
      </c>
      <c r="C126" s="89">
        <v>0</v>
      </c>
      <c r="D126" s="89">
        <v>0.18802903225806453</v>
      </c>
      <c r="E126" s="84"/>
      <c r="F126" s="84"/>
      <c r="G126" s="84"/>
      <c r="H126" s="84"/>
      <c r="I126" s="84"/>
      <c r="J126" s="84"/>
      <c r="K126" s="85"/>
      <c r="L126" s="85"/>
      <c r="M126" s="85"/>
      <c r="N126" s="85"/>
      <c r="O126" s="85"/>
      <c r="P126" s="85"/>
      <c r="Q126" s="85"/>
      <c r="R126" s="85"/>
      <c r="S126" s="85"/>
      <c r="T126" s="85"/>
      <c r="U126" s="85"/>
      <c r="V126" s="84"/>
    </row>
    <row r="127" spans="1:27">
      <c r="A127" s="93">
        <v>45231</v>
      </c>
      <c r="B127" s="82">
        <f t="shared" si="1"/>
        <v>2023</v>
      </c>
      <c r="C127" s="89">
        <v>0</v>
      </c>
      <c r="D127" s="89">
        <v>0.37616666666666665</v>
      </c>
      <c r="E127" s="84"/>
      <c r="F127" s="84"/>
      <c r="G127" s="84"/>
      <c r="H127" s="84"/>
      <c r="I127" s="84"/>
      <c r="J127" s="84"/>
      <c r="K127" s="85"/>
      <c r="L127" s="85"/>
      <c r="M127" s="85"/>
      <c r="N127" s="85"/>
      <c r="O127" s="85"/>
      <c r="P127" s="85"/>
      <c r="Q127" s="85"/>
      <c r="R127" s="85"/>
      <c r="S127" s="85"/>
      <c r="T127" s="85"/>
      <c r="U127" s="85"/>
      <c r="V127" s="84"/>
    </row>
    <row r="128" spans="1:27">
      <c r="A128" s="93">
        <v>45261</v>
      </c>
      <c r="B128" s="82">
        <f t="shared" si="1"/>
        <v>2023</v>
      </c>
      <c r="C128" s="89">
        <v>0</v>
      </c>
      <c r="D128" s="89">
        <v>0.68541935483870975</v>
      </c>
      <c r="E128" s="84"/>
      <c r="F128" s="84"/>
      <c r="G128" s="84"/>
      <c r="H128" s="84"/>
      <c r="I128" s="84"/>
      <c r="J128" s="84"/>
      <c r="K128" s="85"/>
      <c r="L128" s="85"/>
      <c r="M128" s="85"/>
      <c r="N128" s="85"/>
      <c r="O128" s="85"/>
      <c r="P128" s="85"/>
      <c r="Q128" s="85"/>
      <c r="R128" s="85"/>
      <c r="S128" s="85"/>
      <c r="T128" s="85"/>
      <c r="U128" s="85"/>
      <c r="V128" s="84"/>
    </row>
    <row r="129" spans="1:4">
      <c r="A129" s="93">
        <v>45292</v>
      </c>
      <c r="B129" s="91">
        <f t="shared" ref="B129:B140" si="2">YEAR(A129)</f>
        <v>2024</v>
      </c>
      <c r="C129" s="89">
        <v>0</v>
      </c>
      <c r="D129" s="89">
        <v>0.90812903225806452</v>
      </c>
    </row>
    <row r="130" spans="1:4">
      <c r="A130" s="93">
        <v>45323</v>
      </c>
      <c r="B130" s="91">
        <f t="shared" si="2"/>
        <v>2024</v>
      </c>
      <c r="C130" s="89">
        <v>0</v>
      </c>
      <c r="D130" s="89">
        <v>1.1764482758620689</v>
      </c>
    </row>
    <row r="131" spans="1:4">
      <c r="A131" s="93">
        <v>45352</v>
      </c>
      <c r="B131" s="91">
        <f t="shared" si="2"/>
        <v>2024</v>
      </c>
      <c r="C131" s="89">
        <v>0</v>
      </c>
      <c r="D131" s="89">
        <v>1.2721612903225805</v>
      </c>
    </row>
    <row r="132" spans="1:4">
      <c r="A132" s="93">
        <v>45383</v>
      </c>
      <c r="B132" s="91">
        <f t="shared" si="2"/>
        <v>2024</v>
      </c>
      <c r="C132" s="89">
        <v>0</v>
      </c>
      <c r="D132" s="89">
        <v>0.21802000000000002</v>
      </c>
    </row>
    <row r="133" spans="1:4">
      <c r="A133" s="93">
        <v>45413</v>
      </c>
      <c r="B133" s="91">
        <f t="shared" si="2"/>
        <v>2024</v>
      </c>
      <c r="C133" s="89">
        <v>0</v>
      </c>
      <c r="D133" s="89">
        <v>6.2677419354838712E-2</v>
      </c>
    </row>
    <row r="134" spans="1:4">
      <c r="A134" s="93">
        <v>45444</v>
      </c>
      <c r="B134" s="91">
        <f t="shared" si="2"/>
        <v>2024</v>
      </c>
      <c r="C134" s="89">
        <v>0</v>
      </c>
      <c r="D134" s="89">
        <v>6.5549999999999997E-2</v>
      </c>
    </row>
    <row r="135" spans="1:4">
      <c r="A135" s="93">
        <v>45474</v>
      </c>
      <c r="B135" s="91">
        <f t="shared" si="2"/>
        <v>2024</v>
      </c>
      <c r="C135" s="89">
        <v>0</v>
      </c>
      <c r="D135" s="89">
        <v>0</v>
      </c>
    </row>
    <row r="136" spans="1:4">
      <c r="A136" s="93">
        <v>45505</v>
      </c>
      <c r="B136" s="91">
        <f t="shared" si="2"/>
        <v>2024</v>
      </c>
      <c r="C136" s="89">
        <v>0</v>
      </c>
      <c r="D136" s="89">
        <v>0</v>
      </c>
    </row>
    <row r="137" spans="1:4">
      <c r="A137" s="93">
        <v>45536</v>
      </c>
      <c r="B137" s="91">
        <f t="shared" si="2"/>
        <v>2024</v>
      </c>
      <c r="C137" s="89">
        <v>0</v>
      </c>
      <c r="D137" s="89">
        <v>6.2676666666666672E-2</v>
      </c>
    </row>
    <row r="138" spans="1:4">
      <c r="A138" s="93">
        <v>45566</v>
      </c>
      <c r="B138" s="91">
        <f t="shared" si="2"/>
        <v>2024</v>
      </c>
      <c r="C138" s="89">
        <v>0</v>
      </c>
      <c r="D138" s="89">
        <v>0</v>
      </c>
    </row>
    <row r="139" spans="1:4">
      <c r="A139" s="93">
        <v>45597</v>
      </c>
      <c r="B139" s="91">
        <f t="shared" si="2"/>
        <v>2024</v>
      </c>
      <c r="C139" s="89">
        <v>0</v>
      </c>
      <c r="D139" s="89">
        <v>0</v>
      </c>
    </row>
    <row r="140" spans="1:4">
      <c r="A140" s="93">
        <v>45627</v>
      </c>
      <c r="B140" s="91">
        <f t="shared" si="2"/>
        <v>2024</v>
      </c>
      <c r="C140" s="89">
        <v>0</v>
      </c>
      <c r="D140" s="89">
        <v>0</v>
      </c>
    </row>
  </sheetData>
  <pageMargins left="0.75" right="0.75" top="1" bottom="1" header="0" footer="0"/>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B2:F138"/>
  <sheetViews>
    <sheetView workbookViewId="0">
      <selection activeCell="D4" sqref="D4:F4"/>
    </sheetView>
  </sheetViews>
  <sheetFormatPr baseColWidth="10" defaultRowHeight="15"/>
  <cols>
    <col min="4" max="4" width="10.7109375" customWidth="1"/>
    <col min="5" max="5" width="8.5703125" customWidth="1"/>
    <col min="6" max="6" width="7.28515625" customWidth="1"/>
    <col min="9" max="9" width="9.42578125" customWidth="1"/>
    <col min="10" max="10" width="9.140625" customWidth="1"/>
    <col min="13" max="13" width="9.5703125" customWidth="1"/>
    <col min="14" max="14" width="9.28515625" customWidth="1"/>
  </cols>
  <sheetData>
    <row r="2" spans="2:6" ht="15" customHeight="1">
      <c r="B2" s="672" t="s">
        <v>311</v>
      </c>
      <c r="C2" s="672" t="s">
        <v>129</v>
      </c>
      <c r="D2" s="673" t="s">
        <v>297</v>
      </c>
      <c r="E2" s="673"/>
      <c r="F2" s="673"/>
    </row>
    <row r="3" spans="2:6" ht="27" customHeight="1">
      <c r="B3" s="672"/>
      <c r="C3" s="672"/>
      <c r="D3" s="673"/>
      <c r="E3" s="673"/>
      <c r="F3" s="673"/>
    </row>
    <row r="4" spans="2:6">
      <c r="B4" s="672"/>
      <c r="C4" s="672"/>
      <c r="D4" s="674" t="s">
        <v>145</v>
      </c>
      <c r="E4" s="674"/>
      <c r="F4" s="674"/>
    </row>
    <row r="5" spans="2:6">
      <c r="B5" s="672"/>
      <c r="C5" s="672"/>
      <c r="D5" s="675" t="s">
        <v>309</v>
      </c>
      <c r="E5" s="675"/>
      <c r="F5" s="675"/>
    </row>
    <row r="6" spans="2:6" ht="30">
      <c r="B6" s="672"/>
      <c r="C6" s="672"/>
      <c r="D6" s="113" t="s">
        <v>298</v>
      </c>
      <c r="E6" s="113" t="s">
        <v>299</v>
      </c>
      <c r="F6" s="113" t="s">
        <v>300</v>
      </c>
    </row>
    <row r="7" spans="2:6">
      <c r="B7" s="114">
        <v>41640</v>
      </c>
      <c r="C7" s="126" t="s">
        <v>408</v>
      </c>
      <c r="D7" s="115">
        <v>29.15</v>
      </c>
      <c r="E7" s="115">
        <v>35.79</v>
      </c>
      <c r="F7" s="115">
        <v>26.02</v>
      </c>
    </row>
    <row r="8" spans="2:6">
      <c r="B8" s="116">
        <v>41671</v>
      </c>
      <c r="C8" s="126" t="s">
        <v>408</v>
      </c>
      <c r="D8" s="115">
        <v>29.38</v>
      </c>
      <c r="E8" s="115">
        <v>36.06</v>
      </c>
      <c r="F8" s="115">
        <v>26.21</v>
      </c>
    </row>
    <row r="9" spans="2:6">
      <c r="B9" s="116">
        <v>41699</v>
      </c>
      <c r="C9" s="126" t="s">
        <v>408</v>
      </c>
      <c r="D9" s="115">
        <v>29.64</v>
      </c>
      <c r="E9" s="115">
        <v>36.39</v>
      </c>
      <c r="F9" s="115">
        <v>26.44</v>
      </c>
    </row>
    <row r="10" spans="2:6">
      <c r="B10" s="116">
        <v>41730</v>
      </c>
      <c r="C10" s="126" t="s">
        <v>408</v>
      </c>
      <c r="D10" s="115">
        <v>29.37</v>
      </c>
      <c r="E10" s="115">
        <v>36.06</v>
      </c>
      <c r="F10" s="115">
        <v>26.21</v>
      </c>
    </row>
    <row r="11" spans="2:6">
      <c r="B11" s="116">
        <v>41760</v>
      </c>
      <c r="C11" s="126" t="s">
        <v>408</v>
      </c>
      <c r="D11" s="115">
        <v>28.94</v>
      </c>
      <c r="E11" s="115">
        <v>35.51</v>
      </c>
      <c r="F11" s="115">
        <v>25.82</v>
      </c>
    </row>
    <row r="12" spans="2:6">
      <c r="B12" s="116">
        <v>41791</v>
      </c>
      <c r="C12" s="126" t="s">
        <v>408</v>
      </c>
      <c r="D12" s="115">
        <v>28.62</v>
      </c>
      <c r="E12" s="115">
        <v>35.119999999999997</v>
      </c>
      <c r="F12" s="115">
        <v>25.54</v>
      </c>
    </row>
    <row r="13" spans="2:6">
      <c r="B13" s="116">
        <v>41821</v>
      </c>
      <c r="C13" s="126" t="s">
        <v>409</v>
      </c>
      <c r="D13" s="115">
        <v>27.98</v>
      </c>
      <c r="E13" s="115">
        <v>34.32</v>
      </c>
      <c r="F13" s="115">
        <v>24.98</v>
      </c>
    </row>
    <row r="14" spans="2:6">
      <c r="B14" s="116">
        <v>41852</v>
      </c>
      <c r="C14" s="126" t="s">
        <v>409</v>
      </c>
      <c r="D14" s="115">
        <v>28.02</v>
      </c>
      <c r="E14" s="115">
        <v>34.369999999999997</v>
      </c>
      <c r="F14" s="115">
        <v>25.02</v>
      </c>
    </row>
    <row r="15" spans="2:6">
      <c r="B15" s="116">
        <v>41883</v>
      </c>
      <c r="C15" s="126" t="s">
        <v>409</v>
      </c>
      <c r="D15" s="115">
        <v>27.92</v>
      </c>
      <c r="E15" s="115">
        <v>34.25</v>
      </c>
      <c r="F15" s="115">
        <v>24.93</v>
      </c>
    </row>
    <row r="16" spans="2:6">
      <c r="B16" s="116">
        <v>41913</v>
      </c>
      <c r="C16" s="126" t="s">
        <v>409</v>
      </c>
      <c r="D16" s="115">
        <v>27.78</v>
      </c>
      <c r="E16" s="115">
        <v>34.07</v>
      </c>
      <c r="F16" s="115">
        <v>24.8</v>
      </c>
    </row>
    <row r="17" spans="2:6">
      <c r="B17" s="116">
        <v>41944</v>
      </c>
      <c r="C17" s="126" t="s">
        <v>409</v>
      </c>
      <c r="D17" s="115">
        <v>27.55</v>
      </c>
      <c r="E17" s="115">
        <v>33.79</v>
      </c>
      <c r="F17" s="115">
        <v>24.6</v>
      </c>
    </row>
    <row r="18" spans="2:6">
      <c r="B18" s="116">
        <v>41974</v>
      </c>
      <c r="C18" s="126" t="s">
        <v>409</v>
      </c>
      <c r="D18" s="115">
        <v>27.41</v>
      </c>
      <c r="E18" s="115">
        <v>33.61</v>
      </c>
      <c r="F18" s="115">
        <v>24.47</v>
      </c>
    </row>
    <row r="19" spans="2:6">
      <c r="B19" s="116">
        <v>42005</v>
      </c>
      <c r="C19" s="126">
        <f t="shared" ref="C19:C38" si="0">YEAR(B19)</f>
        <v>2015</v>
      </c>
      <c r="D19" s="115">
        <v>27.21</v>
      </c>
      <c r="E19" s="115">
        <v>36.4</v>
      </c>
      <c r="F19" s="115">
        <v>22.95</v>
      </c>
    </row>
    <row r="20" spans="2:6">
      <c r="B20" s="116">
        <v>42036</v>
      </c>
      <c r="C20" s="126">
        <f t="shared" si="0"/>
        <v>2015</v>
      </c>
      <c r="D20" s="115">
        <v>27.25</v>
      </c>
      <c r="E20" s="115">
        <v>36.44</v>
      </c>
      <c r="F20" s="115">
        <v>22.97</v>
      </c>
    </row>
    <row r="21" spans="2:6">
      <c r="B21" s="116">
        <v>42064</v>
      </c>
      <c r="C21" s="126">
        <f t="shared" si="0"/>
        <v>2015</v>
      </c>
      <c r="D21" s="115">
        <v>27.37</v>
      </c>
      <c r="E21" s="115">
        <v>36.61</v>
      </c>
      <c r="F21" s="115">
        <v>23.08</v>
      </c>
    </row>
    <row r="22" spans="2:6">
      <c r="B22" s="116">
        <v>42095</v>
      </c>
      <c r="C22" s="126">
        <f t="shared" si="0"/>
        <v>2015</v>
      </c>
      <c r="D22" s="115">
        <v>27.31</v>
      </c>
      <c r="E22" s="115">
        <v>36.53</v>
      </c>
      <c r="F22" s="115">
        <v>23.03</v>
      </c>
    </row>
    <row r="23" spans="2:6">
      <c r="B23" s="116">
        <v>42125</v>
      </c>
      <c r="C23" s="126">
        <f t="shared" si="0"/>
        <v>2015</v>
      </c>
      <c r="D23" s="115">
        <v>27.55</v>
      </c>
      <c r="E23" s="115">
        <v>36.86</v>
      </c>
      <c r="F23" s="115">
        <v>23.22</v>
      </c>
    </row>
    <row r="24" spans="2:6">
      <c r="B24" s="116">
        <v>42156</v>
      </c>
      <c r="C24" s="126">
        <f t="shared" si="0"/>
        <v>2015</v>
      </c>
      <c r="D24" s="115">
        <v>27.56</v>
      </c>
      <c r="E24" s="115">
        <v>36.869999999999997</v>
      </c>
      <c r="F24" s="115">
        <v>23.23</v>
      </c>
    </row>
    <row r="25" spans="2:6">
      <c r="B25" s="116">
        <v>42186</v>
      </c>
      <c r="C25" s="126">
        <f t="shared" si="0"/>
        <v>2015</v>
      </c>
      <c r="D25" s="115">
        <v>27.33</v>
      </c>
      <c r="E25" s="115">
        <v>36.56</v>
      </c>
      <c r="F25" s="115">
        <v>23.05</v>
      </c>
    </row>
    <row r="26" spans="2:6">
      <c r="B26" s="116">
        <v>42217</v>
      </c>
      <c r="C26" s="126">
        <f t="shared" si="0"/>
        <v>2015</v>
      </c>
      <c r="D26" s="115">
        <v>27.44</v>
      </c>
      <c r="E26" s="115">
        <v>36.71</v>
      </c>
      <c r="F26" s="115">
        <v>23.13</v>
      </c>
    </row>
    <row r="27" spans="2:6">
      <c r="B27" s="116">
        <v>42248</v>
      </c>
      <c r="C27" s="126">
        <f t="shared" si="0"/>
        <v>2015</v>
      </c>
      <c r="D27" s="115">
        <v>27.26</v>
      </c>
      <c r="E27" s="115">
        <v>36.46</v>
      </c>
      <c r="F27" s="115">
        <v>22.98</v>
      </c>
    </row>
    <row r="28" spans="2:6">
      <c r="B28" s="116">
        <v>42278</v>
      </c>
      <c r="C28" s="126">
        <f t="shared" si="0"/>
        <v>2015</v>
      </c>
      <c r="D28" s="115">
        <v>27.18</v>
      </c>
      <c r="E28" s="115">
        <v>36.35</v>
      </c>
      <c r="F28" s="115">
        <v>22.92</v>
      </c>
    </row>
    <row r="29" spans="2:6">
      <c r="B29" s="116">
        <v>42309</v>
      </c>
      <c r="C29" s="126">
        <f t="shared" si="0"/>
        <v>2015</v>
      </c>
      <c r="D29" s="115">
        <v>27.06</v>
      </c>
      <c r="E29" s="115">
        <v>36.19</v>
      </c>
      <c r="F29" s="115">
        <v>22.82</v>
      </c>
    </row>
    <row r="30" spans="2:6">
      <c r="B30" s="116">
        <v>42339</v>
      </c>
      <c r="C30" s="126">
        <f t="shared" si="0"/>
        <v>2015</v>
      </c>
      <c r="D30" s="115">
        <v>26.98</v>
      </c>
      <c r="E30" s="115">
        <v>36.07</v>
      </c>
      <c r="F30" s="115">
        <v>22.75</v>
      </c>
    </row>
    <row r="31" spans="2:6">
      <c r="B31" s="116">
        <v>42370</v>
      </c>
      <c r="C31" s="126">
        <f t="shared" si="0"/>
        <v>2016</v>
      </c>
      <c r="D31" s="115">
        <v>26.89</v>
      </c>
      <c r="E31" s="115">
        <v>37.26</v>
      </c>
      <c r="F31" s="115">
        <v>21.32</v>
      </c>
    </row>
    <row r="32" spans="2:6">
      <c r="B32" s="116">
        <v>42401</v>
      </c>
      <c r="C32" s="126">
        <f t="shared" si="0"/>
        <v>2016</v>
      </c>
      <c r="D32" s="115">
        <v>26.84</v>
      </c>
      <c r="E32" s="115">
        <v>37.17</v>
      </c>
      <c r="F32" s="115">
        <v>21.28</v>
      </c>
    </row>
    <row r="33" spans="2:6">
      <c r="B33" s="116">
        <v>42430</v>
      </c>
      <c r="C33" s="126">
        <f t="shared" si="0"/>
        <v>2016</v>
      </c>
      <c r="D33" s="115">
        <v>26.76</v>
      </c>
      <c r="E33" s="115">
        <v>37.07</v>
      </c>
      <c r="F33" s="115">
        <v>21.22</v>
      </c>
    </row>
    <row r="34" spans="2:6">
      <c r="B34" s="116">
        <v>42461</v>
      </c>
      <c r="C34" s="126">
        <f t="shared" si="0"/>
        <v>2016</v>
      </c>
      <c r="D34" s="115">
        <v>26.69</v>
      </c>
      <c r="E34" s="115">
        <v>36.96</v>
      </c>
      <c r="F34" s="115">
        <v>21.16</v>
      </c>
    </row>
    <row r="35" spans="2:6">
      <c r="B35" s="116">
        <v>42491</v>
      </c>
      <c r="C35" s="126">
        <f t="shared" si="0"/>
        <v>2016</v>
      </c>
      <c r="D35" s="115">
        <v>26.62</v>
      </c>
      <c r="E35" s="115">
        <v>36.86</v>
      </c>
      <c r="F35" s="115">
        <v>21.1</v>
      </c>
    </row>
    <row r="36" spans="2:6">
      <c r="B36" s="116">
        <v>42522</v>
      </c>
      <c r="C36" s="126">
        <f t="shared" si="0"/>
        <v>2016</v>
      </c>
      <c r="D36" s="115">
        <v>26.54</v>
      </c>
      <c r="E36" s="115">
        <v>36.76</v>
      </c>
      <c r="F36" s="115">
        <v>21.05</v>
      </c>
    </row>
    <row r="37" spans="2:6">
      <c r="B37" s="116">
        <v>42552</v>
      </c>
      <c r="C37" s="126">
        <f t="shared" si="0"/>
        <v>2016</v>
      </c>
      <c r="D37" s="115">
        <v>26.47</v>
      </c>
      <c r="E37" s="115">
        <v>36.659999999999997</v>
      </c>
      <c r="F37" s="115">
        <v>20.99</v>
      </c>
    </row>
    <row r="38" spans="2:6">
      <c r="B38" s="116">
        <v>42583</v>
      </c>
      <c r="C38" s="126">
        <f t="shared" si="0"/>
        <v>2016</v>
      </c>
      <c r="D38" s="115">
        <v>26.4</v>
      </c>
      <c r="E38" s="115">
        <v>36.56</v>
      </c>
      <c r="F38" s="115">
        <v>20.94</v>
      </c>
    </row>
    <row r="39" spans="2:6">
      <c r="B39" s="116">
        <v>42614</v>
      </c>
      <c r="C39" s="126">
        <f t="shared" ref="C39:C70" si="1">YEAR(B39)</f>
        <v>2016</v>
      </c>
      <c r="D39" s="115">
        <v>26.33</v>
      </c>
      <c r="E39" s="115">
        <v>36.450000000000003</v>
      </c>
      <c r="F39" s="115">
        <v>20.88</v>
      </c>
    </row>
    <row r="40" spans="2:6">
      <c r="B40" s="116">
        <v>42644</v>
      </c>
      <c r="C40" s="126">
        <f t="shared" si="1"/>
        <v>2016</v>
      </c>
      <c r="D40" s="115">
        <v>26.26</v>
      </c>
      <c r="E40" s="115">
        <v>36.36</v>
      </c>
      <c r="F40" s="115">
        <v>20.83</v>
      </c>
    </row>
    <row r="41" spans="2:6">
      <c r="B41" s="116">
        <v>42675</v>
      </c>
      <c r="C41" s="126">
        <f t="shared" si="1"/>
        <v>2016</v>
      </c>
      <c r="D41" s="115">
        <v>26.19</v>
      </c>
      <c r="E41" s="115">
        <v>36.26</v>
      </c>
      <c r="F41" s="115">
        <v>20.78</v>
      </c>
    </row>
    <row r="42" spans="2:6">
      <c r="B42" s="116">
        <v>42705</v>
      </c>
      <c r="C42" s="126">
        <f t="shared" si="1"/>
        <v>2016</v>
      </c>
      <c r="D42" s="115">
        <v>26.16</v>
      </c>
      <c r="E42" s="115">
        <v>36.159999999999997</v>
      </c>
      <c r="F42" s="115">
        <v>20.72</v>
      </c>
    </row>
    <row r="43" spans="2:6">
      <c r="B43" s="116">
        <v>42736</v>
      </c>
      <c r="C43" s="126">
        <f t="shared" si="1"/>
        <v>2017</v>
      </c>
      <c r="D43" s="115">
        <v>26.09</v>
      </c>
      <c r="E43" s="115">
        <v>35.75</v>
      </c>
      <c r="F43" s="115">
        <v>19.34</v>
      </c>
    </row>
    <row r="44" spans="2:6">
      <c r="B44" s="116">
        <v>42767</v>
      </c>
      <c r="C44" s="126">
        <f t="shared" si="1"/>
        <v>2017</v>
      </c>
      <c r="D44" s="115">
        <v>26.08</v>
      </c>
      <c r="E44" s="115">
        <v>35.729999999999997</v>
      </c>
      <c r="F44" s="115">
        <v>19.34</v>
      </c>
    </row>
    <row r="45" spans="2:6">
      <c r="B45" s="116">
        <v>42795</v>
      </c>
      <c r="C45" s="126">
        <f t="shared" si="1"/>
        <v>2017</v>
      </c>
      <c r="D45" s="115">
        <v>26.05</v>
      </c>
      <c r="E45" s="115">
        <v>35.700000000000003</v>
      </c>
      <c r="F45" s="115">
        <v>19.32</v>
      </c>
    </row>
    <row r="46" spans="2:6">
      <c r="B46" s="116">
        <v>42826</v>
      </c>
      <c r="C46" s="126">
        <f t="shared" si="1"/>
        <v>2017</v>
      </c>
      <c r="D46" s="115">
        <v>26.03</v>
      </c>
      <c r="E46" s="115">
        <v>35.67</v>
      </c>
      <c r="F46" s="115">
        <v>19.3</v>
      </c>
    </row>
    <row r="47" spans="2:6">
      <c r="B47" s="116">
        <v>42856</v>
      </c>
      <c r="C47" s="126">
        <f t="shared" si="1"/>
        <v>2017</v>
      </c>
      <c r="D47" s="115">
        <v>26</v>
      </c>
      <c r="E47" s="115">
        <v>35.630000000000003</v>
      </c>
      <c r="F47" s="115">
        <v>19.28</v>
      </c>
    </row>
    <row r="48" spans="2:6">
      <c r="B48" s="116">
        <v>42887</v>
      </c>
      <c r="C48" s="126">
        <f t="shared" si="1"/>
        <v>2017</v>
      </c>
      <c r="D48" s="115">
        <v>25.98</v>
      </c>
      <c r="E48" s="115">
        <v>35.6</v>
      </c>
      <c r="F48" s="115">
        <v>19.260000000000002</v>
      </c>
    </row>
    <row r="49" spans="2:6">
      <c r="B49" s="116">
        <v>42917</v>
      </c>
      <c r="C49" s="126">
        <f t="shared" si="1"/>
        <v>2017</v>
      </c>
      <c r="D49" s="115">
        <v>25.95</v>
      </c>
      <c r="E49" s="115">
        <v>35.57</v>
      </c>
      <c r="F49" s="115">
        <v>19.25</v>
      </c>
    </row>
    <row r="50" spans="2:6">
      <c r="B50" s="116">
        <v>42948</v>
      </c>
      <c r="C50" s="126">
        <f t="shared" si="1"/>
        <v>2017</v>
      </c>
      <c r="D50" s="115">
        <v>25.93</v>
      </c>
      <c r="E50" s="115">
        <v>35.93</v>
      </c>
      <c r="F50" s="115">
        <v>19.23</v>
      </c>
    </row>
    <row r="51" spans="2:6">
      <c r="B51" s="116">
        <v>42979</v>
      </c>
      <c r="C51" s="126">
        <f t="shared" si="1"/>
        <v>2017</v>
      </c>
      <c r="D51" s="115">
        <v>25.91</v>
      </c>
      <c r="E51" s="115">
        <v>35.5</v>
      </c>
      <c r="F51" s="115">
        <v>19.21</v>
      </c>
    </row>
    <row r="52" spans="2:6">
      <c r="B52" s="116">
        <v>43009</v>
      </c>
      <c r="C52" s="126">
        <f t="shared" si="1"/>
        <v>2017</v>
      </c>
      <c r="D52" s="115">
        <v>25.89</v>
      </c>
      <c r="E52" s="115">
        <v>35.47</v>
      </c>
      <c r="F52" s="115">
        <v>19.2</v>
      </c>
    </row>
    <row r="53" spans="2:6">
      <c r="B53" s="116">
        <v>43040</v>
      </c>
      <c r="C53" s="126">
        <f t="shared" si="1"/>
        <v>2017</v>
      </c>
      <c r="D53" s="115">
        <v>25.87</v>
      </c>
      <c r="E53" s="115">
        <v>35.44</v>
      </c>
      <c r="F53" s="115">
        <v>19.18</v>
      </c>
    </row>
    <row r="54" spans="2:6">
      <c r="B54" s="116">
        <v>43070</v>
      </c>
      <c r="C54" s="126">
        <f t="shared" si="1"/>
        <v>2017</v>
      </c>
      <c r="D54" s="115">
        <v>25.84</v>
      </c>
      <c r="E54" s="115">
        <v>35.409999999999997</v>
      </c>
      <c r="F54" s="115">
        <v>19.16</v>
      </c>
    </row>
    <row r="55" spans="2:6">
      <c r="B55" s="116">
        <v>43101</v>
      </c>
      <c r="C55" s="126">
        <f t="shared" si="1"/>
        <v>2018</v>
      </c>
      <c r="D55" s="117">
        <v>25.85</v>
      </c>
      <c r="E55" s="117">
        <v>35.049999999999997</v>
      </c>
      <c r="F55" s="117">
        <v>18.87</v>
      </c>
    </row>
    <row r="56" spans="2:6">
      <c r="B56" s="116">
        <v>43132</v>
      </c>
      <c r="C56" s="126">
        <f t="shared" si="1"/>
        <v>2018</v>
      </c>
      <c r="D56" s="117">
        <v>25.88</v>
      </c>
      <c r="E56" s="117">
        <v>35.090000000000003</v>
      </c>
      <c r="F56" s="117">
        <v>18.899999999999999</v>
      </c>
    </row>
    <row r="57" spans="2:6">
      <c r="B57" s="116">
        <v>43160</v>
      </c>
      <c r="C57" s="126">
        <f t="shared" si="1"/>
        <v>2018</v>
      </c>
      <c r="D57" s="117">
        <v>25.9</v>
      </c>
      <c r="E57" s="117">
        <v>35.119999999999997</v>
      </c>
      <c r="F57" s="117">
        <v>18.91</v>
      </c>
    </row>
    <row r="58" spans="2:6">
      <c r="B58" s="116">
        <v>43191</v>
      </c>
      <c r="C58" s="126">
        <f t="shared" si="1"/>
        <v>2018</v>
      </c>
      <c r="D58" s="117">
        <v>25.92</v>
      </c>
      <c r="E58" s="117">
        <v>35.15</v>
      </c>
      <c r="F58" s="117">
        <v>18.920000000000002</v>
      </c>
    </row>
    <row r="59" spans="2:6">
      <c r="B59" s="116">
        <v>43221</v>
      </c>
      <c r="C59" s="126">
        <f t="shared" si="1"/>
        <v>2018</v>
      </c>
      <c r="D59" s="117">
        <v>25.94</v>
      </c>
      <c r="E59" s="117">
        <v>35.18</v>
      </c>
      <c r="F59" s="117">
        <v>18.93</v>
      </c>
    </row>
    <row r="60" spans="2:6">
      <c r="B60" s="116">
        <v>43252</v>
      </c>
      <c r="C60" s="126">
        <f t="shared" si="1"/>
        <v>2018</v>
      </c>
      <c r="D60" s="117">
        <v>25.96</v>
      </c>
      <c r="E60" s="117">
        <v>35.200000000000003</v>
      </c>
      <c r="F60" s="117">
        <v>18.95</v>
      </c>
    </row>
    <row r="61" spans="2:6">
      <c r="B61" s="116">
        <v>43282</v>
      </c>
      <c r="C61" s="126">
        <f t="shared" si="1"/>
        <v>2018</v>
      </c>
      <c r="D61" s="117">
        <v>25.98</v>
      </c>
      <c r="E61" s="117">
        <v>35.229999999999997</v>
      </c>
      <c r="F61" s="117">
        <v>18.96</v>
      </c>
    </row>
    <row r="62" spans="2:6">
      <c r="B62" s="116">
        <v>43313</v>
      </c>
      <c r="C62" s="126">
        <f t="shared" si="1"/>
        <v>2018</v>
      </c>
      <c r="D62" s="117">
        <v>26</v>
      </c>
      <c r="E62" s="117">
        <v>35.36</v>
      </c>
      <c r="F62" s="117">
        <v>18.97</v>
      </c>
    </row>
    <row r="63" spans="2:6">
      <c r="B63" s="116">
        <v>43344</v>
      </c>
      <c r="C63" s="126">
        <f t="shared" si="1"/>
        <v>2018</v>
      </c>
      <c r="D63" s="117">
        <v>26.02</v>
      </c>
      <c r="E63" s="117">
        <v>35.29</v>
      </c>
      <c r="F63" s="117">
        <v>18.989999999999998</v>
      </c>
    </row>
    <row r="64" spans="2:6">
      <c r="B64" s="116">
        <v>43374</v>
      </c>
      <c r="C64" s="126">
        <f t="shared" si="1"/>
        <v>2018</v>
      </c>
      <c r="D64" s="117">
        <v>26.02</v>
      </c>
      <c r="E64" s="117">
        <v>35.32</v>
      </c>
      <c r="F64" s="117">
        <v>19</v>
      </c>
    </row>
    <row r="65" spans="2:6">
      <c r="B65" s="116">
        <v>43405</v>
      </c>
      <c r="C65" s="126">
        <f t="shared" si="1"/>
        <v>2018</v>
      </c>
      <c r="D65" s="117">
        <v>26.07</v>
      </c>
      <c r="E65" s="117">
        <v>35.35</v>
      </c>
      <c r="F65" s="117">
        <v>19.02</v>
      </c>
    </row>
    <row r="66" spans="2:6">
      <c r="B66" s="116">
        <v>43435</v>
      </c>
      <c r="C66" s="126">
        <f t="shared" si="1"/>
        <v>2018</v>
      </c>
      <c r="D66" s="117">
        <v>26.09</v>
      </c>
      <c r="E66" s="117">
        <v>35.380000000000003</v>
      </c>
      <c r="F66" s="117">
        <v>19.03</v>
      </c>
    </row>
    <row r="67" spans="2:6">
      <c r="B67" s="116">
        <v>43466</v>
      </c>
      <c r="C67" s="126">
        <f t="shared" si="1"/>
        <v>2019</v>
      </c>
      <c r="D67" s="117">
        <v>26.14</v>
      </c>
      <c r="E67" s="117">
        <v>35.46</v>
      </c>
      <c r="F67" s="117">
        <v>18.690000000000001</v>
      </c>
    </row>
    <row r="68" spans="2:6">
      <c r="B68" s="116">
        <v>43497</v>
      </c>
      <c r="C68" s="126">
        <f t="shared" si="1"/>
        <v>2019</v>
      </c>
      <c r="D68" s="117">
        <v>26.21</v>
      </c>
      <c r="E68" s="117">
        <v>35.369999999999997</v>
      </c>
      <c r="F68" s="117">
        <v>18.75</v>
      </c>
    </row>
    <row r="69" spans="2:6">
      <c r="B69" s="116">
        <v>43525</v>
      </c>
      <c r="C69" s="126">
        <f t="shared" si="1"/>
        <v>2019</v>
      </c>
      <c r="D69" s="117">
        <v>26.28</v>
      </c>
      <c r="E69" s="117">
        <v>35.65</v>
      </c>
      <c r="F69" s="117">
        <v>18.79</v>
      </c>
    </row>
    <row r="70" spans="2:6">
      <c r="B70" s="116">
        <v>43556</v>
      </c>
      <c r="C70" s="126">
        <f t="shared" si="1"/>
        <v>2019</v>
      </c>
      <c r="D70" s="117">
        <v>26.34</v>
      </c>
      <c r="E70" s="117">
        <v>35.74</v>
      </c>
      <c r="F70" s="117">
        <v>18.84</v>
      </c>
    </row>
    <row r="71" spans="2:6">
      <c r="B71" s="116">
        <v>43586</v>
      </c>
      <c r="C71" s="126">
        <f t="shared" ref="C71:C102" si="2">YEAR(B71)</f>
        <v>2019</v>
      </c>
      <c r="D71" s="117">
        <v>26.4</v>
      </c>
      <c r="E71" s="117">
        <v>35.83</v>
      </c>
      <c r="F71" s="117">
        <v>18.88</v>
      </c>
    </row>
    <row r="72" spans="2:6">
      <c r="B72" s="116">
        <v>43617</v>
      </c>
      <c r="C72" s="126">
        <f t="shared" si="2"/>
        <v>2019</v>
      </c>
      <c r="D72" s="117">
        <v>26.46</v>
      </c>
      <c r="E72" s="117">
        <v>35.909999999999997</v>
      </c>
      <c r="F72" s="117">
        <v>18.920000000000002</v>
      </c>
    </row>
    <row r="73" spans="2:6">
      <c r="B73" s="116">
        <v>43647</v>
      </c>
      <c r="C73" s="126">
        <f t="shared" si="2"/>
        <v>2019</v>
      </c>
      <c r="D73" s="117">
        <v>26.53</v>
      </c>
      <c r="E73" s="117">
        <v>36</v>
      </c>
      <c r="F73" s="117">
        <v>18.96</v>
      </c>
    </row>
    <row r="74" spans="2:6">
      <c r="B74" s="116">
        <v>43678</v>
      </c>
      <c r="C74" s="126">
        <f t="shared" si="2"/>
        <v>2019</v>
      </c>
      <c r="D74" s="117">
        <v>26.59</v>
      </c>
      <c r="E74" s="117">
        <v>36.090000000000003</v>
      </c>
      <c r="F74" s="117">
        <v>19.010000000000002</v>
      </c>
    </row>
    <row r="75" spans="2:6">
      <c r="B75" s="116">
        <v>43709</v>
      </c>
      <c r="C75" s="126">
        <f t="shared" si="2"/>
        <v>2019</v>
      </c>
      <c r="D75" s="117">
        <v>26.65</v>
      </c>
      <c r="E75" s="117">
        <v>36.18</v>
      </c>
      <c r="F75" s="117">
        <v>19.05</v>
      </c>
    </row>
    <row r="76" spans="2:6">
      <c r="B76" s="116">
        <v>43739</v>
      </c>
      <c r="C76" s="126">
        <f t="shared" si="2"/>
        <v>2019</v>
      </c>
      <c r="D76" s="117">
        <v>26.72</v>
      </c>
      <c r="E76" s="117">
        <v>36.270000000000003</v>
      </c>
      <c r="F76" s="117">
        <v>19.100000000000001</v>
      </c>
    </row>
    <row r="77" spans="2:6">
      <c r="B77" s="116">
        <v>43770</v>
      </c>
      <c r="C77" s="126">
        <f t="shared" si="2"/>
        <v>2019</v>
      </c>
      <c r="D77" s="117">
        <v>26.79</v>
      </c>
      <c r="E77" s="117">
        <v>36.36</v>
      </c>
      <c r="F77" s="117">
        <v>19.14</v>
      </c>
    </row>
    <row r="78" spans="2:6">
      <c r="B78" s="116">
        <v>43800</v>
      </c>
      <c r="C78" s="126">
        <f t="shared" si="2"/>
        <v>2019</v>
      </c>
      <c r="D78" s="117">
        <v>26.85</v>
      </c>
      <c r="E78" s="117">
        <v>36.450000000000003</v>
      </c>
      <c r="F78" s="117">
        <v>19.18</v>
      </c>
    </row>
    <row r="79" spans="2:6">
      <c r="B79" s="116">
        <v>43831</v>
      </c>
      <c r="C79" s="126">
        <f t="shared" si="2"/>
        <v>2020</v>
      </c>
      <c r="D79" s="117">
        <v>26.89</v>
      </c>
      <c r="E79" s="117">
        <v>36.409999999999997</v>
      </c>
      <c r="F79" s="117">
        <v>18.93</v>
      </c>
    </row>
    <row r="80" spans="2:6">
      <c r="B80" s="116">
        <v>43862</v>
      </c>
      <c r="C80" s="126">
        <f t="shared" si="2"/>
        <v>2020</v>
      </c>
      <c r="D80" s="117">
        <v>26.95</v>
      </c>
      <c r="E80" s="117">
        <v>36.49</v>
      </c>
      <c r="F80" s="117">
        <v>18.98</v>
      </c>
    </row>
    <row r="81" spans="2:6">
      <c r="B81" s="116">
        <v>43891</v>
      </c>
      <c r="C81" s="126">
        <f t="shared" si="2"/>
        <v>2020</v>
      </c>
      <c r="D81" s="117">
        <v>27</v>
      </c>
      <c r="E81" s="117">
        <v>36.56</v>
      </c>
      <c r="F81" s="117">
        <v>19.02</v>
      </c>
    </row>
    <row r="82" spans="2:6">
      <c r="B82" s="116">
        <v>43922</v>
      </c>
      <c r="C82" s="126">
        <f t="shared" si="2"/>
        <v>2020</v>
      </c>
      <c r="D82" s="117">
        <v>27.05</v>
      </c>
      <c r="E82" s="117">
        <v>36.630000000000003</v>
      </c>
      <c r="F82" s="117">
        <v>19.05</v>
      </c>
    </row>
    <row r="83" spans="2:6">
      <c r="B83" s="116">
        <v>43952</v>
      </c>
      <c r="C83" s="126">
        <f t="shared" si="2"/>
        <v>2020</v>
      </c>
      <c r="D83" s="117">
        <v>27.1</v>
      </c>
      <c r="E83" s="117">
        <v>36.700000000000003</v>
      </c>
      <c r="F83" s="117">
        <v>19.079999999999998</v>
      </c>
    </row>
    <row r="84" spans="2:6">
      <c r="B84" s="116">
        <v>43983</v>
      </c>
      <c r="C84" s="126">
        <f t="shared" si="2"/>
        <v>2020</v>
      </c>
      <c r="D84" s="117">
        <v>27.15</v>
      </c>
      <c r="E84" s="117">
        <v>36.78</v>
      </c>
      <c r="F84" s="117">
        <v>19.12</v>
      </c>
    </row>
    <row r="85" spans="2:6">
      <c r="B85" s="116">
        <v>44013</v>
      </c>
      <c r="C85" s="126">
        <f t="shared" si="2"/>
        <v>2020</v>
      </c>
      <c r="D85" s="117">
        <v>27.21</v>
      </c>
      <c r="E85" s="117">
        <v>36.85</v>
      </c>
      <c r="F85" s="117">
        <v>19.149999999999999</v>
      </c>
    </row>
    <row r="86" spans="2:6">
      <c r="B86" s="116">
        <v>44044</v>
      </c>
      <c r="C86" s="126">
        <f t="shared" si="2"/>
        <v>2020</v>
      </c>
      <c r="D86" s="117">
        <v>27.26</v>
      </c>
      <c r="E86" s="117">
        <v>39.619999999999997</v>
      </c>
      <c r="F86" s="117">
        <v>19.190000000000001</v>
      </c>
    </row>
    <row r="87" spans="2:6">
      <c r="B87" s="116">
        <v>44075</v>
      </c>
      <c r="C87" s="126">
        <f t="shared" si="2"/>
        <v>2020</v>
      </c>
      <c r="D87" s="117">
        <v>27.31</v>
      </c>
      <c r="E87" s="117">
        <v>36.99</v>
      </c>
      <c r="F87" s="117">
        <v>19.22</v>
      </c>
    </row>
    <row r="88" spans="2:6">
      <c r="B88" s="116">
        <v>44105</v>
      </c>
      <c r="C88" s="126">
        <f t="shared" si="2"/>
        <v>2020</v>
      </c>
      <c r="D88" s="117">
        <v>27.36</v>
      </c>
      <c r="E88" s="117">
        <v>37.07</v>
      </c>
      <c r="F88" s="117">
        <v>19.260000000000002</v>
      </c>
    </row>
    <row r="89" spans="2:6">
      <c r="B89" s="116">
        <v>44136</v>
      </c>
      <c r="C89" s="126">
        <f t="shared" si="2"/>
        <v>2020</v>
      </c>
      <c r="D89" s="117">
        <v>27.42</v>
      </c>
      <c r="E89" s="117">
        <v>37.14</v>
      </c>
      <c r="F89" s="117">
        <v>19.3</v>
      </c>
    </row>
    <row r="90" spans="2:6">
      <c r="B90" s="116">
        <v>44166</v>
      </c>
      <c r="C90" s="126">
        <f t="shared" si="2"/>
        <v>2020</v>
      </c>
      <c r="D90" s="117">
        <v>27.47</v>
      </c>
      <c r="E90" s="117">
        <v>37.21</v>
      </c>
      <c r="F90" s="117">
        <v>19.329999999999998</v>
      </c>
    </row>
    <row r="91" spans="2:6">
      <c r="B91" s="116">
        <v>44197</v>
      </c>
      <c r="C91" s="126">
        <f t="shared" si="2"/>
        <v>2021</v>
      </c>
      <c r="D91" s="117">
        <v>27.51</v>
      </c>
      <c r="E91" s="117">
        <v>37.39</v>
      </c>
      <c r="F91" s="117">
        <v>19.09</v>
      </c>
    </row>
    <row r="92" spans="2:6">
      <c r="B92" s="116">
        <v>44228</v>
      </c>
      <c r="C92" s="126">
        <f t="shared" si="2"/>
        <v>2021</v>
      </c>
      <c r="D92" s="117">
        <v>27.58</v>
      </c>
      <c r="E92" s="117">
        <v>37.479999999999997</v>
      </c>
      <c r="F92" s="117">
        <v>19.149999999999999</v>
      </c>
    </row>
    <row r="93" spans="2:6">
      <c r="B93" s="116">
        <v>44256</v>
      </c>
      <c r="C93" s="126">
        <f t="shared" si="2"/>
        <v>2021</v>
      </c>
      <c r="D93" s="117">
        <v>27.64</v>
      </c>
      <c r="E93" s="117">
        <v>37.549999999999997</v>
      </c>
      <c r="F93" s="117">
        <v>19.18</v>
      </c>
    </row>
    <row r="94" spans="2:6">
      <c r="B94" s="116">
        <v>44287</v>
      </c>
      <c r="C94" s="126">
        <f t="shared" si="2"/>
        <v>2021</v>
      </c>
      <c r="D94" s="117">
        <v>27.69</v>
      </c>
      <c r="E94" s="117">
        <v>37.630000000000003</v>
      </c>
      <c r="F94" s="117">
        <v>19.22</v>
      </c>
    </row>
    <row r="95" spans="2:6">
      <c r="B95" s="116">
        <v>44317</v>
      </c>
      <c r="C95" s="126">
        <f t="shared" si="2"/>
        <v>2021</v>
      </c>
      <c r="D95" s="117">
        <v>27.75</v>
      </c>
      <c r="E95" s="117">
        <v>37.71</v>
      </c>
      <c r="F95" s="117">
        <v>19.25</v>
      </c>
    </row>
    <row r="96" spans="2:6">
      <c r="B96" s="116">
        <v>44348</v>
      </c>
      <c r="C96" s="126">
        <f t="shared" si="2"/>
        <v>2021</v>
      </c>
      <c r="D96" s="117">
        <v>27.8</v>
      </c>
      <c r="E96" s="117">
        <v>37.78</v>
      </c>
      <c r="F96" s="117">
        <v>19.29</v>
      </c>
    </row>
    <row r="97" spans="2:6">
      <c r="B97" s="116">
        <v>44378</v>
      </c>
      <c r="C97" s="126">
        <f t="shared" si="2"/>
        <v>2021</v>
      </c>
      <c r="D97" s="117">
        <v>27.86</v>
      </c>
      <c r="E97" s="117">
        <v>37.86</v>
      </c>
      <c r="F97" s="117">
        <v>19.32</v>
      </c>
    </row>
    <row r="98" spans="2:6">
      <c r="B98" s="116">
        <v>44409</v>
      </c>
      <c r="C98" s="126">
        <f t="shared" si="2"/>
        <v>2021</v>
      </c>
      <c r="D98" s="117">
        <v>27.91</v>
      </c>
      <c r="E98" s="117">
        <v>37.94</v>
      </c>
      <c r="F98" s="117">
        <v>19.36</v>
      </c>
    </row>
    <row r="99" spans="2:6">
      <c r="B99" s="116">
        <v>44440</v>
      </c>
      <c r="C99" s="126">
        <f t="shared" si="2"/>
        <v>2021</v>
      </c>
      <c r="D99" s="117">
        <v>27.97</v>
      </c>
      <c r="E99" s="117">
        <v>38.01</v>
      </c>
      <c r="F99" s="117">
        <v>19.399999999999999</v>
      </c>
    </row>
    <row r="100" spans="2:6">
      <c r="B100" s="116">
        <v>44470</v>
      </c>
      <c r="C100" s="126">
        <f t="shared" si="2"/>
        <v>2021</v>
      </c>
      <c r="D100" s="117">
        <v>28.03</v>
      </c>
      <c r="E100" s="117">
        <v>38.1</v>
      </c>
      <c r="F100" s="117">
        <v>19.440000000000001</v>
      </c>
    </row>
    <row r="101" spans="2:6">
      <c r="B101" s="116">
        <v>44501</v>
      </c>
      <c r="C101" s="126">
        <f t="shared" si="2"/>
        <v>2021</v>
      </c>
      <c r="D101" s="117">
        <v>28.08</v>
      </c>
      <c r="E101" s="117">
        <v>38.18</v>
      </c>
      <c r="F101" s="117">
        <v>19.48</v>
      </c>
    </row>
    <row r="102" spans="2:6">
      <c r="B102" s="116">
        <v>44531</v>
      </c>
      <c r="C102" s="126">
        <f t="shared" si="2"/>
        <v>2021</v>
      </c>
      <c r="D102" s="117">
        <v>28.14</v>
      </c>
      <c r="E102" s="117">
        <v>38.25</v>
      </c>
      <c r="F102" s="117">
        <v>19.510000000000002</v>
      </c>
    </row>
    <row r="103" spans="2:6">
      <c r="B103" s="118">
        <v>44562</v>
      </c>
      <c r="C103" s="126">
        <f t="shared" ref="C103:C134" si="3">YEAR(B103)</f>
        <v>2022</v>
      </c>
      <c r="D103" s="117">
        <v>28.19</v>
      </c>
      <c r="E103" s="117">
        <v>38.520000000000003</v>
      </c>
      <c r="F103" s="117">
        <v>19.329999999999998</v>
      </c>
    </row>
    <row r="104" spans="2:6">
      <c r="B104" s="118">
        <v>44593</v>
      </c>
      <c r="C104" s="126">
        <f t="shared" si="3"/>
        <v>2022</v>
      </c>
      <c r="D104" s="117">
        <v>28.27</v>
      </c>
      <c r="E104" s="117">
        <v>38.619999999999997</v>
      </c>
      <c r="F104" s="117">
        <v>19.38</v>
      </c>
    </row>
    <row r="105" spans="2:6">
      <c r="B105" s="118">
        <v>44621</v>
      </c>
      <c r="C105" s="126">
        <f t="shared" si="3"/>
        <v>2022</v>
      </c>
      <c r="D105" s="117">
        <v>28.33</v>
      </c>
      <c r="E105" s="117">
        <v>38.700000000000003</v>
      </c>
      <c r="F105" s="117">
        <v>19.420000000000002</v>
      </c>
    </row>
    <row r="106" spans="2:6">
      <c r="B106" s="118">
        <v>28.38</v>
      </c>
      <c r="C106" s="126">
        <f t="shared" si="3"/>
        <v>1900</v>
      </c>
      <c r="D106" s="117">
        <v>28.38</v>
      </c>
      <c r="E106" s="117">
        <v>38.79</v>
      </c>
      <c r="F106" s="117">
        <v>19.46</v>
      </c>
    </row>
    <row r="107" spans="2:6">
      <c r="B107" s="118">
        <v>44682</v>
      </c>
      <c r="C107" s="126">
        <f t="shared" si="3"/>
        <v>2022</v>
      </c>
      <c r="D107" s="117">
        <v>28.44</v>
      </c>
      <c r="E107" s="117">
        <v>38.869999999999997</v>
      </c>
      <c r="F107" s="117">
        <v>19.5</v>
      </c>
    </row>
    <row r="108" spans="2:6">
      <c r="B108" s="118">
        <v>44713</v>
      </c>
      <c r="C108" s="126">
        <f t="shared" si="3"/>
        <v>2022</v>
      </c>
      <c r="D108" s="117">
        <v>28.5</v>
      </c>
      <c r="E108" s="117">
        <v>38.96</v>
      </c>
      <c r="F108" s="117">
        <v>19.54</v>
      </c>
    </row>
    <row r="109" spans="2:6">
      <c r="B109" s="118">
        <v>44743</v>
      </c>
      <c r="C109" s="126">
        <f t="shared" si="3"/>
        <v>2022</v>
      </c>
      <c r="D109" s="117">
        <v>28.57</v>
      </c>
      <c r="E109" s="117">
        <v>39.04</v>
      </c>
      <c r="F109" s="117">
        <v>19.579999999999998</v>
      </c>
    </row>
    <row r="110" spans="2:6">
      <c r="B110" s="118">
        <v>44774</v>
      </c>
      <c r="C110" s="126">
        <f t="shared" si="3"/>
        <v>2022</v>
      </c>
      <c r="D110" s="117">
        <v>28.63</v>
      </c>
      <c r="E110" s="117">
        <v>39.130000000000003</v>
      </c>
      <c r="F110" s="117">
        <v>19.62</v>
      </c>
    </row>
    <row r="111" spans="2:6">
      <c r="B111" s="118">
        <v>44805</v>
      </c>
      <c r="C111" s="126">
        <f t="shared" si="3"/>
        <v>2022</v>
      </c>
      <c r="D111" s="117">
        <v>28.69</v>
      </c>
      <c r="E111" s="117">
        <v>39.22</v>
      </c>
      <c r="F111" s="117">
        <v>19.66</v>
      </c>
    </row>
    <row r="112" spans="2:6">
      <c r="B112" s="118">
        <v>44835</v>
      </c>
      <c r="C112" s="126">
        <f t="shared" si="3"/>
        <v>2022</v>
      </c>
      <c r="D112" s="117">
        <v>28.75</v>
      </c>
      <c r="E112" s="24">
        <v>39.31</v>
      </c>
      <c r="F112" s="117">
        <v>19.7</v>
      </c>
    </row>
    <row r="113" spans="2:6">
      <c r="B113" s="118">
        <v>44866</v>
      </c>
      <c r="C113" s="126">
        <f t="shared" si="3"/>
        <v>2022</v>
      </c>
      <c r="D113" s="117">
        <v>28.82</v>
      </c>
      <c r="E113" s="117">
        <v>39.4</v>
      </c>
      <c r="F113" s="117">
        <v>19.739999999999998</v>
      </c>
    </row>
    <row r="114" spans="2:6">
      <c r="B114" s="118">
        <v>44896</v>
      </c>
      <c r="C114" s="126">
        <f t="shared" si="3"/>
        <v>2022</v>
      </c>
      <c r="D114" s="117">
        <v>28.88</v>
      </c>
      <c r="E114" s="117">
        <v>39.479999999999997</v>
      </c>
      <c r="F114" s="117">
        <v>19.78</v>
      </c>
    </row>
    <row r="115" spans="2:6">
      <c r="B115" s="118">
        <v>44927</v>
      </c>
      <c r="C115" s="126">
        <f t="shared" si="3"/>
        <v>2023</v>
      </c>
      <c r="D115" s="117">
        <v>28.92</v>
      </c>
      <c r="E115" s="117">
        <v>39.520000000000003</v>
      </c>
      <c r="F115" s="117">
        <v>19.61</v>
      </c>
    </row>
    <row r="116" spans="2:6">
      <c r="B116" s="118">
        <v>44958</v>
      </c>
      <c r="C116" s="126">
        <f t="shared" si="3"/>
        <v>2023</v>
      </c>
      <c r="D116" s="117">
        <v>28.981000000000002</v>
      </c>
      <c r="E116" s="117">
        <v>39.6</v>
      </c>
      <c r="F116" s="117">
        <v>19.66</v>
      </c>
    </row>
    <row r="117" spans="2:6">
      <c r="B117" s="118">
        <v>44986</v>
      </c>
      <c r="C117" s="126">
        <f t="shared" si="3"/>
        <v>2023</v>
      </c>
      <c r="D117" s="117">
        <v>29.03</v>
      </c>
      <c r="E117" s="117">
        <v>39.67</v>
      </c>
      <c r="F117" s="117">
        <v>19.690000000000001</v>
      </c>
    </row>
    <row r="118" spans="2:6">
      <c r="B118" s="118">
        <v>45017</v>
      </c>
      <c r="C118" s="126">
        <f t="shared" si="3"/>
        <v>2023</v>
      </c>
      <c r="D118" s="117">
        <v>29.08</v>
      </c>
      <c r="E118" s="117">
        <v>39.74</v>
      </c>
      <c r="F118" s="117">
        <v>19.72</v>
      </c>
    </row>
    <row r="119" spans="2:6">
      <c r="B119" s="118">
        <v>45047</v>
      </c>
      <c r="C119" s="126">
        <f t="shared" si="3"/>
        <v>2023</v>
      </c>
      <c r="D119" s="117">
        <v>29.13</v>
      </c>
      <c r="E119" s="117">
        <v>39.81</v>
      </c>
      <c r="F119" s="117">
        <v>19.75</v>
      </c>
    </row>
    <row r="120" spans="2:6">
      <c r="B120" s="118">
        <v>45078</v>
      </c>
      <c r="C120" s="126">
        <f t="shared" si="3"/>
        <v>2023</v>
      </c>
      <c r="D120" s="117">
        <v>29.18</v>
      </c>
      <c r="E120" s="117">
        <v>39.869999999999997</v>
      </c>
      <c r="F120" s="117">
        <v>19.78</v>
      </c>
    </row>
    <row r="121" spans="2:6">
      <c r="B121" s="118">
        <v>45108</v>
      </c>
      <c r="C121" s="126">
        <f t="shared" si="3"/>
        <v>2023</v>
      </c>
      <c r="D121" s="117">
        <v>29.23</v>
      </c>
      <c r="E121" s="117">
        <v>39.94</v>
      </c>
      <c r="F121" s="117">
        <v>19.809999999999999</v>
      </c>
    </row>
    <row r="122" spans="2:6">
      <c r="B122" s="118">
        <v>45139</v>
      </c>
      <c r="C122" s="126">
        <f t="shared" si="3"/>
        <v>2023</v>
      </c>
      <c r="D122" s="117">
        <v>29.28</v>
      </c>
      <c r="E122" s="117">
        <v>40.020000000000003</v>
      </c>
      <c r="F122" s="117">
        <v>19.84</v>
      </c>
    </row>
    <row r="123" spans="2:6">
      <c r="B123" s="118">
        <v>45170</v>
      </c>
      <c r="C123" s="126">
        <f t="shared" si="3"/>
        <v>2023</v>
      </c>
      <c r="D123" s="117">
        <v>29.33</v>
      </c>
      <c r="E123" s="117">
        <v>40.08</v>
      </c>
      <c r="F123" s="117">
        <v>19.88</v>
      </c>
    </row>
    <row r="124" spans="2:6">
      <c r="B124" s="118">
        <v>45200</v>
      </c>
      <c r="C124" s="126">
        <f t="shared" si="3"/>
        <v>2023</v>
      </c>
      <c r="D124" s="117">
        <v>29.38</v>
      </c>
      <c r="E124" s="117">
        <v>40.159999999999997</v>
      </c>
      <c r="F124" s="117">
        <v>19.91</v>
      </c>
    </row>
    <row r="125" spans="2:6">
      <c r="B125" s="118">
        <v>45231</v>
      </c>
      <c r="C125" s="126">
        <f t="shared" si="3"/>
        <v>2023</v>
      </c>
      <c r="D125" s="117">
        <v>29.43</v>
      </c>
      <c r="E125" s="117">
        <v>40.229999999999997</v>
      </c>
      <c r="F125" s="117">
        <v>19.95</v>
      </c>
    </row>
    <row r="126" spans="2:6">
      <c r="B126" s="118">
        <v>45261</v>
      </c>
      <c r="C126" s="126">
        <f t="shared" si="3"/>
        <v>2023</v>
      </c>
      <c r="D126" s="117">
        <v>29.48</v>
      </c>
      <c r="E126" s="117">
        <v>40.299999999999997</v>
      </c>
      <c r="F126" s="117">
        <v>19.98</v>
      </c>
    </row>
    <row r="127" spans="2:6">
      <c r="B127" s="118">
        <v>45292</v>
      </c>
      <c r="C127" s="126">
        <f t="shared" si="3"/>
        <v>2024</v>
      </c>
      <c r="D127" s="117">
        <v>29.52</v>
      </c>
      <c r="E127" s="117">
        <v>40.4</v>
      </c>
      <c r="F127" s="117">
        <v>19.760000000000002</v>
      </c>
    </row>
    <row r="128" spans="2:6">
      <c r="B128" s="118">
        <v>45323</v>
      </c>
      <c r="C128" s="126">
        <f t="shared" si="3"/>
        <v>2024</v>
      </c>
      <c r="D128" s="117">
        <v>29.59</v>
      </c>
      <c r="E128" s="117">
        <v>40.49</v>
      </c>
      <c r="F128" s="117">
        <v>19.809999999999999</v>
      </c>
    </row>
    <row r="129" spans="2:6">
      <c r="B129" s="118">
        <v>45352</v>
      </c>
      <c r="C129" s="126">
        <f t="shared" si="3"/>
        <v>2024</v>
      </c>
      <c r="D129" s="117">
        <v>29.63</v>
      </c>
      <c r="E129" s="117">
        <v>40.56</v>
      </c>
      <c r="F129" s="117">
        <v>19.84</v>
      </c>
    </row>
    <row r="130" spans="2:6">
      <c r="B130" s="118">
        <v>45383</v>
      </c>
      <c r="C130" s="126">
        <f t="shared" si="3"/>
        <v>2024</v>
      </c>
      <c r="D130" s="117">
        <v>29.68</v>
      </c>
      <c r="E130" s="117">
        <v>40.630000000000003</v>
      </c>
      <c r="F130" s="117">
        <v>19.87</v>
      </c>
    </row>
    <row r="131" spans="2:6">
      <c r="B131" s="118">
        <v>45413</v>
      </c>
      <c r="C131" s="126">
        <f t="shared" si="3"/>
        <v>2024</v>
      </c>
      <c r="D131" s="117">
        <v>29.73</v>
      </c>
      <c r="E131" s="117">
        <v>40.700000000000003</v>
      </c>
      <c r="F131" s="117">
        <v>19.899999999999999</v>
      </c>
    </row>
    <row r="132" spans="2:6">
      <c r="B132" s="118">
        <v>45444</v>
      </c>
      <c r="C132" s="126">
        <f t="shared" si="3"/>
        <v>2024</v>
      </c>
      <c r="D132" s="117">
        <v>29.78</v>
      </c>
      <c r="E132" s="117">
        <v>40.770000000000003</v>
      </c>
      <c r="F132" s="117">
        <v>19.93</v>
      </c>
    </row>
    <row r="133" spans="2:6">
      <c r="B133" s="118">
        <v>45474</v>
      </c>
      <c r="C133" s="126">
        <f t="shared" si="3"/>
        <v>2024</v>
      </c>
      <c r="D133" s="117">
        <v>29.83</v>
      </c>
      <c r="E133" s="117">
        <v>40.840000000000003</v>
      </c>
      <c r="F133" s="117">
        <v>19.97</v>
      </c>
    </row>
    <row r="134" spans="2:6">
      <c r="B134" s="118">
        <v>45505</v>
      </c>
      <c r="C134" s="126">
        <f t="shared" si="3"/>
        <v>2024</v>
      </c>
      <c r="D134" s="117">
        <v>29.88</v>
      </c>
      <c r="E134" s="117">
        <v>40.909999999999997</v>
      </c>
      <c r="F134" s="117">
        <v>20</v>
      </c>
    </row>
    <row r="135" spans="2:6">
      <c r="B135" s="118">
        <v>45536</v>
      </c>
      <c r="C135" s="126">
        <f>YEAR(B135)</f>
        <v>2024</v>
      </c>
      <c r="D135" s="117">
        <v>29.93</v>
      </c>
      <c r="E135" s="117">
        <v>40.98</v>
      </c>
      <c r="F135" s="117">
        <v>20.03</v>
      </c>
    </row>
    <row r="136" spans="2:6">
      <c r="B136" s="118">
        <v>45566</v>
      </c>
      <c r="C136" s="126">
        <f>YEAR(B136)</f>
        <v>2024</v>
      </c>
      <c r="D136" s="117">
        <v>29.99</v>
      </c>
      <c r="E136" s="117">
        <v>41.06</v>
      </c>
      <c r="F136" s="117">
        <v>20.07</v>
      </c>
    </row>
    <row r="137" spans="2:6">
      <c r="B137" s="118">
        <v>45597</v>
      </c>
      <c r="C137" s="126">
        <f>YEAR(B137)</f>
        <v>2024</v>
      </c>
      <c r="D137" s="117">
        <v>30.04</v>
      </c>
      <c r="E137" s="117">
        <v>41.13</v>
      </c>
      <c r="F137" s="117">
        <v>20.100000000000001</v>
      </c>
    </row>
    <row r="138" spans="2:6">
      <c r="B138" s="118">
        <v>45627</v>
      </c>
      <c r="C138" s="126">
        <f>YEAR(B138)</f>
        <v>2024</v>
      </c>
      <c r="D138" s="117">
        <v>30.09</v>
      </c>
      <c r="E138" s="117">
        <v>41.2</v>
      </c>
      <c r="F138" s="117">
        <v>20.13</v>
      </c>
    </row>
  </sheetData>
  <mergeCells count="5">
    <mergeCell ref="C2:C6"/>
    <mergeCell ref="B2:B6"/>
    <mergeCell ref="D2:F3"/>
    <mergeCell ref="D4:F4"/>
    <mergeCell ref="D5:F5"/>
  </mergeCells>
  <pageMargins left="0.7" right="0.7" top="0.75" bottom="0.75" header="0.3" footer="0.3"/>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2:O136"/>
  <sheetViews>
    <sheetView showGridLines="0" zoomScaleNormal="100" workbookViewId="0">
      <selection activeCell="M8" sqref="M8"/>
    </sheetView>
  </sheetViews>
  <sheetFormatPr baseColWidth="10" defaultRowHeight="15"/>
  <cols>
    <col min="4" max="4" width="12.5703125" customWidth="1"/>
    <col min="6" max="6" width="10.5703125" customWidth="1"/>
    <col min="8" max="8" width="12.140625" customWidth="1"/>
    <col min="10" max="10" width="9.5703125" bestFit="1" customWidth="1"/>
    <col min="12" max="12" width="12.140625" customWidth="1"/>
  </cols>
  <sheetData>
    <row r="2" spans="1:15">
      <c r="A2" s="676" t="s">
        <v>311</v>
      </c>
      <c r="B2" s="676" t="s">
        <v>129</v>
      </c>
      <c r="C2" s="677" t="s">
        <v>310</v>
      </c>
      <c r="D2" s="677"/>
      <c r="E2" s="677"/>
      <c r="F2" s="677"/>
      <c r="G2" s="677"/>
      <c r="H2" s="677"/>
      <c r="I2" s="677"/>
      <c r="J2" s="677"/>
      <c r="K2" s="677"/>
      <c r="L2" s="677"/>
      <c r="M2" s="677"/>
      <c r="N2" s="677"/>
      <c r="O2" s="676" t="s">
        <v>129</v>
      </c>
    </row>
    <row r="3" spans="1:15">
      <c r="A3" s="676"/>
      <c r="B3" s="676"/>
      <c r="C3" s="678" t="s">
        <v>301</v>
      </c>
      <c r="D3" s="678"/>
      <c r="E3" s="678"/>
      <c r="F3" s="678"/>
      <c r="G3" s="678"/>
      <c r="H3" s="678"/>
      <c r="I3" s="678"/>
      <c r="J3" s="678"/>
      <c r="K3" s="678"/>
      <c r="L3" s="678"/>
      <c r="M3" s="678"/>
      <c r="N3" s="678"/>
      <c r="O3" s="676"/>
    </row>
    <row r="4" spans="1:15" ht="75">
      <c r="A4" s="676"/>
      <c r="B4" s="676"/>
      <c r="C4" s="119" t="s">
        <v>302</v>
      </c>
      <c r="D4" s="119" t="s">
        <v>303</v>
      </c>
      <c r="E4" s="119" t="s">
        <v>304</v>
      </c>
      <c r="F4" s="120" t="s">
        <v>305</v>
      </c>
      <c r="G4" s="119" t="s">
        <v>306</v>
      </c>
      <c r="H4" s="119" t="s">
        <v>303</v>
      </c>
      <c r="I4" s="119" t="s">
        <v>304</v>
      </c>
      <c r="J4" s="120" t="s">
        <v>307</v>
      </c>
      <c r="K4" s="119" t="s">
        <v>308</v>
      </c>
      <c r="L4" s="119" t="s">
        <v>303</v>
      </c>
      <c r="M4" s="119" t="s">
        <v>304</v>
      </c>
      <c r="N4" s="120" t="s">
        <v>316</v>
      </c>
      <c r="O4" s="676"/>
    </row>
    <row r="5" spans="1:15">
      <c r="A5" s="121">
        <v>41640</v>
      </c>
      <c r="B5" s="127" t="s">
        <v>408</v>
      </c>
      <c r="C5" s="122">
        <v>3.21</v>
      </c>
      <c r="D5" s="122"/>
      <c r="E5" s="122">
        <v>1.37</v>
      </c>
      <c r="F5" s="123">
        <f>+C5+D5+E5</f>
        <v>4.58</v>
      </c>
      <c r="G5" s="122">
        <v>3.29</v>
      </c>
      <c r="H5" s="122"/>
      <c r="I5" s="122">
        <v>1.37</v>
      </c>
      <c r="J5" s="123">
        <f>+G5+H5+I5</f>
        <v>4.66</v>
      </c>
      <c r="K5" s="122">
        <v>2.5299999999999998</v>
      </c>
      <c r="L5" s="122"/>
      <c r="M5" s="122">
        <v>1.37</v>
      </c>
      <c r="N5" s="123">
        <f>+K5+L5+M5</f>
        <v>3.9</v>
      </c>
      <c r="O5" s="286" t="s">
        <v>408</v>
      </c>
    </row>
    <row r="6" spans="1:15">
      <c r="A6" s="121">
        <v>41671</v>
      </c>
      <c r="B6" s="127" t="s">
        <v>408</v>
      </c>
      <c r="C6" s="122">
        <v>3.23</v>
      </c>
      <c r="D6" s="122"/>
      <c r="E6" s="122">
        <v>1.37</v>
      </c>
      <c r="F6" s="124">
        <f t="shared" ref="F6:F69" si="0">+C6+D6+E6</f>
        <v>4.5999999999999996</v>
      </c>
      <c r="G6" s="122">
        <v>3.32</v>
      </c>
      <c r="H6" s="122"/>
      <c r="I6" s="122">
        <v>1.37</v>
      </c>
      <c r="J6" s="124">
        <f t="shared" ref="J6:J69" si="1">+G6+H6+I6</f>
        <v>4.6899999999999995</v>
      </c>
      <c r="K6" s="122">
        <v>2.5299999999999998</v>
      </c>
      <c r="L6" s="122"/>
      <c r="M6" s="122">
        <v>1.37</v>
      </c>
      <c r="N6" s="124">
        <f t="shared" ref="N6:N69" si="2">+K6+L6+M6</f>
        <v>3.9</v>
      </c>
      <c r="O6" s="286" t="s">
        <v>408</v>
      </c>
    </row>
    <row r="7" spans="1:15">
      <c r="A7" s="121">
        <v>41699</v>
      </c>
      <c r="B7" s="127" t="s">
        <v>408</v>
      </c>
      <c r="C7" s="122">
        <v>2.94</v>
      </c>
      <c r="D7" s="122"/>
      <c r="E7" s="122">
        <v>1.37</v>
      </c>
      <c r="F7" s="124">
        <f t="shared" si="0"/>
        <v>4.3100000000000005</v>
      </c>
      <c r="G7" s="122">
        <v>3.02</v>
      </c>
      <c r="H7" s="122"/>
      <c r="I7" s="122">
        <v>1.37</v>
      </c>
      <c r="J7" s="124">
        <f t="shared" si="1"/>
        <v>4.3900000000000006</v>
      </c>
      <c r="K7" s="122">
        <v>2.4900000000000002</v>
      </c>
      <c r="L7" s="122"/>
      <c r="M7" s="122">
        <v>1.37</v>
      </c>
      <c r="N7" s="124">
        <f t="shared" si="2"/>
        <v>3.8600000000000003</v>
      </c>
      <c r="O7" s="286" t="s">
        <v>408</v>
      </c>
    </row>
    <row r="8" spans="1:15">
      <c r="A8" s="121">
        <v>41730</v>
      </c>
      <c r="B8" s="127" t="s">
        <v>408</v>
      </c>
      <c r="C8" s="122">
        <v>2.73</v>
      </c>
      <c r="D8" s="122"/>
      <c r="E8" s="122">
        <v>1.37</v>
      </c>
      <c r="F8" s="124">
        <f t="shared" si="0"/>
        <v>4.0999999999999996</v>
      </c>
      <c r="G8" s="122">
        <v>2.8</v>
      </c>
      <c r="H8" s="122"/>
      <c r="I8" s="122">
        <v>1.37</v>
      </c>
      <c r="J8" s="124">
        <f t="shared" si="1"/>
        <v>4.17</v>
      </c>
      <c r="K8" s="122">
        <v>2.4300000000000002</v>
      </c>
      <c r="L8" s="122"/>
      <c r="M8" s="122">
        <v>1.37</v>
      </c>
      <c r="N8" s="124">
        <f t="shared" si="2"/>
        <v>3.8000000000000003</v>
      </c>
      <c r="O8" s="286" t="s">
        <v>408</v>
      </c>
    </row>
    <row r="9" spans="1:15">
      <c r="A9" s="121">
        <v>41760</v>
      </c>
      <c r="B9" s="127" t="s">
        <v>408</v>
      </c>
      <c r="C9" s="122">
        <v>2.61</v>
      </c>
      <c r="D9" s="122"/>
      <c r="E9" s="122">
        <v>1.37</v>
      </c>
      <c r="F9" s="124">
        <f t="shared" si="0"/>
        <v>3.98</v>
      </c>
      <c r="G9" s="122">
        <v>2.67</v>
      </c>
      <c r="H9" s="122"/>
      <c r="I9" s="122">
        <v>1.37</v>
      </c>
      <c r="J9" s="124">
        <f t="shared" si="1"/>
        <v>4.04</v>
      </c>
      <c r="K9" s="122">
        <v>2.46</v>
      </c>
      <c r="L9" s="122"/>
      <c r="M9" s="122">
        <v>1.37</v>
      </c>
      <c r="N9" s="124">
        <f t="shared" si="2"/>
        <v>3.83</v>
      </c>
      <c r="O9" s="286" t="s">
        <v>408</v>
      </c>
    </row>
    <row r="10" spans="1:15">
      <c r="A10" s="121">
        <v>41791</v>
      </c>
      <c r="B10" s="127" t="s">
        <v>408</v>
      </c>
      <c r="C10" s="122">
        <v>2.68</v>
      </c>
      <c r="D10" s="122"/>
      <c r="E10" s="122">
        <v>1.37</v>
      </c>
      <c r="F10" s="124">
        <f t="shared" si="0"/>
        <v>4.0500000000000007</v>
      </c>
      <c r="G10" s="122">
        <v>2.74</v>
      </c>
      <c r="H10" s="122"/>
      <c r="I10" s="122">
        <v>1.37</v>
      </c>
      <c r="J10" s="124">
        <f t="shared" si="1"/>
        <v>4.1100000000000003</v>
      </c>
      <c r="K10" s="122">
        <v>2.48</v>
      </c>
      <c r="L10" s="122"/>
      <c r="M10" s="122">
        <v>1.37</v>
      </c>
      <c r="N10" s="124">
        <f t="shared" si="2"/>
        <v>3.85</v>
      </c>
      <c r="O10" s="286" t="s">
        <v>408</v>
      </c>
    </row>
    <row r="11" spans="1:15">
      <c r="A11" s="121">
        <v>41821</v>
      </c>
      <c r="B11" s="127" t="s">
        <v>409</v>
      </c>
      <c r="C11" s="122">
        <v>2.76</v>
      </c>
      <c r="D11" s="122"/>
      <c r="E11" s="122">
        <v>1.37</v>
      </c>
      <c r="F11" s="124">
        <f t="shared" si="0"/>
        <v>4.13</v>
      </c>
      <c r="G11" s="122">
        <v>2.83</v>
      </c>
      <c r="H11" s="122"/>
      <c r="I11" s="122">
        <v>1.37</v>
      </c>
      <c r="J11" s="124">
        <f t="shared" si="1"/>
        <v>4.2</v>
      </c>
      <c r="K11" s="122">
        <v>2.4700000000000002</v>
      </c>
      <c r="L11" s="122"/>
      <c r="M11" s="122">
        <v>1.37</v>
      </c>
      <c r="N11" s="124">
        <f t="shared" si="2"/>
        <v>3.8400000000000003</v>
      </c>
      <c r="O11" s="127">
        <f>YEAR(A11)</f>
        <v>2014</v>
      </c>
    </row>
    <row r="12" spans="1:15">
      <c r="A12" s="121">
        <v>41852</v>
      </c>
      <c r="B12" s="127" t="s">
        <v>409</v>
      </c>
      <c r="C12" s="122">
        <v>2.76</v>
      </c>
      <c r="D12" s="122"/>
      <c r="E12" s="122">
        <v>1.37</v>
      </c>
      <c r="F12" s="124">
        <f t="shared" si="0"/>
        <v>4.13</v>
      </c>
      <c r="G12" s="122">
        <v>2.83</v>
      </c>
      <c r="H12" s="122"/>
      <c r="I12" s="122">
        <v>1.37</v>
      </c>
      <c r="J12" s="124">
        <f t="shared" si="1"/>
        <v>4.2</v>
      </c>
      <c r="K12" s="122">
        <v>2.5099999999999998</v>
      </c>
      <c r="L12" s="122"/>
      <c r="M12" s="122">
        <v>1.37</v>
      </c>
      <c r="N12" s="124">
        <f t="shared" si="2"/>
        <v>3.88</v>
      </c>
      <c r="O12" s="127">
        <f t="shared" ref="O12:O75" si="3">YEAR(A12)</f>
        <v>2014</v>
      </c>
    </row>
    <row r="13" spans="1:15">
      <c r="A13" s="121">
        <v>41883</v>
      </c>
      <c r="B13" s="127" t="s">
        <v>409</v>
      </c>
      <c r="C13" s="122">
        <v>2.74</v>
      </c>
      <c r="D13" s="122"/>
      <c r="E13" s="122">
        <v>1.37</v>
      </c>
      <c r="F13" s="124">
        <f t="shared" si="0"/>
        <v>4.1100000000000003</v>
      </c>
      <c r="G13" s="122">
        <v>2.81</v>
      </c>
      <c r="H13" s="122"/>
      <c r="I13" s="122">
        <v>1.37</v>
      </c>
      <c r="J13" s="124">
        <f t="shared" si="1"/>
        <v>4.18</v>
      </c>
      <c r="K13" s="122">
        <v>2.4700000000000002</v>
      </c>
      <c r="L13" s="122"/>
      <c r="M13" s="122">
        <v>1.37</v>
      </c>
      <c r="N13" s="124">
        <f t="shared" si="2"/>
        <v>3.8400000000000003</v>
      </c>
      <c r="O13" s="127">
        <f t="shared" si="3"/>
        <v>2014</v>
      </c>
    </row>
    <row r="14" spans="1:15">
      <c r="A14" s="121">
        <v>41913</v>
      </c>
      <c r="B14" s="127" t="s">
        <v>409</v>
      </c>
      <c r="C14" s="122">
        <v>2.74</v>
      </c>
      <c r="D14" s="122"/>
      <c r="E14" s="122">
        <v>1.37</v>
      </c>
      <c r="F14" s="124">
        <f t="shared" si="0"/>
        <v>4.1100000000000003</v>
      </c>
      <c r="G14" s="122">
        <v>2.81</v>
      </c>
      <c r="H14" s="122"/>
      <c r="I14" s="122">
        <v>1.37</v>
      </c>
      <c r="J14" s="124">
        <f t="shared" si="1"/>
        <v>4.18</v>
      </c>
      <c r="K14" s="122">
        <v>2.41</v>
      </c>
      <c r="L14" s="122"/>
      <c r="M14" s="122">
        <v>1.37</v>
      </c>
      <c r="N14" s="124">
        <f t="shared" si="2"/>
        <v>3.7800000000000002</v>
      </c>
      <c r="O14" s="127">
        <f t="shared" si="3"/>
        <v>2014</v>
      </c>
    </row>
    <row r="15" spans="1:15">
      <c r="A15" s="121">
        <v>41944</v>
      </c>
      <c r="B15" s="127" t="s">
        <v>409</v>
      </c>
      <c r="C15" s="122">
        <v>2.81</v>
      </c>
      <c r="D15" s="122"/>
      <c r="E15" s="122">
        <v>1.37</v>
      </c>
      <c r="F15" s="124">
        <f t="shared" si="0"/>
        <v>4.18</v>
      </c>
      <c r="G15" s="122">
        <v>2.88</v>
      </c>
      <c r="H15" s="122"/>
      <c r="I15" s="122">
        <v>1.37</v>
      </c>
      <c r="J15" s="124">
        <f t="shared" si="1"/>
        <v>4.25</v>
      </c>
      <c r="K15" s="122">
        <v>2.39</v>
      </c>
      <c r="L15" s="122"/>
      <c r="M15" s="122">
        <v>1.37</v>
      </c>
      <c r="N15" s="124">
        <f t="shared" si="2"/>
        <v>3.7600000000000002</v>
      </c>
      <c r="O15" s="127">
        <f t="shared" si="3"/>
        <v>2014</v>
      </c>
    </row>
    <row r="16" spans="1:15">
      <c r="A16" s="121">
        <v>41974</v>
      </c>
      <c r="B16" s="127" t="s">
        <v>409</v>
      </c>
      <c r="C16" s="122">
        <v>2.83</v>
      </c>
      <c r="D16" s="122"/>
      <c r="E16" s="122">
        <v>1.37</v>
      </c>
      <c r="F16" s="124">
        <f t="shared" si="0"/>
        <v>4.2</v>
      </c>
      <c r="G16" s="122">
        <v>2.9</v>
      </c>
      <c r="H16" s="122"/>
      <c r="I16" s="122">
        <v>1.37</v>
      </c>
      <c r="J16" s="124">
        <f t="shared" si="1"/>
        <v>4.2699999999999996</v>
      </c>
      <c r="K16" s="122">
        <v>2.39</v>
      </c>
      <c r="L16" s="122"/>
      <c r="M16" s="122">
        <v>1.37</v>
      </c>
      <c r="N16" s="124">
        <f t="shared" si="2"/>
        <v>3.7600000000000002</v>
      </c>
      <c r="O16" s="127">
        <f t="shared" si="3"/>
        <v>2014</v>
      </c>
    </row>
    <row r="17" spans="1:15">
      <c r="A17" s="121">
        <v>42005</v>
      </c>
      <c r="B17" s="127">
        <f t="shared" ref="B17:B69" si="4">YEAR(A17)</f>
        <v>2015</v>
      </c>
      <c r="C17" s="122">
        <v>2.82</v>
      </c>
      <c r="D17" s="122"/>
      <c r="E17" s="122">
        <v>1.37</v>
      </c>
      <c r="F17" s="124">
        <f t="shared" si="0"/>
        <v>4.1899999999999995</v>
      </c>
      <c r="G17" s="122">
        <v>2.88</v>
      </c>
      <c r="H17" s="122"/>
      <c r="I17" s="122">
        <v>1.37</v>
      </c>
      <c r="J17" s="124">
        <f t="shared" si="1"/>
        <v>4.25</v>
      </c>
      <c r="K17" s="122">
        <v>2.23</v>
      </c>
      <c r="L17" s="122"/>
      <c r="M17" s="122">
        <v>1.37</v>
      </c>
      <c r="N17" s="124">
        <f t="shared" si="2"/>
        <v>3.6</v>
      </c>
      <c r="O17" s="127">
        <f t="shared" si="3"/>
        <v>2015</v>
      </c>
    </row>
    <row r="18" spans="1:15">
      <c r="A18" s="121">
        <v>42036</v>
      </c>
      <c r="B18" s="127">
        <f t="shared" si="4"/>
        <v>2015</v>
      </c>
      <c r="C18" s="122">
        <v>2.8</v>
      </c>
      <c r="D18" s="122"/>
      <c r="E18" s="122">
        <v>1.37</v>
      </c>
      <c r="F18" s="124">
        <f t="shared" si="0"/>
        <v>4.17</v>
      </c>
      <c r="G18" s="122">
        <v>2.86</v>
      </c>
      <c r="H18" s="122"/>
      <c r="I18" s="122">
        <v>1.37</v>
      </c>
      <c r="J18" s="124">
        <f t="shared" si="1"/>
        <v>4.2300000000000004</v>
      </c>
      <c r="K18" s="122">
        <v>2.2400000000000002</v>
      </c>
      <c r="L18" s="122"/>
      <c r="M18" s="122">
        <v>1.37</v>
      </c>
      <c r="N18" s="124">
        <f t="shared" si="2"/>
        <v>3.6100000000000003</v>
      </c>
      <c r="O18" s="127">
        <f t="shared" si="3"/>
        <v>2015</v>
      </c>
    </row>
    <row r="19" spans="1:15">
      <c r="A19" s="121">
        <v>42064</v>
      </c>
      <c r="B19" s="127">
        <f t="shared" si="4"/>
        <v>2015</v>
      </c>
      <c r="C19" s="122">
        <v>2.7</v>
      </c>
      <c r="D19" s="122"/>
      <c r="E19" s="122">
        <v>1.37</v>
      </c>
      <c r="F19" s="124">
        <f t="shared" si="0"/>
        <v>4.07</v>
      </c>
      <c r="G19" s="122">
        <v>2.75</v>
      </c>
      <c r="H19" s="122"/>
      <c r="I19" s="122">
        <v>1.37</v>
      </c>
      <c r="J19" s="124">
        <f t="shared" si="1"/>
        <v>4.12</v>
      </c>
      <c r="K19" s="122">
        <v>2.1800000000000002</v>
      </c>
      <c r="L19" s="122"/>
      <c r="M19" s="122">
        <v>1.37</v>
      </c>
      <c r="N19" s="124">
        <f t="shared" si="2"/>
        <v>3.5500000000000003</v>
      </c>
      <c r="O19" s="127">
        <f t="shared" si="3"/>
        <v>2015</v>
      </c>
    </row>
    <row r="20" spans="1:15">
      <c r="A20" s="121">
        <v>42095</v>
      </c>
      <c r="B20" s="127">
        <f t="shared" si="4"/>
        <v>2015</v>
      </c>
      <c r="C20" s="122">
        <v>2.61</v>
      </c>
      <c r="D20" s="122"/>
      <c r="E20" s="122">
        <v>1.37</v>
      </c>
      <c r="F20" s="124">
        <f t="shared" si="0"/>
        <v>3.98</v>
      </c>
      <c r="G20" s="122">
        <v>2.66</v>
      </c>
      <c r="H20" s="122"/>
      <c r="I20" s="122">
        <v>1.37</v>
      </c>
      <c r="J20" s="124">
        <f t="shared" si="1"/>
        <v>4.03</v>
      </c>
      <c r="K20" s="122">
        <v>2.14</v>
      </c>
      <c r="L20" s="122"/>
      <c r="M20" s="122">
        <v>1.37</v>
      </c>
      <c r="N20" s="124">
        <f t="shared" si="2"/>
        <v>3.5100000000000002</v>
      </c>
      <c r="O20" s="127">
        <f t="shared" si="3"/>
        <v>2015</v>
      </c>
    </row>
    <row r="21" spans="1:15">
      <c r="A21" s="121">
        <v>42125</v>
      </c>
      <c r="B21" s="127">
        <f t="shared" si="4"/>
        <v>2015</v>
      </c>
      <c r="C21" s="122">
        <v>2.56</v>
      </c>
      <c r="D21" s="122"/>
      <c r="E21" s="122">
        <v>1.37</v>
      </c>
      <c r="F21" s="124">
        <f t="shared" si="0"/>
        <v>3.93</v>
      </c>
      <c r="G21" s="122">
        <v>2.62</v>
      </c>
      <c r="H21" s="122"/>
      <c r="I21" s="122">
        <v>1.37</v>
      </c>
      <c r="J21" s="124">
        <f t="shared" si="1"/>
        <v>3.99</v>
      </c>
      <c r="K21" s="122">
        <v>2.1800000000000002</v>
      </c>
      <c r="L21" s="122"/>
      <c r="M21" s="122">
        <v>1.37</v>
      </c>
      <c r="N21" s="124">
        <f t="shared" si="2"/>
        <v>3.5500000000000003</v>
      </c>
      <c r="O21" s="127">
        <f t="shared" si="3"/>
        <v>2015</v>
      </c>
    </row>
    <row r="22" spans="1:15">
      <c r="A22" s="121">
        <v>42156</v>
      </c>
      <c r="B22" s="127">
        <f t="shared" si="4"/>
        <v>2015</v>
      </c>
      <c r="C22" s="122">
        <v>2.68</v>
      </c>
      <c r="D22" s="122"/>
      <c r="E22" s="122">
        <v>1.37</v>
      </c>
      <c r="F22" s="124">
        <f t="shared" si="0"/>
        <v>4.0500000000000007</v>
      </c>
      <c r="G22" s="122">
        <v>2.73</v>
      </c>
      <c r="H22" s="122"/>
      <c r="I22" s="122">
        <v>1.37</v>
      </c>
      <c r="J22" s="124">
        <f t="shared" si="1"/>
        <v>4.0999999999999996</v>
      </c>
      <c r="K22" s="122">
        <v>2.23</v>
      </c>
      <c r="L22" s="122"/>
      <c r="M22" s="122">
        <v>1.37</v>
      </c>
      <c r="N22" s="124">
        <f t="shared" si="2"/>
        <v>3.6</v>
      </c>
      <c r="O22" s="127">
        <f t="shared" si="3"/>
        <v>2015</v>
      </c>
    </row>
    <row r="23" spans="1:15">
      <c r="A23" s="121">
        <v>42186</v>
      </c>
      <c r="B23" s="127">
        <f t="shared" si="4"/>
        <v>2015</v>
      </c>
      <c r="C23" s="122">
        <v>2.75</v>
      </c>
      <c r="D23" s="122"/>
      <c r="E23" s="122">
        <v>1.37</v>
      </c>
      <c r="F23" s="124">
        <f t="shared" si="0"/>
        <v>4.12</v>
      </c>
      <c r="G23" s="122">
        <v>2.81</v>
      </c>
      <c r="H23" s="122"/>
      <c r="I23" s="122">
        <v>1.37</v>
      </c>
      <c r="J23" s="124">
        <f t="shared" si="1"/>
        <v>4.18</v>
      </c>
      <c r="K23" s="122">
        <v>2.2200000000000002</v>
      </c>
      <c r="L23" s="122"/>
      <c r="M23" s="122">
        <v>1.37</v>
      </c>
      <c r="N23" s="124">
        <f t="shared" si="2"/>
        <v>3.5900000000000003</v>
      </c>
      <c r="O23" s="127">
        <f t="shared" si="3"/>
        <v>2015</v>
      </c>
    </row>
    <row r="24" spans="1:15">
      <c r="A24" s="121">
        <v>42217</v>
      </c>
      <c r="B24" s="127">
        <f t="shared" si="4"/>
        <v>2015</v>
      </c>
      <c r="C24" s="122">
        <v>2.76</v>
      </c>
      <c r="D24" s="122"/>
      <c r="E24" s="122">
        <v>1.37</v>
      </c>
      <c r="F24" s="124">
        <f t="shared" si="0"/>
        <v>4.13</v>
      </c>
      <c r="G24" s="122">
        <v>2.82</v>
      </c>
      <c r="H24" s="122"/>
      <c r="I24" s="122">
        <v>1.37</v>
      </c>
      <c r="J24" s="124">
        <f t="shared" si="1"/>
        <v>4.1899999999999995</v>
      </c>
      <c r="K24" s="122">
        <v>2.25</v>
      </c>
      <c r="L24" s="122"/>
      <c r="M24" s="122">
        <v>1.37</v>
      </c>
      <c r="N24" s="124">
        <f t="shared" si="2"/>
        <v>3.62</v>
      </c>
      <c r="O24" s="127">
        <f t="shared" si="3"/>
        <v>2015</v>
      </c>
    </row>
    <row r="25" spans="1:15">
      <c r="A25" s="121">
        <v>42248</v>
      </c>
      <c r="B25" s="127">
        <f t="shared" si="4"/>
        <v>2015</v>
      </c>
      <c r="C25" s="122">
        <v>2.76</v>
      </c>
      <c r="D25" s="122"/>
      <c r="E25" s="122">
        <v>1.37</v>
      </c>
      <c r="F25" s="124">
        <f t="shared" si="0"/>
        <v>4.13</v>
      </c>
      <c r="G25" s="122">
        <v>2.81</v>
      </c>
      <c r="H25" s="122"/>
      <c r="I25" s="122">
        <v>1.37</v>
      </c>
      <c r="J25" s="124">
        <f t="shared" si="1"/>
        <v>4.18</v>
      </c>
      <c r="K25" s="122">
        <v>2.2200000000000002</v>
      </c>
      <c r="L25" s="122"/>
      <c r="M25" s="122">
        <v>1.37</v>
      </c>
      <c r="N25" s="124">
        <f t="shared" si="2"/>
        <v>3.5900000000000003</v>
      </c>
      <c r="O25" s="127">
        <f t="shared" si="3"/>
        <v>2015</v>
      </c>
    </row>
    <row r="26" spans="1:15">
      <c r="A26" s="121">
        <v>42278</v>
      </c>
      <c r="B26" s="127">
        <f t="shared" si="4"/>
        <v>2015</v>
      </c>
      <c r="C26" s="122">
        <v>2.82</v>
      </c>
      <c r="D26" s="122"/>
      <c r="E26" s="122">
        <v>1.37</v>
      </c>
      <c r="F26" s="124">
        <f t="shared" si="0"/>
        <v>4.1899999999999995</v>
      </c>
      <c r="G26" s="122">
        <v>2.88</v>
      </c>
      <c r="H26" s="122"/>
      <c r="I26" s="122">
        <v>1.37</v>
      </c>
      <c r="J26" s="124">
        <f t="shared" si="1"/>
        <v>4.25</v>
      </c>
      <c r="K26" s="122">
        <v>2.17</v>
      </c>
      <c r="L26" s="122"/>
      <c r="M26" s="122">
        <v>1.37</v>
      </c>
      <c r="N26" s="124">
        <f t="shared" si="2"/>
        <v>3.54</v>
      </c>
      <c r="O26" s="127">
        <f t="shared" si="3"/>
        <v>2015</v>
      </c>
    </row>
    <row r="27" spans="1:15">
      <c r="A27" s="121">
        <v>42309</v>
      </c>
      <c r="B27" s="127">
        <f t="shared" si="4"/>
        <v>2015</v>
      </c>
      <c r="C27" s="122">
        <v>2.88</v>
      </c>
      <c r="D27" s="122"/>
      <c r="E27" s="122">
        <v>1.37</v>
      </c>
      <c r="F27" s="124">
        <f t="shared" si="0"/>
        <v>4.25</v>
      </c>
      <c r="G27" s="122">
        <v>2.94</v>
      </c>
      <c r="H27" s="122"/>
      <c r="I27" s="122">
        <v>1.37</v>
      </c>
      <c r="J27" s="124">
        <f t="shared" si="1"/>
        <v>4.3100000000000005</v>
      </c>
      <c r="K27" s="122">
        <v>2.1800000000000002</v>
      </c>
      <c r="L27" s="122"/>
      <c r="M27" s="122">
        <v>1.37</v>
      </c>
      <c r="N27" s="124">
        <f t="shared" si="2"/>
        <v>3.5500000000000003</v>
      </c>
      <c r="O27" s="127">
        <f t="shared" si="3"/>
        <v>2015</v>
      </c>
    </row>
    <row r="28" spans="1:15">
      <c r="A28" s="121">
        <v>42339</v>
      </c>
      <c r="B28" s="127">
        <f t="shared" si="4"/>
        <v>2015</v>
      </c>
      <c r="C28" s="122">
        <v>2.94</v>
      </c>
      <c r="D28" s="122"/>
      <c r="E28" s="122">
        <v>1.37</v>
      </c>
      <c r="F28" s="124">
        <f t="shared" si="0"/>
        <v>4.3100000000000005</v>
      </c>
      <c r="G28" s="122">
        <v>3.01</v>
      </c>
      <c r="H28" s="122"/>
      <c r="I28" s="122">
        <v>1.37</v>
      </c>
      <c r="J28" s="124">
        <f t="shared" si="1"/>
        <v>4.38</v>
      </c>
      <c r="K28" s="122">
        <v>2.1800000000000002</v>
      </c>
      <c r="L28" s="122"/>
      <c r="M28" s="122">
        <v>1.37</v>
      </c>
      <c r="N28" s="124">
        <f t="shared" si="2"/>
        <v>3.5500000000000003</v>
      </c>
      <c r="O28" s="127">
        <f t="shared" si="3"/>
        <v>2015</v>
      </c>
    </row>
    <row r="29" spans="1:15">
      <c r="A29" s="121">
        <v>42370</v>
      </c>
      <c r="B29" s="127">
        <f t="shared" si="4"/>
        <v>2016</v>
      </c>
      <c r="C29" s="122">
        <v>2.97</v>
      </c>
      <c r="D29" s="122">
        <v>0.83</v>
      </c>
      <c r="E29" s="122">
        <v>1.37</v>
      </c>
      <c r="F29" s="124">
        <f t="shared" si="0"/>
        <v>5.17</v>
      </c>
      <c r="G29" s="122">
        <v>3.03</v>
      </c>
      <c r="H29" s="122">
        <v>0.83</v>
      </c>
      <c r="I29" s="122">
        <v>1.37</v>
      </c>
      <c r="J29" s="124">
        <f t="shared" si="1"/>
        <v>5.23</v>
      </c>
      <c r="K29" s="122">
        <v>2.04</v>
      </c>
      <c r="L29" s="122">
        <v>0.83</v>
      </c>
      <c r="M29" s="122">
        <v>1.37</v>
      </c>
      <c r="N29" s="124">
        <f t="shared" si="2"/>
        <v>4.24</v>
      </c>
      <c r="O29" s="127">
        <f t="shared" si="3"/>
        <v>2016</v>
      </c>
    </row>
    <row r="30" spans="1:15">
      <c r="A30" s="121">
        <v>42401</v>
      </c>
      <c r="B30" s="127">
        <f t="shared" si="4"/>
        <v>2016</v>
      </c>
      <c r="C30" s="122">
        <v>2.99</v>
      </c>
      <c r="D30" s="122">
        <v>0.83</v>
      </c>
      <c r="E30" s="122">
        <v>1.37</v>
      </c>
      <c r="F30" s="124">
        <f t="shared" si="0"/>
        <v>5.19</v>
      </c>
      <c r="G30" s="122">
        <v>3.05</v>
      </c>
      <c r="H30" s="122">
        <v>0.83</v>
      </c>
      <c r="I30" s="122">
        <v>1.37</v>
      </c>
      <c r="J30" s="124">
        <f t="shared" si="1"/>
        <v>5.25</v>
      </c>
      <c r="K30" s="122">
        <v>2.04</v>
      </c>
      <c r="L30" s="122">
        <v>0.83</v>
      </c>
      <c r="M30" s="122">
        <v>1.37</v>
      </c>
      <c r="N30" s="124">
        <f t="shared" si="2"/>
        <v>4.24</v>
      </c>
      <c r="O30" s="127">
        <f t="shared" si="3"/>
        <v>2016</v>
      </c>
    </row>
    <row r="31" spans="1:15">
      <c r="A31" s="121">
        <v>42430</v>
      </c>
      <c r="B31" s="127">
        <f t="shared" si="4"/>
        <v>2016</v>
      </c>
      <c r="C31" s="122">
        <v>3.02</v>
      </c>
      <c r="D31" s="122">
        <v>0.83</v>
      </c>
      <c r="E31" s="122">
        <v>1.37</v>
      </c>
      <c r="F31" s="124">
        <f t="shared" si="0"/>
        <v>5.2200000000000006</v>
      </c>
      <c r="G31" s="122">
        <v>3.08</v>
      </c>
      <c r="H31" s="122">
        <v>0.83</v>
      </c>
      <c r="I31" s="122">
        <v>1.37</v>
      </c>
      <c r="J31" s="124">
        <f t="shared" si="1"/>
        <v>5.28</v>
      </c>
      <c r="K31" s="122">
        <v>2.0299999999999998</v>
      </c>
      <c r="L31" s="122">
        <v>0.83</v>
      </c>
      <c r="M31" s="122">
        <v>1.37</v>
      </c>
      <c r="N31" s="124">
        <f t="shared" si="2"/>
        <v>4.2300000000000004</v>
      </c>
      <c r="O31" s="127">
        <f t="shared" si="3"/>
        <v>2016</v>
      </c>
    </row>
    <row r="32" spans="1:15">
      <c r="A32" s="121">
        <v>42461</v>
      </c>
      <c r="B32" s="127">
        <f t="shared" si="4"/>
        <v>2016</v>
      </c>
      <c r="C32" s="122">
        <v>3.04</v>
      </c>
      <c r="D32" s="122">
        <v>0.83</v>
      </c>
      <c r="E32" s="122">
        <v>1.37</v>
      </c>
      <c r="F32" s="124">
        <f t="shared" si="0"/>
        <v>5.24</v>
      </c>
      <c r="G32" s="122">
        <v>3.1</v>
      </c>
      <c r="H32" s="122">
        <v>0.83</v>
      </c>
      <c r="I32" s="122">
        <v>1.37</v>
      </c>
      <c r="J32" s="124">
        <f t="shared" si="1"/>
        <v>5.3000000000000007</v>
      </c>
      <c r="K32" s="122">
        <v>2.02</v>
      </c>
      <c r="L32" s="122">
        <v>0.83</v>
      </c>
      <c r="M32" s="122">
        <v>1.37</v>
      </c>
      <c r="N32" s="124">
        <f t="shared" si="2"/>
        <v>4.2200000000000006</v>
      </c>
      <c r="O32" s="127">
        <f t="shared" si="3"/>
        <v>2016</v>
      </c>
    </row>
    <row r="33" spans="1:15">
      <c r="A33" s="121">
        <v>42491</v>
      </c>
      <c r="B33" s="127">
        <f t="shared" si="4"/>
        <v>2016</v>
      </c>
      <c r="C33" s="122">
        <v>3.07</v>
      </c>
      <c r="D33" s="122">
        <v>0.83</v>
      </c>
      <c r="E33" s="122">
        <v>1.37</v>
      </c>
      <c r="F33" s="124">
        <f t="shared" si="0"/>
        <v>5.27</v>
      </c>
      <c r="G33" s="122">
        <v>3.13</v>
      </c>
      <c r="H33" s="122">
        <v>0.83</v>
      </c>
      <c r="I33" s="122">
        <v>1.37</v>
      </c>
      <c r="J33" s="124">
        <f t="shared" si="1"/>
        <v>5.33</v>
      </c>
      <c r="K33" s="122">
        <v>2.02</v>
      </c>
      <c r="L33" s="122">
        <v>0.83</v>
      </c>
      <c r="M33" s="122">
        <v>1.37</v>
      </c>
      <c r="N33" s="124">
        <f t="shared" si="2"/>
        <v>4.2200000000000006</v>
      </c>
      <c r="O33" s="127">
        <f t="shared" si="3"/>
        <v>2016</v>
      </c>
    </row>
    <row r="34" spans="1:15">
      <c r="A34" s="121">
        <v>42522</v>
      </c>
      <c r="B34" s="127">
        <f t="shared" si="4"/>
        <v>2016</v>
      </c>
      <c r="C34" s="122">
        <v>3.1</v>
      </c>
      <c r="D34" s="122">
        <v>0.83</v>
      </c>
      <c r="E34" s="122">
        <v>1.37</v>
      </c>
      <c r="F34" s="124">
        <f t="shared" si="0"/>
        <v>5.3000000000000007</v>
      </c>
      <c r="G34" s="122">
        <v>3.16</v>
      </c>
      <c r="H34" s="122">
        <v>0.83</v>
      </c>
      <c r="I34" s="122">
        <v>1.37</v>
      </c>
      <c r="J34" s="124">
        <f t="shared" si="1"/>
        <v>5.36</v>
      </c>
      <c r="K34" s="122">
        <v>2.0099999999999998</v>
      </c>
      <c r="L34" s="122">
        <v>0.83</v>
      </c>
      <c r="M34" s="122">
        <v>1.37</v>
      </c>
      <c r="N34" s="124">
        <f t="shared" si="2"/>
        <v>4.21</v>
      </c>
      <c r="O34" s="127">
        <f t="shared" si="3"/>
        <v>2016</v>
      </c>
    </row>
    <row r="35" spans="1:15">
      <c r="A35" s="121">
        <v>42552</v>
      </c>
      <c r="B35" s="127">
        <f t="shared" si="4"/>
        <v>2016</v>
      </c>
      <c r="C35" s="122">
        <v>3.12</v>
      </c>
      <c r="D35" s="122">
        <v>0.83</v>
      </c>
      <c r="E35" s="122">
        <v>1.37</v>
      </c>
      <c r="F35" s="124">
        <f t="shared" si="0"/>
        <v>5.32</v>
      </c>
      <c r="G35" s="122">
        <v>3.18</v>
      </c>
      <c r="H35" s="122">
        <v>0.83</v>
      </c>
      <c r="I35" s="122">
        <v>1.37</v>
      </c>
      <c r="J35" s="124">
        <f t="shared" si="1"/>
        <v>5.38</v>
      </c>
      <c r="K35" s="122">
        <v>2.0099999999999998</v>
      </c>
      <c r="L35" s="122">
        <v>0.83</v>
      </c>
      <c r="M35" s="122">
        <v>1.37</v>
      </c>
      <c r="N35" s="124">
        <f t="shared" si="2"/>
        <v>4.21</v>
      </c>
      <c r="O35" s="127">
        <f t="shared" si="3"/>
        <v>2016</v>
      </c>
    </row>
    <row r="36" spans="1:15">
      <c r="A36" s="121">
        <v>42583</v>
      </c>
      <c r="B36" s="127">
        <f t="shared" si="4"/>
        <v>2016</v>
      </c>
      <c r="C36" s="122">
        <v>3.15</v>
      </c>
      <c r="D36" s="122">
        <v>0.83</v>
      </c>
      <c r="E36" s="122">
        <v>1.37</v>
      </c>
      <c r="F36" s="124">
        <f t="shared" si="0"/>
        <v>5.35</v>
      </c>
      <c r="G36" s="122">
        <v>3.21</v>
      </c>
      <c r="H36" s="122">
        <v>0.83</v>
      </c>
      <c r="I36" s="122">
        <v>1.37</v>
      </c>
      <c r="J36" s="124">
        <f t="shared" si="1"/>
        <v>5.41</v>
      </c>
      <c r="K36" s="122">
        <v>2</v>
      </c>
      <c r="L36" s="122">
        <v>0.83</v>
      </c>
      <c r="M36" s="122">
        <v>1.37</v>
      </c>
      <c r="N36" s="124">
        <f t="shared" si="2"/>
        <v>4.2</v>
      </c>
      <c r="O36" s="127">
        <f t="shared" si="3"/>
        <v>2016</v>
      </c>
    </row>
    <row r="37" spans="1:15">
      <c r="A37" s="121">
        <v>42614</v>
      </c>
      <c r="B37" s="127">
        <f t="shared" si="4"/>
        <v>2016</v>
      </c>
      <c r="C37" s="122">
        <v>3.17</v>
      </c>
      <c r="D37" s="122">
        <v>0.83</v>
      </c>
      <c r="E37" s="122">
        <v>1.37</v>
      </c>
      <c r="F37" s="124">
        <f t="shared" si="0"/>
        <v>5.37</v>
      </c>
      <c r="G37" s="122">
        <v>3.24</v>
      </c>
      <c r="H37" s="122">
        <v>0.83</v>
      </c>
      <c r="I37" s="122">
        <v>1.37</v>
      </c>
      <c r="J37" s="124">
        <f t="shared" si="1"/>
        <v>5.44</v>
      </c>
      <c r="K37" s="122">
        <v>2</v>
      </c>
      <c r="L37" s="122">
        <v>0.83</v>
      </c>
      <c r="M37" s="122">
        <v>1.37</v>
      </c>
      <c r="N37" s="124">
        <f t="shared" si="2"/>
        <v>4.2</v>
      </c>
      <c r="O37" s="127">
        <f t="shared" si="3"/>
        <v>2016</v>
      </c>
    </row>
    <row r="38" spans="1:15">
      <c r="A38" s="121">
        <v>42644</v>
      </c>
      <c r="B38" s="127">
        <f t="shared" si="4"/>
        <v>2016</v>
      </c>
      <c r="C38" s="122">
        <v>3.2</v>
      </c>
      <c r="D38" s="122">
        <v>0.83</v>
      </c>
      <c r="E38" s="122">
        <v>1.37</v>
      </c>
      <c r="F38" s="124">
        <f t="shared" si="0"/>
        <v>5.4</v>
      </c>
      <c r="G38" s="122">
        <v>3.26</v>
      </c>
      <c r="H38" s="122">
        <v>0.83</v>
      </c>
      <c r="I38" s="122">
        <v>1.37</v>
      </c>
      <c r="J38" s="124">
        <f t="shared" si="1"/>
        <v>5.46</v>
      </c>
      <c r="K38" s="122">
        <v>1.99</v>
      </c>
      <c r="L38" s="122">
        <v>0.83</v>
      </c>
      <c r="M38" s="122">
        <v>1.37</v>
      </c>
      <c r="N38" s="124">
        <f t="shared" si="2"/>
        <v>4.1899999999999995</v>
      </c>
      <c r="O38" s="127">
        <f t="shared" si="3"/>
        <v>2016</v>
      </c>
    </row>
    <row r="39" spans="1:15">
      <c r="A39" s="121">
        <v>42675</v>
      </c>
      <c r="B39" s="127">
        <f t="shared" si="4"/>
        <v>2016</v>
      </c>
      <c r="C39" s="122">
        <v>3.23</v>
      </c>
      <c r="D39" s="122">
        <v>0.83</v>
      </c>
      <c r="E39" s="122">
        <v>1.37</v>
      </c>
      <c r="F39" s="124">
        <f t="shared" si="0"/>
        <v>5.43</v>
      </c>
      <c r="G39" s="122">
        <v>3.29</v>
      </c>
      <c r="H39" s="122">
        <v>0.83</v>
      </c>
      <c r="I39" s="122">
        <v>1.37</v>
      </c>
      <c r="J39" s="124">
        <f t="shared" si="1"/>
        <v>5.49</v>
      </c>
      <c r="K39" s="122">
        <v>1.99</v>
      </c>
      <c r="L39" s="122">
        <v>0.83</v>
      </c>
      <c r="M39" s="122">
        <v>1.37</v>
      </c>
      <c r="N39" s="124">
        <f t="shared" si="2"/>
        <v>4.1899999999999995</v>
      </c>
      <c r="O39" s="127">
        <f t="shared" si="3"/>
        <v>2016</v>
      </c>
    </row>
    <row r="40" spans="1:15">
      <c r="A40" s="121">
        <v>42705</v>
      </c>
      <c r="B40" s="127">
        <f t="shared" si="4"/>
        <v>2016</v>
      </c>
      <c r="C40" s="122">
        <v>3.25</v>
      </c>
      <c r="D40" s="122">
        <v>0.83</v>
      </c>
      <c r="E40" s="122">
        <v>1.37</v>
      </c>
      <c r="F40" s="124">
        <f t="shared" si="0"/>
        <v>5.45</v>
      </c>
      <c r="G40" s="122">
        <v>3.32</v>
      </c>
      <c r="H40" s="122">
        <v>0.83</v>
      </c>
      <c r="I40" s="122">
        <v>1.37</v>
      </c>
      <c r="J40" s="124">
        <f t="shared" si="1"/>
        <v>5.52</v>
      </c>
      <c r="K40" s="122">
        <v>1.98</v>
      </c>
      <c r="L40" s="122">
        <v>0.83</v>
      </c>
      <c r="M40" s="122">
        <v>1.37</v>
      </c>
      <c r="N40" s="124">
        <f t="shared" si="2"/>
        <v>4.18</v>
      </c>
      <c r="O40" s="127">
        <f t="shared" si="3"/>
        <v>2016</v>
      </c>
    </row>
    <row r="41" spans="1:15">
      <c r="A41" s="121">
        <v>42736</v>
      </c>
      <c r="B41" s="127">
        <f t="shared" si="4"/>
        <v>2017</v>
      </c>
      <c r="C41" s="122">
        <v>3.27</v>
      </c>
      <c r="D41" s="122">
        <v>0.83</v>
      </c>
      <c r="E41" s="122">
        <v>1.37</v>
      </c>
      <c r="F41" s="124">
        <f t="shared" si="0"/>
        <v>5.47</v>
      </c>
      <c r="G41" s="122">
        <v>3.34</v>
      </c>
      <c r="H41" s="122">
        <v>0.83</v>
      </c>
      <c r="I41" s="122">
        <v>1.37</v>
      </c>
      <c r="J41" s="124">
        <f t="shared" si="1"/>
        <v>5.54</v>
      </c>
      <c r="K41" s="122">
        <v>1.83</v>
      </c>
      <c r="L41" s="122">
        <v>0.83</v>
      </c>
      <c r="M41" s="122">
        <v>1.37</v>
      </c>
      <c r="N41" s="124">
        <f t="shared" si="2"/>
        <v>4.03</v>
      </c>
      <c r="O41" s="127">
        <f t="shared" si="3"/>
        <v>2017</v>
      </c>
    </row>
    <row r="42" spans="1:15">
      <c r="A42" s="121">
        <v>42767</v>
      </c>
      <c r="B42" s="127">
        <f t="shared" si="4"/>
        <v>2017</v>
      </c>
      <c r="C42" s="122">
        <v>3.39</v>
      </c>
      <c r="D42" s="122">
        <v>0.83</v>
      </c>
      <c r="E42" s="122">
        <v>1.37</v>
      </c>
      <c r="F42" s="124">
        <f t="shared" si="0"/>
        <v>5.59</v>
      </c>
      <c r="G42" s="122">
        <v>3.5</v>
      </c>
      <c r="H42" s="122">
        <v>0.83</v>
      </c>
      <c r="I42" s="122">
        <v>1.37</v>
      </c>
      <c r="J42" s="124">
        <f t="shared" si="1"/>
        <v>5.7</v>
      </c>
      <c r="K42" s="122">
        <v>1.95</v>
      </c>
      <c r="L42" s="122">
        <v>0.83</v>
      </c>
      <c r="M42" s="122">
        <v>1.37</v>
      </c>
      <c r="N42" s="124">
        <f t="shared" si="2"/>
        <v>4.1500000000000004</v>
      </c>
      <c r="O42" s="127">
        <f t="shared" si="3"/>
        <v>2017</v>
      </c>
    </row>
    <row r="43" spans="1:15">
      <c r="A43" s="121">
        <v>42795</v>
      </c>
      <c r="B43" s="127">
        <f t="shared" si="4"/>
        <v>2017</v>
      </c>
      <c r="C43" s="122">
        <v>3.46</v>
      </c>
      <c r="D43" s="122">
        <v>0.83</v>
      </c>
      <c r="E43" s="122">
        <v>1.37</v>
      </c>
      <c r="F43" s="124">
        <f t="shared" si="0"/>
        <v>5.66</v>
      </c>
      <c r="G43" s="122">
        <v>3.59</v>
      </c>
      <c r="H43" s="122">
        <v>0.83</v>
      </c>
      <c r="I43" s="122">
        <v>1.37</v>
      </c>
      <c r="J43" s="124">
        <f t="shared" si="1"/>
        <v>5.79</v>
      </c>
      <c r="K43" s="122">
        <v>2.0099999999999998</v>
      </c>
      <c r="L43" s="122">
        <v>0.83</v>
      </c>
      <c r="M43" s="122">
        <v>1.37</v>
      </c>
      <c r="N43" s="124">
        <f t="shared" si="2"/>
        <v>4.21</v>
      </c>
      <c r="O43" s="127">
        <f t="shared" si="3"/>
        <v>2017</v>
      </c>
    </row>
    <row r="44" spans="1:15">
      <c r="A44" s="121">
        <v>42826</v>
      </c>
      <c r="B44" s="127">
        <f t="shared" si="4"/>
        <v>2017</v>
      </c>
      <c r="C44" s="122">
        <v>3.44</v>
      </c>
      <c r="D44" s="122">
        <v>0.83</v>
      </c>
      <c r="E44" s="122">
        <v>1.37</v>
      </c>
      <c r="F44" s="124">
        <f t="shared" si="0"/>
        <v>5.64</v>
      </c>
      <c r="G44" s="122">
        <v>3.59</v>
      </c>
      <c r="H44" s="122">
        <v>0.83</v>
      </c>
      <c r="I44" s="122">
        <v>1.37</v>
      </c>
      <c r="J44" s="124">
        <f t="shared" si="1"/>
        <v>5.79</v>
      </c>
      <c r="K44" s="122">
        <v>1.97</v>
      </c>
      <c r="L44" s="122">
        <v>0.83</v>
      </c>
      <c r="M44" s="122">
        <v>1.37</v>
      </c>
      <c r="N44" s="124">
        <f t="shared" si="2"/>
        <v>4.17</v>
      </c>
      <c r="O44" s="127">
        <f t="shared" si="3"/>
        <v>2017</v>
      </c>
    </row>
    <row r="45" spans="1:15">
      <c r="A45" s="121">
        <v>42856</v>
      </c>
      <c r="B45" s="127">
        <f t="shared" si="4"/>
        <v>2017</v>
      </c>
      <c r="C45" s="122">
        <v>3.34</v>
      </c>
      <c r="D45" s="122">
        <v>0.83</v>
      </c>
      <c r="E45" s="122">
        <v>1.37</v>
      </c>
      <c r="F45" s="124">
        <f t="shared" si="0"/>
        <v>5.54</v>
      </c>
      <c r="G45" s="122">
        <v>3.41</v>
      </c>
      <c r="H45" s="122">
        <v>0.83</v>
      </c>
      <c r="I45" s="122">
        <v>1.37</v>
      </c>
      <c r="J45" s="124">
        <f t="shared" si="1"/>
        <v>5.61</v>
      </c>
      <c r="K45" s="122">
        <v>1.82</v>
      </c>
      <c r="L45" s="122">
        <v>0.83</v>
      </c>
      <c r="M45" s="122">
        <v>1.37</v>
      </c>
      <c r="N45" s="124">
        <f t="shared" si="2"/>
        <v>4.0199999999999996</v>
      </c>
      <c r="O45" s="127">
        <f t="shared" si="3"/>
        <v>2017</v>
      </c>
    </row>
    <row r="46" spans="1:15">
      <c r="A46" s="121">
        <v>42887</v>
      </c>
      <c r="B46" s="127">
        <f t="shared" si="4"/>
        <v>2017</v>
      </c>
      <c r="C46" s="122">
        <v>3.36</v>
      </c>
      <c r="D46" s="122">
        <v>0.83</v>
      </c>
      <c r="E46" s="122">
        <v>1.37</v>
      </c>
      <c r="F46" s="124">
        <f t="shared" si="0"/>
        <v>5.56</v>
      </c>
      <c r="G46" s="122">
        <v>3.42</v>
      </c>
      <c r="H46" s="122">
        <v>0.83</v>
      </c>
      <c r="I46" s="122">
        <v>1.37</v>
      </c>
      <c r="J46" s="124">
        <f t="shared" si="1"/>
        <v>5.62</v>
      </c>
      <c r="K46" s="122">
        <v>1.82</v>
      </c>
      <c r="L46" s="122">
        <v>0.83</v>
      </c>
      <c r="M46" s="122">
        <v>1.37</v>
      </c>
      <c r="N46" s="124">
        <f t="shared" si="2"/>
        <v>4.0199999999999996</v>
      </c>
      <c r="O46" s="127">
        <f t="shared" si="3"/>
        <v>2017</v>
      </c>
    </row>
    <row r="47" spans="1:15">
      <c r="A47" s="121">
        <v>42917</v>
      </c>
      <c r="B47" s="127">
        <f t="shared" si="4"/>
        <v>2017</v>
      </c>
      <c r="C47" s="122">
        <v>3.37</v>
      </c>
      <c r="D47" s="122">
        <v>0.83</v>
      </c>
      <c r="E47" s="122">
        <v>1.37</v>
      </c>
      <c r="F47" s="124">
        <f t="shared" si="0"/>
        <v>5.57</v>
      </c>
      <c r="G47" s="122">
        <v>3.44</v>
      </c>
      <c r="H47" s="122">
        <v>0.83</v>
      </c>
      <c r="I47" s="122">
        <v>1.37</v>
      </c>
      <c r="J47" s="124">
        <f t="shared" si="1"/>
        <v>5.64</v>
      </c>
      <c r="K47" s="122">
        <v>1.82</v>
      </c>
      <c r="L47" s="122">
        <v>0.83</v>
      </c>
      <c r="M47" s="122">
        <v>1.37</v>
      </c>
      <c r="N47" s="124">
        <f t="shared" si="2"/>
        <v>4.0199999999999996</v>
      </c>
      <c r="O47" s="127">
        <f t="shared" si="3"/>
        <v>2017</v>
      </c>
    </row>
    <row r="48" spans="1:15">
      <c r="A48" s="121">
        <v>42948</v>
      </c>
      <c r="B48" s="127">
        <f t="shared" si="4"/>
        <v>2017</v>
      </c>
      <c r="C48" s="122">
        <v>3.52</v>
      </c>
      <c r="D48" s="122">
        <v>0.83</v>
      </c>
      <c r="E48" s="122">
        <v>1.37</v>
      </c>
      <c r="F48" s="124">
        <f t="shared" si="0"/>
        <v>5.72</v>
      </c>
      <c r="G48" s="122">
        <v>3.64</v>
      </c>
      <c r="H48" s="122">
        <v>0.83</v>
      </c>
      <c r="I48" s="122">
        <v>1.37</v>
      </c>
      <c r="J48" s="124">
        <f t="shared" si="1"/>
        <v>5.84</v>
      </c>
      <c r="K48" s="122">
        <v>1.98</v>
      </c>
      <c r="L48" s="122">
        <v>0.83</v>
      </c>
      <c r="M48" s="122">
        <v>1.37</v>
      </c>
      <c r="N48" s="124">
        <f t="shared" si="2"/>
        <v>4.18</v>
      </c>
      <c r="O48" s="127">
        <f t="shared" si="3"/>
        <v>2017</v>
      </c>
    </row>
    <row r="49" spans="1:15">
      <c r="A49" s="121">
        <v>42979</v>
      </c>
      <c r="B49" s="127">
        <f t="shared" si="4"/>
        <v>2017</v>
      </c>
      <c r="C49" s="122">
        <v>3.75</v>
      </c>
      <c r="D49" s="122">
        <v>0.83</v>
      </c>
      <c r="E49" s="122">
        <v>1.37</v>
      </c>
      <c r="F49" s="124">
        <f t="shared" si="0"/>
        <v>5.95</v>
      </c>
      <c r="G49" s="122">
        <v>3.94</v>
      </c>
      <c r="H49" s="122">
        <v>0.83</v>
      </c>
      <c r="I49" s="122">
        <v>1.37</v>
      </c>
      <c r="J49" s="124">
        <f t="shared" si="1"/>
        <v>6.14</v>
      </c>
      <c r="K49" s="122">
        <v>2.23</v>
      </c>
      <c r="L49" s="122">
        <v>0.83</v>
      </c>
      <c r="M49" s="122">
        <v>1.37</v>
      </c>
      <c r="N49" s="124">
        <f t="shared" si="2"/>
        <v>4.43</v>
      </c>
      <c r="O49" s="127">
        <f t="shared" si="3"/>
        <v>2017</v>
      </c>
    </row>
    <row r="50" spans="1:15">
      <c r="A50" s="121">
        <v>43009</v>
      </c>
      <c r="B50" s="127">
        <f t="shared" si="4"/>
        <v>2017</v>
      </c>
      <c r="C50" s="122">
        <v>3.54</v>
      </c>
      <c r="D50" s="122">
        <v>0.83</v>
      </c>
      <c r="E50" s="122">
        <v>1.37</v>
      </c>
      <c r="F50" s="124">
        <f t="shared" si="0"/>
        <v>5.74</v>
      </c>
      <c r="G50" s="122">
        <v>3.65</v>
      </c>
      <c r="H50" s="122">
        <v>0.83</v>
      </c>
      <c r="I50" s="122">
        <v>1.37</v>
      </c>
      <c r="J50" s="124">
        <f t="shared" si="1"/>
        <v>5.85</v>
      </c>
      <c r="K50" s="122">
        <v>1.96</v>
      </c>
      <c r="L50" s="122">
        <v>0.83</v>
      </c>
      <c r="M50" s="122">
        <v>1.37</v>
      </c>
      <c r="N50" s="124">
        <f t="shared" si="2"/>
        <v>4.16</v>
      </c>
      <c r="O50" s="127">
        <f t="shared" si="3"/>
        <v>2017</v>
      </c>
    </row>
    <row r="51" spans="1:15">
      <c r="A51" s="121">
        <v>43040</v>
      </c>
      <c r="B51" s="127">
        <f t="shared" si="4"/>
        <v>2017</v>
      </c>
      <c r="C51" s="122">
        <v>3.44</v>
      </c>
      <c r="D51" s="122">
        <v>0.83</v>
      </c>
      <c r="E51" s="122">
        <v>1.37</v>
      </c>
      <c r="F51" s="124">
        <f t="shared" si="0"/>
        <v>5.64</v>
      </c>
      <c r="G51" s="122">
        <v>3.51</v>
      </c>
      <c r="H51" s="122">
        <v>0.83</v>
      </c>
      <c r="I51" s="122">
        <v>1.37</v>
      </c>
      <c r="J51" s="124">
        <f t="shared" si="1"/>
        <v>5.71</v>
      </c>
      <c r="K51" s="122">
        <v>1.82</v>
      </c>
      <c r="L51" s="122">
        <v>0.83</v>
      </c>
      <c r="M51" s="122">
        <v>1.37</v>
      </c>
      <c r="N51" s="124">
        <f t="shared" si="2"/>
        <v>4.0199999999999996</v>
      </c>
      <c r="O51" s="127">
        <f t="shared" si="3"/>
        <v>2017</v>
      </c>
    </row>
    <row r="52" spans="1:15">
      <c r="A52" s="121">
        <v>43070</v>
      </c>
      <c r="B52" s="127">
        <f t="shared" si="4"/>
        <v>2017</v>
      </c>
      <c r="C52" s="122">
        <v>3.51</v>
      </c>
      <c r="D52" s="122">
        <v>0.83</v>
      </c>
      <c r="E52" s="122">
        <v>1.37</v>
      </c>
      <c r="F52" s="124">
        <f t="shared" si="0"/>
        <v>5.71</v>
      </c>
      <c r="G52" s="122">
        <v>3.59</v>
      </c>
      <c r="H52" s="122">
        <v>0.83</v>
      </c>
      <c r="I52" s="122">
        <v>1.37</v>
      </c>
      <c r="J52" s="124">
        <f t="shared" si="1"/>
        <v>5.79</v>
      </c>
      <c r="K52" s="122">
        <v>1.87</v>
      </c>
      <c r="L52" s="122">
        <v>0.83</v>
      </c>
      <c r="M52" s="122">
        <v>1.37</v>
      </c>
      <c r="N52" s="124">
        <f t="shared" si="2"/>
        <v>4.07</v>
      </c>
      <c r="O52" s="127">
        <f t="shared" si="3"/>
        <v>2017</v>
      </c>
    </row>
    <row r="53" spans="1:15">
      <c r="A53" s="121">
        <v>43101</v>
      </c>
      <c r="B53" s="127">
        <f t="shared" si="4"/>
        <v>2018</v>
      </c>
      <c r="C53" s="122">
        <v>3.89</v>
      </c>
      <c r="D53" s="122">
        <v>0.83</v>
      </c>
      <c r="E53" s="122">
        <v>1.37</v>
      </c>
      <c r="F53" s="124">
        <f t="shared" si="0"/>
        <v>6.09</v>
      </c>
      <c r="G53" s="122">
        <v>4.08</v>
      </c>
      <c r="H53" s="122">
        <v>0.83</v>
      </c>
      <c r="I53" s="122">
        <v>1.37</v>
      </c>
      <c r="J53" s="124">
        <f t="shared" si="1"/>
        <v>6.28</v>
      </c>
      <c r="K53" s="122">
        <v>2.2799999999999998</v>
      </c>
      <c r="L53" s="122">
        <v>0.83</v>
      </c>
      <c r="M53" s="122">
        <v>1.37</v>
      </c>
      <c r="N53" s="124">
        <f t="shared" si="2"/>
        <v>4.4800000000000004</v>
      </c>
      <c r="O53" s="127">
        <f t="shared" si="3"/>
        <v>2018</v>
      </c>
    </row>
    <row r="54" spans="1:15">
      <c r="A54" s="121">
        <v>43132</v>
      </c>
      <c r="B54" s="127">
        <f t="shared" si="4"/>
        <v>2018</v>
      </c>
      <c r="C54" s="122">
        <v>4.1500000000000004</v>
      </c>
      <c r="D54" s="122">
        <v>0.83</v>
      </c>
      <c r="E54" s="122">
        <v>1.37</v>
      </c>
      <c r="F54" s="124">
        <f t="shared" si="0"/>
        <v>6.3500000000000005</v>
      </c>
      <c r="G54" s="122">
        <v>4.42</v>
      </c>
      <c r="H54" s="122">
        <v>0.83</v>
      </c>
      <c r="I54" s="122">
        <v>1.37</v>
      </c>
      <c r="J54" s="124">
        <f t="shared" si="1"/>
        <v>6.62</v>
      </c>
      <c r="K54" s="122">
        <v>2.59</v>
      </c>
      <c r="L54" s="122">
        <v>0.83</v>
      </c>
      <c r="M54" s="122">
        <v>1.37</v>
      </c>
      <c r="N54" s="124">
        <f t="shared" si="2"/>
        <v>4.79</v>
      </c>
      <c r="O54" s="127">
        <f t="shared" si="3"/>
        <v>2018</v>
      </c>
    </row>
    <row r="55" spans="1:15">
      <c r="A55" s="121">
        <v>43160</v>
      </c>
      <c r="B55" s="127">
        <f t="shared" si="4"/>
        <v>2018</v>
      </c>
      <c r="C55" s="122">
        <v>4.24</v>
      </c>
      <c r="D55" s="122">
        <v>0.83</v>
      </c>
      <c r="E55" s="122">
        <v>1.37</v>
      </c>
      <c r="F55" s="124">
        <f t="shared" si="0"/>
        <v>6.44</v>
      </c>
      <c r="G55" s="122">
        <v>4.5199999999999996</v>
      </c>
      <c r="H55" s="122">
        <v>0.83</v>
      </c>
      <c r="I55" s="122">
        <v>1.37</v>
      </c>
      <c r="J55" s="124">
        <f t="shared" si="1"/>
        <v>6.72</v>
      </c>
      <c r="K55" s="122">
        <v>2.68</v>
      </c>
      <c r="L55" s="122">
        <v>0.83</v>
      </c>
      <c r="M55" s="122">
        <v>1.37</v>
      </c>
      <c r="N55" s="124">
        <f t="shared" si="2"/>
        <v>4.8800000000000008</v>
      </c>
      <c r="O55" s="127">
        <f t="shared" si="3"/>
        <v>2018</v>
      </c>
    </row>
    <row r="56" spans="1:15">
      <c r="A56" s="121">
        <v>43191</v>
      </c>
      <c r="B56" s="127">
        <f t="shared" si="4"/>
        <v>2018</v>
      </c>
      <c r="C56" s="122">
        <v>4.2</v>
      </c>
      <c r="D56" s="122">
        <v>0.83</v>
      </c>
      <c r="E56" s="122">
        <v>1.37</v>
      </c>
      <c r="F56" s="124">
        <f t="shared" si="0"/>
        <v>6.4</v>
      </c>
      <c r="G56" s="122">
        <v>4.45</v>
      </c>
      <c r="H56" s="122">
        <v>0.83</v>
      </c>
      <c r="I56" s="122">
        <v>1.37</v>
      </c>
      <c r="J56" s="124">
        <f t="shared" si="1"/>
        <v>6.65</v>
      </c>
      <c r="K56" s="122">
        <v>2.61</v>
      </c>
      <c r="L56" s="122">
        <v>0.83</v>
      </c>
      <c r="M56" s="122">
        <v>1.37</v>
      </c>
      <c r="N56" s="124">
        <f t="shared" si="2"/>
        <v>4.8100000000000005</v>
      </c>
      <c r="O56" s="127">
        <f t="shared" si="3"/>
        <v>2018</v>
      </c>
    </row>
    <row r="57" spans="1:15">
      <c r="A57" s="121">
        <v>43221</v>
      </c>
      <c r="B57" s="127">
        <f t="shared" si="4"/>
        <v>2018</v>
      </c>
      <c r="C57" s="122">
        <v>3.98</v>
      </c>
      <c r="D57" s="122">
        <v>0.83</v>
      </c>
      <c r="E57" s="122">
        <v>1.37</v>
      </c>
      <c r="F57" s="124">
        <f t="shared" si="0"/>
        <v>6.18</v>
      </c>
      <c r="G57" s="122">
        <v>4.16</v>
      </c>
      <c r="H57" s="122">
        <v>0.83</v>
      </c>
      <c r="I57" s="122">
        <v>1.37</v>
      </c>
      <c r="J57" s="124">
        <f t="shared" si="1"/>
        <v>6.36</v>
      </c>
      <c r="K57" s="122">
        <v>2.2999999999999998</v>
      </c>
      <c r="L57" s="122">
        <v>0.83</v>
      </c>
      <c r="M57" s="122">
        <v>1.37</v>
      </c>
      <c r="N57" s="124">
        <f t="shared" si="2"/>
        <v>4.5</v>
      </c>
      <c r="O57" s="127">
        <f t="shared" si="3"/>
        <v>2018</v>
      </c>
    </row>
    <row r="58" spans="1:15">
      <c r="A58" s="121">
        <v>43252</v>
      </c>
      <c r="B58" s="127">
        <f t="shared" si="4"/>
        <v>2018</v>
      </c>
      <c r="C58" s="122">
        <v>4.0599999999999996</v>
      </c>
      <c r="D58" s="122">
        <v>0.83</v>
      </c>
      <c r="E58" s="122">
        <v>1.37</v>
      </c>
      <c r="F58" s="124">
        <f t="shared" si="0"/>
        <v>6.26</v>
      </c>
      <c r="G58" s="122">
        <v>4.25</v>
      </c>
      <c r="H58" s="122">
        <v>0.83</v>
      </c>
      <c r="I58" s="122">
        <v>1.37</v>
      </c>
      <c r="J58" s="124">
        <f t="shared" si="1"/>
        <v>6.45</v>
      </c>
      <c r="K58" s="122">
        <v>2.37</v>
      </c>
      <c r="L58" s="122">
        <v>0.83</v>
      </c>
      <c r="M58" s="122">
        <v>1.37</v>
      </c>
      <c r="N58" s="124">
        <f t="shared" si="2"/>
        <v>4.57</v>
      </c>
      <c r="O58" s="127">
        <f t="shared" si="3"/>
        <v>2018</v>
      </c>
    </row>
    <row r="59" spans="1:15">
      <c r="A59" s="121">
        <v>43282</v>
      </c>
      <c r="B59" s="127">
        <f t="shared" si="4"/>
        <v>2018</v>
      </c>
      <c r="C59" s="122">
        <v>4.04</v>
      </c>
      <c r="D59" s="122">
        <v>0.83</v>
      </c>
      <c r="E59" s="122">
        <v>1.37</v>
      </c>
      <c r="F59" s="124">
        <f t="shared" si="0"/>
        <v>6.24</v>
      </c>
      <c r="G59" s="122">
        <v>4.22</v>
      </c>
      <c r="H59" s="122">
        <v>0.83</v>
      </c>
      <c r="I59" s="122">
        <v>1.37</v>
      </c>
      <c r="J59" s="124">
        <f t="shared" si="1"/>
        <v>6.42</v>
      </c>
      <c r="K59" s="122">
        <v>2.33</v>
      </c>
      <c r="L59" s="122">
        <v>0.83</v>
      </c>
      <c r="M59" s="122">
        <v>1.37</v>
      </c>
      <c r="N59" s="124">
        <f t="shared" si="2"/>
        <v>4.53</v>
      </c>
      <c r="O59" s="127">
        <f t="shared" si="3"/>
        <v>2018</v>
      </c>
    </row>
    <row r="60" spans="1:15">
      <c r="A60" s="121">
        <v>43313</v>
      </c>
      <c r="B60" s="127">
        <f t="shared" si="4"/>
        <v>2018</v>
      </c>
      <c r="C60" s="122">
        <v>4.26</v>
      </c>
      <c r="D60" s="122">
        <v>0.83</v>
      </c>
      <c r="E60" s="122">
        <v>1.37</v>
      </c>
      <c r="F60" s="124">
        <f t="shared" si="0"/>
        <v>6.46</v>
      </c>
      <c r="G60" s="122">
        <v>4.4800000000000004</v>
      </c>
      <c r="H60" s="122">
        <v>0.83</v>
      </c>
      <c r="I60" s="122">
        <v>1.37</v>
      </c>
      <c r="J60" s="124">
        <f t="shared" si="1"/>
        <v>6.6800000000000006</v>
      </c>
      <c r="K60" s="122">
        <v>2.6</v>
      </c>
      <c r="L60" s="122">
        <v>0.83</v>
      </c>
      <c r="M60" s="122">
        <v>1.37</v>
      </c>
      <c r="N60" s="124">
        <f t="shared" si="2"/>
        <v>4.8000000000000007</v>
      </c>
      <c r="O60" s="127">
        <f t="shared" si="3"/>
        <v>2018</v>
      </c>
    </row>
    <row r="61" spans="1:15">
      <c r="A61" s="121">
        <v>43344</v>
      </c>
      <c r="B61" s="127">
        <f t="shared" si="4"/>
        <v>2018</v>
      </c>
      <c r="C61" s="122">
        <v>4.46</v>
      </c>
      <c r="D61" s="122">
        <v>0.83</v>
      </c>
      <c r="E61" s="122">
        <v>1.37</v>
      </c>
      <c r="F61" s="124">
        <f t="shared" si="0"/>
        <v>6.66</v>
      </c>
      <c r="G61" s="122">
        <v>4.72</v>
      </c>
      <c r="H61" s="122">
        <v>0.83</v>
      </c>
      <c r="I61" s="122">
        <v>1.37</v>
      </c>
      <c r="J61" s="124">
        <f t="shared" si="1"/>
        <v>6.92</v>
      </c>
      <c r="K61" s="122">
        <v>2.85</v>
      </c>
      <c r="L61" s="122">
        <v>0.83</v>
      </c>
      <c r="M61" s="122">
        <v>1.37</v>
      </c>
      <c r="N61" s="124">
        <f t="shared" si="2"/>
        <v>5.0500000000000007</v>
      </c>
      <c r="O61" s="127">
        <f t="shared" si="3"/>
        <v>2018</v>
      </c>
    </row>
    <row r="62" spans="1:15">
      <c r="A62" s="121">
        <v>43374</v>
      </c>
      <c r="B62" s="127">
        <f t="shared" si="4"/>
        <v>2018</v>
      </c>
      <c r="C62" s="122">
        <v>4.3099999999999996</v>
      </c>
      <c r="D62" s="122">
        <v>0.83</v>
      </c>
      <c r="E62" s="122">
        <v>1.37</v>
      </c>
      <c r="F62" s="124">
        <f t="shared" si="0"/>
        <v>6.51</v>
      </c>
      <c r="G62" s="122">
        <v>4.51</v>
      </c>
      <c r="H62" s="122">
        <v>0.83</v>
      </c>
      <c r="I62" s="122">
        <v>1.37</v>
      </c>
      <c r="J62" s="124">
        <f t="shared" si="1"/>
        <v>6.71</v>
      </c>
      <c r="K62" s="122">
        <v>2.62</v>
      </c>
      <c r="L62" s="122">
        <v>0.83</v>
      </c>
      <c r="M62" s="122">
        <v>1.37</v>
      </c>
      <c r="N62" s="124">
        <f t="shared" si="2"/>
        <v>4.82</v>
      </c>
      <c r="O62" s="127">
        <f t="shared" si="3"/>
        <v>2018</v>
      </c>
    </row>
    <row r="63" spans="1:15">
      <c r="A63" s="121">
        <v>43405</v>
      </c>
      <c r="B63" s="127">
        <f t="shared" si="4"/>
        <v>2018</v>
      </c>
      <c r="C63" s="122">
        <v>4.16</v>
      </c>
      <c r="D63" s="122">
        <v>0.83</v>
      </c>
      <c r="E63" s="122">
        <v>1.37</v>
      </c>
      <c r="F63" s="124">
        <f t="shared" si="0"/>
        <v>6.36</v>
      </c>
      <c r="G63" s="122">
        <v>4.3099999999999996</v>
      </c>
      <c r="H63" s="122">
        <v>0.83</v>
      </c>
      <c r="I63" s="122">
        <v>1.37</v>
      </c>
      <c r="J63" s="124">
        <f t="shared" si="1"/>
        <v>6.51</v>
      </c>
      <c r="K63" s="122">
        <v>2.38</v>
      </c>
      <c r="L63" s="122">
        <v>0.83</v>
      </c>
      <c r="M63" s="122">
        <v>1.37</v>
      </c>
      <c r="N63" s="124">
        <f t="shared" si="2"/>
        <v>4.58</v>
      </c>
      <c r="O63" s="127">
        <f t="shared" si="3"/>
        <v>2018</v>
      </c>
    </row>
    <row r="64" spans="1:15">
      <c r="A64" s="121">
        <v>43435</v>
      </c>
      <c r="B64" s="127">
        <f t="shared" si="4"/>
        <v>2018</v>
      </c>
      <c r="C64" s="122">
        <v>4.29</v>
      </c>
      <c r="D64" s="122">
        <v>0.83</v>
      </c>
      <c r="E64" s="122">
        <v>1.37</v>
      </c>
      <c r="F64" s="124">
        <f t="shared" si="0"/>
        <v>6.49</v>
      </c>
      <c r="G64" s="122">
        <v>4.46</v>
      </c>
      <c r="H64" s="122">
        <v>0.83</v>
      </c>
      <c r="I64" s="122">
        <v>1.37</v>
      </c>
      <c r="J64" s="124">
        <f t="shared" si="1"/>
        <v>6.66</v>
      </c>
      <c r="K64" s="122">
        <v>2.54</v>
      </c>
      <c r="L64" s="122">
        <v>0.83</v>
      </c>
      <c r="M64" s="122">
        <v>1.37</v>
      </c>
      <c r="N64" s="124">
        <f t="shared" si="2"/>
        <v>4.74</v>
      </c>
      <c r="O64" s="127">
        <f t="shared" si="3"/>
        <v>2018</v>
      </c>
    </row>
    <row r="65" spans="1:15">
      <c r="A65" s="121">
        <v>43466</v>
      </c>
      <c r="B65" s="127">
        <f t="shared" si="4"/>
        <v>2019</v>
      </c>
      <c r="C65" s="122">
        <v>4.75</v>
      </c>
      <c r="D65" s="122">
        <v>0.83</v>
      </c>
      <c r="E65" s="122">
        <v>1.37</v>
      </c>
      <c r="F65" s="124">
        <f t="shared" si="0"/>
        <v>6.95</v>
      </c>
      <c r="G65" s="122">
        <v>5.09</v>
      </c>
      <c r="H65" s="122">
        <v>0.83</v>
      </c>
      <c r="I65" s="122">
        <v>1.37</v>
      </c>
      <c r="J65" s="124">
        <f t="shared" si="1"/>
        <v>7.29</v>
      </c>
      <c r="K65" s="122">
        <v>3.21</v>
      </c>
      <c r="L65" s="122">
        <v>0.83</v>
      </c>
      <c r="M65" s="122">
        <v>1.37</v>
      </c>
      <c r="N65" s="124">
        <f t="shared" si="2"/>
        <v>5.41</v>
      </c>
      <c r="O65" s="127">
        <f t="shared" si="3"/>
        <v>2019</v>
      </c>
    </row>
    <row r="66" spans="1:15">
      <c r="A66" s="121">
        <v>43497</v>
      </c>
      <c r="B66" s="127">
        <f t="shared" si="4"/>
        <v>2019</v>
      </c>
      <c r="C66" s="122">
        <v>4.9400000000000004</v>
      </c>
      <c r="D66" s="122">
        <v>0.83</v>
      </c>
      <c r="E66" s="122">
        <v>1.37</v>
      </c>
      <c r="F66" s="124">
        <f t="shared" si="0"/>
        <v>7.1400000000000006</v>
      </c>
      <c r="G66" s="122">
        <v>5.31</v>
      </c>
      <c r="H66" s="122">
        <v>0.83</v>
      </c>
      <c r="I66" s="122">
        <v>1.37</v>
      </c>
      <c r="J66" s="124">
        <f t="shared" si="1"/>
        <v>7.51</v>
      </c>
      <c r="K66" s="122">
        <v>3.49</v>
      </c>
      <c r="L66" s="122">
        <v>0.83</v>
      </c>
      <c r="M66" s="122">
        <v>1.37</v>
      </c>
      <c r="N66" s="124">
        <f t="shared" si="2"/>
        <v>5.69</v>
      </c>
      <c r="O66" s="127">
        <f t="shared" si="3"/>
        <v>2019</v>
      </c>
    </row>
    <row r="67" spans="1:15">
      <c r="A67" s="121">
        <v>43525</v>
      </c>
      <c r="B67" s="127">
        <f t="shared" si="4"/>
        <v>2019</v>
      </c>
      <c r="C67" s="122">
        <v>5.03</v>
      </c>
      <c r="D67" s="122">
        <v>0.83</v>
      </c>
      <c r="E67" s="122">
        <v>1.37</v>
      </c>
      <c r="F67" s="124">
        <f t="shared" si="0"/>
        <v>7.23</v>
      </c>
      <c r="G67" s="122">
        <v>5.43</v>
      </c>
      <c r="H67" s="122">
        <v>0.83</v>
      </c>
      <c r="I67" s="122">
        <v>1.37</v>
      </c>
      <c r="J67" s="124">
        <f t="shared" si="1"/>
        <v>7.63</v>
      </c>
      <c r="K67" s="122">
        <v>3.64</v>
      </c>
      <c r="L67" s="122">
        <v>0.83</v>
      </c>
      <c r="M67" s="122">
        <v>1.37</v>
      </c>
      <c r="N67" s="124">
        <f t="shared" si="2"/>
        <v>5.84</v>
      </c>
      <c r="O67" s="127">
        <f t="shared" si="3"/>
        <v>2019</v>
      </c>
    </row>
    <row r="68" spans="1:15">
      <c r="A68" s="121">
        <v>43556</v>
      </c>
      <c r="B68" s="127">
        <f t="shared" si="4"/>
        <v>2019</v>
      </c>
      <c r="C68" s="122">
        <v>4.99</v>
      </c>
      <c r="D68" s="122">
        <v>0.83</v>
      </c>
      <c r="E68" s="122">
        <v>1.37</v>
      </c>
      <c r="F68" s="124">
        <f t="shared" si="0"/>
        <v>7.19</v>
      </c>
      <c r="G68" s="122">
        <v>5.39</v>
      </c>
      <c r="H68" s="122">
        <v>0.83</v>
      </c>
      <c r="I68" s="122">
        <v>1.37</v>
      </c>
      <c r="J68" s="124">
        <f t="shared" si="1"/>
        <v>7.59</v>
      </c>
      <c r="K68" s="122">
        <v>3.6</v>
      </c>
      <c r="L68" s="122">
        <v>0.83</v>
      </c>
      <c r="M68" s="122">
        <v>1.37</v>
      </c>
      <c r="N68" s="124">
        <f t="shared" si="2"/>
        <v>5.8</v>
      </c>
      <c r="O68" s="127">
        <f t="shared" si="3"/>
        <v>2019</v>
      </c>
    </row>
    <row r="69" spans="1:15">
      <c r="A69" s="121">
        <v>43586</v>
      </c>
      <c r="B69" s="127">
        <f t="shared" si="4"/>
        <v>2019</v>
      </c>
      <c r="C69" s="122">
        <v>4.78</v>
      </c>
      <c r="D69" s="122">
        <v>0.83</v>
      </c>
      <c r="E69" s="122">
        <v>1.37</v>
      </c>
      <c r="F69" s="124">
        <f t="shared" si="0"/>
        <v>6.98</v>
      </c>
      <c r="G69" s="122">
        <v>5.15</v>
      </c>
      <c r="H69" s="122">
        <v>0.83</v>
      </c>
      <c r="I69" s="122">
        <v>1.37</v>
      </c>
      <c r="J69" s="124">
        <f t="shared" si="1"/>
        <v>7.3500000000000005</v>
      </c>
      <c r="K69" s="122">
        <v>3.32</v>
      </c>
      <c r="L69" s="122">
        <v>0.83</v>
      </c>
      <c r="M69" s="122">
        <v>1.37</v>
      </c>
      <c r="N69" s="124">
        <f t="shared" si="2"/>
        <v>5.52</v>
      </c>
      <c r="O69" s="127">
        <f t="shared" si="3"/>
        <v>2019</v>
      </c>
    </row>
    <row r="70" spans="1:15">
      <c r="A70" s="121">
        <v>43617</v>
      </c>
      <c r="B70" s="127">
        <f t="shared" ref="B70:B133" si="5">YEAR(A70)</f>
        <v>2019</v>
      </c>
      <c r="C70" s="122">
        <v>4.84</v>
      </c>
      <c r="D70" s="122">
        <v>0.83</v>
      </c>
      <c r="E70" s="122">
        <v>1.37</v>
      </c>
      <c r="F70" s="124">
        <f t="shared" ref="F70:F133" si="6">+C70+D70+E70</f>
        <v>7.04</v>
      </c>
      <c r="G70" s="122">
        <v>5.23</v>
      </c>
      <c r="H70" s="122">
        <v>0.83</v>
      </c>
      <c r="I70" s="122">
        <v>1.37</v>
      </c>
      <c r="J70" s="124">
        <f t="shared" ref="J70:J133" si="7">+G70+H70+I70</f>
        <v>7.4300000000000006</v>
      </c>
      <c r="K70" s="122">
        <v>3.43</v>
      </c>
      <c r="L70" s="122">
        <v>0.83</v>
      </c>
      <c r="M70" s="122">
        <v>1.37</v>
      </c>
      <c r="N70" s="124">
        <f t="shared" ref="N70:N133" si="8">+K70+L70+M70</f>
        <v>5.63</v>
      </c>
      <c r="O70" s="127">
        <f t="shared" si="3"/>
        <v>2019</v>
      </c>
    </row>
    <row r="71" spans="1:15">
      <c r="A71" s="121">
        <v>43647</v>
      </c>
      <c r="B71" s="127">
        <f t="shared" si="5"/>
        <v>2019</v>
      </c>
      <c r="C71" s="122">
        <v>4.82</v>
      </c>
      <c r="D71" s="122">
        <v>0.83</v>
      </c>
      <c r="E71" s="122">
        <v>1.37</v>
      </c>
      <c r="F71" s="124">
        <f t="shared" si="6"/>
        <v>7.0200000000000005</v>
      </c>
      <c r="G71" s="122">
        <v>5.2</v>
      </c>
      <c r="H71" s="122">
        <v>0.83</v>
      </c>
      <c r="I71" s="122">
        <v>1.37</v>
      </c>
      <c r="J71" s="124">
        <f t="shared" si="7"/>
        <v>7.4</v>
      </c>
      <c r="K71" s="122">
        <v>3.41</v>
      </c>
      <c r="L71" s="122">
        <v>0.83</v>
      </c>
      <c r="M71" s="122">
        <v>1.37</v>
      </c>
      <c r="N71" s="124">
        <f t="shared" si="8"/>
        <v>5.61</v>
      </c>
      <c r="O71" s="127">
        <f t="shared" si="3"/>
        <v>2019</v>
      </c>
    </row>
    <row r="72" spans="1:15">
      <c r="A72" s="121">
        <v>43678</v>
      </c>
      <c r="B72" s="127">
        <f t="shared" si="5"/>
        <v>2019</v>
      </c>
      <c r="C72" s="122">
        <v>5</v>
      </c>
      <c r="D72" s="122">
        <v>0.83</v>
      </c>
      <c r="E72" s="122">
        <v>1.37</v>
      </c>
      <c r="F72" s="124">
        <f t="shared" si="6"/>
        <v>7.2</v>
      </c>
      <c r="G72" s="122">
        <v>5.43</v>
      </c>
      <c r="H72" s="122">
        <v>0.83</v>
      </c>
      <c r="I72" s="122">
        <v>1.37</v>
      </c>
      <c r="J72" s="124">
        <f t="shared" si="7"/>
        <v>7.63</v>
      </c>
      <c r="K72" s="122">
        <v>3.7</v>
      </c>
      <c r="L72" s="122">
        <v>0.83</v>
      </c>
      <c r="M72" s="122">
        <v>1.37</v>
      </c>
      <c r="N72" s="124">
        <f t="shared" si="8"/>
        <v>5.9</v>
      </c>
      <c r="O72" s="127">
        <f t="shared" si="3"/>
        <v>2019</v>
      </c>
    </row>
    <row r="73" spans="1:15">
      <c r="A73" s="121">
        <v>43709</v>
      </c>
      <c r="B73" s="127">
        <f t="shared" si="5"/>
        <v>2019</v>
      </c>
      <c r="C73" s="122">
        <v>5.17</v>
      </c>
      <c r="D73" s="122">
        <v>0.83</v>
      </c>
      <c r="E73" s="122">
        <v>1.37</v>
      </c>
      <c r="F73" s="124">
        <f t="shared" si="6"/>
        <v>7.37</v>
      </c>
      <c r="G73" s="122">
        <v>5.65</v>
      </c>
      <c r="H73" s="122">
        <v>0.83</v>
      </c>
      <c r="I73" s="122">
        <v>1.37</v>
      </c>
      <c r="J73" s="124">
        <f t="shared" si="7"/>
        <v>7.8500000000000005</v>
      </c>
      <c r="K73" s="122">
        <v>3.96</v>
      </c>
      <c r="L73" s="122">
        <v>0.83</v>
      </c>
      <c r="M73" s="122">
        <v>1.37</v>
      </c>
      <c r="N73" s="124">
        <f t="shared" si="8"/>
        <v>6.16</v>
      </c>
      <c r="O73" s="127">
        <f t="shared" si="3"/>
        <v>2019</v>
      </c>
    </row>
    <row r="74" spans="1:15">
      <c r="A74" s="121">
        <v>43739</v>
      </c>
      <c r="B74" s="127">
        <f t="shared" si="5"/>
        <v>2019</v>
      </c>
      <c r="C74" s="122">
        <v>5</v>
      </c>
      <c r="D74" s="122">
        <v>0.83</v>
      </c>
      <c r="E74" s="122">
        <v>1.37</v>
      </c>
      <c r="F74" s="124">
        <f t="shared" si="6"/>
        <v>7.2</v>
      </c>
      <c r="G74" s="122">
        <v>5.45</v>
      </c>
      <c r="H74" s="122">
        <v>0.83</v>
      </c>
      <c r="I74" s="122">
        <v>1.37</v>
      </c>
      <c r="J74" s="124">
        <f t="shared" si="7"/>
        <v>7.65</v>
      </c>
      <c r="K74" s="122">
        <v>3.74</v>
      </c>
      <c r="L74" s="122">
        <v>0.83</v>
      </c>
      <c r="M74" s="122">
        <v>1.37</v>
      </c>
      <c r="N74" s="124">
        <f t="shared" si="8"/>
        <v>5.94</v>
      </c>
      <c r="O74" s="127">
        <f t="shared" si="3"/>
        <v>2019</v>
      </c>
    </row>
    <row r="75" spans="1:15">
      <c r="A75" s="121">
        <v>43770</v>
      </c>
      <c r="B75" s="127">
        <f t="shared" si="5"/>
        <v>2019</v>
      </c>
      <c r="C75" s="122">
        <v>4.82</v>
      </c>
      <c r="D75" s="122">
        <v>0.83</v>
      </c>
      <c r="E75" s="122">
        <v>1.37</v>
      </c>
      <c r="F75" s="124">
        <f t="shared" si="6"/>
        <v>7.0200000000000005</v>
      </c>
      <c r="G75" s="122">
        <v>5.23</v>
      </c>
      <c r="H75" s="122">
        <v>0.83</v>
      </c>
      <c r="I75" s="122">
        <v>1.37</v>
      </c>
      <c r="J75" s="124">
        <f t="shared" si="7"/>
        <v>7.4300000000000006</v>
      </c>
      <c r="K75" s="122">
        <v>3.49</v>
      </c>
      <c r="L75" s="122">
        <v>0.83</v>
      </c>
      <c r="M75" s="122">
        <v>1.37</v>
      </c>
      <c r="N75" s="124">
        <f t="shared" si="8"/>
        <v>5.69</v>
      </c>
      <c r="O75" s="127">
        <f t="shared" si="3"/>
        <v>2019</v>
      </c>
    </row>
    <row r="76" spans="1:15">
      <c r="A76" s="121">
        <v>43800</v>
      </c>
      <c r="B76" s="127">
        <f t="shared" si="5"/>
        <v>2019</v>
      </c>
      <c r="C76" s="122">
        <v>4.9400000000000004</v>
      </c>
      <c r="D76" s="122">
        <v>0.83</v>
      </c>
      <c r="E76" s="122">
        <v>1.37</v>
      </c>
      <c r="F76" s="124">
        <f t="shared" si="6"/>
        <v>7.1400000000000006</v>
      </c>
      <c r="G76" s="122">
        <v>5.39</v>
      </c>
      <c r="H76" s="122">
        <v>0.83</v>
      </c>
      <c r="I76" s="122">
        <v>1.37</v>
      </c>
      <c r="J76" s="124">
        <f t="shared" si="7"/>
        <v>7.59</v>
      </c>
      <c r="K76" s="122">
        <v>3.68</v>
      </c>
      <c r="L76" s="122">
        <v>0.83</v>
      </c>
      <c r="M76" s="122">
        <v>1.37</v>
      </c>
      <c r="N76" s="124">
        <f t="shared" si="8"/>
        <v>5.88</v>
      </c>
      <c r="O76" s="127">
        <f t="shared" ref="O76:O136" si="9">YEAR(A76)</f>
        <v>2019</v>
      </c>
    </row>
    <row r="77" spans="1:15">
      <c r="A77" s="121">
        <v>43831</v>
      </c>
      <c r="B77" s="127">
        <f t="shared" si="5"/>
        <v>2020</v>
      </c>
      <c r="C77" s="122">
        <v>4.07</v>
      </c>
      <c r="D77" s="122">
        <v>0.83</v>
      </c>
      <c r="E77" s="122">
        <v>1.37</v>
      </c>
      <c r="F77" s="124">
        <f t="shared" si="6"/>
        <v>6.2700000000000005</v>
      </c>
      <c r="G77" s="122">
        <v>4.3499999999999996</v>
      </c>
      <c r="H77" s="122">
        <v>0.83</v>
      </c>
      <c r="I77" s="122">
        <v>1.37</v>
      </c>
      <c r="J77" s="124">
        <f t="shared" si="7"/>
        <v>6.55</v>
      </c>
      <c r="K77" s="122">
        <v>2.41</v>
      </c>
      <c r="L77" s="122">
        <v>0.83</v>
      </c>
      <c r="M77" s="122">
        <v>1.37</v>
      </c>
      <c r="N77" s="124">
        <f t="shared" si="8"/>
        <v>4.6100000000000003</v>
      </c>
      <c r="O77" s="127">
        <f t="shared" si="9"/>
        <v>2020</v>
      </c>
    </row>
    <row r="78" spans="1:15">
      <c r="A78" s="121">
        <v>43862</v>
      </c>
      <c r="B78" s="127">
        <f t="shared" si="5"/>
        <v>2020</v>
      </c>
      <c r="C78" s="122">
        <v>4.3</v>
      </c>
      <c r="D78" s="122">
        <v>0.83</v>
      </c>
      <c r="E78" s="122">
        <v>1.37</v>
      </c>
      <c r="F78" s="124">
        <f t="shared" si="6"/>
        <v>6.5</v>
      </c>
      <c r="G78" s="122">
        <v>4.62</v>
      </c>
      <c r="H78" s="122">
        <v>0.83</v>
      </c>
      <c r="I78" s="122">
        <v>1.37</v>
      </c>
      <c r="J78" s="124">
        <f t="shared" si="7"/>
        <v>6.82</v>
      </c>
      <c r="K78" s="122">
        <v>2.75</v>
      </c>
      <c r="L78" s="122">
        <v>0.83</v>
      </c>
      <c r="M78" s="122">
        <v>1.37</v>
      </c>
      <c r="N78" s="124">
        <f t="shared" si="8"/>
        <v>4.95</v>
      </c>
      <c r="O78" s="127">
        <f t="shared" si="9"/>
        <v>2020</v>
      </c>
    </row>
    <row r="79" spans="1:15">
      <c r="A79" s="121">
        <v>43891</v>
      </c>
      <c r="B79" s="127">
        <f t="shared" si="5"/>
        <v>2020</v>
      </c>
      <c r="C79" s="122">
        <v>4.2699999999999996</v>
      </c>
      <c r="D79" s="122">
        <v>0.83</v>
      </c>
      <c r="E79" s="122">
        <v>1.37</v>
      </c>
      <c r="F79" s="124">
        <f t="shared" si="6"/>
        <v>6.47</v>
      </c>
      <c r="G79" s="122">
        <v>4.59</v>
      </c>
      <c r="H79" s="122">
        <v>0.83</v>
      </c>
      <c r="I79" s="122">
        <v>1.37</v>
      </c>
      <c r="J79" s="124">
        <f t="shared" si="7"/>
        <v>6.79</v>
      </c>
      <c r="K79" s="122">
        <v>2.73</v>
      </c>
      <c r="L79" s="122">
        <v>0.83</v>
      </c>
      <c r="M79" s="122">
        <v>1.37</v>
      </c>
      <c r="N79" s="124">
        <f t="shared" si="8"/>
        <v>4.93</v>
      </c>
      <c r="O79" s="127">
        <f t="shared" si="9"/>
        <v>2020</v>
      </c>
    </row>
    <row r="80" spans="1:15">
      <c r="A80" s="121">
        <v>43922</v>
      </c>
      <c r="B80" s="127">
        <f t="shared" si="5"/>
        <v>2020</v>
      </c>
      <c r="C80" s="122">
        <v>4.3499999999999996</v>
      </c>
      <c r="D80" s="122">
        <v>0.83</v>
      </c>
      <c r="E80" s="122">
        <v>1.37</v>
      </c>
      <c r="F80" s="124">
        <f t="shared" si="6"/>
        <v>6.55</v>
      </c>
      <c r="G80" s="122">
        <v>4.68</v>
      </c>
      <c r="H80" s="122">
        <v>0.83</v>
      </c>
      <c r="I80" s="122">
        <v>1.37</v>
      </c>
      <c r="J80" s="124">
        <f t="shared" si="7"/>
        <v>6.88</v>
      </c>
      <c r="K80" s="122">
        <v>2.85</v>
      </c>
      <c r="L80" s="122">
        <v>0.83</v>
      </c>
      <c r="M80" s="122">
        <v>1.37</v>
      </c>
      <c r="N80" s="124">
        <f t="shared" si="8"/>
        <v>5.0500000000000007</v>
      </c>
      <c r="O80" s="127">
        <f t="shared" si="9"/>
        <v>2020</v>
      </c>
    </row>
    <row r="81" spans="1:15">
      <c r="A81" s="121">
        <v>43952</v>
      </c>
      <c r="B81" s="127">
        <f t="shared" si="5"/>
        <v>2020</v>
      </c>
      <c r="C81" s="122">
        <v>4.24</v>
      </c>
      <c r="D81" s="122">
        <v>0.83</v>
      </c>
      <c r="E81" s="122">
        <v>1.37</v>
      </c>
      <c r="F81" s="124">
        <f t="shared" si="6"/>
        <v>6.44</v>
      </c>
      <c r="G81" s="122">
        <v>4.55</v>
      </c>
      <c r="H81" s="122">
        <v>0.83</v>
      </c>
      <c r="I81" s="122">
        <v>1.37</v>
      </c>
      <c r="J81" s="124">
        <f t="shared" si="7"/>
        <v>6.75</v>
      </c>
      <c r="K81" s="122">
        <v>2.73</v>
      </c>
      <c r="L81" s="122">
        <v>0.83</v>
      </c>
      <c r="M81" s="122">
        <v>1.37</v>
      </c>
      <c r="N81" s="124">
        <f t="shared" si="8"/>
        <v>4.93</v>
      </c>
      <c r="O81" s="127">
        <f t="shared" si="9"/>
        <v>2020</v>
      </c>
    </row>
    <row r="82" spans="1:15">
      <c r="A82" s="121">
        <v>43983</v>
      </c>
      <c r="B82" s="127">
        <f t="shared" si="5"/>
        <v>2020</v>
      </c>
      <c r="C82" s="122">
        <v>4.37</v>
      </c>
      <c r="D82" s="122">
        <v>0.83</v>
      </c>
      <c r="E82" s="122">
        <v>1.37</v>
      </c>
      <c r="F82" s="124">
        <f t="shared" si="6"/>
        <v>6.57</v>
      </c>
      <c r="G82" s="122">
        <v>4.7</v>
      </c>
      <c r="H82" s="122">
        <v>0.83</v>
      </c>
      <c r="I82" s="122">
        <v>1.37</v>
      </c>
      <c r="J82" s="124">
        <f t="shared" si="7"/>
        <v>6.9</v>
      </c>
      <c r="K82" s="122">
        <v>2.91</v>
      </c>
      <c r="L82" s="122">
        <v>0.83</v>
      </c>
      <c r="M82" s="122">
        <v>1.37</v>
      </c>
      <c r="N82" s="124">
        <f t="shared" si="8"/>
        <v>5.1100000000000003</v>
      </c>
      <c r="O82" s="127">
        <f t="shared" si="9"/>
        <v>2020</v>
      </c>
    </row>
    <row r="83" spans="1:15">
      <c r="A83" s="121">
        <v>44013</v>
      </c>
      <c r="B83" s="127">
        <f t="shared" si="5"/>
        <v>2020</v>
      </c>
      <c r="C83" s="122">
        <v>4.3899999999999997</v>
      </c>
      <c r="D83" s="122">
        <v>0.83</v>
      </c>
      <c r="E83" s="122">
        <v>1.37</v>
      </c>
      <c r="F83" s="124">
        <f t="shared" si="6"/>
        <v>6.59</v>
      </c>
      <c r="G83" s="122">
        <v>4.7300000000000004</v>
      </c>
      <c r="H83" s="122">
        <v>0.83</v>
      </c>
      <c r="I83" s="122">
        <v>1.37</v>
      </c>
      <c r="J83" s="124">
        <f t="shared" si="7"/>
        <v>6.9300000000000006</v>
      </c>
      <c r="K83" s="122">
        <v>2.96</v>
      </c>
      <c r="L83" s="122">
        <v>0.83</v>
      </c>
      <c r="M83" s="122">
        <v>1.37</v>
      </c>
      <c r="N83" s="124">
        <f t="shared" si="8"/>
        <v>5.16</v>
      </c>
      <c r="O83" s="127">
        <f t="shared" si="9"/>
        <v>2020</v>
      </c>
    </row>
    <row r="84" spans="1:15">
      <c r="A84" s="121">
        <v>44044</v>
      </c>
      <c r="B84" s="127">
        <f t="shared" si="5"/>
        <v>2020</v>
      </c>
      <c r="C84" s="122">
        <v>4.49</v>
      </c>
      <c r="D84" s="122">
        <v>0.83</v>
      </c>
      <c r="E84" s="122">
        <v>1.37</v>
      </c>
      <c r="F84" s="124">
        <f t="shared" si="6"/>
        <v>6.69</v>
      </c>
      <c r="G84" s="122">
        <v>4.8499999999999996</v>
      </c>
      <c r="H84" s="122">
        <v>0.83</v>
      </c>
      <c r="I84" s="122">
        <v>1.37</v>
      </c>
      <c r="J84" s="124">
        <f t="shared" si="7"/>
        <v>7.05</v>
      </c>
      <c r="K84" s="122">
        <v>3.11</v>
      </c>
      <c r="L84" s="122">
        <v>0.83</v>
      </c>
      <c r="M84" s="122">
        <v>1.37</v>
      </c>
      <c r="N84" s="124">
        <f t="shared" si="8"/>
        <v>5.3100000000000005</v>
      </c>
      <c r="O84" s="127">
        <f t="shared" si="9"/>
        <v>2020</v>
      </c>
    </row>
    <row r="85" spans="1:15">
      <c r="A85" s="121">
        <v>44075</v>
      </c>
      <c r="B85" s="127">
        <f t="shared" si="5"/>
        <v>2020</v>
      </c>
      <c r="C85" s="122">
        <v>4.5999999999999996</v>
      </c>
      <c r="D85" s="122">
        <v>0.83</v>
      </c>
      <c r="E85" s="122">
        <v>1.37</v>
      </c>
      <c r="F85" s="124">
        <f t="shared" si="6"/>
        <v>6.8</v>
      </c>
      <c r="G85" s="122">
        <v>4.9800000000000004</v>
      </c>
      <c r="H85" s="122">
        <v>0.83</v>
      </c>
      <c r="I85" s="122">
        <v>1.37</v>
      </c>
      <c r="J85" s="124">
        <f t="shared" si="7"/>
        <v>7.1800000000000006</v>
      </c>
      <c r="K85" s="122">
        <v>3.27</v>
      </c>
      <c r="L85" s="122">
        <v>0.83</v>
      </c>
      <c r="M85" s="122">
        <v>1.37</v>
      </c>
      <c r="N85" s="124">
        <f t="shared" si="8"/>
        <v>5.47</v>
      </c>
      <c r="O85" s="127">
        <f t="shared" si="9"/>
        <v>2020</v>
      </c>
    </row>
    <row r="86" spans="1:15">
      <c r="A86" s="121">
        <v>44105</v>
      </c>
      <c r="B86" s="127">
        <f t="shared" si="5"/>
        <v>2020</v>
      </c>
      <c r="C86" s="122">
        <v>4.43</v>
      </c>
      <c r="D86" s="122">
        <v>0.83</v>
      </c>
      <c r="E86" s="122">
        <v>1.37</v>
      </c>
      <c r="F86" s="124">
        <f t="shared" si="6"/>
        <v>6.63</v>
      </c>
      <c r="G86" s="122">
        <v>4.78</v>
      </c>
      <c r="H86" s="122">
        <v>0.83</v>
      </c>
      <c r="I86" s="122">
        <v>1.37</v>
      </c>
      <c r="J86" s="124">
        <f t="shared" si="7"/>
        <v>6.98</v>
      </c>
      <c r="K86" s="122">
        <v>3.06</v>
      </c>
      <c r="L86" s="122">
        <v>0.83</v>
      </c>
      <c r="M86" s="122">
        <v>1.37</v>
      </c>
      <c r="N86" s="124">
        <f t="shared" si="8"/>
        <v>5.26</v>
      </c>
      <c r="O86" s="127">
        <f t="shared" si="9"/>
        <v>2020</v>
      </c>
    </row>
    <row r="87" spans="1:15">
      <c r="A87" s="121">
        <v>44136</v>
      </c>
      <c r="B87" s="127">
        <f t="shared" si="5"/>
        <v>2020</v>
      </c>
      <c r="C87" s="122">
        <v>4.34</v>
      </c>
      <c r="D87" s="122">
        <v>0.83</v>
      </c>
      <c r="E87" s="122">
        <v>1.37</v>
      </c>
      <c r="F87" s="124">
        <f t="shared" si="6"/>
        <v>6.54</v>
      </c>
      <c r="G87" s="122">
        <v>4.66</v>
      </c>
      <c r="H87" s="122">
        <v>0.83</v>
      </c>
      <c r="I87" s="122">
        <v>1.37</v>
      </c>
      <c r="J87" s="124">
        <f t="shared" si="7"/>
        <v>6.86</v>
      </c>
      <c r="K87" s="122">
        <v>2.96</v>
      </c>
      <c r="L87" s="122">
        <v>0.83</v>
      </c>
      <c r="M87" s="122">
        <v>1.37</v>
      </c>
      <c r="N87" s="124">
        <f t="shared" si="8"/>
        <v>5.16</v>
      </c>
      <c r="O87" s="127">
        <f t="shared" si="9"/>
        <v>2020</v>
      </c>
    </row>
    <row r="88" spans="1:15">
      <c r="A88" s="121">
        <v>44166</v>
      </c>
      <c r="B88" s="127">
        <f t="shared" si="5"/>
        <v>2020</v>
      </c>
      <c r="C88" s="122">
        <v>4.47</v>
      </c>
      <c r="D88" s="122">
        <v>0.83</v>
      </c>
      <c r="E88" s="122">
        <v>1.37</v>
      </c>
      <c r="F88" s="124">
        <f t="shared" si="6"/>
        <v>6.67</v>
      </c>
      <c r="G88" s="122">
        <v>4.82</v>
      </c>
      <c r="H88" s="122">
        <v>0.83</v>
      </c>
      <c r="I88" s="122">
        <v>1.37</v>
      </c>
      <c r="J88" s="124">
        <f t="shared" si="7"/>
        <v>7.0200000000000005</v>
      </c>
      <c r="K88" s="122">
        <v>3.15</v>
      </c>
      <c r="L88" s="122">
        <v>0.83</v>
      </c>
      <c r="M88" s="122">
        <v>1.37</v>
      </c>
      <c r="N88" s="124">
        <f t="shared" si="8"/>
        <v>5.35</v>
      </c>
      <c r="O88" s="127">
        <f t="shared" si="9"/>
        <v>2020</v>
      </c>
    </row>
    <row r="89" spans="1:15">
      <c r="A89" s="121">
        <v>44197</v>
      </c>
      <c r="B89" s="127">
        <f t="shared" si="5"/>
        <v>2021</v>
      </c>
      <c r="C89" s="122">
        <v>4.47</v>
      </c>
      <c r="D89" s="122">
        <v>0.83</v>
      </c>
      <c r="E89" s="122">
        <v>1.37</v>
      </c>
      <c r="F89" s="124">
        <f t="shared" si="6"/>
        <v>6.67</v>
      </c>
      <c r="G89" s="122">
        <v>4.82</v>
      </c>
      <c r="H89" s="122">
        <v>0.83</v>
      </c>
      <c r="I89" s="122">
        <v>1.37</v>
      </c>
      <c r="J89" s="124">
        <f t="shared" si="7"/>
        <v>7.0200000000000005</v>
      </c>
      <c r="K89" s="122">
        <v>3.1</v>
      </c>
      <c r="L89" s="122">
        <v>0.83</v>
      </c>
      <c r="M89" s="122">
        <v>1.37</v>
      </c>
      <c r="N89" s="124">
        <f t="shared" si="8"/>
        <v>5.3000000000000007</v>
      </c>
      <c r="O89" s="127">
        <f t="shared" si="9"/>
        <v>2021</v>
      </c>
    </row>
    <row r="90" spans="1:15">
      <c r="A90" s="121">
        <v>44228</v>
      </c>
      <c r="B90" s="127">
        <f t="shared" si="5"/>
        <v>2021</v>
      </c>
      <c r="C90" s="122">
        <v>4.8</v>
      </c>
      <c r="D90" s="122">
        <v>0.83</v>
      </c>
      <c r="E90" s="122">
        <v>1.37</v>
      </c>
      <c r="F90" s="124">
        <f t="shared" si="6"/>
        <v>7</v>
      </c>
      <c r="G90" s="122">
        <v>5.2</v>
      </c>
      <c r="H90" s="122">
        <v>0.83</v>
      </c>
      <c r="I90" s="122">
        <v>1.37</v>
      </c>
      <c r="J90" s="124">
        <f t="shared" si="7"/>
        <v>7.4</v>
      </c>
      <c r="K90" s="122">
        <v>3.51</v>
      </c>
      <c r="L90" s="122">
        <v>0.83</v>
      </c>
      <c r="M90" s="122">
        <v>1.37</v>
      </c>
      <c r="N90" s="124">
        <f t="shared" si="8"/>
        <v>5.71</v>
      </c>
      <c r="O90" s="127">
        <f t="shared" si="9"/>
        <v>2021</v>
      </c>
    </row>
    <row r="91" spans="1:15">
      <c r="A91" s="121">
        <v>44256</v>
      </c>
      <c r="B91" s="127">
        <f t="shared" si="5"/>
        <v>2021</v>
      </c>
      <c r="C91" s="122">
        <v>4.76</v>
      </c>
      <c r="D91" s="122">
        <v>0.83</v>
      </c>
      <c r="E91" s="122">
        <v>1.37</v>
      </c>
      <c r="F91" s="124">
        <f t="shared" si="6"/>
        <v>6.96</v>
      </c>
      <c r="G91" s="122">
        <v>5.16</v>
      </c>
      <c r="H91" s="122">
        <v>0.83</v>
      </c>
      <c r="I91" s="122">
        <v>1.37</v>
      </c>
      <c r="J91" s="124">
        <f t="shared" si="7"/>
        <v>7.36</v>
      </c>
      <c r="K91" s="122">
        <v>3.45</v>
      </c>
      <c r="L91" s="122">
        <v>0.83</v>
      </c>
      <c r="M91" s="122">
        <v>1.37</v>
      </c>
      <c r="N91" s="124">
        <f t="shared" si="8"/>
        <v>5.65</v>
      </c>
      <c r="O91" s="127">
        <f t="shared" si="9"/>
        <v>2021</v>
      </c>
    </row>
    <row r="92" spans="1:15">
      <c r="A92" s="121">
        <v>44287</v>
      </c>
      <c r="B92" s="127">
        <f t="shared" si="5"/>
        <v>2021</v>
      </c>
      <c r="C92" s="122">
        <v>4.8600000000000003</v>
      </c>
      <c r="D92" s="122">
        <v>0.83</v>
      </c>
      <c r="E92" s="122">
        <v>1.37</v>
      </c>
      <c r="F92" s="124">
        <f t="shared" si="6"/>
        <v>7.0600000000000005</v>
      </c>
      <c r="G92" s="122">
        <v>5.26</v>
      </c>
      <c r="H92" s="122">
        <v>0.83</v>
      </c>
      <c r="I92" s="122">
        <v>1.37</v>
      </c>
      <c r="J92" s="124">
        <f t="shared" si="7"/>
        <v>7.46</v>
      </c>
      <c r="K92" s="122">
        <v>3.55</v>
      </c>
      <c r="L92" s="122">
        <v>0.83</v>
      </c>
      <c r="M92" s="122">
        <v>1.37</v>
      </c>
      <c r="N92" s="124">
        <f t="shared" si="8"/>
        <v>5.75</v>
      </c>
      <c r="O92" s="127">
        <f t="shared" si="9"/>
        <v>2021</v>
      </c>
    </row>
    <row r="93" spans="1:15">
      <c r="A93" s="121">
        <v>44317</v>
      </c>
      <c r="B93" s="127">
        <f t="shared" si="5"/>
        <v>2021</v>
      </c>
      <c r="C93" s="122">
        <v>4.71</v>
      </c>
      <c r="D93" s="122">
        <v>0.83</v>
      </c>
      <c r="E93" s="122">
        <v>1.37</v>
      </c>
      <c r="F93" s="124">
        <f t="shared" si="6"/>
        <v>6.91</v>
      </c>
      <c r="G93" s="122">
        <v>5.09</v>
      </c>
      <c r="H93" s="122">
        <v>0.83</v>
      </c>
      <c r="I93" s="122">
        <v>1.37</v>
      </c>
      <c r="J93" s="124">
        <f t="shared" si="7"/>
        <v>7.29</v>
      </c>
      <c r="K93" s="122">
        <v>3.35</v>
      </c>
      <c r="L93" s="122">
        <v>0.83</v>
      </c>
      <c r="M93" s="122">
        <v>1.37</v>
      </c>
      <c r="N93" s="124">
        <f t="shared" si="8"/>
        <v>5.55</v>
      </c>
      <c r="O93" s="127">
        <f t="shared" si="9"/>
        <v>2021</v>
      </c>
    </row>
    <row r="94" spans="1:15">
      <c r="A94" s="121">
        <v>44348</v>
      </c>
      <c r="B94" s="127">
        <f t="shared" si="5"/>
        <v>2021</v>
      </c>
      <c r="C94" s="122">
        <v>4.87</v>
      </c>
      <c r="D94" s="122">
        <v>0.83</v>
      </c>
      <c r="E94" s="122">
        <v>1.37</v>
      </c>
      <c r="F94" s="124">
        <f t="shared" si="6"/>
        <v>7.07</v>
      </c>
      <c r="G94" s="122">
        <v>5.27</v>
      </c>
      <c r="H94" s="122">
        <v>0.83</v>
      </c>
      <c r="I94" s="122">
        <v>1.37</v>
      </c>
      <c r="J94" s="124">
        <f t="shared" si="7"/>
        <v>7.47</v>
      </c>
      <c r="K94" s="122">
        <v>3.53</v>
      </c>
      <c r="L94" s="122">
        <v>0.83</v>
      </c>
      <c r="M94" s="122">
        <v>1.37</v>
      </c>
      <c r="N94" s="124">
        <f t="shared" si="8"/>
        <v>5.7299999999999995</v>
      </c>
      <c r="O94" s="127">
        <f t="shared" si="9"/>
        <v>2021</v>
      </c>
    </row>
    <row r="95" spans="1:15">
      <c r="A95" s="121">
        <v>44378</v>
      </c>
      <c r="B95" s="127">
        <f t="shared" si="5"/>
        <v>2021</v>
      </c>
      <c r="C95" s="122">
        <v>4.8899999999999997</v>
      </c>
      <c r="D95" s="122">
        <v>0.83</v>
      </c>
      <c r="E95" s="122">
        <v>1.37</v>
      </c>
      <c r="F95" s="124">
        <f t="shared" si="6"/>
        <v>7.09</v>
      </c>
      <c r="G95" s="122">
        <v>5.29</v>
      </c>
      <c r="H95" s="122">
        <v>0.83</v>
      </c>
      <c r="I95" s="122">
        <v>1.37</v>
      </c>
      <c r="J95" s="124">
        <f t="shared" si="7"/>
        <v>7.49</v>
      </c>
      <c r="K95" s="122">
        <v>3.54</v>
      </c>
      <c r="L95" s="122">
        <v>0.83</v>
      </c>
      <c r="M95" s="122">
        <v>1.37</v>
      </c>
      <c r="N95" s="124">
        <f t="shared" si="8"/>
        <v>5.74</v>
      </c>
      <c r="O95" s="127">
        <f t="shared" si="9"/>
        <v>2021</v>
      </c>
    </row>
    <row r="96" spans="1:15">
      <c r="A96" s="121">
        <v>44409</v>
      </c>
      <c r="B96" s="127">
        <f t="shared" si="5"/>
        <v>2021</v>
      </c>
      <c r="C96" s="122">
        <v>5.0199999999999996</v>
      </c>
      <c r="D96" s="122">
        <v>0.83</v>
      </c>
      <c r="E96" s="122">
        <v>1.37</v>
      </c>
      <c r="F96" s="124">
        <f t="shared" si="6"/>
        <v>7.22</v>
      </c>
      <c r="G96" s="122">
        <v>5.44</v>
      </c>
      <c r="H96" s="122">
        <v>0.83</v>
      </c>
      <c r="I96" s="122">
        <v>1.37</v>
      </c>
      <c r="J96" s="124">
        <f t="shared" si="7"/>
        <v>7.6400000000000006</v>
      </c>
      <c r="K96" s="122">
        <v>3.7</v>
      </c>
      <c r="L96" s="122">
        <v>0.83</v>
      </c>
      <c r="M96" s="122">
        <v>1.37</v>
      </c>
      <c r="N96" s="124">
        <f t="shared" si="8"/>
        <v>5.9</v>
      </c>
      <c r="O96" s="127">
        <f t="shared" si="9"/>
        <v>2021</v>
      </c>
    </row>
    <row r="97" spans="1:15">
      <c r="A97" s="121">
        <v>44440</v>
      </c>
      <c r="B97" s="127">
        <f t="shared" si="5"/>
        <v>2021</v>
      </c>
      <c r="C97" s="122">
        <v>5.15</v>
      </c>
      <c r="D97" s="122">
        <v>0.83</v>
      </c>
      <c r="E97" s="122">
        <v>1.37</v>
      </c>
      <c r="F97" s="124">
        <f t="shared" si="6"/>
        <v>7.3500000000000005</v>
      </c>
      <c r="G97" s="122">
        <v>5.6</v>
      </c>
      <c r="H97" s="122">
        <v>0.83</v>
      </c>
      <c r="I97" s="122">
        <v>1.37</v>
      </c>
      <c r="J97" s="124">
        <f t="shared" si="7"/>
        <v>7.8</v>
      </c>
      <c r="K97" s="122">
        <v>3.85</v>
      </c>
      <c r="L97" s="122">
        <v>0.83</v>
      </c>
      <c r="M97" s="122">
        <v>1.37</v>
      </c>
      <c r="N97" s="124">
        <f t="shared" si="8"/>
        <v>6.05</v>
      </c>
      <c r="O97" s="127">
        <f t="shared" si="9"/>
        <v>2021</v>
      </c>
    </row>
    <row r="98" spans="1:15">
      <c r="A98" s="121">
        <v>44470</v>
      </c>
      <c r="B98" s="127">
        <f t="shared" si="5"/>
        <v>2021</v>
      </c>
      <c r="C98" s="122">
        <v>4.96</v>
      </c>
      <c r="D98" s="122">
        <v>0.83</v>
      </c>
      <c r="E98" s="122">
        <v>1.37</v>
      </c>
      <c r="F98" s="124">
        <f t="shared" si="6"/>
        <v>7.16</v>
      </c>
      <c r="G98" s="122">
        <v>5.37</v>
      </c>
      <c r="H98" s="122">
        <v>0.83</v>
      </c>
      <c r="I98" s="122">
        <v>1.37</v>
      </c>
      <c r="J98" s="124">
        <f t="shared" si="7"/>
        <v>7.57</v>
      </c>
      <c r="K98" s="122">
        <v>3.58</v>
      </c>
      <c r="L98" s="122">
        <v>0.83</v>
      </c>
      <c r="M98" s="122">
        <v>1.37</v>
      </c>
      <c r="N98" s="124">
        <f t="shared" si="8"/>
        <v>5.78</v>
      </c>
      <c r="O98" s="127">
        <f t="shared" si="9"/>
        <v>2021</v>
      </c>
    </row>
    <row r="99" spans="1:15">
      <c r="A99" s="121">
        <v>44501</v>
      </c>
      <c r="B99" s="127">
        <f t="shared" si="5"/>
        <v>2021</v>
      </c>
      <c r="C99" s="122">
        <v>4.8499999999999996</v>
      </c>
      <c r="D99" s="122">
        <v>0.83</v>
      </c>
      <c r="E99" s="122">
        <v>1.37</v>
      </c>
      <c r="F99" s="124">
        <f t="shared" si="6"/>
        <v>7.05</v>
      </c>
      <c r="G99" s="122">
        <v>5.24</v>
      </c>
      <c r="H99" s="122">
        <v>0.83</v>
      </c>
      <c r="I99" s="122">
        <v>1.37</v>
      </c>
      <c r="J99" s="124">
        <f t="shared" si="7"/>
        <v>7.44</v>
      </c>
      <c r="K99" s="122">
        <v>3.42</v>
      </c>
      <c r="L99" s="122">
        <v>0.83</v>
      </c>
      <c r="M99" s="122">
        <v>1.37</v>
      </c>
      <c r="N99" s="124">
        <f t="shared" si="8"/>
        <v>5.62</v>
      </c>
      <c r="O99" s="127">
        <f t="shared" si="9"/>
        <v>2021</v>
      </c>
    </row>
    <row r="100" spans="1:15">
      <c r="A100" s="121">
        <v>44531</v>
      </c>
      <c r="B100" s="127">
        <f t="shared" si="5"/>
        <v>2021</v>
      </c>
      <c r="C100" s="122">
        <v>5.01</v>
      </c>
      <c r="D100" s="122">
        <v>0.83</v>
      </c>
      <c r="E100" s="122">
        <v>1.37</v>
      </c>
      <c r="F100" s="124">
        <f t="shared" si="6"/>
        <v>7.21</v>
      </c>
      <c r="G100" s="122">
        <v>5.42</v>
      </c>
      <c r="H100" s="122">
        <v>0.83</v>
      </c>
      <c r="I100" s="122">
        <v>1.37</v>
      </c>
      <c r="J100" s="124">
        <f t="shared" si="7"/>
        <v>7.62</v>
      </c>
      <c r="K100" s="122">
        <v>3.61</v>
      </c>
      <c r="L100" s="122">
        <v>0.83</v>
      </c>
      <c r="M100" s="122">
        <v>1.37</v>
      </c>
      <c r="N100" s="124">
        <f t="shared" si="8"/>
        <v>5.81</v>
      </c>
      <c r="O100" s="127">
        <f t="shared" si="9"/>
        <v>2021</v>
      </c>
    </row>
    <row r="101" spans="1:15">
      <c r="A101" s="121">
        <v>44562</v>
      </c>
      <c r="B101" s="127">
        <f t="shared" si="5"/>
        <v>2022</v>
      </c>
      <c r="C101" s="122">
        <v>4.96</v>
      </c>
      <c r="D101" s="122">
        <v>0.83</v>
      </c>
      <c r="E101" s="122">
        <v>1.37</v>
      </c>
      <c r="F101" s="124">
        <f t="shared" si="6"/>
        <v>7.16</v>
      </c>
      <c r="G101" s="122">
        <v>5.36</v>
      </c>
      <c r="H101" s="122">
        <v>0.83</v>
      </c>
      <c r="I101" s="122">
        <v>1.37</v>
      </c>
      <c r="J101" s="124">
        <f t="shared" si="7"/>
        <v>7.5600000000000005</v>
      </c>
      <c r="K101" s="122">
        <v>3.52</v>
      </c>
      <c r="L101" s="122">
        <v>0.83</v>
      </c>
      <c r="M101" s="122">
        <v>1.37</v>
      </c>
      <c r="N101" s="124">
        <f t="shared" si="8"/>
        <v>5.72</v>
      </c>
      <c r="O101" s="127">
        <f t="shared" si="9"/>
        <v>2022</v>
      </c>
    </row>
    <row r="102" spans="1:15">
      <c r="A102" s="121">
        <v>44593</v>
      </c>
      <c r="B102" s="127">
        <f t="shared" si="5"/>
        <v>2022</v>
      </c>
      <c r="C102" s="122">
        <v>5.28</v>
      </c>
      <c r="D102" s="122">
        <v>0.83</v>
      </c>
      <c r="E102" s="122">
        <v>1.37</v>
      </c>
      <c r="F102" s="124">
        <f t="shared" si="6"/>
        <v>7.48</v>
      </c>
      <c r="G102" s="122">
        <v>5.73</v>
      </c>
      <c r="H102" s="122">
        <v>0.83</v>
      </c>
      <c r="I102" s="122">
        <v>1.37</v>
      </c>
      <c r="J102" s="124">
        <f t="shared" si="7"/>
        <v>7.9300000000000006</v>
      </c>
      <c r="K102" s="122">
        <v>3.93</v>
      </c>
      <c r="L102" s="122">
        <v>0.83</v>
      </c>
      <c r="M102" s="122">
        <v>1.37</v>
      </c>
      <c r="N102" s="124">
        <f t="shared" si="8"/>
        <v>6.13</v>
      </c>
      <c r="O102" s="127">
        <f t="shared" si="9"/>
        <v>2022</v>
      </c>
    </row>
    <row r="103" spans="1:15">
      <c r="A103" s="121">
        <v>44621</v>
      </c>
      <c r="B103" s="127">
        <f t="shared" si="5"/>
        <v>2022</v>
      </c>
      <c r="C103" s="122">
        <v>5.22</v>
      </c>
      <c r="D103" s="122">
        <v>0.83</v>
      </c>
      <c r="E103" s="122">
        <v>1.37</v>
      </c>
      <c r="F103" s="124">
        <f t="shared" si="6"/>
        <v>7.42</v>
      </c>
      <c r="G103" s="122">
        <v>5.66</v>
      </c>
      <c r="H103" s="122">
        <v>0.83</v>
      </c>
      <c r="I103" s="122">
        <v>1.37</v>
      </c>
      <c r="J103" s="124">
        <f t="shared" si="7"/>
        <v>7.86</v>
      </c>
      <c r="K103" s="122">
        <v>3.85</v>
      </c>
      <c r="L103" s="122">
        <v>0.83</v>
      </c>
      <c r="M103" s="122">
        <v>1.37</v>
      </c>
      <c r="N103" s="124">
        <f t="shared" si="8"/>
        <v>6.05</v>
      </c>
      <c r="O103" s="127">
        <f t="shared" si="9"/>
        <v>2022</v>
      </c>
    </row>
    <row r="104" spans="1:15">
      <c r="A104" s="121">
        <v>44652</v>
      </c>
      <c r="B104" s="127">
        <f t="shared" si="5"/>
        <v>2022</v>
      </c>
      <c r="C104" s="122">
        <v>5.29</v>
      </c>
      <c r="D104" s="122">
        <v>0.83</v>
      </c>
      <c r="E104" s="122">
        <v>1.37</v>
      </c>
      <c r="F104" s="124">
        <f t="shared" si="6"/>
        <v>7.49</v>
      </c>
      <c r="G104" s="122">
        <v>5.72</v>
      </c>
      <c r="H104" s="122">
        <v>0.83</v>
      </c>
      <c r="I104" s="122">
        <v>1.37</v>
      </c>
      <c r="J104" s="124">
        <f t="shared" si="7"/>
        <v>7.92</v>
      </c>
      <c r="K104" s="122">
        <v>3.93</v>
      </c>
      <c r="L104" s="122">
        <v>0.83</v>
      </c>
      <c r="M104" s="122">
        <v>1.37</v>
      </c>
      <c r="N104" s="124">
        <f t="shared" si="8"/>
        <v>6.13</v>
      </c>
      <c r="O104" s="127">
        <f t="shared" si="9"/>
        <v>2022</v>
      </c>
    </row>
    <row r="105" spans="1:15">
      <c r="A105" s="121">
        <v>44682</v>
      </c>
      <c r="B105" s="127">
        <f t="shared" si="5"/>
        <v>2022</v>
      </c>
      <c r="C105" s="122">
        <v>5.1100000000000003</v>
      </c>
      <c r="D105" s="122">
        <v>0.83</v>
      </c>
      <c r="E105" s="122">
        <v>1.37</v>
      </c>
      <c r="F105" s="124">
        <f t="shared" si="6"/>
        <v>7.3100000000000005</v>
      </c>
      <c r="G105" s="122">
        <v>5.51</v>
      </c>
      <c r="H105" s="122">
        <v>0.83</v>
      </c>
      <c r="I105" s="122">
        <v>1.37</v>
      </c>
      <c r="J105" s="124">
        <f t="shared" si="7"/>
        <v>7.71</v>
      </c>
      <c r="K105" s="122">
        <v>3.69</v>
      </c>
      <c r="L105" s="122">
        <v>0.83</v>
      </c>
      <c r="M105" s="122">
        <v>1.37</v>
      </c>
      <c r="N105" s="124">
        <f t="shared" si="8"/>
        <v>5.89</v>
      </c>
      <c r="O105" s="127">
        <f t="shared" si="9"/>
        <v>2022</v>
      </c>
    </row>
    <row r="106" spans="1:15">
      <c r="A106" s="121">
        <v>44713</v>
      </c>
      <c r="B106" s="127">
        <f t="shared" si="5"/>
        <v>2022</v>
      </c>
      <c r="C106" s="122">
        <v>5.23</v>
      </c>
      <c r="D106" s="122">
        <v>0.83</v>
      </c>
      <c r="E106" s="122">
        <v>1.37</v>
      </c>
      <c r="F106" s="124">
        <f t="shared" si="6"/>
        <v>7.4300000000000006</v>
      </c>
      <c r="G106" s="122">
        <v>5.65</v>
      </c>
      <c r="H106" s="122">
        <v>0.83</v>
      </c>
      <c r="I106" s="122">
        <v>1.37</v>
      </c>
      <c r="J106" s="124">
        <f t="shared" si="7"/>
        <v>7.8500000000000005</v>
      </c>
      <c r="K106" s="122">
        <v>3.85</v>
      </c>
      <c r="L106" s="122">
        <v>0.83</v>
      </c>
      <c r="M106" s="122">
        <v>1.37</v>
      </c>
      <c r="N106" s="124">
        <f t="shared" si="8"/>
        <v>6.05</v>
      </c>
      <c r="O106" s="127">
        <f t="shared" si="9"/>
        <v>2022</v>
      </c>
    </row>
    <row r="107" spans="1:15">
      <c r="A107" s="121">
        <v>44743</v>
      </c>
      <c r="B107" s="127">
        <f t="shared" si="5"/>
        <v>2022</v>
      </c>
      <c r="C107" s="122">
        <v>5.23</v>
      </c>
      <c r="D107" s="122">
        <v>0.83</v>
      </c>
      <c r="E107" s="122">
        <v>1.37</v>
      </c>
      <c r="F107" s="124">
        <f t="shared" si="6"/>
        <v>7.4300000000000006</v>
      </c>
      <c r="G107" s="122">
        <v>5.64</v>
      </c>
      <c r="H107" s="122">
        <v>0.83</v>
      </c>
      <c r="I107" s="122">
        <v>1.37</v>
      </c>
      <c r="J107" s="124">
        <f t="shared" si="7"/>
        <v>7.84</v>
      </c>
      <c r="K107" s="122">
        <v>3.84</v>
      </c>
      <c r="L107" s="122">
        <v>0.83</v>
      </c>
      <c r="M107" s="122">
        <v>1.37</v>
      </c>
      <c r="N107" s="124">
        <f t="shared" si="8"/>
        <v>6.04</v>
      </c>
      <c r="O107" s="127">
        <f t="shared" si="9"/>
        <v>2022</v>
      </c>
    </row>
    <row r="108" spans="1:15">
      <c r="A108" s="121">
        <v>44774</v>
      </c>
      <c r="B108" s="127">
        <f t="shared" si="5"/>
        <v>2022</v>
      </c>
      <c r="C108" s="122">
        <v>5.34</v>
      </c>
      <c r="D108" s="122">
        <v>0.83</v>
      </c>
      <c r="E108" s="122">
        <v>1.37</v>
      </c>
      <c r="F108" s="124">
        <f t="shared" si="6"/>
        <v>7.54</v>
      </c>
      <c r="G108" s="122">
        <v>5.76</v>
      </c>
      <c r="H108" s="122">
        <v>0.83</v>
      </c>
      <c r="I108" s="122">
        <v>1.37</v>
      </c>
      <c r="J108" s="124">
        <f t="shared" si="7"/>
        <v>7.96</v>
      </c>
      <c r="K108" s="122">
        <v>3.98</v>
      </c>
      <c r="L108" s="122">
        <v>0.83</v>
      </c>
      <c r="M108" s="122">
        <v>1.37</v>
      </c>
      <c r="N108" s="124">
        <f t="shared" si="8"/>
        <v>6.18</v>
      </c>
      <c r="O108" s="127">
        <f t="shared" si="9"/>
        <v>2022</v>
      </c>
    </row>
    <row r="109" spans="1:15">
      <c r="A109" s="121">
        <v>44805</v>
      </c>
      <c r="B109" s="127">
        <f t="shared" si="5"/>
        <v>2022</v>
      </c>
      <c r="C109" s="122">
        <v>5.45</v>
      </c>
      <c r="D109" s="122">
        <v>0.83</v>
      </c>
      <c r="E109" s="122">
        <v>1.37</v>
      </c>
      <c r="F109" s="124">
        <f t="shared" si="6"/>
        <v>7.65</v>
      </c>
      <c r="G109" s="122">
        <v>5.88</v>
      </c>
      <c r="H109" s="122">
        <v>0.83</v>
      </c>
      <c r="I109" s="122">
        <v>1.37</v>
      </c>
      <c r="J109" s="124">
        <f t="shared" si="7"/>
        <v>8.08</v>
      </c>
      <c r="K109" s="122">
        <v>4.12</v>
      </c>
      <c r="L109" s="122">
        <v>0.83</v>
      </c>
      <c r="M109" s="122">
        <v>1.37</v>
      </c>
      <c r="N109" s="124">
        <f t="shared" si="8"/>
        <v>6.32</v>
      </c>
      <c r="O109" s="127">
        <f t="shared" si="9"/>
        <v>2022</v>
      </c>
    </row>
    <row r="110" spans="1:15">
      <c r="A110" s="121">
        <v>44835</v>
      </c>
      <c r="B110" s="127">
        <f t="shared" si="5"/>
        <v>2022</v>
      </c>
      <c r="C110" s="122">
        <v>5.22</v>
      </c>
      <c r="D110" s="122">
        <v>0.83</v>
      </c>
      <c r="E110" s="122">
        <v>1.37</v>
      </c>
      <c r="F110" s="124">
        <f t="shared" si="6"/>
        <v>7.42</v>
      </c>
      <c r="G110" s="122">
        <v>5.62</v>
      </c>
      <c r="H110" s="122">
        <v>0.83</v>
      </c>
      <c r="I110" s="122">
        <v>1.37</v>
      </c>
      <c r="J110" s="124">
        <f t="shared" si="7"/>
        <v>7.82</v>
      </c>
      <c r="K110" s="122">
        <v>3.82</v>
      </c>
      <c r="L110" s="122">
        <v>0.83</v>
      </c>
      <c r="M110" s="122">
        <v>1.37</v>
      </c>
      <c r="N110" s="124">
        <f t="shared" si="8"/>
        <v>6.02</v>
      </c>
      <c r="O110" s="127">
        <f t="shared" si="9"/>
        <v>2022</v>
      </c>
    </row>
    <row r="111" spans="1:15">
      <c r="A111" s="121">
        <v>44866</v>
      </c>
      <c r="B111" s="127">
        <f t="shared" si="5"/>
        <v>2022</v>
      </c>
      <c r="C111" s="122">
        <v>5.09</v>
      </c>
      <c r="D111" s="122">
        <v>0.83</v>
      </c>
      <c r="E111" s="122">
        <v>1.37</v>
      </c>
      <c r="F111" s="124">
        <f t="shared" si="6"/>
        <v>7.29</v>
      </c>
      <c r="G111" s="122">
        <v>5.46</v>
      </c>
      <c r="H111" s="122">
        <v>0.83</v>
      </c>
      <c r="I111" s="122">
        <v>1.37</v>
      </c>
      <c r="J111" s="124">
        <f t="shared" si="7"/>
        <v>7.66</v>
      </c>
      <c r="K111" s="122">
        <v>3.63</v>
      </c>
      <c r="L111" s="122">
        <v>0.83</v>
      </c>
      <c r="M111" s="122">
        <v>1.37</v>
      </c>
      <c r="N111" s="124">
        <f t="shared" si="8"/>
        <v>5.83</v>
      </c>
      <c r="O111" s="127">
        <f t="shared" si="9"/>
        <v>2022</v>
      </c>
    </row>
    <row r="112" spans="1:15">
      <c r="A112" s="121">
        <v>44896</v>
      </c>
      <c r="B112" s="127">
        <f t="shared" si="5"/>
        <v>2022</v>
      </c>
      <c r="C112" s="122">
        <v>5.22</v>
      </c>
      <c r="D112" s="122">
        <v>0.83</v>
      </c>
      <c r="E112" s="122">
        <v>1.37</v>
      </c>
      <c r="F112" s="124">
        <f t="shared" si="6"/>
        <v>7.42</v>
      </c>
      <c r="G112" s="122">
        <v>5.6</v>
      </c>
      <c r="H112" s="122">
        <v>0.83</v>
      </c>
      <c r="I112" s="122">
        <v>1.37</v>
      </c>
      <c r="J112" s="124">
        <f t="shared" si="7"/>
        <v>7.8</v>
      </c>
      <c r="K112" s="122">
        <v>3.79</v>
      </c>
      <c r="L112" s="122">
        <v>0.83</v>
      </c>
      <c r="M112" s="122">
        <v>1.37</v>
      </c>
      <c r="N112" s="124">
        <f t="shared" si="8"/>
        <v>5.99</v>
      </c>
      <c r="O112" s="127">
        <f t="shared" si="9"/>
        <v>2022</v>
      </c>
    </row>
    <row r="113" spans="1:15">
      <c r="A113" s="121">
        <v>44927</v>
      </c>
      <c r="B113" s="127">
        <f t="shared" si="5"/>
        <v>2023</v>
      </c>
      <c r="C113" s="122">
        <v>5.07</v>
      </c>
      <c r="D113" s="122">
        <v>0.83</v>
      </c>
      <c r="E113" s="122">
        <v>1.37</v>
      </c>
      <c r="F113" s="124">
        <f t="shared" si="6"/>
        <v>7.2700000000000005</v>
      </c>
      <c r="G113" s="122">
        <v>5.43</v>
      </c>
      <c r="H113" s="122">
        <v>0.83</v>
      </c>
      <c r="I113" s="122">
        <v>1.37</v>
      </c>
      <c r="J113" s="124">
        <f t="shared" si="7"/>
        <v>7.63</v>
      </c>
      <c r="K113" s="122">
        <v>3.57</v>
      </c>
      <c r="L113" s="122">
        <v>0.83</v>
      </c>
      <c r="M113" s="122">
        <v>1.37</v>
      </c>
      <c r="N113" s="124">
        <f t="shared" si="8"/>
        <v>5.77</v>
      </c>
      <c r="O113" s="127">
        <f t="shared" si="9"/>
        <v>2023</v>
      </c>
    </row>
    <row r="114" spans="1:15">
      <c r="A114" s="121">
        <v>44958</v>
      </c>
      <c r="B114" s="127">
        <f t="shared" si="5"/>
        <v>2023</v>
      </c>
      <c r="C114" s="122">
        <v>5.38</v>
      </c>
      <c r="D114" s="122">
        <v>0.83</v>
      </c>
      <c r="E114" s="122">
        <v>1.37</v>
      </c>
      <c r="F114" s="124">
        <f t="shared" si="6"/>
        <v>7.58</v>
      </c>
      <c r="G114" s="122">
        <v>5.78</v>
      </c>
      <c r="H114" s="122">
        <v>0.83</v>
      </c>
      <c r="I114" s="122">
        <v>1.37</v>
      </c>
      <c r="J114" s="124">
        <f t="shared" si="7"/>
        <v>7.98</v>
      </c>
      <c r="K114" s="122">
        <v>3.99</v>
      </c>
      <c r="L114" s="122">
        <v>0.83</v>
      </c>
      <c r="M114" s="122">
        <v>1.37</v>
      </c>
      <c r="N114" s="124">
        <f t="shared" si="8"/>
        <v>6.19</v>
      </c>
      <c r="O114" s="127">
        <f t="shared" si="9"/>
        <v>2023</v>
      </c>
    </row>
    <row r="115" spans="1:15">
      <c r="A115" s="121">
        <v>44986</v>
      </c>
      <c r="B115" s="127">
        <f t="shared" si="5"/>
        <v>2023</v>
      </c>
      <c r="C115" s="122">
        <v>5.32</v>
      </c>
      <c r="D115" s="122">
        <v>0.83</v>
      </c>
      <c r="E115" s="122">
        <v>1.37</v>
      </c>
      <c r="F115" s="124">
        <f t="shared" si="6"/>
        <v>7.5200000000000005</v>
      </c>
      <c r="G115" s="122">
        <v>5.71</v>
      </c>
      <c r="H115" s="122">
        <v>0.83</v>
      </c>
      <c r="I115" s="122">
        <v>1.37</v>
      </c>
      <c r="J115" s="124">
        <f t="shared" si="7"/>
        <v>7.91</v>
      </c>
      <c r="K115" s="122">
        <v>3.89</v>
      </c>
      <c r="L115" s="122">
        <v>0.83</v>
      </c>
      <c r="M115" s="122">
        <v>1.37</v>
      </c>
      <c r="N115" s="124">
        <f t="shared" si="8"/>
        <v>6.09</v>
      </c>
      <c r="O115" s="127">
        <f t="shared" si="9"/>
        <v>2023</v>
      </c>
    </row>
    <row r="116" spans="1:15">
      <c r="A116" s="121">
        <v>45017</v>
      </c>
      <c r="B116" s="127">
        <f t="shared" si="5"/>
        <v>2023</v>
      </c>
      <c r="C116" s="122">
        <v>5.39</v>
      </c>
      <c r="D116" s="122">
        <v>0.83</v>
      </c>
      <c r="E116" s="122">
        <v>1.37</v>
      </c>
      <c r="F116" s="124">
        <f t="shared" si="6"/>
        <v>7.59</v>
      </c>
      <c r="G116" s="122">
        <v>5.79</v>
      </c>
      <c r="H116" s="122">
        <v>0.83</v>
      </c>
      <c r="I116" s="122">
        <v>1.37</v>
      </c>
      <c r="J116" s="124">
        <f t="shared" si="7"/>
        <v>7.99</v>
      </c>
      <c r="K116" s="122">
        <v>3.99</v>
      </c>
      <c r="L116" s="122">
        <v>0.83</v>
      </c>
      <c r="M116" s="122">
        <v>1.37</v>
      </c>
      <c r="N116" s="124">
        <f t="shared" si="8"/>
        <v>6.19</v>
      </c>
      <c r="O116" s="127">
        <f t="shared" si="9"/>
        <v>2023</v>
      </c>
    </row>
    <row r="117" spans="1:15">
      <c r="A117" s="121">
        <v>45047</v>
      </c>
      <c r="B117" s="127">
        <f t="shared" si="5"/>
        <v>2023</v>
      </c>
      <c r="C117" s="122">
        <v>5.24</v>
      </c>
      <c r="D117" s="122">
        <v>0.83</v>
      </c>
      <c r="E117" s="122">
        <v>1.37</v>
      </c>
      <c r="F117" s="124">
        <f t="shared" si="6"/>
        <v>7.44</v>
      </c>
      <c r="G117" s="122">
        <v>5.61</v>
      </c>
      <c r="H117" s="122">
        <v>0.83</v>
      </c>
      <c r="I117" s="122">
        <v>1.37</v>
      </c>
      <c r="J117" s="124">
        <f t="shared" si="7"/>
        <v>7.8100000000000005</v>
      </c>
      <c r="K117" s="122">
        <v>3.77</v>
      </c>
      <c r="L117" s="122">
        <v>0.83</v>
      </c>
      <c r="M117" s="122">
        <v>1.37</v>
      </c>
      <c r="N117" s="124">
        <f t="shared" si="8"/>
        <v>5.97</v>
      </c>
      <c r="O117" s="127">
        <f t="shared" si="9"/>
        <v>2023</v>
      </c>
    </row>
    <row r="118" spans="1:15">
      <c r="A118" s="121">
        <v>45078</v>
      </c>
      <c r="B118" s="127">
        <f t="shared" si="5"/>
        <v>2023</v>
      </c>
      <c r="C118" s="122">
        <v>5.37</v>
      </c>
      <c r="D118" s="122">
        <v>0.83</v>
      </c>
      <c r="E118" s="122">
        <v>1.37</v>
      </c>
      <c r="F118" s="124">
        <f t="shared" si="6"/>
        <v>7.57</v>
      </c>
      <c r="G118" s="122">
        <v>5.76</v>
      </c>
      <c r="H118" s="122">
        <v>0.83</v>
      </c>
      <c r="I118" s="122">
        <v>1.37</v>
      </c>
      <c r="J118" s="124">
        <f t="shared" si="7"/>
        <v>7.96</v>
      </c>
      <c r="K118" s="122">
        <v>3.95</v>
      </c>
      <c r="L118" s="122">
        <v>0.83</v>
      </c>
      <c r="M118" s="122">
        <v>1.37</v>
      </c>
      <c r="N118" s="124">
        <f t="shared" si="8"/>
        <v>6.15</v>
      </c>
      <c r="O118" s="127">
        <f t="shared" si="9"/>
        <v>2023</v>
      </c>
    </row>
    <row r="119" spans="1:15">
      <c r="A119" s="121">
        <v>45108</v>
      </c>
      <c r="B119" s="127">
        <f t="shared" si="5"/>
        <v>2023</v>
      </c>
      <c r="C119" s="122">
        <v>5.39</v>
      </c>
      <c r="D119" s="122">
        <v>0.83</v>
      </c>
      <c r="E119" s="122">
        <v>1.37</v>
      </c>
      <c r="F119" s="124">
        <f t="shared" si="6"/>
        <v>7.59</v>
      </c>
      <c r="G119" s="122">
        <v>5.78</v>
      </c>
      <c r="H119" s="122">
        <v>0.83</v>
      </c>
      <c r="I119" s="122">
        <v>1.37</v>
      </c>
      <c r="J119" s="124">
        <f t="shared" si="7"/>
        <v>7.98</v>
      </c>
      <c r="K119" s="122">
        <v>3.96</v>
      </c>
      <c r="L119" s="122">
        <v>0.83</v>
      </c>
      <c r="M119" s="122">
        <v>1.37</v>
      </c>
      <c r="N119" s="124">
        <f t="shared" si="8"/>
        <v>6.16</v>
      </c>
      <c r="O119" s="127">
        <f t="shared" si="9"/>
        <v>2023</v>
      </c>
    </row>
    <row r="120" spans="1:15">
      <c r="A120" s="121">
        <v>45139</v>
      </c>
      <c r="B120" s="127">
        <f t="shared" si="5"/>
        <v>2023</v>
      </c>
      <c r="C120" s="122">
        <v>5.51</v>
      </c>
      <c r="D120" s="122">
        <v>0.83</v>
      </c>
      <c r="E120" s="122">
        <v>1.37</v>
      </c>
      <c r="F120" s="124">
        <f t="shared" si="6"/>
        <v>7.71</v>
      </c>
      <c r="G120" s="122">
        <v>5.92</v>
      </c>
      <c r="H120" s="122">
        <v>0.83</v>
      </c>
      <c r="I120" s="122">
        <v>1.37</v>
      </c>
      <c r="J120" s="124">
        <f t="shared" si="7"/>
        <v>8.120000000000001</v>
      </c>
      <c r="K120" s="122">
        <v>4.12</v>
      </c>
      <c r="L120" s="122">
        <v>0.83</v>
      </c>
      <c r="M120" s="122">
        <v>1.37</v>
      </c>
      <c r="N120" s="124">
        <f t="shared" si="8"/>
        <v>6.32</v>
      </c>
      <c r="O120" s="127">
        <f t="shared" si="9"/>
        <v>2023</v>
      </c>
    </row>
    <row r="121" spans="1:15">
      <c r="A121" s="121">
        <v>45170</v>
      </c>
      <c r="B121" s="127">
        <f t="shared" si="5"/>
        <v>2023</v>
      </c>
      <c r="C121" s="122">
        <v>5.65</v>
      </c>
      <c r="D121" s="122">
        <v>0.83</v>
      </c>
      <c r="E121" s="122">
        <v>1.37</v>
      </c>
      <c r="F121" s="124">
        <f t="shared" si="6"/>
        <v>7.8500000000000005</v>
      </c>
      <c r="G121" s="122">
        <v>6.07</v>
      </c>
      <c r="H121" s="122">
        <v>0.83</v>
      </c>
      <c r="I121" s="122">
        <v>1.37</v>
      </c>
      <c r="J121" s="124">
        <f t="shared" si="7"/>
        <v>8.27</v>
      </c>
      <c r="K121" s="122">
        <v>4.3</v>
      </c>
      <c r="L121" s="122">
        <v>0.83</v>
      </c>
      <c r="M121" s="122">
        <v>1.37</v>
      </c>
      <c r="N121" s="124">
        <f t="shared" si="8"/>
        <v>6.5</v>
      </c>
      <c r="O121" s="127">
        <f t="shared" si="9"/>
        <v>2023</v>
      </c>
    </row>
    <row r="122" spans="1:15">
      <c r="A122" s="121">
        <v>45200</v>
      </c>
      <c r="B122" s="127">
        <f t="shared" si="5"/>
        <v>2023</v>
      </c>
      <c r="C122" s="122">
        <v>5.45</v>
      </c>
      <c r="D122" s="122">
        <v>0.83</v>
      </c>
      <c r="E122" s="122">
        <v>1.37</v>
      </c>
      <c r="F122" s="124">
        <f t="shared" si="6"/>
        <v>7.65</v>
      </c>
      <c r="G122" s="122">
        <v>5.84</v>
      </c>
      <c r="H122" s="122">
        <v>0.83</v>
      </c>
      <c r="I122" s="122">
        <v>1.37</v>
      </c>
      <c r="J122" s="124">
        <f t="shared" si="7"/>
        <v>8.0399999999999991</v>
      </c>
      <c r="K122" s="122">
        <v>4.03</v>
      </c>
      <c r="L122" s="122">
        <v>0.83</v>
      </c>
      <c r="M122" s="122">
        <v>1.37</v>
      </c>
      <c r="N122" s="124">
        <f t="shared" si="8"/>
        <v>6.23</v>
      </c>
      <c r="O122" s="127">
        <f t="shared" si="9"/>
        <v>2023</v>
      </c>
    </row>
    <row r="123" spans="1:15">
      <c r="A123" s="121">
        <v>45231</v>
      </c>
      <c r="B123" s="127">
        <f t="shared" si="5"/>
        <v>2023</v>
      </c>
      <c r="C123" s="122">
        <v>5.35</v>
      </c>
      <c r="D123" s="122">
        <v>0.83</v>
      </c>
      <c r="E123" s="122">
        <v>1.37</v>
      </c>
      <c r="F123" s="124">
        <f t="shared" si="6"/>
        <v>7.55</v>
      </c>
      <c r="G123" s="122">
        <v>5.73</v>
      </c>
      <c r="H123" s="122">
        <v>0.83</v>
      </c>
      <c r="I123" s="122">
        <v>1.37</v>
      </c>
      <c r="J123" s="124">
        <f t="shared" si="7"/>
        <v>7.9300000000000006</v>
      </c>
      <c r="K123" s="122">
        <v>3.88</v>
      </c>
      <c r="L123" s="122">
        <v>0.83</v>
      </c>
      <c r="M123" s="122">
        <v>1.37</v>
      </c>
      <c r="N123" s="124">
        <f t="shared" si="8"/>
        <v>6.08</v>
      </c>
      <c r="O123" s="127">
        <f t="shared" si="9"/>
        <v>2023</v>
      </c>
    </row>
    <row r="124" spans="1:15">
      <c r="A124" s="121">
        <v>45261</v>
      </c>
      <c r="B124" s="127">
        <f t="shared" si="5"/>
        <v>2023</v>
      </c>
      <c r="C124" s="122">
        <v>5.51</v>
      </c>
      <c r="D124" s="122">
        <v>0.83</v>
      </c>
      <c r="E124" s="122">
        <v>1.37</v>
      </c>
      <c r="F124" s="124">
        <f t="shared" si="6"/>
        <v>7.71</v>
      </c>
      <c r="G124" s="122">
        <v>5.9</v>
      </c>
      <c r="H124" s="122">
        <v>0.83</v>
      </c>
      <c r="I124" s="122">
        <v>1.37</v>
      </c>
      <c r="J124" s="124">
        <f t="shared" si="7"/>
        <v>8.1000000000000014</v>
      </c>
      <c r="K124" s="122">
        <v>4.09</v>
      </c>
      <c r="L124" s="122">
        <v>0.83</v>
      </c>
      <c r="M124" s="122">
        <v>1.37</v>
      </c>
      <c r="N124" s="124">
        <f t="shared" si="8"/>
        <v>6.29</v>
      </c>
      <c r="O124" s="127">
        <f t="shared" si="9"/>
        <v>2023</v>
      </c>
    </row>
    <row r="125" spans="1:15">
      <c r="A125" s="121">
        <v>45292</v>
      </c>
      <c r="B125" s="127">
        <f t="shared" si="5"/>
        <v>2024</v>
      </c>
      <c r="C125" s="122">
        <v>5.54</v>
      </c>
      <c r="D125" s="122">
        <v>0.83</v>
      </c>
      <c r="E125" s="122">
        <v>1.37</v>
      </c>
      <c r="F125" s="124">
        <f t="shared" si="6"/>
        <v>7.74</v>
      </c>
      <c r="G125" s="122">
        <v>5.93</v>
      </c>
      <c r="H125" s="122">
        <v>0.83</v>
      </c>
      <c r="I125" s="122">
        <v>1.37</v>
      </c>
      <c r="J125" s="124">
        <f t="shared" si="7"/>
        <v>8.129999999999999</v>
      </c>
      <c r="K125" s="122">
        <v>4.1100000000000003</v>
      </c>
      <c r="L125" s="122">
        <v>0.83</v>
      </c>
      <c r="M125" s="122">
        <v>1.37</v>
      </c>
      <c r="N125" s="124">
        <f t="shared" si="8"/>
        <v>6.3100000000000005</v>
      </c>
      <c r="O125" s="127">
        <f t="shared" si="9"/>
        <v>2024</v>
      </c>
    </row>
    <row r="126" spans="1:15">
      <c r="A126" s="121">
        <v>45323</v>
      </c>
      <c r="B126" s="127">
        <f t="shared" si="5"/>
        <v>2024</v>
      </c>
      <c r="C126" s="122">
        <v>5.91</v>
      </c>
      <c r="D126" s="122">
        <v>0.83</v>
      </c>
      <c r="E126" s="122">
        <v>1.37</v>
      </c>
      <c r="F126" s="124">
        <f t="shared" si="6"/>
        <v>8.11</v>
      </c>
      <c r="G126" s="122">
        <v>6.33</v>
      </c>
      <c r="H126" s="122">
        <v>0.83</v>
      </c>
      <c r="I126" s="122">
        <v>1.37</v>
      </c>
      <c r="J126" s="124">
        <f t="shared" si="7"/>
        <v>8.5300000000000011</v>
      </c>
      <c r="K126" s="122">
        <v>4.59</v>
      </c>
      <c r="L126" s="122">
        <v>0.83</v>
      </c>
      <c r="M126" s="122">
        <v>1.37</v>
      </c>
      <c r="N126" s="124">
        <f t="shared" si="8"/>
        <v>6.79</v>
      </c>
      <c r="O126" s="127">
        <f t="shared" si="9"/>
        <v>2024</v>
      </c>
    </row>
    <row r="127" spans="1:15">
      <c r="A127" s="121">
        <v>45352</v>
      </c>
      <c r="B127" s="127">
        <f t="shared" si="5"/>
        <v>2024</v>
      </c>
      <c r="C127" s="122">
        <v>5.89</v>
      </c>
      <c r="D127" s="122">
        <v>0.83</v>
      </c>
      <c r="E127" s="122">
        <v>1.37</v>
      </c>
      <c r="F127" s="124">
        <f t="shared" si="6"/>
        <v>8.09</v>
      </c>
      <c r="G127" s="122">
        <v>6.31</v>
      </c>
      <c r="H127" s="122">
        <v>0.83</v>
      </c>
      <c r="I127" s="122">
        <v>1.37</v>
      </c>
      <c r="J127" s="124">
        <f t="shared" si="7"/>
        <v>8.51</v>
      </c>
      <c r="K127" s="122">
        <v>4.55</v>
      </c>
      <c r="L127" s="122">
        <v>0.83</v>
      </c>
      <c r="M127" s="122">
        <v>1.37</v>
      </c>
      <c r="N127" s="124">
        <f t="shared" si="8"/>
        <v>6.75</v>
      </c>
      <c r="O127" s="127">
        <f t="shared" si="9"/>
        <v>2024</v>
      </c>
    </row>
    <row r="128" spans="1:15">
      <c r="A128" s="121">
        <v>45383</v>
      </c>
      <c r="B128" s="127">
        <f t="shared" si="5"/>
        <v>2024</v>
      </c>
      <c r="C128" s="122">
        <v>5.98</v>
      </c>
      <c r="D128" s="122">
        <v>0.83</v>
      </c>
      <c r="E128" s="122">
        <v>1.37</v>
      </c>
      <c r="F128" s="124">
        <f t="shared" si="6"/>
        <v>8.18</v>
      </c>
      <c r="G128" s="122">
        <v>6.41</v>
      </c>
      <c r="H128" s="122">
        <v>0.83</v>
      </c>
      <c r="I128" s="122">
        <v>1.37</v>
      </c>
      <c r="J128" s="124">
        <f t="shared" si="7"/>
        <v>8.61</v>
      </c>
      <c r="K128" s="122">
        <v>4.67</v>
      </c>
      <c r="L128" s="122">
        <v>0.83</v>
      </c>
      <c r="M128" s="122">
        <v>1.37</v>
      </c>
      <c r="N128" s="124">
        <f t="shared" si="8"/>
        <v>6.87</v>
      </c>
      <c r="O128" s="127">
        <f t="shared" si="9"/>
        <v>2024</v>
      </c>
    </row>
    <row r="129" spans="1:15">
      <c r="A129" s="121">
        <v>45413</v>
      </c>
      <c r="B129" s="127">
        <f t="shared" si="5"/>
        <v>2024</v>
      </c>
      <c r="C129" s="122">
        <v>5.83</v>
      </c>
      <c r="D129" s="122">
        <v>0.83</v>
      </c>
      <c r="E129" s="122">
        <v>1.37</v>
      </c>
      <c r="F129" s="124">
        <f t="shared" si="6"/>
        <v>8.0300000000000011</v>
      </c>
      <c r="G129" s="122">
        <v>6.23</v>
      </c>
      <c r="H129" s="122">
        <v>0.83</v>
      </c>
      <c r="I129" s="122">
        <v>1.37</v>
      </c>
      <c r="J129" s="124">
        <f t="shared" si="7"/>
        <v>8.43</v>
      </c>
      <c r="K129" s="122">
        <v>4.45</v>
      </c>
      <c r="L129" s="122">
        <v>0.83</v>
      </c>
      <c r="M129" s="122">
        <v>1.37</v>
      </c>
      <c r="N129" s="124">
        <f t="shared" si="8"/>
        <v>6.65</v>
      </c>
      <c r="O129" s="127">
        <f t="shared" si="9"/>
        <v>2024</v>
      </c>
    </row>
    <row r="130" spans="1:15">
      <c r="A130" s="121">
        <v>45444</v>
      </c>
      <c r="B130" s="127">
        <f t="shared" si="5"/>
        <v>2024</v>
      </c>
      <c r="C130" s="122">
        <v>5.99</v>
      </c>
      <c r="D130" s="122">
        <v>0.83</v>
      </c>
      <c r="E130" s="122">
        <v>1.37</v>
      </c>
      <c r="F130" s="124">
        <f t="shared" si="6"/>
        <v>8.1900000000000013</v>
      </c>
      <c r="G130" s="122">
        <v>6.41</v>
      </c>
      <c r="H130" s="122">
        <v>0.83</v>
      </c>
      <c r="I130" s="122">
        <v>1.37</v>
      </c>
      <c r="J130" s="124">
        <f t="shared" si="7"/>
        <v>8.61</v>
      </c>
      <c r="K130" s="122">
        <v>4.66</v>
      </c>
      <c r="L130" s="122">
        <v>0.83</v>
      </c>
      <c r="M130" s="122">
        <v>1.37</v>
      </c>
      <c r="N130" s="124">
        <f t="shared" si="8"/>
        <v>6.86</v>
      </c>
      <c r="O130" s="127">
        <f t="shared" si="9"/>
        <v>2024</v>
      </c>
    </row>
    <row r="131" spans="1:15">
      <c r="A131" s="121">
        <v>45474</v>
      </c>
      <c r="B131" s="127">
        <f t="shared" si="5"/>
        <v>2024</v>
      </c>
      <c r="C131" s="122">
        <v>6.01</v>
      </c>
      <c r="D131" s="122">
        <v>0.83</v>
      </c>
      <c r="E131" s="122">
        <v>1.37</v>
      </c>
      <c r="F131" s="124">
        <f t="shared" si="6"/>
        <v>8.2100000000000009</v>
      </c>
      <c r="G131" s="122">
        <v>6.43</v>
      </c>
      <c r="H131" s="122">
        <v>0.83</v>
      </c>
      <c r="I131" s="122">
        <v>1.37</v>
      </c>
      <c r="J131" s="124">
        <f t="shared" si="7"/>
        <v>8.629999999999999</v>
      </c>
      <c r="K131" s="122">
        <v>4.68</v>
      </c>
      <c r="L131" s="122">
        <v>0.83</v>
      </c>
      <c r="M131" s="122">
        <v>1.37</v>
      </c>
      <c r="N131" s="124">
        <f t="shared" si="8"/>
        <v>6.88</v>
      </c>
      <c r="O131" s="127">
        <f t="shared" si="9"/>
        <v>2024</v>
      </c>
    </row>
    <row r="132" spans="1:15">
      <c r="A132" s="121">
        <v>45505</v>
      </c>
      <c r="B132" s="127">
        <f t="shared" si="5"/>
        <v>2024</v>
      </c>
      <c r="C132" s="122">
        <v>6.17</v>
      </c>
      <c r="D132" s="122">
        <v>0.83</v>
      </c>
      <c r="E132" s="122">
        <v>1.37</v>
      </c>
      <c r="F132" s="124">
        <f t="shared" si="6"/>
        <v>8.370000000000001</v>
      </c>
      <c r="G132" s="122">
        <v>6.6</v>
      </c>
      <c r="H132" s="122">
        <v>0.83</v>
      </c>
      <c r="I132" s="122">
        <v>1.37</v>
      </c>
      <c r="J132" s="124">
        <f t="shared" si="7"/>
        <v>8.8000000000000007</v>
      </c>
      <c r="K132" s="122">
        <v>4.88</v>
      </c>
      <c r="L132" s="122">
        <v>0.83</v>
      </c>
      <c r="M132" s="122">
        <v>1.37</v>
      </c>
      <c r="N132" s="124">
        <f t="shared" si="8"/>
        <v>7.08</v>
      </c>
      <c r="O132" s="127">
        <f t="shared" si="9"/>
        <v>2024</v>
      </c>
    </row>
    <row r="133" spans="1:15">
      <c r="A133" s="121">
        <v>45536</v>
      </c>
      <c r="B133" s="127">
        <f t="shared" si="5"/>
        <v>2024</v>
      </c>
      <c r="C133" s="122">
        <v>6.34</v>
      </c>
      <c r="D133" s="122">
        <v>0.83</v>
      </c>
      <c r="E133" s="122">
        <v>1.37</v>
      </c>
      <c r="F133" s="124">
        <f t="shared" si="6"/>
        <v>8.5399999999999991</v>
      </c>
      <c r="G133" s="122">
        <v>6.78</v>
      </c>
      <c r="H133" s="122">
        <v>0.83</v>
      </c>
      <c r="I133" s="122">
        <v>1.37</v>
      </c>
      <c r="J133" s="124">
        <f t="shared" si="7"/>
        <v>8.98</v>
      </c>
      <c r="K133" s="122">
        <v>5.0999999999999996</v>
      </c>
      <c r="L133" s="122">
        <v>0.83</v>
      </c>
      <c r="M133" s="122">
        <v>1.37</v>
      </c>
      <c r="N133" s="124">
        <f t="shared" si="8"/>
        <v>7.3</v>
      </c>
      <c r="O133" s="127">
        <f t="shared" si="9"/>
        <v>2024</v>
      </c>
    </row>
    <row r="134" spans="1:15">
      <c r="A134" s="121">
        <v>45566</v>
      </c>
      <c r="B134" s="127">
        <f>YEAR(A134)</f>
        <v>2024</v>
      </c>
      <c r="C134" s="122">
        <v>6.12</v>
      </c>
      <c r="D134" s="122">
        <v>0.83</v>
      </c>
      <c r="E134" s="122">
        <v>1.37</v>
      </c>
      <c r="F134" s="124">
        <f>+C134+D134+E134</f>
        <v>8.32</v>
      </c>
      <c r="G134" s="122">
        <v>6.53</v>
      </c>
      <c r="H134" s="122">
        <v>0.83</v>
      </c>
      <c r="I134" s="122">
        <v>1.37</v>
      </c>
      <c r="J134" s="124">
        <f>+G134+H134+I134</f>
        <v>8.73</v>
      </c>
      <c r="K134" s="122">
        <v>4.79</v>
      </c>
      <c r="L134" s="122">
        <v>0.83</v>
      </c>
      <c r="M134" s="122">
        <v>1.37</v>
      </c>
      <c r="N134" s="124">
        <f>+K134+L134+M134</f>
        <v>6.99</v>
      </c>
      <c r="O134" s="127">
        <f t="shared" si="9"/>
        <v>2024</v>
      </c>
    </row>
    <row r="135" spans="1:15">
      <c r="A135" s="121">
        <v>45597</v>
      </c>
      <c r="B135" s="127">
        <f>YEAR(A135)</f>
        <v>2024</v>
      </c>
      <c r="C135" s="122">
        <v>5.99</v>
      </c>
      <c r="D135" s="122">
        <v>0.83</v>
      </c>
      <c r="E135" s="122">
        <v>1.37</v>
      </c>
      <c r="F135" s="124">
        <f>+C135+D135+E135</f>
        <v>8.1900000000000013</v>
      </c>
      <c r="G135" s="122">
        <v>6.38</v>
      </c>
      <c r="H135" s="122">
        <v>0.83</v>
      </c>
      <c r="I135" s="122">
        <v>1.37</v>
      </c>
      <c r="J135" s="124">
        <f>+G135+H135+I135</f>
        <v>8.58</v>
      </c>
      <c r="K135" s="122">
        <v>4.5999999999999996</v>
      </c>
      <c r="L135" s="122">
        <v>0.83</v>
      </c>
      <c r="M135" s="122">
        <v>1.37</v>
      </c>
      <c r="N135" s="124">
        <f>+K135+L135+M135</f>
        <v>6.8</v>
      </c>
      <c r="O135" s="127">
        <f t="shared" si="9"/>
        <v>2024</v>
      </c>
    </row>
    <row r="136" spans="1:15">
      <c r="A136" s="121">
        <v>45627</v>
      </c>
      <c r="B136" s="127">
        <f>YEAR(A136)</f>
        <v>2024</v>
      </c>
      <c r="C136" s="122">
        <v>6.16</v>
      </c>
      <c r="D136" s="122">
        <v>0.83</v>
      </c>
      <c r="E136" s="122">
        <v>1.37</v>
      </c>
      <c r="F136" s="124">
        <f>+C136+D136+E136</f>
        <v>8.36</v>
      </c>
      <c r="G136" s="122">
        <v>6.57</v>
      </c>
      <c r="H136" s="122">
        <v>0.83</v>
      </c>
      <c r="I136" s="122">
        <v>1.37</v>
      </c>
      <c r="J136" s="124">
        <f>+G136+H136+I136</f>
        <v>8.77</v>
      </c>
      <c r="K136" s="122">
        <v>4.82</v>
      </c>
      <c r="L136" s="122">
        <v>0.83</v>
      </c>
      <c r="M136" s="122">
        <v>1.37</v>
      </c>
      <c r="N136" s="124">
        <f>+K136+L136+M136</f>
        <v>7.0200000000000005</v>
      </c>
      <c r="O136" s="127">
        <f t="shared" si="9"/>
        <v>2024</v>
      </c>
    </row>
  </sheetData>
  <mergeCells count="5">
    <mergeCell ref="A2:A4"/>
    <mergeCell ref="C2:N2"/>
    <mergeCell ref="C3:N3"/>
    <mergeCell ref="B2:B4"/>
    <mergeCell ref="O2:O4"/>
  </mergeCells>
  <pageMargins left="0.7" right="0.7" top="0.75" bottom="0.75" header="0.3" footer="0.3"/>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2:J12"/>
  <sheetViews>
    <sheetView showGridLines="0" zoomScaleNormal="100" workbookViewId="0">
      <selection activeCell="J5" sqref="J5"/>
    </sheetView>
  </sheetViews>
  <sheetFormatPr baseColWidth="10" defaultRowHeight="15"/>
  <cols>
    <col min="2" max="2" width="13.140625" customWidth="1"/>
    <col min="4" max="4" width="10.5703125" customWidth="1"/>
    <col min="5" max="5" width="13.42578125" customWidth="1"/>
    <col min="7" max="7" width="9.5703125" bestFit="1" customWidth="1"/>
    <col min="8" max="8" width="12.85546875" customWidth="1"/>
  </cols>
  <sheetData>
    <row r="2" spans="1:10">
      <c r="A2" s="676" t="s">
        <v>129</v>
      </c>
      <c r="B2" s="677" t="s">
        <v>310</v>
      </c>
      <c r="C2" s="677"/>
      <c r="D2" s="677"/>
      <c r="E2" s="677"/>
      <c r="F2" s="677"/>
      <c r="G2" s="677"/>
      <c r="H2" s="677"/>
      <c r="I2" s="677"/>
      <c r="J2" s="677"/>
    </row>
    <row r="3" spans="1:10">
      <c r="A3" s="676"/>
      <c r="B3" s="678" t="s">
        <v>318</v>
      </c>
      <c r="C3" s="678"/>
      <c r="D3" s="678"/>
      <c r="E3" s="678"/>
      <c r="F3" s="678"/>
      <c r="G3" s="678"/>
      <c r="H3" s="678"/>
      <c r="I3" s="678"/>
      <c r="J3" s="678"/>
    </row>
    <row r="4" spans="1:10" ht="60">
      <c r="A4" s="676"/>
      <c r="B4" s="119" t="s">
        <v>317</v>
      </c>
      <c r="C4" s="119" t="s">
        <v>304</v>
      </c>
      <c r="D4" s="120" t="s">
        <v>305</v>
      </c>
      <c r="E4" s="119" t="s">
        <v>317</v>
      </c>
      <c r="F4" s="119" t="s">
        <v>304</v>
      </c>
      <c r="G4" s="120" t="s">
        <v>307</v>
      </c>
      <c r="H4" s="119" t="s">
        <v>317</v>
      </c>
      <c r="I4" s="119" t="s">
        <v>304</v>
      </c>
      <c r="J4" s="120" t="s">
        <v>316</v>
      </c>
    </row>
    <row r="5" spans="1:10">
      <c r="A5" s="127">
        <v>2017</v>
      </c>
      <c r="B5" s="122">
        <v>12.19</v>
      </c>
      <c r="C5" s="122">
        <v>1.37</v>
      </c>
      <c r="D5" s="123">
        <f>B5+C5</f>
        <v>13.559999999999999</v>
      </c>
      <c r="E5" s="122">
        <f>B5*('Proyeccion Gas Cusiana'!J46/'Proyeccion Gas Cusiana'!$F$46)</f>
        <v>12.321546762589929</v>
      </c>
      <c r="F5" s="122">
        <v>1.37</v>
      </c>
      <c r="G5" s="123">
        <f>E5+F5</f>
        <v>13.69154676258993</v>
      </c>
      <c r="H5" s="122">
        <f>B5*('Proyeccion Gas Cusiana'!N46/'Proyeccion Gas Cusiana'!$F$46)</f>
        <v>8.8136330935251781</v>
      </c>
      <c r="I5" s="122">
        <v>1.37</v>
      </c>
      <c r="J5" s="123">
        <f>H5+I5</f>
        <v>10.183633093525177</v>
      </c>
    </row>
    <row r="6" spans="1:10">
      <c r="A6" s="127">
        <f>A5+1</f>
        <v>2018</v>
      </c>
      <c r="B6" s="122">
        <v>9.9</v>
      </c>
      <c r="C6" s="122">
        <v>1.37</v>
      </c>
      <c r="D6" s="123">
        <f t="shared" ref="D6:D12" si="0">B6+C6</f>
        <v>11.27</v>
      </c>
      <c r="E6" s="122">
        <f>B6*('Proyeccion Gas Cusiana'!J58/'Proyeccion Gas Cusiana'!$F$58)</f>
        <v>10.200479233226838</v>
      </c>
      <c r="F6" s="122">
        <v>1.37</v>
      </c>
      <c r="G6" s="123">
        <f t="shared" ref="G6:G12" si="1">E6+F6</f>
        <v>11.570479233226838</v>
      </c>
      <c r="H6" s="122">
        <f>B6*('Proyeccion Gas Cusiana'!N58/'Proyeccion Gas Cusiana'!$F$58)</f>
        <v>7.2273162939297135</v>
      </c>
      <c r="I6" s="122">
        <v>1.37</v>
      </c>
      <c r="J6" s="123">
        <f t="shared" ref="J6:J12" si="2">H6+I6</f>
        <v>8.5973162939297136</v>
      </c>
    </row>
    <row r="7" spans="1:10">
      <c r="A7" s="127">
        <f t="shared" ref="A7:A12" si="3">A6+1</f>
        <v>2019</v>
      </c>
      <c r="B7" s="122">
        <v>9.35</v>
      </c>
      <c r="C7" s="122">
        <v>1.37</v>
      </c>
      <c r="D7" s="123">
        <f t="shared" si="0"/>
        <v>10.719999999999999</v>
      </c>
      <c r="E7" s="122">
        <f>B7*('Proyeccion Gas Cusiana'!J70/'Proyeccion Gas Cusiana'!$F$70)</f>
        <v>9.8679687499999993</v>
      </c>
      <c r="F7" s="122">
        <v>1.37</v>
      </c>
      <c r="G7" s="123">
        <f t="shared" si="1"/>
        <v>11.23796875</v>
      </c>
      <c r="H7" s="122">
        <f>B7*('Proyeccion Gas Cusiana'!N70/'Proyeccion Gas Cusiana'!$F$70)</f>
        <v>7.4773437499999993</v>
      </c>
      <c r="I7" s="122">
        <v>1.37</v>
      </c>
      <c r="J7" s="123">
        <f t="shared" si="2"/>
        <v>8.8473437500000003</v>
      </c>
    </row>
    <row r="8" spans="1:10">
      <c r="A8" s="127">
        <f t="shared" si="3"/>
        <v>2020</v>
      </c>
      <c r="B8" s="122">
        <v>10.64</v>
      </c>
      <c r="C8" s="122">
        <v>1.37</v>
      </c>
      <c r="D8" s="123">
        <f t="shared" si="0"/>
        <v>12.010000000000002</v>
      </c>
      <c r="E8" s="122">
        <f>B8*('Proyeccion Gas Cusiana'!J82/'Proyeccion Gas Cusiana'!$F$82)</f>
        <v>11.174429223744294</v>
      </c>
      <c r="F8" s="122">
        <v>1.37</v>
      </c>
      <c r="G8" s="123">
        <f t="shared" si="1"/>
        <v>12.544429223744295</v>
      </c>
      <c r="H8" s="122">
        <f>B8*('Proyeccion Gas Cusiana'!N82/'Proyeccion Gas Cusiana'!$F$82)</f>
        <v>8.275555555555556</v>
      </c>
      <c r="I8" s="122">
        <v>1.37</v>
      </c>
      <c r="J8" s="123">
        <f t="shared" si="2"/>
        <v>9.645555555555557</v>
      </c>
    </row>
    <row r="9" spans="1:10">
      <c r="A9" s="127">
        <f t="shared" si="3"/>
        <v>2021</v>
      </c>
      <c r="B9" s="122">
        <v>11.17</v>
      </c>
      <c r="C9" s="122">
        <v>1.37</v>
      </c>
      <c r="D9" s="123">
        <f t="shared" si="0"/>
        <v>12.54</v>
      </c>
      <c r="E9" s="122">
        <f>B9*('Proyeccion Gas Cusiana'!J94/'Proyeccion Gas Cusiana'!$F$94)</f>
        <v>11.801966053748231</v>
      </c>
      <c r="F9" s="122">
        <v>1.37</v>
      </c>
      <c r="G9" s="123">
        <f t="shared" si="1"/>
        <v>13.171966053748232</v>
      </c>
      <c r="H9" s="122">
        <f>B9*('Proyeccion Gas Cusiana'!N94/'Proyeccion Gas Cusiana'!$F$94)</f>
        <v>9.0529137199434224</v>
      </c>
      <c r="I9" s="122">
        <v>1.37</v>
      </c>
      <c r="J9" s="123">
        <f t="shared" si="2"/>
        <v>10.422913719943423</v>
      </c>
    </row>
    <row r="10" spans="1:10">
      <c r="A10" s="127">
        <f t="shared" si="3"/>
        <v>2022</v>
      </c>
      <c r="B10" s="122">
        <v>11.14</v>
      </c>
      <c r="C10" s="122">
        <v>1.37</v>
      </c>
      <c r="D10" s="123">
        <f t="shared" si="0"/>
        <v>12.510000000000002</v>
      </c>
      <c r="E10" s="122">
        <f>B10*('Proyeccion Gas Cusiana'!J106/'Proyeccion Gas Cusiana'!$F$106)</f>
        <v>11.769717362045762</v>
      </c>
      <c r="F10" s="122">
        <v>1.37</v>
      </c>
      <c r="G10" s="123">
        <f t="shared" si="1"/>
        <v>13.139717362045761</v>
      </c>
      <c r="H10" s="122">
        <f>B10*('Proyeccion Gas Cusiana'!N106/'Proyeccion Gas Cusiana'!$F$106)</f>
        <v>9.0709286675639298</v>
      </c>
      <c r="I10" s="122">
        <v>1.37</v>
      </c>
      <c r="J10" s="123">
        <f t="shared" si="2"/>
        <v>10.440928667563931</v>
      </c>
    </row>
    <row r="11" spans="1:10">
      <c r="A11" s="127">
        <f t="shared" si="3"/>
        <v>2023</v>
      </c>
      <c r="B11" s="122">
        <v>11.26</v>
      </c>
      <c r="C11" s="122">
        <v>1.37</v>
      </c>
      <c r="D11" s="123">
        <f t="shared" si="0"/>
        <v>12.629999999999999</v>
      </c>
      <c r="E11" s="122">
        <f>B11*('Proyeccion Gas Cusiana'!J118/'Proyeccion Gas Cusiana'!$F$118)</f>
        <v>11.840105680317039</v>
      </c>
      <c r="F11" s="122">
        <v>1.37</v>
      </c>
      <c r="G11" s="123">
        <f t="shared" si="1"/>
        <v>13.210105680317039</v>
      </c>
      <c r="H11" s="122">
        <f>B11*('Proyeccion Gas Cusiana'!N118/'Proyeccion Gas Cusiana'!$F$118)</f>
        <v>9.1478203434610297</v>
      </c>
      <c r="I11" s="122">
        <v>1.37</v>
      </c>
      <c r="J11" s="123">
        <f t="shared" si="2"/>
        <v>10.517820343461029</v>
      </c>
    </row>
    <row r="12" spans="1:10">
      <c r="A12" s="127">
        <f t="shared" si="3"/>
        <v>2024</v>
      </c>
      <c r="B12" s="122">
        <v>11.89</v>
      </c>
      <c r="C12" s="122">
        <v>1.37</v>
      </c>
      <c r="D12" s="123">
        <f t="shared" si="0"/>
        <v>13.260000000000002</v>
      </c>
      <c r="E12" s="122">
        <f>B12*('Proyeccion Gas Cusiana'!J130/'Proyeccion Gas Cusiana'!$F$130)</f>
        <v>12.499743589743588</v>
      </c>
      <c r="F12" s="122">
        <v>1.37</v>
      </c>
      <c r="G12" s="123">
        <f t="shared" si="1"/>
        <v>13.869743589743589</v>
      </c>
      <c r="H12" s="122">
        <f>B12*('Proyeccion Gas Cusiana'!N130/'Proyeccion Gas Cusiana'!$F$130)</f>
        <v>9.9591452991452982</v>
      </c>
      <c r="I12" s="122">
        <v>1.37</v>
      </c>
      <c r="J12" s="123">
        <f t="shared" si="2"/>
        <v>11.329145299145299</v>
      </c>
    </row>
  </sheetData>
  <mergeCells count="3">
    <mergeCell ref="A2:A4"/>
    <mergeCell ref="B2:J2"/>
    <mergeCell ref="B3:J3"/>
  </mergeCells>
  <pageMargins left="0.7" right="0.7" top="0.75" bottom="0.75" header="0.3" footer="0.3"/>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6"/>
  <dimension ref="E2:Q1232"/>
  <sheetViews>
    <sheetView zoomScaleNormal="100" workbookViewId="0">
      <selection activeCell="P3" sqref="P3"/>
    </sheetView>
  </sheetViews>
  <sheetFormatPr baseColWidth="10" defaultRowHeight="15"/>
  <cols>
    <col min="1" max="5" width="11.42578125" style="537"/>
    <col min="6" max="6" width="14.42578125" style="537" bestFit="1" customWidth="1"/>
    <col min="7" max="7" width="20.7109375" style="537" bestFit="1" customWidth="1"/>
    <col min="8" max="8" width="11.42578125" style="537"/>
    <col min="9" max="9" width="21.28515625" style="537" bestFit="1" customWidth="1"/>
    <col min="10" max="10" width="12" style="537" bestFit="1" customWidth="1"/>
    <col min="11" max="11" width="16.7109375" style="537" customWidth="1"/>
    <col min="12" max="12" width="11.42578125" style="537"/>
    <col min="13" max="13" width="19.28515625" style="537" bestFit="1" customWidth="1"/>
    <col min="14" max="14" width="11.42578125" style="537"/>
    <col min="15" max="15" width="17.5703125" style="537" customWidth="1"/>
    <col min="16" max="16" width="14.28515625" style="537" customWidth="1"/>
    <col min="17" max="17" width="17.140625" style="537" customWidth="1"/>
    <col min="18" max="16384" width="11.42578125" style="537"/>
  </cols>
  <sheetData>
    <row r="2" spans="5:17" s="559" customFormat="1" ht="45.75" thickBot="1">
      <c r="E2" s="559" t="s">
        <v>956</v>
      </c>
      <c r="F2" s="559" t="s">
        <v>950</v>
      </c>
      <c r="G2" s="559" t="s">
        <v>951</v>
      </c>
      <c r="H2" s="559" t="s">
        <v>949</v>
      </c>
      <c r="I2" s="559" t="s">
        <v>952</v>
      </c>
      <c r="J2" s="559" t="s">
        <v>955</v>
      </c>
      <c r="K2" s="559" t="s">
        <v>957</v>
      </c>
      <c r="L2" s="559" t="s">
        <v>953</v>
      </c>
      <c r="M2" s="559" t="s">
        <v>954</v>
      </c>
      <c r="N2" s="559" t="s">
        <v>958</v>
      </c>
      <c r="O2" s="559" t="s">
        <v>957</v>
      </c>
      <c r="P2" s="559" t="s">
        <v>973</v>
      </c>
      <c r="Q2" s="559" t="s">
        <v>974</v>
      </c>
    </row>
    <row r="3" spans="5:17" ht="15.75" thickBot="1">
      <c r="E3" s="547">
        <v>41912</v>
      </c>
      <c r="F3" s="548">
        <v>2750</v>
      </c>
      <c r="G3" s="549">
        <f t="shared" ref="G3:G66" si="0">+LN(F3/F4)</f>
        <v>-1.2646961700767421E-2</v>
      </c>
      <c r="H3" s="550">
        <v>1665.7</v>
      </c>
      <c r="I3" s="551">
        <f t="shared" ref="I3:I66" si="1">+LN(H3/H4)</f>
        <v>-7.6431664653832101E-3</v>
      </c>
      <c r="J3" s="537">
        <f>+SLOPE(G3:G1223,I3:I1223)</f>
        <v>0.66097179183072619</v>
      </c>
      <c r="K3" s="537">
        <f>+J3/(1+(1-WACC!$E$12)*WACC!$E$10)</f>
        <v>0.50433215714193647</v>
      </c>
      <c r="L3" s="550">
        <v>13618.86</v>
      </c>
      <c r="M3" s="553">
        <f t="shared" ref="M3:M66" si="2">+LN(L3/L4)</f>
        <v>-7.2532422993692221E-3</v>
      </c>
      <c r="N3" s="537">
        <f>+SLOPE(G3:G1223,M3:M1223)</f>
        <v>0.57724092480150802</v>
      </c>
      <c r="O3" s="537">
        <f>+N3/(1+(1-WACC!$E$12)*WACC!$E$10)</f>
        <v>0.44044415267619552</v>
      </c>
      <c r="P3" s="537">
        <v>0.65800000000000003</v>
      </c>
      <c r="Q3" s="537">
        <f>+P3/(1+(1-WACC!$E$12)*WACC!$E$10)</f>
        <v>0.50206463195691209</v>
      </c>
    </row>
    <row r="4" spans="5:17" ht="15.75" thickBot="1">
      <c r="E4" s="554">
        <v>41911</v>
      </c>
      <c r="F4" s="555">
        <v>2785</v>
      </c>
      <c r="G4" s="549">
        <f t="shared" si="0"/>
        <v>9.0171936501886405E-3</v>
      </c>
      <c r="H4" s="556">
        <v>1678.48</v>
      </c>
      <c r="I4" s="551">
        <f t="shared" si="1"/>
        <v>2.860139212938749E-4</v>
      </c>
      <c r="L4" s="556">
        <v>13718</v>
      </c>
      <c r="M4" s="553">
        <f t="shared" si="2"/>
        <v>2.2901258046874673E-3</v>
      </c>
    </row>
    <row r="5" spans="5:17" ht="15.75" thickBot="1">
      <c r="E5" s="547">
        <v>41908</v>
      </c>
      <c r="F5" s="548">
        <v>2760</v>
      </c>
      <c r="G5" s="549">
        <f t="shared" si="0"/>
        <v>-3.6166404701885504E-3</v>
      </c>
      <c r="H5" s="550">
        <v>1678</v>
      </c>
      <c r="I5" s="551">
        <f t="shared" si="1"/>
        <v>1.7058641712205298E-3</v>
      </c>
      <c r="L5" s="550">
        <v>13686.62</v>
      </c>
      <c r="M5" s="553">
        <f t="shared" si="2"/>
        <v>3.5161718483348297E-3</v>
      </c>
    </row>
    <row r="6" spans="5:17" ht="15.75" thickBot="1">
      <c r="E6" s="554">
        <v>41907</v>
      </c>
      <c r="F6" s="555">
        <v>2770</v>
      </c>
      <c r="G6" s="549">
        <f t="shared" si="0"/>
        <v>3.6166404701885148E-3</v>
      </c>
      <c r="H6" s="556">
        <v>1675.14</v>
      </c>
      <c r="I6" s="551">
        <f t="shared" si="1"/>
        <v>-7.8668225932042417E-3</v>
      </c>
      <c r="L6" s="556">
        <v>13638.58</v>
      </c>
      <c r="M6" s="553">
        <f t="shared" si="2"/>
        <v>-1.2299966151861928E-2</v>
      </c>
    </row>
    <row r="7" spans="5:17" ht="15.75" thickBot="1">
      <c r="E7" s="547">
        <v>41906</v>
      </c>
      <c r="F7" s="548">
        <v>2760</v>
      </c>
      <c r="G7" s="549">
        <f t="shared" si="0"/>
        <v>-1.8099552452395303E-3</v>
      </c>
      <c r="H7" s="550">
        <v>1688.37</v>
      </c>
      <c r="I7" s="551">
        <f t="shared" si="1"/>
        <v>-4.7094225090607462E-3</v>
      </c>
      <c r="L7" s="550">
        <v>13807.37</v>
      </c>
      <c r="M7" s="553">
        <f t="shared" si="2"/>
        <v>-2.6942019386154191E-3</v>
      </c>
    </row>
    <row r="8" spans="5:17" ht="15.75" thickBot="1">
      <c r="E8" s="554">
        <v>41905</v>
      </c>
      <c r="F8" s="555">
        <v>2765</v>
      </c>
      <c r="G8" s="549">
        <f t="shared" si="0"/>
        <v>-1.8066852249490357E-3</v>
      </c>
      <c r="H8" s="556">
        <v>1696.34</v>
      </c>
      <c r="I8" s="551">
        <f t="shared" si="1"/>
        <v>-2.0110740392533816E-2</v>
      </c>
      <c r="L8" s="556">
        <v>13844.62</v>
      </c>
      <c r="M8" s="553">
        <f t="shared" si="2"/>
        <v>-1.8596476894684546E-2</v>
      </c>
    </row>
    <row r="9" spans="5:17" ht="15.75" thickBot="1">
      <c r="E9" s="547">
        <v>41904</v>
      </c>
      <c r="F9" s="548">
        <v>2770</v>
      </c>
      <c r="G9" s="549">
        <f t="shared" si="0"/>
        <v>-3.6036075032985443E-3</v>
      </c>
      <c r="H9" s="550">
        <v>1730.8</v>
      </c>
      <c r="I9" s="551">
        <f t="shared" si="1"/>
        <v>-4.9622458972971694E-3</v>
      </c>
      <c r="L9" s="550">
        <v>14104.49</v>
      </c>
      <c r="M9" s="553">
        <f t="shared" si="2"/>
        <v>-5.3259354512049731E-3</v>
      </c>
    </row>
    <row r="10" spans="5:17" ht="15.75" thickBot="1">
      <c r="E10" s="554">
        <v>41901</v>
      </c>
      <c r="F10" s="555">
        <v>2780</v>
      </c>
      <c r="G10" s="549">
        <f t="shared" si="0"/>
        <v>1.8001805041478473E-3</v>
      </c>
      <c r="H10" s="550">
        <v>1739.41</v>
      </c>
      <c r="I10" s="551">
        <f t="shared" si="1"/>
        <v>-1.2467719132169008E-3</v>
      </c>
      <c r="L10" s="556">
        <v>14179.81</v>
      </c>
      <c r="M10" s="553">
        <f t="shared" si="2"/>
        <v>-4.5468312488002429E-3</v>
      </c>
    </row>
    <row r="11" spans="5:17" ht="15.75" thickBot="1">
      <c r="E11" s="547">
        <v>41900</v>
      </c>
      <c r="F11" s="548">
        <v>2775</v>
      </c>
      <c r="G11" s="549">
        <f t="shared" si="0"/>
        <v>5.4200674693391133E-3</v>
      </c>
      <c r="H11" s="556">
        <v>1741.58</v>
      </c>
      <c r="I11" s="551">
        <f t="shared" si="1"/>
        <v>3.5432881477380179E-3</v>
      </c>
      <c r="L11" s="550">
        <v>14244.43</v>
      </c>
      <c r="M11" s="553">
        <f t="shared" si="2"/>
        <v>3.0964263204897712E-4</v>
      </c>
    </row>
    <row r="12" spans="5:17" ht="15.75" thickBot="1">
      <c r="E12" s="554">
        <v>41899</v>
      </c>
      <c r="F12" s="555">
        <v>2760</v>
      </c>
      <c r="G12" s="549">
        <f t="shared" si="0"/>
        <v>-5.4200674693391446E-3</v>
      </c>
      <c r="H12" s="550">
        <v>1735.42</v>
      </c>
      <c r="I12" s="551">
        <f t="shared" si="1"/>
        <v>4.2327066724613931E-3</v>
      </c>
      <c r="L12" s="556">
        <v>14240.02</v>
      </c>
      <c r="M12" s="553">
        <f t="shared" si="2"/>
        <v>-2.1837472416905024E-4</v>
      </c>
    </row>
    <row r="13" spans="5:17" ht="15.75" thickBot="1">
      <c r="E13" s="547">
        <v>41898</v>
      </c>
      <c r="F13" s="548">
        <v>2775</v>
      </c>
      <c r="G13" s="549">
        <f t="shared" si="0"/>
        <v>-1.8001805041478545E-3</v>
      </c>
      <c r="H13" s="556">
        <v>1728.09</v>
      </c>
      <c r="I13" s="551">
        <f t="shared" si="1"/>
        <v>-2.7968651756166839E-3</v>
      </c>
      <c r="L13" s="550">
        <v>14243.13</v>
      </c>
      <c r="M13" s="553">
        <f t="shared" si="2"/>
        <v>1.5303286236431567E-3</v>
      </c>
    </row>
    <row r="14" spans="5:17" ht="15.75" thickBot="1">
      <c r="E14" s="554">
        <v>41897</v>
      </c>
      <c r="F14" s="555">
        <v>2780</v>
      </c>
      <c r="G14" s="549">
        <f t="shared" si="0"/>
        <v>-1.2511333889107979E-2</v>
      </c>
      <c r="H14" s="550">
        <v>1732.93</v>
      </c>
      <c r="I14" s="551">
        <f t="shared" si="1"/>
        <v>-1.1822684203360147E-3</v>
      </c>
      <c r="L14" s="556">
        <v>14221.35</v>
      </c>
      <c r="M14" s="553">
        <f t="shared" si="2"/>
        <v>-3.501266010729713E-3</v>
      </c>
    </row>
    <row r="15" spans="5:17" ht="15.75" thickBot="1">
      <c r="E15" s="547">
        <v>41894</v>
      </c>
      <c r="F15" s="548">
        <v>2815</v>
      </c>
      <c r="G15" s="549">
        <f t="shared" si="0"/>
        <v>1.2511333889107929E-2</v>
      </c>
      <c r="H15" s="556">
        <v>1734.98</v>
      </c>
      <c r="I15" s="551">
        <f t="shared" si="1"/>
        <v>8.4186252629628365E-4</v>
      </c>
      <c r="L15" s="550">
        <v>14271.23</v>
      </c>
      <c r="M15" s="553">
        <f t="shared" si="2"/>
        <v>1.0193523579017337E-3</v>
      </c>
    </row>
    <row r="16" spans="5:17" ht="15.75" thickBot="1">
      <c r="E16" s="554">
        <v>41893</v>
      </c>
      <c r="F16" s="555">
        <v>2780</v>
      </c>
      <c r="G16" s="549">
        <f t="shared" si="0"/>
        <v>-1.9591009477169751E-2</v>
      </c>
      <c r="H16" s="550">
        <v>1733.52</v>
      </c>
      <c r="I16" s="551">
        <f t="shared" si="1"/>
        <v>-6.0789062312927031E-3</v>
      </c>
      <c r="L16" s="556">
        <v>14256.69</v>
      </c>
      <c r="M16" s="553">
        <f t="shared" si="2"/>
        <v>-6.5494556147753001E-3</v>
      </c>
    </row>
    <row r="17" spans="5:13" ht="15.75" thickBot="1">
      <c r="E17" s="547">
        <v>41892</v>
      </c>
      <c r="F17" s="548">
        <v>2835</v>
      </c>
      <c r="G17" s="549">
        <f t="shared" si="0"/>
        <v>-7.0299059282581738E-3</v>
      </c>
      <c r="H17" s="556">
        <v>1744.09</v>
      </c>
      <c r="I17" s="551">
        <f t="shared" si="1"/>
        <v>1.4344405847185003E-3</v>
      </c>
      <c r="L17" s="550">
        <v>14350.37</v>
      </c>
      <c r="M17" s="553">
        <f t="shared" si="2"/>
        <v>1.1762709805288594E-3</v>
      </c>
    </row>
    <row r="18" spans="5:13" ht="15.75" thickBot="1">
      <c r="E18" s="554">
        <v>41891</v>
      </c>
      <c r="F18" s="555">
        <v>2855</v>
      </c>
      <c r="G18" s="549">
        <f t="shared" si="0"/>
        <v>1.0563478509569246E-2</v>
      </c>
      <c r="H18" s="550">
        <v>1741.59</v>
      </c>
      <c r="I18" s="551">
        <f t="shared" si="1"/>
        <v>-4.7258661090092014E-3</v>
      </c>
      <c r="L18" s="556">
        <v>14333.5</v>
      </c>
      <c r="M18" s="553">
        <f t="shared" si="2"/>
        <v>-8.8151155440446671E-3</v>
      </c>
    </row>
    <row r="19" spans="5:13" ht="15.75" thickBot="1">
      <c r="E19" s="547">
        <v>41890</v>
      </c>
      <c r="F19" s="548">
        <v>2825</v>
      </c>
      <c r="G19" s="549">
        <f t="shared" si="0"/>
        <v>5.3238812527497967E-3</v>
      </c>
      <c r="H19" s="556">
        <v>1749.84</v>
      </c>
      <c r="I19" s="551">
        <f t="shared" si="1"/>
        <v>-6.7492204153417829E-3</v>
      </c>
      <c r="L19" s="550">
        <v>14460.41</v>
      </c>
      <c r="M19" s="553">
        <f t="shared" si="2"/>
        <v>-6.9383321949645933E-3</v>
      </c>
    </row>
    <row r="20" spans="5:13" ht="15.75" thickBot="1">
      <c r="E20" s="554">
        <v>41887</v>
      </c>
      <c r="F20" s="555">
        <v>2810</v>
      </c>
      <c r="G20" s="549">
        <f t="shared" si="0"/>
        <v>-1.7637141486106844E-2</v>
      </c>
      <c r="H20" s="550">
        <v>1761.69</v>
      </c>
      <c r="I20" s="551">
        <f t="shared" si="1"/>
        <v>-4.3556271371329317E-3</v>
      </c>
      <c r="L20" s="556">
        <v>14561.09</v>
      </c>
      <c r="M20" s="553">
        <f t="shared" si="2"/>
        <v>-3.4108163725361982E-3</v>
      </c>
    </row>
    <row r="21" spans="5:13" ht="15.75" thickBot="1">
      <c r="E21" s="547">
        <v>41886</v>
      </c>
      <c r="F21" s="548">
        <v>2860</v>
      </c>
      <c r="G21" s="549">
        <f t="shared" si="0"/>
        <v>-1.0434877292579619E-2</v>
      </c>
      <c r="H21" s="556">
        <v>1769.38</v>
      </c>
      <c r="I21" s="551">
        <f t="shared" si="1"/>
        <v>-6.1246011434749762E-3</v>
      </c>
      <c r="L21" s="550">
        <v>14610.84</v>
      </c>
      <c r="M21" s="553">
        <f t="shared" si="2"/>
        <v>-4.3966381075300045E-3</v>
      </c>
    </row>
    <row r="22" spans="5:13" ht="15.75" thickBot="1">
      <c r="E22" s="554">
        <v>41885</v>
      </c>
      <c r="F22" s="555">
        <v>2890</v>
      </c>
      <c r="G22" s="549">
        <f t="shared" si="0"/>
        <v>5.2038278750270442E-3</v>
      </c>
      <c r="H22" s="550">
        <v>1780.25</v>
      </c>
      <c r="I22" s="551">
        <f t="shared" si="1"/>
        <v>1.5290436901330326E-3</v>
      </c>
      <c r="L22" s="556">
        <v>14675.22</v>
      </c>
      <c r="M22" s="553">
        <f t="shared" si="2"/>
        <v>-2.0639364511456271E-3</v>
      </c>
    </row>
    <row r="23" spans="5:13" ht="15.75" thickBot="1">
      <c r="E23" s="547">
        <v>41884</v>
      </c>
      <c r="F23" s="548">
        <v>2875</v>
      </c>
      <c r="G23" s="549">
        <f t="shared" si="0"/>
        <v>-1.7376198985408486E-3</v>
      </c>
      <c r="H23" s="556">
        <v>1777.53</v>
      </c>
      <c r="I23" s="551">
        <f t="shared" si="1"/>
        <v>4.3327922710081581E-4</v>
      </c>
      <c r="L23" s="550">
        <v>14705.54</v>
      </c>
      <c r="M23" s="553">
        <f t="shared" si="2"/>
        <v>8.6603505269138763E-4</v>
      </c>
    </row>
    <row r="24" spans="5:13" ht="15.75" thickBot="1">
      <c r="E24" s="554">
        <v>41883</v>
      </c>
      <c r="F24" s="555">
        <v>2880</v>
      </c>
      <c r="G24" s="549">
        <f t="shared" si="0"/>
        <v>3.4782643763247925E-3</v>
      </c>
      <c r="H24" s="550">
        <v>1776.76</v>
      </c>
      <c r="I24" s="551">
        <f t="shared" si="1"/>
        <v>3.1454898339648017E-3</v>
      </c>
      <c r="L24" s="556">
        <v>14692.81</v>
      </c>
      <c r="M24" s="553">
        <f t="shared" si="2"/>
        <v>1.484139092187845E-3</v>
      </c>
    </row>
    <row r="25" spans="5:13" ht="15.75" thickBot="1">
      <c r="E25" s="547">
        <v>41880</v>
      </c>
      <c r="F25" s="548">
        <v>2870</v>
      </c>
      <c r="G25" s="549">
        <f t="shared" si="0"/>
        <v>-6.9444723528110461E-3</v>
      </c>
      <c r="H25" s="556">
        <v>1771.18</v>
      </c>
      <c r="I25" s="551">
        <f t="shared" si="1"/>
        <v>4.3398499094694093E-3</v>
      </c>
      <c r="L25" s="550">
        <v>14671.02</v>
      </c>
      <c r="M25" s="553">
        <f t="shared" si="2"/>
        <v>4.8519057446047608E-3</v>
      </c>
    </row>
    <row r="26" spans="5:13" ht="15.75" thickBot="1">
      <c r="E26" s="554">
        <v>41879</v>
      </c>
      <c r="F26" s="555">
        <v>2890</v>
      </c>
      <c r="G26" s="549">
        <f t="shared" si="0"/>
        <v>-1.7286089006177425E-3</v>
      </c>
      <c r="H26" s="550">
        <v>1763.51</v>
      </c>
      <c r="I26" s="551">
        <f t="shared" si="1"/>
        <v>-3.3450410079420724E-4</v>
      </c>
      <c r="L26" s="556">
        <v>14600.01</v>
      </c>
      <c r="M26" s="553">
        <f t="shared" si="2"/>
        <v>2.1962440932468841E-3</v>
      </c>
    </row>
    <row r="27" spans="5:13" ht="15.75" thickBot="1">
      <c r="E27" s="547">
        <v>41878</v>
      </c>
      <c r="F27" s="548">
        <v>2895</v>
      </c>
      <c r="G27" s="549">
        <f t="shared" si="0"/>
        <v>1.7286089006176889E-3</v>
      </c>
      <c r="H27" s="556">
        <v>1764.1</v>
      </c>
      <c r="I27" s="551">
        <f t="shared" si="1"/>
        <v>5.6334334055915328E-3</v>
      </c>
      <c r="L27" s="550">
        <v>14567.98</v>
      </c>
      <c r="M27" s="553">
        <f t="shared" si="2"/>
        <v>8.0173746614860715E-3</v>
      </c>
    </row>
    <row r="28" spans="5:13" ht="15.75" thickBot="1">
      <c r="E28" s="554">
        <v>41877</v>
      </c>
      <c r="F28" s="555">
        <v>2890</v>
      </c>
      <c r="G28" s="549">
        <f t="shared" si="0"/>
        <v>-1.7286089006177425E-3</v>
      </c>
      <c r="H28" s="550">
        <v>1754.19</v>
      </c>
      <c r="I28" s="551">
        <f t="shared" si="1"/>
        <v>2.4314247792301641E-3</v>
      </c>
      <c r="L28" s="556">
        <v>14451.65</v>
      </c>
      <c r="M28" s="553">
        <f t="shared" si="2"/>
        <v>3.4074865905719693E-3</v>
      </c>
    </row>
    <row r="29" spans="5:13" ht="15.75" thickBot="1">
      <c r="E29" s="547">
        <v>41876</v>
      </c>
      <c r="F29" s="548">
        <v>2895</v>
      </c>
      <c r="G29" s="549">
        <f t="shared" si="0"/>
        <v>0</v>
      </c>
      <c r="H29" s="556">
        <v>1749.93</v>
      </c>
      <c r="I29" s="551">
        <f t="shared" si="1"/>
        <v>1.6013454721042137E-3</v>
      </c>
      <c r="L29" s="550">
        <v>14402.49</v>
      </c>
      <c r="M29" s="553">
        <f t="shared" si="2"/>
        <v>1.8298292203890172E-3</v>
      </c>
    </row>
    <row r="30" spans="5:13" ht="15.75" thickBot="1">
      <c r="E30" s="554">
        <v>41873</v>
      </c>
      <c r="F30" s="555">
        <v>2895</v>
      </c>
      <c r="G30" s="549">
        <f t="shared" si="0"/>
        <v>-1.2017312004017327E-2</v>
      </c>
      <c r="H30" s="550">
        <v>1747.13</v>
      </c>
      <c r="I30" s="551">
        <f t="shared" si="1"/>
        <v>-4.6425524298269252E-3</v>
      </c>
      <c r="L30" s="556">
        <v>14376.16</v>
      </c>
      <c r="M30" s="553">
        <f t="shared" si="2"/>
        <v>-3.7471026743385555E-3</v>
      </c>
    </row>
    <row r="31" spans="5:13" ht="15.75" thickBot="1">
      <c r="E31" s="547">
        <v>41872</v>
      </c>
      <c r="F31" s="548">
        <v>2930</v>
      </c>
      <c r="G31" s="549">
        <f t="shared" si="0"/>
        <v>3.4188067487854611E-3</v>
      </c>
      <c r="H31" s="556">
        <v>1755.26</v>
      </c>
      <c r="I31" s="551">
        <f t="shared" si="1"/>
        <v>2.6184222859391934E-3</v>
      </c>
      <c r="L31" s="550">
        <v>14430.13</v>
      </c>
      <c r="M31" s="553">
        <f t="shared" si="2"/>
        <v>3.3615880319639804E-4</v>
      </c>
    </row>
    <row r="32" spans="5:13" ht="15.75" thickBot="1">
      <c r="E32" s="554">
        <v>41871</v>
      </c>
      <c r="F32" s="555">
        <v>2920</v>
      </c>
      <c r="G32" s="549">
        <f t="shared" si="0"/>
        <v>6.8728792877620504E-3</v>
      </c>
      <c r="H32" s="550">
        <v>1750.67</v>
      </c>
      <c r="I32" s="551">
        <f t="shared" si="1"/>
        <v>1.0750630443917743E-2</v>
      </c>
      <c r="L32" s="556">
        <v>14425.28</v>
      </c>
      <c r="M32" s="553">
        <f t="shared" si="2"/>
        <v>8.8122001809631308E-3</v>
      </c>
    </row>
    <row r="33" spans="5:13" ht="15.75" thickBot="1">
      <c r="E33" s="547">
        <v>41870</v>
      </c>
      <c r="F33" s="548">
        <v>2900</v>
      </c>
      <c r="G33" s="549">
        <f t="shared" si="0"/>
        <v>3.4542348680876036E-3</v>
      </c>
      <c r="H33" s="556">
        <v>1731.95</v>
      </c>
      <c r="I33" s="551">
        <f t="shared" si="1"/>
        <v>5.447995666260661E-3</v>
      </c>
      <c r="L33" s="550">
        <v>14298.72</v>
      </c>
      <c r="M33" s="553">
        <f t="shared" si="2"/>
        <v>1.1546453028147561E-2</v>
      </c>
    </row>
    <row r="34" spans="5:13" ht="15.75" thickBot="1">
      <c r="E34" s="554">
        <v>41866</v>
      </c>
      <c r="F34" s="555">
        <v>2890</v>
      </c>
      <c r="G34" s="549">
        <f t="shared" si="0"/>
        <v>8.6881519576378231E-3</v>
      </c>
      <c r="H34" s="550">
        <v>1722.54</v>
      </c>
      <c r="I34" s="551">
        <f t="shared" si="1"/>
        <v>-3.5406551742774001E-4</v>
      </c>
      <c r="L34" s="556">
        <v>14134.57</v>
      </c>
      <c r="M34" s="553">
        <f t="shared" si="2"/>
        <v>-2.9832559370973903E-3</v>
      </c>
    </row>
    <row r="35" spans="5:13" ht="15.75" thickBot="1">
      <c r="E35" s="547">
        <v>41865</v>
      </c>
      <c r="F35" s="548">
        <v>2865</v>
      </c>
      <c r="G35" s="549">
        <f t="shared" si="0"/>
        <v>8.7642979935882576E-3</v>
      </c>
      <c r="H35" s="556">
        <v>1723.15</v>
      </c>
      <c r="I35" s="551">
        <f t="shared" si="1"/>
        <v>-1.837964030639042E-3</v>
      </c>
      <c r="L35" s="550">
        <v>14176.8</v>
      </c>
      <c r="M35" s="553">
        <f t="shared" si="2"/>
        <v>-3.0039200296620825E-3</v>
      </c>
    </row>
    <row r="36" spans="5:13" ht="15.75" thickBot="1">
      <c r="E36" s="554">
        <v>41864</v>
      </c>
      <c r="F36" s="555">
        <v>2840</v>
      </c>
      <c r="G36" s="549">
        <f t="shared" si="0"/>
        <v>2.4956731973867458E-2</v>
      </c>
      <c r="H36" s="550">
        <v>1726.32</v>
      </c>
      <c r="I36" s="551">
        <f t="shared" si="1"/>
        <v>3.4700295361206127E-3</v>
      </c>
      <c r="L36" s="556">
        <v>14219.45</v>
      </c>
      <c r="M36" s="553">
        <f t="shared" si="2"/>
        <v>8.7594481872020993E-4</v>
      </c>
    </row>
    <row r="37" spans="5:13" ht="15.75" thickBot="1">
      <c r="E37" s="547">
        <v>41863</v>
      </c>
      <c r="F37" s="548">
        <v>2770</v>
      </c>
      <c r="G37" s="549">
        <f t="shared" si="0"/>
        <v>-0.14898003749033553</v>
      </c>
      <c r="H37" s="556">
        <v>1720.34</v>
      </c>
      <c r="I37" s="551">
        <f t="shared" si="1"/>
        <v>-1.1840065277921741E-2</v>
      </c>
      <c r="L37" s="550">
        <v>14207</v>
      </c>
      <c r="M37" s="553">
        <f t="shared" si="2"/>
        <v>-1.0473572805281439E-2</v>
      </c>
    </row>
    <row r="38" spans="5:13" ht="15.75" thickBot="1">
      <c r="E38" s="554">
        <v>41862</v>
      </c>
      <c r="F38" s="555">
        <v>3215</v>
      </c>
      <c r="G38" s="549">
        <f t="shared" si="0"/>
        <v>-4.6547795449825161E-3</v>
      </c>
      <c r="H38" s="550">
        <v>1740.83</v>
      </c>
      <c r="I38" s="551">
        <f t="shared" si="1"/>
        <v>1.2107490037234433E-2</v>
      </c>
      <c r="L38" s="556">
        <v>14356.58</v>
      </c>
      <c r="M38" s="553">
        <f t="shared" si="2"/>
        <v>1.3007928190463784E-2</v>
      </c>
    </row>
    <row r="39" spans="5:13" ht="15.75" thickBot="1">
      <c r="E39" s="547">
        <v>41859</v>
      </c>
      <c r="F39" s="548">
        <v>3230</v>
      </c>
      <c r="G39" s="549">
        <f t="shared" si="0"/>
        <v>-7.7101384259674341E-3</v>
      </c>
      <c r="H39" s="556">
        <v>1719.88</v>
      </c>
      <c r="I39" s="551">
        <f t="shared" si="1"/>
        <v>-2.0929502535611233E-4</v>
      </c>
      <c r="L39" s="550">
        <v>14171.04</v>
      </c>
      <c r="M39" s="553">
        <f t="shared" si="2"/>
        <v>-2.3837140682079041E-3</v>
      </c>
    </row>
    <row r="40" spans="5:13" ht="15.75" thickBot="1">
      <c r="E40" s="554">
        <v>41857</v>
      </c>
      <c r="F40" s="555">
        <v>3255</v>
      </c>
      <c r="G40" s="549">
        <f t="shared" si="0"/>
        <v>-7.6511467355197503E-3</v>
      </c>
      <c r="H40" s="550">
        <v>1720.24</v>
      </c>
      <c r="I40" s="551">
        <f t="shared" si="1"/>
        <v>-2.3225577144250125E-3</v>
      </c>
      <c r="L40" s="556">
        <v>14204.86</v>
      </c>
      <c r="M40" s="553">
        <f t="shared" si="2"/>
        <v>-4.0523601687014778E-3</v>
      </c>
    </row>
    <row r="41" spans="5:13" ht="15.75" thickBot="1">
      <c r="E41" s="547">
        <v>41856</v>
      </c>
      <c r="F41" s="548">
        <v>3280</v>
      </c>
      <c r="G41" s="549">
        <f t="shared" si="0"/>
        <v>7.6511467355197295E-3</v>
      </c>
      <c r="H41" s="556">
        <v>1724.24</v>
      </c>
      <c r="I41" s="551">
        <f t="shared" si="1"/>
        <v>6.5576676356461456E-3</v>
      </c>
      <c r="L41" s="550">
        <v>14262.54</v>
      </c>
      <c r="M41" s="553">
        <f t="shared" si="2"/>
        <v>5.2498503726324235E-3</v>
      </c>
    </row>
    <row r="42" spans="5:13" ht="15.75" thickBot="1">
      <c r="E42" s="554">
        <v>41855</v>
      </c>
      <c r="F42" s="555">
        <v>3255</v>
      </c>
      <c r="G42" s="549">
        <f t="shared" si="0"/>
        <v>1.5372793188863979E-3</v>
      </c>
      <c r="H42" s="550">
        <v>1712.97</v>
      </c>
      <c r="I42" s="551">
        <f t="shared" si="1"/>
        <v>1.1691163483507046E-2</v>
      </c>
      <c r="L42" s="556">
        <v>14187.86</v>
      </c>
      <c r="M42" s="553">
        <f t="shared" si="2"/>
        <v>8.6694994078003722E-3</v>
      </c>
    </row>
    <row r="43" spans="5:13" ht="15.75" thickBot="1">
      <c r="E43" s="547">
        <v>41852</v>
      </c>
      <c r="F43" s="548">
        <v>3250</v>
      </c>
      <c r="G43" s="549">
        <f t="shared" si="0"/>
        <v>1.5396461855928362E-3</v>
      </c>
      <c r="H43" s="556">
        <v>1693.06</v>
      </c>
      <c r="I43" s="551">
        <f t="shared" si="1"/>
        <v>-9.0328109694291954E-4</v>
      </c>
      <c r="L43" s="550">
        <v>14065.39</v>
      </c>
      <c r="M43" s="553">
        <f t="shared" si="2"/>
        <v>6.9438753405677662E-3</v>
      </c>
    </row>
    <row r="44" spans="5:13" ht="15.75" thickBot="1">
      <c r="E44" s="554">
        <v>41851</v>
      </c>
      <c r="F44" s="555">
        <v>3245</v>
      </c>
      <c r="G44" s="549">
        <f t="shared" si="0"/>
        <v>1.5420203518151968E-3</v>
      </c>
      <c r="H44" s="550">
        <v>1694.59</v>
      </c>
      <c r="I44" s="551">
        <f t="shared" si="1"/>
        <v>-9.3975165782232816E-3</v>
      </c>
      <c r="L44" s="556">
        <v>13968.06</v>
      </c>
      <c r="M44" s="553">
        <f t="shared" si="2"/>
        <v>-5.3379385092482828E-3</v>
      </c>
    </row>
    <row r="45" spans="5:13" ht="15.75" thickBot="1">
      <c r="E45" s="547">
        <v>41850</v>
      </c>
      <c r="F45" s="548">
        <v>3240</v>
      </c>
      <c r="G45" s="549">
        <f t="shared" si="0"/>
        <v>-1.2270092591814359E-2</v>
      </c>
      <c r="H45" s="556">
        <v>1710.59</v>
      </c>
      <c r="I45" s="551">
        <f t="shared" si="1"/>
        <v>2.1360464357705173E-3</v>
      </c>
      <c r="L45" s="550">
        <v>14042.82</v>
      </c>
      <c r="M45" s="553">
        <f t="shared" si="2"/>
        <v>3.1881982460757945E-3</v>
      </c>
    </row>
    <row r="46" spans="5:13" ht="15.75" thickBot="1">
      <c r="E46" s="554">
        <v>41849</v>
      </c>
      <c r="F46" s="555">
        <v>3280</v>
      </c>
      <c r="G46" s="549">
        <f t="shared" si="0"/>
        <v>9.1884260544061701E-3</v>
      </c>
      <c r="H46" s="550">
        <v>1706.94</v>
      </c>
      <c r="I46" s="551">
        <f t="shared" si="1"/>
        <v>-4.6758007734948887E-3</v>
      </c>
      <c r="L46" s="556">
        <v>13998.12</v>
      </c>
      <c r="M46" s="553">
        <f t="shared" si="2"/>
        <v>-5.9161191526438204E-3</v>
      </c>
    </row>
    <row r="47" spans="5:13" ht="15.75" thickBot="1">
      <c r="E47" s="547">
        <v>41848</v>
      </c>
      <c r="F47" s="548">
        <v>3250</v>
      </c>
      <c r="G47" s="549">
        <f t="shared" si="0"/>
        <v>-1.2232568435634408E-2</v>
      </c>
      <c r="H47" s="556">
        <v>1714.94</v>
      </c>
      <c r="I47" s="551">
        <f t="shared" si="1"/>
        <v>8.214692622130185E-3</v>
      </c>
      <c r="L47" s="550">
        <v>14081.18</v>
      </c>
      <c r="M47" s="553">
        <f t="shared" si="2"/>
        <v>9.5754396602543129E-3</v>
      </c>
    </row>
    <row r="48" spans="5:13" ht="15.75" thickBot="1">
      <c r="E48" s="554">
        <v>41845</v>
      </c>
      <c r="F48" s="555">
        <v>3290</v>
      </c>
      <c r="G48" s="549">
        <f t="shared" si="0"/>
        <v>-9.0772181511166519E-3</v>
      </c>
      <c r="H48" s="550">
        <v>1700.91</v>
      </c>
      <c r="I48" s="551">
        <f t="shared" si="1"/>
        <v>4.2892475335297806E-3</v>
      </c>
      <c r="L48" s="556">
        <v>13946.99</v>
      </c>
      <c r="M48" s="553">
        <f t="shared" si="2"/>
        <v>1.9665139267217406E-3</v>
      </c>
    </row>
    <row r="49" spans="5:13" ht="15.75" thickBot="1">
      <c r="E49" s="547">
        <v>41844</v>
      </c>
      <c r="F49" s="548">
        <v>3320</v>
      </c>
      <c r="G49" s="549">
        <f t="shared" si="0"/>
        <v>0</v>
      </c>
      <c r="H49" s="556">
        <v>1693.63</v>
      </c>
      <c r="I49" s="551">
        <f t="shared" si="1"/>
        <v>-1.1330175472511704E-3</v>
      </c>
      <c r="L49" s="550">
        <v>13919.59</v>
      </c>
      <c r="M49" s="553">
        <f t="shared" si="2"/>
        <v>-2.9604995717622999E-3</v>
      </c>
    </row>
    <row r="50" spans="5:13" ht="15.75" thickBot="1">
      <c r="E50" s="554">
        <v>41843</v>
      </c>
      <c r="F50" s="555">
        <v>3320</v>
      </c>
      <c r="G50" s="549">
        <f t="shared" si="0"/>
        <v>1.364691384118189E-2</v>
      </c>
      <c r="H50" s="550">
        <v>1695.55</v>
      </c>
      <c r="I50" s="551">
        <f t="shared" si="1"/>
        <v>-9.2552480027310283E-4</v>
      </c>
      <c r="L50" s="556">
        <v>13960.86</v>
      </c>
      <c r="M50" s="553">
        <f t="shared" si="2"/>
        <v>-4.833274621180759E-3</v>
      </c>
    </row>
    <row r="51" spans="5:13" ht="15.75" thickBot="1">
      <c r="E51" s="547">
        <v>41842</v>
      </c>
      <c r="F51" s="548">
        <v>3275</v>
      </c>
      <c r="G51" s="549">
        <f t="shared" si="0"/>
        <v>1.6936509530898255E-2</v>
      </c>
      <c r="H51" s="556">
        <v>1697.12</v>
      </c>
      <c r="I51" s="551">
        <f t="shared" si="1"/>
        <v>4.6480533248760263E-3</v>
      </c>
      <c r="L51" s="550">
        <v>14028.5</v>
      </c>
      <c r="M51" s="553">
        <f t="shared" si="2"/>
        <v>9.4820297879419056E-3</v>
      </c>
    </row>
    <row r="52" spans="5:13" ht="15.75" thickBot="1">
      <c r="E52" s="554">
        <v>41841</v>
      </c>
      <c r="F52" s="555">
        <v>3220</v>
      </c>
      <c r="G52" s="549">
        <f t="shared" si="0"/>
        <v>0</v>
      </c>
      <c r="H52" s="550">
        <v>1689.25</v>
      </c>
      <c r="I52" s="551">
        <f t="shared" si="1"/>
        <v>-1.7757783875238471E-4</v>
      </c>
      <c r="L52" s="556">
        <v>13896.11</v>
      </c>
      <c r="M52" s="553">
        <f t="shared" si="2"/>
        <v>-3.4145454739948756E-3</v>
      </c>
    </row>
    <row r="53" spans="5:13" ht="15.75" thickBot="1">
      <c r="E53" s="547">
        <v>41838</v>
      </c>
      <c r="F53" s="548">
        <v>3220</v>
      </c>
      <c r="G53" s="549">
        <f t="shared" si="0"/>
        <v>0</v>
      </c>
      <c r="H53" s="556">
        <v>1689.55</v>
      </c>
      <c r="I53" s="551">
        <f t="shared" si="1"/>
        <v>5.9204880211379668E-4</v>
      </c>
      <c r="L53" s="550">
        <v>13943.64</v>
      </c>
      <c r="M53" s="553">
        <f t="shared" si="2"/>
        <v>2.9404244505807004E-3</v>
      </c>
    </row>
    <row r="54" spans="5:13" ht="15.75" thickBot="1">
      <c r="E54" s="554">
        <v>41837</v>
      </c>
      <c r="F54" s="555">
        <v>3220</v>
      </c>
      <c r="G54" s="549">
        <f t="shared" si="0"/>
        <v>-7.7339905997363392E-3</v>
      </c>
      <c r="H54" s="550">
        <v>1688.55</v>
      </c>
      <c r="I54" s="551">
        <f t="shared" si="1"/>
        <v>9.1836892295439295E-4</v>
      </c>
      <c r="L54" s="556">
        <v>13902.7</v>
      </c>
      <c r="M54" s="553">
        <f t="shared" si="2"/>
        <v>3.1691500408543424E-3</v>
      </c>
    </row>
    <row r="55" spans="5:13" ht="15.75" thickBot="1">
      <c r="E55" s="547">
        <v>41836</v>
      </c>
      <c r="F55" s="548">
        <v>3245</v>
      </c>
      <c r="G55" s="549">
        <f t="shared" si="0"/>
        <v>7.7339905997364771E-3</v>
      </c>
      <c r="H55" s="556">
        <v>1687</v>
      </c>
      <c r="I55" s="551">
        <f t="shared" si="1"/>
        <v>4.0865841281341195E-3</v>
      </c>
      <c r="L55" s="550">
        <v>13858.71</v>
      </c>
      <c r="M55" s="553">
        <f t="shared" si="2"/>
        <v>5.3372239279075636E-3</v>
      </c>
    </row>
    <row r="56" spans="5:13" ht="15.75" thickBot="1">
      <c r="E56" s="554">
        <v>41835</v>
      </c>
      <c r="F56" s="555">
        <v>3220</v>
      </c>
      <c r="G56" s="549">
        <f t="shared" si="0"/>
        <v>1.092907053219023E-2</v>
      </c>
      <c r="H56" s="550">
        <v>1680.12</v>
      </c>
      <c r="I56" s="551">
        <f t="shared" si="1"/>
        <v>3.6552211019073881E-3</v>
      </c>
      <c r="L56" s="556">
        <v>13784.94</v>
      </c>
      <c r="M56" s="553">
        <f t="shared" si="2"/>
        <v>-3.4658916992820884E-3</v>
      </c>
    </row>
    <row r="57" spans="5:13" ht="15.75" thickBot="1">
      <c r="E57" s="547">
        <v>41834</v>
      </c>
      <c r="F57" s="548">
        <v>3185</v>
      </c>
      <c r="G57" s="549">
        <f t="shared" si="0"/>
        <v>-1.568627772626487E-3</v>
      </c>
      <c r="H57" s="556">
        <v>1673.99</v>
      </c>
      <c r="I57" s="551">
        <f t="shared" si="1"/>
        <v>-6.1103625248424822E-3</v>
      </c>
      <c r="L57" s="550">
        <v>13832.8</v>
      </c>
      <c r="M57" s="553">
        <f t="shared" si="2"/>
        <v>-6.2301905359441519E-3</v>
      </c>
    </row>
    <row r="58" spans="5:13" ht="15.75" thickBot="1">
      <c r="E58" s="554">
        <v>41831</v>
      </c>
      <c r="F58" s="555">
        <v>3190</v>
      </c>
      <c r="G58" s="549">
        <f t="shared" si="0"/>
        <v>1.5686277726264339E-3</v>
      </c>
      <c r="H58" s="550">
        <v>1684.25</v>
      </c>
      <c r="I58" s="551">
        <f t="shared" si="1"/>
        <v>5.8176915416783739E-3</v>
      </c>
      <c r="L58" s="556">
        <v>13919.25</v>
      </c>
      <c r="M58" s="553">
        <f t="shared" si="2"/>
        <v>4.3819487460741045E-3</v>
      </c>
    </row>
    <row r="59" spans="5:13" ht="15.75" thickBot="1">
      <c r="E59" s="547">
        <v>41830</v>
      </c>
      <c r="F59" s="548">
        <v>3185</v>
      </c>
      <c r="G59" s="549">
        <f t="shared" si="0"/>
        <v>3.1446566794717814E-3</v>
      </c>
      <c r="H59" s="556">
        <v>1674.48</v>
      </c>
      <c r="I59" s="551">
        <f t="shared" si="1"/>
        <v>-5.8711263616008282E-3</v>
      </c>
      <c r="L59" s="550">
        <v>13858.39</v>
      </c>
      <c r="M59" s="553">
        <f t="shared" si="2"/>
        <v>-8.1201260984852253E-3</v>
      </c>
    </row>
    <row r="60" spans="5:13" ht="15.75" thickBot="1">
      <c r="E60" s="554">
        <v>41829</v>
      </c>
      <c r="F60" s="555">
        <v>3175</v>
      </c>
      <c r="G60" s="549">
        <f t="shared" si="0"/>
        <v>-7.8431774610258926E-3</v>
      </c>
      <c r="H60" s="550">
        <v>1684.34</v>
      </c>
      <c r="I60" s="551">
        <f t="shared" si="1"/>
        <v>-6.6628648177902783E-3</v>
      </c>
      <c r="L60" s="556">
        <v>13971.38</v>
      </c>
      <c r="M60" s="553">
        <f t="shared" si="2"/>
        <v>-6.5689928044449716E-3</v>
      </c>
    </row>
    <row r="61" spans="5:13" ht="15.75" thickBot="1">
      <c r="E61" s="547">
        <v>41828</v>
      </c>
      <c r="F61" s="548">
        <v>3200</v>
      </c>
      <c r="G61" s="549">
        <f t="shared" si="0"/>
        <v>7.8431774610258787E-3</v>
      </c>
      <c r="H61" s="556">
        <v>1695.6</v>
      </c>
      <c r="I61" s="551">
        <f t="shared" si="1"/>
        <v>-3.4382908374916928E-3</v>
      </c>
      <c r="L61" s="550">
        <v>14063.46</v>
      </c>
      <c r="M61" s="553">
        <f t="shared" si="2"/>
        <v>4.7723684334881848E-4</v>
      </c>
    </row>
    <row r="62" spans="5:13" ht="15.75" thickBot="1">
      <c r="E62" s="554">
        <v>41827</v>
      </c>
      <c r="F62" s="555">
        <v>3175</v>
      </c>
      <c r="G62" s="549">
        <f t="shared" si="0"/>
        <v>-7.8431774610258926E-3</v>
      </c>
      <c r="H62" s="550">
        <v>1701.44</v>
      </c>
      <c r="I62" s="551">
        <f t="shared" si="1"/>
        <v>-1.6912528695389862E-3</v>
      </c>
      <c r="L62" s="556">
        <v>14056.75</v>
      </c>
      <c r="M62" s="553">
        <f t="shared" si="2"/>
        <v>-5.5491612941799551E-3</v>
      </c>
    </row>
    <row r="63" spans="5:13" ht="15.75" thickBot="1">
      <c r="E63" s="547">
        <v>41824</v>
      </c>
      <c r="F63" s="548">
        <v>3200</v>
      </c>
      <c r="G63" s="549">
        <f t="shared" si="0"/>
        <v>1.5637219761827589E-3</v>
      </c>
      <c r="H63" s="556">
        <v>1704.32</v>
      </c>
      <c r="I63" s="551">
        <f t="shared" si="1"/>
        <v>-6.8625527282597783E-4</v>
      </c>
      <c r="L63" s="550">
        <v>14134.97</v>
      </c>
      <c r="M63" s="553">
        <f t="shared" si="2"/>
        <v>2.7028824778604384E-4</v>
      </c>
    </row>
    <row r="64" spans="5:13" ht="15.75" thickBot="1">
      <c r="E64" s="554">
        <v>41823</v>
      </c>
      <c r="F64" s="555">
        <v>3195</v>
      </c>
      <c r="G64" s="549">
        <f t="shared" si="0"/>
        <v>1.4184634991956381E-2</v>
      </c>
      <c r="H64" s="550">
        <v>1705.49</v>
      </c>
      <c r="I64" s="551">
        <f t="shared" si="1"/>
        <v>1.2320763803078617E-3</v>
      </c>
      <c r="L64" s="556">
        <v>14131.15</v>
      </c>
      <c r="M64" s="553">
        <f t="shared" si="2"/>
        <v>5.9177588994453517E-4</v>
      </c>
    </row>
    <row r="65" spans="5:13" ht="15.75" thickBot="1">
      <c r="E65" s="547">
        <v>41822</v>
      </c>
      <c r="F65" s="548">
        <v>3150</v>
      </c>
      <c r="G65" s="549">
        <f t="shared" si="0"/>
        <v>0</v>
      </c>
      <c r="H65" s="556">
        <v>1703.39</v>
      </c>
      <c r="I65" s="551">
        <f t="shared" si="1"/>
        <v>-1.0268357055771068E-3</v>
      </c>
      <c r="L65" s="550">
        <v>14122.79</v>
      </c>
      <c r="M65" s="553">
        <f t="shared" si="2"/>
        <v>-1.1611762161676297E-4</v>
      </c>
    </row>
    <row r="66" spans="5:13" ht="15.75" thickBot="1">
      <c r="E66" s="554">
        <v>41821</v>
      </c>
      <c r="F66" s="555">
        <v>3150</v>
      </c>
      <c r="G66" s="549">
        <f t="shared" si="0"/>
        <v>1.600034134644112E-2</v>
      </c>
      <c r="H66" s="550">
        <v>1705.14</v>
      </c>
      <c r="I66" s="551">
        <f t="shared" si="1"/>
        <v>-4.9836858612420788E-4</v>
      </c>
      <c r="L66" s="556">
        <v>14124.43</v>
      </c>
      <c r="M66" s="553">
        <f t="shared" si="2"/>
        <v>3.4496218989933988E-3</v>
      </c>
    </row>
    <row r="67" spans="5:13" ht="15.75" thickBot="1">
      <c r="E67" s="547">
        <v>41817</v>
      </c>
      <c r="F67" s="548">
        <v>3100</v>
      </c>
      <c r="G67" s="549">
        <f t="shared" ref="G67:G130" si="3">+LN(F67/F68)</f>
        <v>-1.6116038943415328E-3</v>
      </c>
      <c r="H67" s="556">
        <v>1705.99</v>
      </c>
      <c r="I67" s="551">
        <f t="shared" ref="I67:I130" si="4">+LN(H67/H68)</f>
        <v>-2.7395192538539064E-3</v>
      </c>
      <c r="L67" s="550">
        <v>14075.79</v>
      </c>
      <c r="M67" s="553">
        <f t="shared" ref="M67:M130" si="5">+LN(L67/L68)</f>
        <v>-7.446034973105916E-3</v>
      </c>
    </row>
    <row r="68" spans="5:13" ht="15.75" thickBot="1">
      <c r="E68" s="554">
        <v>41816</v>
      </c>
      <c r="F68" s="555">
        <v>3105</v>
      </c>
      <c r="G68" s="549">
        <f t="shared" si="3"/>
        <v>1.6116038943416128E-3</v>
      </c>
      <c r="H68" s="550">
        <v>1710.67</v>
      </c>
      <c r="I68" s="551">
        <f t="shared" si="4"/>
        <v>-4.0719709038721345E-3</v>
      </c>
      <c r="L68" s="556">
        <v>14180.99</v>
      </c>
      <c r="M68" s="553">
        <f t="shared" si="5"/>
        <v>-2.2596285032734282E-3</v>
      </c>
    </row>
    <row r="69" spans="5:13" ht="15.75" thickBot="1">
      <c r="E69" s="547">
        <v>41815</v>
      </c>
      <c r="F69" s="548">
        <v>3100</v>
      </c>
      <c r="G69" s="549">
        <f t="shared" si="3"/>
        <v>0</v>
      </c>
      <c r="H69" s="556">
        <v>1717.65</v>
      </c>
      <c r="I69" s="551">
        <f t="shared" si="4"/>
        <v>-3.516065632887587E-3</v>
      </c>
      <c r="L69" s="550">
        <v>14213.07</v>
      </c>
      <c r="M69" s="553">
        <f t="shared" si="5"/>
        <v>-2.4194889136717342E-3</v>
      </c>
    </row>
    <row r="70" spans="5:13" ht="15.75" thickBot="1">
      <c r="E70" s="554">
        <v>41814</v>
      </c>
      <c r="F70" s="555">
        <v>3100</v>
      </c>
      <c r="G70" s="549">
        <f t="shared" si="3"/>
        <v>-1.2820688429061434E-2</v>
      </c>
      <c r="H70" s="550">
        <v>1723.7</v>
      </c>
      <c r="I70" s="551">
        <f t="shared" si="4"/>
        <v>-8.2926678435813589E-4</v>
      </c>
      <c r="L70" s="556">
        <v>14247.5</v>
      </c>
      <c r="M70" s="553">
        <f t="shared" si="5"/>
        <v>-3.1429763590307348E-3</v>
      </c>
    </row>
    <row r="71" spans="5:13" ht="15.75" thickBot="1">
      <c r="E71" s="547">
        <v>41810</v>
      </c>
      <c r="F71" s="548">
        <v>3140</v>
      </c>
      <c r="G71" s="549">
        <f t="shared" si="3"/>
        <v>7.9936476807455845E-3</v>
      </c>
      <c r="H71" s="556">
        <v>1725.13</v>
      </c>
      <c r="I71" s="551">
        <f t="shared" si="4"/>
        <v>2.8851002077860156E-3</v>
      </c>
      <c r="L71" s="550">
        <v>14292.35</v>
      </c>
      <c r="M71" s="553">
        <f t="shared" si="5"/>
        <v>5.0792241291379818E-3</v>
      </c>
    </row>
    <row r="72" spans="5:13" ht="15.75" thickBot="1">
      <c r="E72" s="554">
        <v>41809</v>
      </c>
      <c r="F72" s="555">
        <v>3115</v>
      </c>
      <c r="G72" s="549">
        <f t="shared" si="3"/>
        <v>-4.8038523126453896E-3</v>
      </c>
      <c r="H72" s="550">
        <v>1720.16</v>
      </c>
      <c r="I72" s="551">
        <f t="shared" si="4"/>
        <v>-1.2084593615683834E-3</v>
      </c>
      <c r="L72" s="556">
        <v>14219.94</v>
      </c>
      <c r="M72" s="553">
        <f t="shared" si="5"/>
        <v>-2.8132100292394069E-3</v>
      </c>
    </row>
    <row r="73" spans="5:13" ht="15.75" thickBot="1">
      <c r="E73" s="547">
        <v>41808</v>
      </c>
      <c r="F73" s="548">
        <v>3130</v>
      </c>
      <c r="G73" s="549">
        <f t="shared" si="3"/>
        <v>-3.1897953681001494E-3</v>
      </c>
      <c r="H73" s="556">
        <v>1722.24</v>
      </c>
      <c r="I73" s="551">
        <f t="shared" si="4"/>
        <v>1.8481393108063335E-3</v>
      </c>
      <c r="L73" s="550">
        <v>14260</v>
      </c>
      <c r="M73" s="553">
        <f t="shared" si="5"/>
        <v>1.8130029458815467E-3</v>
      </c>
    </row>
    <row r="74" spans="5:13" ht="15.75" thickBot="1">
      <c r="E74" s="554">
        <v>41807</v>
      </c>
      <c r="F74" s="555">
        <v>3140</v>
      </c>
      <c r="G74" s="549">
        <f t="shared" si="3"/>
        <v>6.3897980987709883E-3</v>
      </c>
      <c r="H74" s="550">
        <v>1719.06</v>
      </c>
      <c r="I74" s="551">
        <f t="shared" si="4"/>
        <v>-5.3490644867753784E-3</v>
      </c>
      <c r="L74" s="556">
        <v>14234.17</v>
      </c>
      <c r="M74" s="553">
        <f t="shared" si="5"/>
        <v>-1.152654295959595E-2</v>
      </c>
    </row>
    <row r="75" spans="5:13" ht="15.75" thickBot="1">
      <c r="E75" s="547">
        <v>41806</v>
      </c>
      <c r="F75" s="548">
        <v>3120</v>
      </c>
      <c r="G75" s="549">
        <f t="shared" si="3"/>
        <v>6.1125548541331155E-2</v>
      </c>
      <c r="H75" s="556">
        <v>1728.28</v>
      </c>
      <c r="I75" s="551">
        <f t="shared" si="4"/>
        <v>6.658776624677662E-3</v>
      </c>
      <c r="L75" s="550">
        <v>14399.19</v>
      </c>
      <c r="M75" s="553">
        <f t="shared" si="5"/>
        <v>9.6946061116154787E-3</v>
      </c>
    </row>
    <row r="76" spans="5:13" ht="15.75" thickBot="1">
      <c r="E76" s="554">
        <v>41803</v>
      </c>
      <c r="F76" s="555">
        <v>2935</v>
      </c>
      <c r="G76" s="549">
        <f t="shared" si="3"/>
        <v>1.1996716287631506E-2</v>
      </c>
      <c r="H76" s="550">
        <v>1716.81</v>
      </c>
      <c r="I76" s="551">
        <f t="shared" si="4"/>
        <v>1.148135862577527E-3</v>
      </c>
      <c r="L76" s="556">
        <v>14260.27</v>
      </c>
      <c r="M76" s="553">
        <f t="shared" si="5"/>
        <v>2.1804548419927859E-3</v>
      </c>
    </row>
    <row r="77" spans="5:13" ht="15.75" thickBot="1">
      <c r="E77" s="547">
        <v>41802</v>
      </c>
      <c r="F77" s="548">
        <v>2900</v>
      </c>
      <c r="G77" s="549">
        <f t="shared" si="3"/>
        <v>0</v>
      </c>
      <c r="H77" s="556">
        <v>1714.84</v>
      </c>
      <c r="I77" s="551">
        <f t="shared" si="4"/>
        <v>-3.3532854000477112E-3</v>
      </c>
      <c r="L77" s="550">
        <v>14229.21</v>
      </c>
      <c r="M77" s="553">
        <f t="shared" si="5"/>
        <v>-3.8802394501271801E-3</v>
      </c>
    </row>
    <row r="78" spans="5:13" ht="15.75" thickBot="1">
      <c r="E78" s="554">
        <v>41801</v>
      </c>
      <c r="F78" s="555">
        <v>2900</v>
      </c>
      <c r="G78" s="549">
        <f t="shared" si="3"/>
        <v>-1.7226533114461818E-3</v>
      </c>
      <c r="H78" s="550">
        <v>1720.6</v>
      </c>
      <c r="I78" s="551">
        <f t="shared" si="4"/>
        <v>3.8257442655440176E-3</v>
      </c>
      <c r="L78" s="556">
        <v>14284.53</v>
      </c>
      <c r="M78" s="553">
        <f t="shared" si="5"/>
        <v>7.0477594195239258E-3</v>
      </c>
    </row>
    <row r="79" spans="5:13" ht="15.75" thickBot="1">
      <c r="E79" s="547">
        <v>41800</v>
      </c>
      <c r="F79" s="548">
        <v>2905</v>
      </c>
      <c r="G79" s="549">
        <f t="shared" si="3"/>
        <v>1.5611765472113433E-2</v>
      </c>
      <c r="H79" s="556">
        <v>1714.03</v>
      </c>
      <c r="I79" s="551">
        <f t="shared" si="4"/>
        <v>1.7752607248928694E-2</v>
      </c>
      <c r="L79" s="550">
        <v>14184.21</v>
      </c>
      <c r="M79" s="553">
        <f t="shared" si="5"/>
        <v>1.9289188052099775E-2</v>
      </c>
    </row>
    <row r="80" spans="5:13" ht="15.75" thickBot="1">
      <c r="E80" s="554">
        <v>41799</v>
      </c>
      <c r="F80" s="555">
        <v>2860</v>
      </c>
      <c r="G80" s="549">
        <f t="shared" si="3"/>
        <v>-1.388911216066715E-2</v>
      </c>
      <c r="H80" s="550">
        <v>1683.87</v>
      </c>
      <c r="I80" s="551">
        <f t="shared" si="4"/>
        <v>4.1836458687450947E-3</v>
      </c>
      <c r="L80" s="556">
        <v>13913.23</v>
      </c>
      <c r="M80" s="553">
        <f t="shared" si="5"/>
        <v>9.6255488928544582E-3</v>
      </c>
    </row>
    <row r="81" spans="5:13" ht="15.75" thickBot="1">
      <c r="E81" s="547">
        <v>41796</v>
      </c>
      <c r="F81" s="548">
        <v>2900</v>
      </c>
      <c r="G81" s="549">
        <f t="shared" si="3"/>
        <v>3.4542348680876036E-3</v>
      </c>
      <c r="H81" s="556">
        <v>1676.84</v>
      </c>
      <c r="I81" s="551">
        <f t="shared" si="4"/>
        <v>-3.5539453715036922E-3</v>
      </c>
      <c r="L81" s="550">
        <v>13779.95</v>
      </c>
      <c r="M81" s="553">
        <f t="shared" si="5"/>
        <v>-6.5748786624373898E-3</v>
      </c>
    </row>
    <row r="82" spans="5:13" ht="15.75" thickBot="1">
      <c r="E82" s="554">
        <v>41795</v>
      </c>
      <c r="F82" s="555">
        <v>2890</v>
      </c>
      <c r="G82" s="549">
        <f t="shared" si="3"/>
        <v>2.4519617174318661E-2</v>
      </c>
      <c r="H82" s="550">
        <v>1682.81</v>
      </c>
      <c r="I82" s="551">
        <f t="shared" si="4"/>
        <v>4.4488854404229278E-3</v>
      </c>
      <c r="L82" s="556">
        <v>13870.85</v>
      </c>
      <c r="M82" s="553">
        <f t="shared" si="5"/>
        <v>6.5487540903165246E-3</v>
      </c>
    </row>
    <row r="83" spans="5:13" ht="15.75" thickBot="1">
      <c r="E83" s="547">
        <v>41794</v>
      </c>
      <c r="F83" s="548">
        <v>2820</v>
      </c>
      <c r="G83" s="549">
        <f t="shared" si="3"/>
        <v>-1.7714796483820044E-3</v>
      </c>
      <c r="H83" s="556">
        <v>1675.34</v>
      </c>
      <c r="I83" s="551">
        <f t="shared" si="4"/>
        <v>-2.1643804043597996E-3</v>
      </c>
      <c r="L83" s="550">
        <v>13780.31</v>
      </c>
      <c r="M83" s="553">
        <f t="shared" si="5"/>
        <v>-8.8347942843998222E-4</v>
      </c>
    </row>
    <row r="84" spans="5:13" ht="15.75" thickBot="1">
      <c r="E84" s="554">
        <v>41793</v>
      </c>
      <c r="F84" s="555">
        <v>2825</v>
      </c>
      <c r="G84" s="549">
        <f t="shared" si="3"/>
        <v>-1.5803665173125456E-2</v>
      </c>
      <c r="H84" s="550">
        <v>1678.97</v>
      </c>
      <c r="I84" s="551">
        <f t="shared" si="4"/>
        <v>1.1935360765452114E-2</v>
      </c>
      <c r="L84" s="556">
        <v>13792.49</v>
      </c>
      <c r="M84" s="553">
        <f t="shared" si="5"/>
        <v>9.3910741364637233E-3</v>
      </c>
    </row>
    <row r="85" spans="5:13" ht="15.75" thickBot="1">
      <c r="E85" s="547">
        <v>41789</v>
      </c>
      <c r="F85" s="548">
        <v>2870</v>
      </c>
      <c r="G85" s="549">
        <f t="shared" si="3"/>
        <v>0</v>
      </c>
      <c r="H85" s="556">
        <v>1659.05</v>
      </c>
      <c r="I85" s="551">
        <f t="shared" si="4"/>
        <v>-2.2938620676793719E-3</v>
      </c>
      <c r="L85" s="550">
        <v>13663.57</v>
      </c>
      <c r="M85" s="553">
        <f t="shared" si="5"/>
        <v>-1.5369218018225169E-5</v>
      </c>
    </row>
    <row r="86" spans="5:13" ht="15.75" thickBot="1">
      <c r="E86" s="554">
        <v>41788</v>
      </c>
      <c r="F86" s="555">
        <v>2870</v>
      </c>
      <c r="G86" s="549">
        <f t="shared" si="3"/>
        <v>-1.7406444777839894E-3</v>
      </c>
      <c r="H86" s="550">
        <v>1662.86</v>
      </c>
      <c r="I86" s="551">
        <f t="shared" si="4"/>
        <v>7.8810981064633895E-4</v>
      </c>
      <c r="L86" s="556">
        <v>13663.78</v>
      </c>
      <c r="M86" s="553">
        <f t="shared" si="5"/>
        <v>2.0256483962456358E-3</v>
      </c>
    </row>
    <row r="87" spans="5:13" ht="15.75" thickBot="1">
      <c r="E87" s="547">
        <v>41787</v>
      </c>
      <c r="F87" s="548">
        <v>2875</v>
      </c>
      <c r="G87" s="549">
        <f t="shared" si="3"/>
        <v>0</v>
      </c>
      <c r="H87" s="556">
        <v>1661.55</v>
      </c>
      <c r="I87" s="551">
        <f t="shared" si="4"/>
        <v>-1.1488688515728593E-3</v>
      </c>
      <c r="L87" s="550">
        <v>13636.13</v>
      </c>
      <c r="M87" s="553">
        <f t="shared" si="5"/>
        <v>-4.2533157536014582E-5</v>
      </c>
    </row>
    <row r="88" spans="5:13" ht="15.75" thickBot="1">
      <c r="E88" s="554">
        <v>41786</v>
      </c>
      <c r="F88" s="555">
        <v>2875</v>
      </c>
      <c r="G88" s="549">
        <f t="shared" si="3"/>
        <v>-2.0654779030746025E-2</v>
      </c>
      <c r="H88" s="550">
        <v>1663.46</v>
      </c>
      <c r="I88" s="551">
        <f t="shared" si="4"/>
        <v>-3.0053314806266826E-4</v>
      </c>
      <c r="L88" s="556">
        <v>13636.71</v>
      </c>
      <c r="M88" s="553">
        <f t="shared" si="5"/>
        <v>-1.7964596594648578E-4</v>
      </c>
    </row>
    <row r="89" spans="5:13" ht="15.75" thickBot="1">
      <c r="E89" s="547">
        <v>41785</v>
      </c>
      <c r="F89" s="548">
        <v>2935</v>
      </c>
      <c r="G89" s="549">
        <f t="shared" si="3"/>
        <v>-4.6597447978421427E-2</v>
      </c>
      <c r="H89" s="556">
        <v>1663.96</v>
      </c>
      <c r="I89" s="551">
        <f t="shared" si="4"/>
        <v>-1.6993173795757618E-3</v>
      </c>
      <c r="L89" s="550">
        <v>13639.16</v>
      </c>
      <c r="M89" s="553">
        <f t="shared" si="5"/>
        <v>-8.5599125783676318E-4</v>
      </c>
    </row>
    <row r="90" spans="5:13" ht="15.75" thickBot="1">
      <c r="E90" s="554">
        <v>41782</v>
      </c>
      <c r="F90" s="555">
        <v>3075</v>
      </c>
      <c r="G90" s="549">
        <f t="shared" si="3"/>
        <v>-3.2467560988699812E-3</v>
      </c>
      <c r="H90" s="550">
        <v>1666.79</v>
      </c>
      <c r="I90" s="551">
        <f t="shared" si="4"/>
        <v>1.3327892083836448E-3</v>
      </c>
      <c r="L90" s="556">
        <v>13650.84</v>
      </c>
      <c r="M90" s="553">
        <f t="shared" si="5"/>
        <v>4.2615530935495496E-3</v>
      </c>
    </row>
    <row r="91" spans="5:13" ht="15.75" thickBot="1">
      <c r="E91" s="547">
        <v>41781</v>
      </c>
      <c r="F91" s="548">
        <v>3085</v>
      </c>
      <c r="G91" s="549">
        <f t="shared" si="3"/>
        <v>6.7026757397288333E-2</v>
      </c>
      <c r="H91" s="556">
        <v>1664.57</v>
      </c>
      <c r="I91" s="551">
        <f t="shared" si="4"/>
        <v>-5.338458777192071E-3</v>
      </c>
      <c r="L91" s="550">
        <v>13592.79</v>
      </c>
      <c r="M91" s="553">
        <f t="shared" si="5"/>
        <v>-4.1106352416594464E-3</v>
      </c>
    </row>
    <row r="92" spans="5:13" ht="15.75" thickBot="1">
      <c r="E92" s="554">
        <v>41780</v>
      </c>
      <c r="F92" s="555">
        <v>2885</v>
      </c>
      <c r="G92" s="549">
        <f t="shared" si="3"/>
        <v>-1.7316021642779351E-3</v>
      </c>
      <c r="H92" s="550">
        <v>1673.48</v>
      </c>
      <c r="I92" s="551">
        <f t="shared" si="4"/>
        <v>6.6429492341081222E-3</v>
      </c>
      <c r="L92" s="556">
        <v>13648.78</v>
      </c>
      <c r="M92" s="553">
        <f t="shared" si="5"/>
        <v>1.2949097609297331E-2</v>
      </c>
    </row>
    <row r="93" spans="5:13" ht="15.75" thickBot="1">
      <c r="E93" s="547">
        <v>41779</v>
      </c>
      <c r="F93" s="548">
        <v>2890</v>
      </c>
      <c r="G93" s="549">
        <f t="shared" si="3"/>
        <v>-2.0548668227387677E-2</v>
      </c>
      <c r="H93" s="556">
        <v>1662.4</v>
      </c>
      <c r="I93" s="551">
        <f t="shared" si="4"/>
        <v>-1.2428461116140752E-2</v>
      </c>
      <c r="L93" s="550">
        <v>13473.18</v>
      </c>
      <c r="M93" s="553">
        <f t="shared" si="5"/>
        <v>-1.2241824651985915E-2</v>
      </c>
    </row>
    <row r="94" spans="5:13" ht="15.75" thickBot="1">
      <c r="E94" s="554">
        <v>41778</v>
      </c>
      <c r="F94" s="555">
        <v>2950</v>
      </c>
      <c r="G94" s="549">
        <f t="shared" si="3"/>
        <v>-1.6934805063330315E-3</v>
      </c>
      <c r="H94" s="556">
        <v>1683.19</v>
      </c>
      <c r="I94" s="551">
        <f t="shared" si="4"/>
        <v>-1.1400410936976474E-3</v>
      </c>
      <c r="L94" s="556">
        <v>13639.13</v>
      </c>
      <c r="M94" s="553">
        <f t="shared" si="5"/>
        <v>-1.7010070954965768E-3</v>
      </c>
    </row>
    <row r="95" spans="5:13" ht="15.75" thickBot="1">
      <c r="E95" s="547">
        <v>41775</v>
      </c>
      <c r="F95" s="548">
        <v>2955</v>
      </c>
      <c r="G95" s="549">
        <f t="shared" si="3"/>
        <v>-6.745388139531538E-3</v>
      </c>
      <c r="H95" s="550">
        <v>1685.11</v>
      </c>
      <c r="I95" s="551">
        <f t="shared" si="4"/>
        <v>4.9615198095021799E-3</v>
      </c>
      <c r="L95" s="550">
        <v>13662.35</v>
      </c>
      <c r="M95" s="553">
        <f t="shared" si="5"/>
        <v>4.1454971283024665E-3</v>
      </c>
    </row>
    <row r="96" spans="5:13" ht="15.75" thickBot="1">
      <c r="E96" s="554">
        <v>41774</v>
      </c>
      <c r="F96" s="555">
        <v>2975</v>
      </c>
      <c r="G96" s="549">
        <f t="shared" si="3"/>
        <v>-5.0293484050019733E-3</v>
      </c>
      <c r="H96" s="556">
        <v>1676.77</v>
      </c>
      <c r="I96" s="551">
        <f t="shared" si="4"/>
        <v>-7.5573844806082185E-3</v>
      </c>
      <c r="L96" s="556">
        <v>13605.83</v>
      </c>
      <c r="M96" s="553">
        <f t="shared" si="5"/>
        <v>-8.2294147406086968E-3</v>
      </c>
    </row>
    <row r="97" spans="5:13" ht="15.75" thickBot="1">
      <c r="E97" s="547">
        <v>41773</v>
      </c>
      <c r="F97" s="548">
        <v>2990</v>
      </c>
      <c r="G97" s="549">
        <f t="shared" si="3"/>
        <v>-3.3389012655145986E-3</v>
      </c>
      <c r="H97" s="550">
        <v>1689.49</v>
      </c>
      <c r="I97" s="551">
        <f t="shared" si="4"/>
        <v>3.4335780588342989E-4</v>
      </c>
      <c r="L97" s="550">
        <v>13718.26</v>
      </c>
      <c r="M97" s="553">
        <f t="shared" si="5"/>
        <v>2.0117523143586879E-3</v>
      </c>
    </row>
    <row r="98" spans="5:13" ht="15.75" thickBot="1">
      <c r="E98" s="554">
        <v>41772</v>
      </c>
      <c r="F98" s="555">
        <v>3000</v>
      </c>
      <c r="G98" s="549">
        <f t="shared" si="3"/>
        <v>-3.1175617468449726E-2</v>
      </c>
      <c r="H98" s="556">
        <v>1688.91</v>
      </c>
      <c r="I98" s="551">
        <f t="shared" si="4"/>
        <v>1.4457633955369106E-3</v>
      </c>
      <c r="L98" s="556">
        <v>13690.69</v>
      </c>
      <c r="M98" s="553">
        <f t="shared" si="5"/>
        <v>-1.1028784774215105E-4</v>
      </c>
    </row>
    <row r="99" spans="5:13" ht="15.75" thickBot="1">
      <c r="E99" s="547">
        <v>41771</v>
      </c>
      <c r="F99" s="548">
        <v>3095</v>
      </c>
      <c r="G99" s="549">
        <f t="shared" si="3"/>
        <v>0</v>
      </c>
      <c r="H99" s="550">
        <v>1686.47</v>
      </c>
      <c r="I99" s="551">
        <f t="shared" si="4"/>
        <v>7.2902018658222763E-3</v>
      </c>
      <c r="L99" s="550">
        <v>13692.2</v>
      </c>
      <c r="M99" s="553">
        <f t="shared" si="5"/>
        <v>1.1271122084167501E-2</v>
      </c>
    </row>
    <row r="100" spans="5:13" ht="15.75" thickBot="1">
      <c r="E100" s="554">
        <v>41768</v>
      </c>
      <c r="F100" s="555">
        <v>3095</v>
      </c>
      <c r="G100" s="549">
        <f t="shared" si="3"/>
        <v>-1.6142053545411135E-3</v>
      </c>
      <c r="H100" s="556">
        <v>1674.22</v>
      </c>
      <c r="I100" s="551">
        <f t="shared" si="4"/>
        <v>-3.5836941918075709E-5</v>
      </c>
      <c r="L100" s="556">
        <v>13538.74</v>
      </c>
      <c r="M100" s="553">
        <f t="shared" si="5"/>
        <v>-2.4094317329424421E-3</v>
      </c>
    </row>
    <row r="101" spans="5:13" ht="15.75" thickBot="1">
      <c r="E101" s="547">
        <v>41767</v>
      </c>
      <c r="F101" s="548">
        <v>3100</v>
      </c>
      <c r="G101" s="549">
        <f t="shared" si="3"/>
        <v>-6.4308903302904025E-3</v>
      </c>
      <c r="H101" s="550">
        <v>1674.28</v>
      </c>
      <c r="I101" s="551">
        <f t="shared" si="4"/>
        <v>6.3031208909172225E-3</v>
      </c>
      <c r="L101" s="550">
        <v>13571.4</v>
      </c>
      <c r="M101" s="553">
        <f t="shared" si="5"/>
        <v>2.1827007386938367E-3</v>
      </c>
    </row>
    <row r="102" spans="5:13" ht="15.75" thickBot="1">
      <c r="E102" s="554">
        <v>41766</v>
      </c>
      <c r="F102" s="555">
        <v>3120</v>
      </c>
      <c r="G102" s="549">
        <f t="shared" si="3"/>
        <v>-3.2000027306709027E-3</v>
      </c>
      <c r="H102" s="556">
        <v>1663.76</v>
      </c>
      <c r="I102" s="551">
        <f t="shared" si="4"/>
        <v>7.1236929306029012E-3</v>
      </c>
      <c r="L102" s="556">
        <v>13541.81</v>
      </c>
      <c r="M102" s="553">
        <f t="shared" si="5"/>
        <v>7.8405434523992051E-3</v>
      </c>
    </row>
    <row r="103" spans="5:13" ht="15.75" thickBot="1">
      <c r="E103" s="547">
        <v>41765</v>
      </c>
      <c r="F103" s="548">
        <v>3130</v>
      </c>
      <c r="G103" s="549">
        <f t="shared" si="3"/>
        <v>6.4102783609190188E-3</v>
      </c>
      <c r="H103" s="550">
        <v>1651.95</v>
      </c>
      <c r="I103" s="551">
        <f t="shared" si="4"/>
        <v>9.6296236444597203E-4</v>
      </c>
      <c r="L103" s="550">
        <v>13436.05</v>
      </c>
      <c r="M103" s="553">
        <f t="shared" si="5"/>
        <v>2.2614034430705199E-3</v>
      </c>
    </row>
    <row r="104" spans="5:13" ht="15.75" thickBot="1">
      <c r="E104" s="554">
        <v>41764</v>
      </c>
      <c r="F104" s="555">
        <v>3110</v>
      </c>
      <c r="G104" s="549">
        <f t="shared" si="3"/>
        <v>-9.600073729019231E-3</v>
      </c>
      <c r="H104" s="556">
        <v>1650.36</v>
      </c>
      <c r="I104" s="551">
        <f t="shared" si="4"/>
        <v>-5.5470096006008801E-3</v>
      </c>
      <c r="L104" s="556">
        <v>13405.7</v>
      </c>
      <c r="M104" s="553">
        <f t="shared" si="5"/>
        <v>-5.2021372226164521E-3</v>
      </c>
    </row>
    <row r="105" spans="5:13" ht="15.75" thickBot="1">
      <c r="E105" s="547">
        <v>41761</v>
      </c>
      <c r="F105" s="548">
        <v>3140</v>
      </c>
      <c r="G105" s="549">
        <f t="shared" si="3"/>
        <v>-7.9302556759775558E-3</v>
      </c>
      <c r="H105" s="550">
        <v>1659.54</v>
      </c>
      <c r="I105" s="551">
        <f t="shared" si="4"/>
        <v>-7.7611201065612614E-3</v>
      </c>
      <c r="L105" s="550">
        <v>13475.62</v>
      </c>
      <c r="M105" s="553">
        <f t="shared" si="5"/>
        <v>-1.1095403807474277E-2</v>
      </c>
    </row>
    <row r="106" spans="5:13" ht="15.75" thickBot="1">
      <c r="E106" s="554">
        <v>41759</v>
      </c>
      <c r="F106" s="555">
        <v>3165</v>
      </c>
      <c r="G106" s="549">
        <f t="shared" si="3"/>
        <v>1.112005104407764E-2</v>
      </c>
      <c r="H106" s="556">
        <v>1672.47</v>
      </c>
      <c r="I106" s="551">
        <f t="shared" si="4"/>
        <v>1.1334751503946569E-2</v>
      </c>
      <c r="L106" s="556">
        <v>13625.97</v>
      </c>
      <c r="M106" s="553">
        <f t="shared" si="5"/>
        <v>9.2352540217465785E-3</v>
      </c>
    </row>
    <row r="107" spans="5:13" ht="15.75" thickBot="1">
      <c r="E107" s="547">
        <v>41758</v>
      </c>
      <c r="F107" s="548">
        <v>3130</v>
      </c>
      <c r="G107" s="549">
        <f t="shared" si="3"/>
        <v>8.0192891666197967E-3</v>
      </c>
      <c r="H107" s="550">
        <v>1653.62</v>
      </c>
      <c r="I107" s="551">
        <f t="shared" si="4"/>
        <v>6.9909136200406513E-3</v>
      </c>
      <c r="L107" s="550">
        <v>13500.71</v>
      </c>
      <c r="M107" s="553">
        <f t="shared" si="5"/>
        <v>1.0037833783336676E-2</v>
      </c>
    </row>
    <row r="108" spans="5:13" ht="15.75" thickBot="1">
      <c r="E108" s="554">
        <v>41757</v>
      </c>
      <c r="F108" s="555">
        <v>3105</v>
      </c>
      <c r="G108" s="549">
        <f t="shared" si="3"/>
        <v>-3.2154368539743547E-3</v>
      </c>
      <c r="H108" s="556">
        <v>1642.1</v>
      </c>
      <c r="I108" s="551">
        <f t="shared" si="4"/>
        <v>3.898208091854028E-4</v>
      </c>
      <c r="L108" s="556">
        <v>13365.87</v>
      </c>
      <c r="M108" s="553">
        <f t="shared" si="5"/>
        <v>-3.2768657188970416E-3</v>
      </c>
    </row>
    <row r="109" spans="5:13" ht="15.75" thickBot="1">
      <c r="E109" s="547">
        <v>41754</v>
      </c>
      <c r="F109" s="548">
        <v>3115</v>
      </c>
      <c r="G109" s="549">
        <f t="shared" si="3"/>
        <v>-6.4000218454675108E-3</v>
      </c>
      <c r="H109" s="550">
        <v>1641.46</v>
      </c>
      <c r="I109" s="551">
        <f t="shared" si="4"/>
        <v>4.2246705080902528E-3</v>
      </c>
      <c r="L109" s="550">
        <v>13409.74</v>
      </c>
      <c r="M109" s="553">
        <f t="shared" si="5"/>
        <v>5.3169720266591849E-3</v>
      </c>
    </row>
    <row r="110" spans="5:13" ht="15.75" thickBot="1">
      <c r="E110" s="554">
        <v>41753</v>
      </c>
      <c r="F110" s="555">
        <v>3135</v>
      </c>
      <c r="G110" s="549">
        <f t="shared" si="3"/>
        <v>-1.4252022707201502E-2</v>
      </c>
      <c r="H110" s="556">
        <v>1634.54</v>
      </c>
      <c r="I110" s="551">
        <f t="shared" si="4"/>
        <v>-9.2138487114433922E-3</v>
      </c>
      <c r="L110" s="556">
        <v>13338.63</v>
      </c>
      <c r="M110" s="553">
        <f t="shared" si="5"/>
        <v>-1.5439513981236195E-2</v>
      </c>
    </row>
    <row r="111" spans="5:13" ht="15.75" thickBot="1">
      <c r="E111" s="547">
        <v>41752</v>
      </c>
      <c r="F111" s="548">
        <v>3180</v>
      </c>
      <c r="G111" s="549">
        <f t="shared" si="3"/>
        <v>1.5735644474305383E-3</v>
      </c>
      <c r="H111" s="550">
        <v>1649.67</v>
      </c>
      <c r="I111" s="551">
        <f t="shared" si="4"/>
        <v>-3.0928015695650232E-3</v>
      </c>
      <c r="L111" s="550">
        <v>13546.17</v>
      </c>
      <c r="M111" s="553">
        <f t="shared" si="5"/>
        <v>-7.6583814516254373E-3</v>
      </c>
    </row>
    <row r="112" spans="5:13" ht="15.75" thickBot="1">
      <c r="E112" s="554">
        <v>41751</v>
      </c>
      <c r="F112" s="555">
        <v>3175</v>
      </c>
      <c r="G112" s="549">
        <f t="shared" si="3"/>
        <v>6.3191363514785324E-3</v>
      </c>
      <c r="H112" s="556">
        <v>1654.78</v>
      </c>
      <c r="I112" s="551">
        <f t="shared" si="4"/>
        <v>-8.4666969852315397E-3</v>
      </c>
      <c r="L112" s="556">
        <v>13650.31</v>
      </c>
      <c r="M112" s="553">
        <f t="shared" si="5"/>
        <v>-8.7046628472972135E-3</v>
      </c>
    </row>
    <row r="113" spans="5:13" ht="15.75" thickBot="1">
      <c r="E113" s="547">
        <v>41750</v>
      </c>
      <c r="F113" s="548">
        <v>3155</v>
      </c>
      <c r="G113" s="549">
        <f t="shared" si="3"/>
        <v>-7.8927007989090421E-3</v>
      </c>
      <c r="H113" s="550">
        <v>1668.85</v>
      </c>
      <c r="I113" s="551">
        <f t="shared" si="4"/>
        <v>-5.3069227933760701E-3</v>
      </c>
      <c r="L113" s="550">
        <v>13769.65</v>
      </c>
      <c r="M113" s="553">
        <f t="shared" si="5"/>
        <v>-5.1271242279484234E-3</v>
      </c>
    </row>
    <row r="114" spans="5:13" ht="15.75" thickBot="1">
      <c r="E114" s="554">
        <v>41745</v>
      </c>
      <c r="F114" s="555">
        <v>3180</v>
      </c>
      <c r="G114" s="549">
        <f t="shared" si="3"/>
        <v>1.4252022707201413E-2</v>
      </c>
      <c r="H114" s="556">
        <v>1677.73</v>
      </c>
      <c r="I114" s="551">
        <f t="shared" si="4"/>
        <v>5.0732562344907436E-3</v>
      </c>
      <c r="L114" s="556">
        <v>13840.43</v>
      </c>
      <c r="M114" s="553">
        <f t="shared" si="5"/>
        <v>2.3227100274748557E-3</v>
      </c>
    </row>
    <row r="115" spans="5:13" ht="15.75" thickBot="1">
      <c r="E115" s="547">
        <v>41744</v>
      </c>
      <c r="F115" s="548">
        <v>3135</v>
      </c>
      <c r="G115" s="549">
        <f t="shared" si="3"/>
        <v>-1.5823114939242641E-2</v>
      </c>
      <c r="H115" s="550">
        <v>1669.24</v>
      </c>
      <c r="I115" s="551">
        <f t="shared" si="4"/>
        <v>-1.1276668979733015E-2</v>
      </c>
      <c r="L115" s="550">
        <v>13808.32</v>
      </c>
      <c r="M115" s="553">
        <f t="shared" si="5"/>
        <v>-1.0026103792393319E-2</v>
      </c>
    </row>
    <row r="116" spans="5:13" ht="15.75" thickBot="1">
      <c r="E116" s="554">
        <v>41743</v>
      </c>
      <c r="F116" s="555">
        <v>3185</v>
      </c>
      <c r="G116" s="549">
        <f t="shared" si="3"/>
        <v>-1.0929070532190317E-2</v>
      </c>
      <c r="H116" s="556">
        <v>1688.17</v>
      </c>
      <c r="I116" s="551">
        <f t="shared" si="4"/>
        <v>6.7578868586511019E-3</v>
      </c>
      <c r="L116" s="556">
        <v>13947.46</v>
      </c>
      <c r="M116" s="553">
        <f t="shared" si="5"/>
        <v>9.0546979354901736E-3</v>
      </c>
    </row>
    <row r="117" spans="5:13" ht="15.75" thickBot="1">
      <c r="E117" s="547">
        <v>41740</v>
      </c>
      <c r="F117" s="548">
        <v>3220</v>
      </c>
      <c r="G117" s="549">
        <f t="shared" si="3"/>
        <v>-4.6475683965469623E-3</v>
      </c>
      <c r="H117" s="550">
        <v>1676.8</v>
      </c>
      <c r="I117" s="551">
        <f t="shared" si="4"/>
        <v>-2.7514593532605514E-3</v>
      </c>
      <c r="L117" s="550">
        <v>13821.74</v>
      </c>
      <c r="M117" s="553">
        <f t="shared" si="5"/>
        <v>5.8548116969558278E-4</v>
      </c>
    </row>
    <row r="118" spans="5:13" ht="15.75" thickBot="1">
      <c r="E118" s="554">
        <v>41739</v>
      </c>
      <c r="F118" s="555">
        <v>3235</v>
      </c>
      <c r="G118" s="549">
        <f t="shared" si="3"/>
        <v>1.5467907182987329E-3</v>
      </c>
      <c r="H118" s="556">
        <v>1681.42</v>
      </c>
      <c r="I118" s="551">
        <f t="shared" si="4"/>
        <v>7.4320048149282714E-3</v>
      </c>
      <c r="L118" s="556">
        <v>13813.65</v>
      </c>
      <c r="M118" s="553">
        <f t="shared" si="5"/>
        <v>4.6075005867897067E-3</v>
      </c>
    </row>
    <row r="119" spans="5:13" ht="15.75" thickBot="1">
      <c r="E119" s="547">
        <v>41738</v>
      </c>
      <c r="F119" s="548">
        <v>3230</v>
      </c>
      <c r="G119" s="549">
        <f t="shared" si="3"/>
        <v>3.4649135413174277E-2</v>
      </c>
      <c r="H119" s="550">
        <v>1668.97</v>
      </c>
      <c r="I119" s="551">
        <f t="shared" si="4"/>
        <v>-2.459569469006914E-3</v>
      </c>
      <c r="L119" s="550">
        <v>13750.15</v>
      </c>
      <c r="M119" s="553">
        <f t="shared" si="5"/>
        <v>-4.2657511885846053E-3</v>
      </c>
    </row>
    <row r="120" spans="5:13" ht="15.75" thickBot="1">
      <c r="E120" s="554">
        <v>41737</v>
      </c>
      <c r="F120" s="555">
        <v>3120</v>
      </c>
      <c r="G120" s="549">
        <f t="shared" si="3"/>
        <v>-2.5317807984289897E-2</v>
      </c>
      <c r="H120" s="556">
        <v>1673.08</v>
      </c>
      <c r="I120" s="551">
        <f t="shared" si="4"/>
        <v>-5.9057342684439114E-3</v>
      </c>
      <c r="L120" s="556">
        <v>13808.93</v>
      </c>
      <c r="M120" s="553">
        <f t="shared" si="5"/>
        <v>-4.7234443336342117E-3</v>
      </c>
    </row>
    <row r="121" spans="5:13" ht="15.75" thickBot="1">
      <c r="E121" s="547">
        <v>41736</v>
      </c>
      <c r="F121" s="548">
        <v>3200</v>
      </c>
      <c r="G121" s="549">
        <f t="shared" si="3"/>
        <v>-4.6765478839017934E-3</v>
      </c>
      <c r="H121" s="550">
        <v>1682.99</v>
      </c>
      <c r="I121" s="551">
        <f t="shared" si="4"/>
        <v>-1.1889889664976899E-2</v>
      </c>
      <c r="L121" s="550">
        <v>13874.31</v>
      </c>
      <c r="M121" s="553">
        <f t="shared" si="5"/>
        <v>-1.1630700208016202E-2</v>
      </c>
    </row>
    <row r="122" spans="5:13" ht="15.75" thickBot="1">
      <c r="E122" s="554">
        <v>41733</v>
      </c>
      <c r="F122" s="555">
        <v>3215</v>
      </c>
      <c r="G122" s="549">
        <f t="shared" si="3"/>
        <v>3.1152673169492786E-3</v>
      </c>
      <c r="H122" s="556">
        <v>1703.12</v>
      </c>
      <c r="I122" s="551">
        <f t="shared" si="4"/>
        <v>-5.790193951214653E-3</v>
      </c>
      <c r="L122" s="556">
        <v>14036.62</v>
      </c>
      <c r="M122" s="553">
        <f t="shared" si="5"/>
        <v>-2.8086948508745202E-3</v>
      </c>
    </row>
    <row r="123" spans="5:13" ht="15.75" thickBot="1">
      <c r="E123" s="547">
        <v>41732</v>
      </c>
      <c r="F123" s="548">
        <v>3205</v>
      </c>
      <c r="G123" s="549">
        <f t="shared" si="3"/>
        <v>-1.7015105005982929E-2</v>
      </c>
      <c r="H123" s="550">
        <v>1713.01</v>
      </c>
      <c r="I123" s="551">
        <f t="shared" si="4"/>
        <v>3.385740450795165E-3</v>
      </c>
      <c r="L123" s="550">
        <v>14076.1</v>
      </c>
      <c r="M123" s="553">
        <f t="shared" si="5"/>
        <v>2.1976233272348912E-3</v>
      </c>
    </row>
    <row r="124" spans="5:13" ht="15.75" thickBot="1">
      <c r="E124" s="554">
        <v>41731</v>
      </c>
      <c r="F124" s="555">
        <v>3260</v>
      </c>
      <c r="G124" s="549">
        <f t="shared" si="3"/>
        <v>-9.1603693986642785E-3</v>
      </c>
      <c r="H124" s="556">
        <v>1707.22</v>
      </c>
      <c r="I124" s="551">
        <f t="shared" si="4"/>
        <v>9.0259799026323629E-3</v>
      </c>
      <c r="L124" s="556">
        <v>14045.2</v>
      </c>
      <c r="M124" s="553">
        <f t="shared" si="5"/>
        <v>1.1083466272000832E-2</v>
      </c>
    </row>
    <row r="125" spans="5:13" ht="15.75" thickBot="1">
      <c r="E125" s="547">
        <v>41730</v>
      </c>
      <c r="F125" s="548">
        <v>3290</v>
      </c>
      <c r="G125" s="549">
        <f t="shared" si="3"/>
        <v>1.8405427542715343E-2</v>
      </c>
      <c r="H125" s="550">
        <v>1691.88</v>
      </c>
      <c r="I125" s="551">
        <f t="shared" si="4"/>
        <v>2.1182311821220799E-3</v>
      </c>
      <c r="L125" s="550">
        <v>13890.39</v>
      </c>
      <c r="M125" s="553">
        <f t="shared" si="5"/>
        <v>4.5733084969595975E-3</v>
      </c>
    </row>
    <row r="126" spans="5:13" ht="15.75" thickBot="1">
      <c r="E126" s="554">
        <v>41729</v>
      </c>
      <c r="F126" s="555">
        <v>3230</v>
      </c>
      <c r="G126" s="549">
        <f t="shared" si="3"/>
        <v>1.0895049405066982E-2</v>
      </c>
      <c r="H126" s="556">
        <v>1688.3</v>
      </c>
      <c r="I126" s="551">
        <f t="shared" si="4"/>
        <v>8.6734114621483081E-3</v>
      </c>
      <c r="L126" s="556">
        <v>13827.01</v>
      </c>
      <c r="M126" s="553">
        <f t="shared" si="5"/>
        <v>1.1032639718706928E-2</v>
      </c>
    </row>
    <row r="127" spans="5:13" ht="15.75" thickBot="1">
      <c r="E127" s="547">
        <v>41726</v>
      </c>
      <c r="F127" s="548">
        <v>3195</v>
      </c>
      <c r="G127" s="549">
        <f t="shared" si="3"/>
        <v>-7.7942717268187972E-3</v>
      </c>
      <c r="H127" s="550">
        <v>1673.72</v>
      </c>
      <c r="I127" s="551">
        <f t="shared" si="4"/>
        <v>5.9205101090770854E-3</v>
      </c>
      <c r="L127" s="550">
        <v>13675.3</v>
      </c>
      <c r="M127" s="553">
        <f t="shared" si="5"/>
        <v>6.095187110855888E-3</v>
      </c>
    </row>
    <row r="128" spans="5:13" ht="15.75" thickBot="1">
      <c r="E128" s="554">
        <v>41725</v>
      </c>
      <c r="F128" s="555">
        <v>3220</v>
      </c>
      <c r="G128" s="549">
        <f t="shared" si="3"/>
        <v>-1.0810916104215617E-2</v>
      </c>
      <c r="H128" s="556">
        <v>1663.84</v>
      </c>
      <c r="I128" s="551">
        <f t="shared" si="4"/>
        <v>1.5029681680005461E-2</v>
      </c>
      <c r="L128" s="556">
        <v>13592.2</v>
      </c>
      <c r="M128" s="553">
        <f t="shared" si="5"/>
        <v>1.4580255220330171E-2</v>
      </c>
    </row>
    <row r="129" spans="5:13" ht="15.75" thickBot="1">
      <c r="E129" s="547">
        <v>41723</v>
      </c>
      <c r="F129" s="548">
        <v>3255</v>
      </c>
      <c r="G129" s="549">
        <f t="shared" si="3"/>
        <v>3.1203779667356074E-2</v>
      </c>
      <c r="H129" s="550">
        <v>1639.02</v>
      </c>
      <c r="I129" s="551">
        <f t="shared" si="4"/>
        <v>1.913842650381355E-2</v>
      </c>
      <c r="L129" s="550">
        <v>13395.46</v>
      </c>
      <c r="M129" s="553">
        <f t="shared" si="5"/>
        <v>1.9668157939683881E-2</v>
      </c>
    </row>
    <row r="130" spans="5:13" ht="15.75" thickBot="1">
      <c r="E130" s="554">
        <v>41719</v>
      </c>
      <c r="F130" s="555">
        <v>3155</v>
      </c>
      <c r="G130" s="549">
        <f t="shared" si="3"/>
        <v>-4.7430918960127367E-3</v>
      </c>
      <c r="H130" s="556">
        <v>1607.95</v>
      </c>
      <c r="I130" s="551">
        <f t="shared" si="4"/>
        <v>-6.4657720456833749E-4</v>
      </c>
      <c r="L130" s="556">
        <v>13134.57</v>
      </c>
      <c r="M130" s="553">
        <f t="shared" si="5"/>
        <v>1.1266705566518721E-3</v>
      </c>
    </row>
    <row r="131" spans="5:13" ht="15.75" thickBot="1">
      <c r="E131" s="547">
        <v>41718</v>
      </c>
      <c r="F131" s="548">
        <v>3170</v>
      </c>
      <c r="G131" s="549">
        <f t="shared" ref="G131:G194" si="6">+LN(F131/F132)</f>
        <v>9.5087879690273561E-3</v>
      </c>
      <c r="H131" s="550">
        <v>1608.99</v>
      </c>
      <c r="I131" s="551">
        <f t="shared" ref="I131:I194" si="7">+LN(H131/H132)</f>
        <v>8.6200704165330586E-3</v>
      </c>
      <c r="L131" s="550">
        <v>13119.78</v>
      </c>
      <c r="M131" s="553">
        <f t="shared" ref="M131:M194" si="8">+LN(L131/L132)</f>
        <v>6.9418378258296384E-3</v>
      </c>
    </row>
    <row r="132" spans="5:13" ht="15.75" thickBot="1">
      <c r="E132" s="554">
        <v>41717</v>
      </c>
      <c r="F132" s="555">
        <v>3140</v>
      </c>
      <c r="G132" s="549">
        <f t="shared" si="6"/>
        <v>3.1897953681000808E-3</v>
      </c>
      <c r="H132" s="556">
        <v>1595.18</v>
      </c>
      <c r="I132" s="551">
        <f t="shared" si="7"/>
        <v>1.6877535243869535E-3</v>
      </c>
      <c r="L132" s="556">
        <v>13029.02</v>
      </c>
      <c r="M132" s="553">
        <f t="shared" si="8"/>
        <v>1.8729179194736041E-4</v>
      </c>
    </row>
    <row r="133" spans="5:13" ht="15.75" thickBot="1">
      <c r="E133" s="547">
        <v>41716</v>
      </c>
      <c r="F133" s="548">
        <v>3130</v>
      </c>
      <c r="G133" s="549">
        <f t="shared" si="6"/>
        <v>-1.1120051044077702E-2</v>
      </c>
      <c r="H133" s="550">
        <v>1592.49</v>
      </c>
      <c r="I133" s="551">
        <f t="shared" si="7"/>
        <v>-2.6777471514882927E-3</v>
      </c>
      <c r="L133" s="550">
        <v>13026.58</v>
      </c>
      <c r="M133" s="553">
        <f t="shared" si="8"/>
        <v>-2.1425484882345355E-3</v>
      </c>
    </row>
    <row r="134" spans="5:13" ht="15.75" thickBot="1">
      <c r="E134" s="554">
        <v>41715</v>
      </c>
      <c r="F134" s="555">
        <v>3165</v>
      </c>
      <c r="G134" s="549">
        <f t="shared" si="6"/>
        <v>1.5810279973187732E-3</v>
      </c>
      <c r="H134" s="556">
        <v>1596.76</v>
      </c>
      <c r="I134" s="551">
        <f t="shared" si="7"/>
        <v>4.3369040018665268E-3</v>
      </c>
      <c r="L134" s="556">
        <v>13054.52</v>
      </c>
      <c r="M134" s="553">
        <f t="shared" si="8"/>
        <v>5.0223499841603493E-3</v>
      </c>
    </row>
    <row r="135" spans="5:13" ht="15.75" thickBot="1">
      <c r="E135" s="547">
        <v>41712</v>
      </c>
      <c r="F135" s="548">
        <v>3160</v>
      </c>
      <c r="G135" s="549">
        <f t="shared" si="6"/>
        <v>1.2739025777429712E-2</v>
      </c>
      <c r="H135" s="550">
        <v>1589.85</v>
      </c>
      <c r="I135" s="551">
        <f t="shared" si="7"/>
        <v>-5.0193034448646973E-3</v>
      </c>
      <c r="L135" s="550">
        <v>12989.12</v>
      </c>
      <c r="M135" s="553">
        <f t="shared" si="8"/>
        <v>-6.7597012443355005E-3</v>
      </c>
    </row>
    <row r="136" spans="5:13" ht="15.75" thickBot="1">
      <c r="E136" s="554">
        <v>41711</v>
      </c>
      <c r="F136" s="555">
        <v>3120</v>
      </c>
      <c r="G136" s="549">
        <f t="shared" si="6"/>
        <v>-3.2000027306709027E-3</v>
      </c>
      <c r="H136" s="550">
        <v>1597.85</v>
      </c>
      <c r="I136" s="551">
        <f t="shared" si="7"/>
        <v>8.1187332879720363E-3</v>
      </c>
      <c r="L136" s="556">
        <v>13077.22</v>
      </c>
      <c r="M136" s="553">
        <f t="shared" si="8"/>
        <v>1.4914271946221008E-2</v>
      </c>
    </row>
    <row r="137" spans="5:13" ht="15.75" thickBot="1">
      <c r="E137" s="547">
        <v>41710</v>
      </c>
      <c r="F137" s="548">
        <v>3130</v>
      </c>
      <c r="G137" s="549">
        <f t="shared" si="6"/>
        <v>9.6308930609613659E-3</v>
      </c>
      <c r="H137" s="556">
        <v>1584.93</v>
      </c>
      <c r="I137" s="551">
        <f t="shared" si="7"/>
        <v>-7.0010125944936147E-4</v>
      </c>
      <c r="L137" s="550">
        <v>12883.63</v>
      </c>
      <c r="M137" s="553">
        <f t="shared" si="8"/>
        <v>-3.0248462494514503E-3</v>
      </c>
    </row>
    <row r="138" spans="5:13" ht="15.75" thickBot="1">
      <c r="E138" s="554">
        <v>41709</v>
      </c>
      <c r="F138" s="555">
        <v>3100</v>
      </c>
      <c r="G138" s="549">
        <f t="shared" si="6"/>
        <v>3.278982282299097E-2</v>
      </c>
      <c r="H138" s="550">
        <v>1586.04</v>
      </c>
      <c r="I138" s="551">
        <f t="shared" si="7"/>
        <v>9.2479471316947743E-3</v>
      </c>
      <c r="L138" s="556">
        <v>12922.66</v>
      </c>
      <c r="M138" s="553">
        <f t="shared" si="8"/>
        <v>9.5957840576432335E-3</v>
      </c>
    </row>
    <row r="139" spans="5:13" ht="15.75" thickBot="1">
      <c r="E139" s="547">
        <v>41708</v>
      </c>
      <c r="F139" s="548">
        <v>3000</v>
      </c>
      <c r="G139" s="549">
        <f t="shared" si="6"/>
        <v>8.3682496705165792E-3</v>
      </c>
      <c r="H139" s="556">
        <v>1571.44</v>
      </c>
      <c r="I139" s="551">
        <f t="shared" si="7"/>
        <v>-2.5451121259265633E-4</v>
      </c>
      <c r="L139" s="550">
        <v>12799.25</v>
      </c>
      <c r="M139" s="553">
        <f t="shared" si="8"/>
        <v>-1.6409366542906195E-3</v>
      </c>
    </row>
    <row r="140" spans="5:13" ht="15.75" thickBot="1">
      <c r="E140" s="554">
        <v>41705</v>
      </c>
      <c r="F140" s="555">
        <v>2975</v>
      </c>
      <c r="G140" s="549">
        <f t="shared" si="6"/>
        <v>-3.3557078469723042E-3</v>
      </c>
      <c r="H140" s="550">
        <v>1571.84</v>
      </c>
      <c r="I140" s="551">
        <f t="shared" si="7"/>
        <v>-1.0801338898184968E-2</v>
      </c>
      <c r="L140" s="556">
        <v>12820.27</v>
      </c>
      <c r="M140" s="553">
        <f t="shared" si="8"/>
        <v>-8.9108497161168466E-3</v>
      </c>
    </row>
    <row r="141" spans="5:13" ht="15.75" thickBot="1">
      <c r="E141" s="547">
        <v>41704</v>
      </c>
      <c r="F141" s="548">
        <v>2985</v>
      </c>
      <c r="G141" s="549">
        <f t="shared" si="6"/>
        <v>3.2343244720224568E-2</v>
      </c>
      <c r="H141" s="556">
        <v>1588.91</v>
      </c>
      <c r="I141" s="551">
        <f t="shared" si="7"/>
        <v>1.6178913455302608E-2</v>
      </c>
      <c r="L141" s="550">
        <v>12935.02</v>
      </c>
      <c r="M141" s="553">
        <f t="shared" si="8"/>
        <v>1.5663565533971902E-2</v>
      </c>
    </row>
    <row r="142" spans="5:13" ht="15.75" thickBot="1">
      <c r="E142" s="554">
        <v>41703</v>
      </c>
      <c r="F142" s="555">
        <v>2890</v>
      </c>
      <c r="G142" s="549">
        <f t="shared" si="6"/>
        <v>-2.0548668227387677E-2</v>
      </c>
      <c r="H142" s="550">
        <v>1563.41</v>
      </c>
      <c r="I142" s="551">
        <f t="shared" si="7"/>
        <v>1.5522076277093707E-2</v>
      </c>
      <c r="L142" s="556">
        <v>12733.99</v>
      </c>
      <c r="M142" s="553">
        <f t="shared" si="8"/>
        <v>1.4943050958720599E-2</v>
      </c>
    </row>
    <row r="143" spans="5:13" ht="15.75" thickBot="1">
      <c r="E143" s="547">
        <v>41702</v>
      </c>
      <c r="F143" s="548">
        <v>2950</v>
      </c>
      <c r="G143" s="549">
        <f t="shared" si="6"/>
        <v>6.8027473227526203E-3</v>
      </c>
      <c r="H143" s="556">
        <v>1539.33</v>
      </c>
      <c r="I143" s="551">
        <f t="shared" si="7"/>
        <v>2.3145895671219562E-2</v>
      </c>
      <c r="L143" s="550">
        <v>12545.12</v>
      </c>
      <c r="M143" s="553">
        <f t="shared" si="8"/>
        <v>2.1034956825440161E-2</v>
      </c>
    </row>
    <row r="144" spans="5:13" ht="15.75" thickBot="1">
      <c r="E144" s="554">
        <v>41701</v>
      </c>
      <c r="F144" s="555">
        <v>2930</v>
      </c>
      <c r="G144" s="549">
        <f t="shared" si="6"/>
        <v>-1.0186845306993018E-2</v>
      </c>
      <c r="H144" s="550">
        <v>1504.11</v>
      </c>
      <c r="I144" s="551">
        <f t="shared" si="7"/>
        <v>-1.0995697343233943E-2</v>
      </c>
      <c r="L144" s="556">
        <v>12283.99</v>
      </c>
      <c r="M144" s="553">
        <f t="shared" si="8"/>
        <v>-1.1264879025649209E-2</v>
      </c>
    </row>
    <row r="145" spans="5:13" ht="15.75" thickBot="1">
      <c r="E145" s="547">
        <v>41698</v>
      </c>
      <c r="F145" s="548">
        <v>2960</v>
      </c>
      <c r="G145" s="549">
        <f t="shared" si="6"/>
        <v>3.7870274055409749E-2</v>
      </c>
      <c r="H145" s="556">
        <v>1520.74</v>
      </c>
      <c r="I145" s="551">
        <f t="shared" si="7"/>
        <v>1.7064162710790049E-2</v>
      </c>
      <c r="L145" s="550">
        <v>12423.15</v>
      </c>
      <c r="M145" s="553">
        <f t="shared" si="8"/>
        <v>1.8780028173922235E-2</v>
      </c>
    </row>
    <row r="146" spans="5:13" ht="15.75" thickBot="1">
      <c r="E146" s="554">
        <v>41697</v>
      </c>
      <c r="F146" s="555">
        <v>2850</v>
      </c>
      <c r="G146" s="549">
        <f t="shared" si="6"/>
        <v>-1.7528488274143605E-3</v>
      </c>
      <c r="H146" s="550">
        <v>1495.01</v>
      </c>
      <c r="I146" s="551">
        <f t="shared" si="7"/>
        <v>4.4043041581686088E-3</v>
      </c>
      <c r="L146" s="556">
        <v>12192.02</v>
      </c>
      <c r="M146" s="553">
        <f t="shared" si="8"/>
        <v>2.4496803564820939E-3</v>
      </c>
    </row>
    <row r="147" spans="5:13" ht="15.75" thickBot="1">
      <c r="E147" s="547">
        <v>41696</v>
      </c>
      <c r="F147" s="548">
        <v>2855</v>
      </c>
      <c r="G147" s="549">
        <f t="shared" si="6"/>
        <v>-1.5638893884454778E-2</v>
      </c>
      <c r="H147" s="556">
        <v>1488.44</v>
      </c>
      <c r="I147" s="551">
        <f t="shared" si="7"/>
        <v>-8.6694145314441511E-3</v>
      </c>
      <c r="L147" s="550">
        <v>12162.19</v>
      </c>
      <c r="M147" s="553">
        <f t="shared" si="8"/>
        <v>-7.8941409762666222E-3</v>
      </c>
    </row>
    <row r="148" spans="5:13" ht="15.75" thickBot="1">
      <c r="E148" s="554">
        <v>41695</v>
      </c>
      <c r="F148" s="555">
        <v>2900</v>
      </c>
      <c r="G148" s="549">
        <f t="shared" si="6"/>
        <v>-3.7229341768356038E-2</v>
      </c>
      <c r="H148" s="550">
        <v>1501.4</v>
      </c>
      <c r="I148" s="551">
        <f t="shared" si="7"/>
        <v>-2.2204033552636563E-2</v>
      </c>
      <c r="L148" s="556">
        <v>12258.58</v>
      </c>
      <c r="M148" s="553">
        <f t="shared" si="8"/>
        <v>-1.9663331398644124E-2</v>
      </c>
    </row>
    <row r="149" spans="5:13" ht="15.75" thickBot="1">
      <c r="E149" s="547">
        <v>41694</v>
      </c>
      <c r="F149" s="548">
        <v>3010</v>
      </c>
      <c r="G149" s="549">
        <f t="shared" si="6"/>
        <v>-3.3167526259939265E-3</v>
      </c>
      <c r="H149" s="556">
        <v>1535.11</v>
      </c>
      <c r="I149" s="551">
        <f t="shared" si="7"/>
        <v>9.497045897202511E-3</v>
      </c>
      <c r="L149" s="550">
        <v>12502.01</v>
      </c>
      <c r="M149" s="553">
        <f t="shared" si="8"/>
        <v>8.8052429522323377E-3</v>
      </c>
    </row>
    <row r="150" spans="5:13" ht="15.75" thickBot="1">
      <c r="E150" s="554">
        <v>41691</v>
      </c>
      <c r="F150" s="555">
        <v>3020</v>
      </c>
      <c r="G150" s="549">
        <f t="shared" si="6"/>
        <v>6.6445427186685108E-3</v>
      </c>
      <c r="H150" s="550">
        <v>1520.6</v>
      </c>
      <c r="I150" s="551">
        <f t="shared" si="7"/>
        <v>-3.0271116847566579E-3</v>
      </c>
      <c r="L150" s="556">
        <v>12392.41</v>
      </c>
      <c r="M150" s="553">
        <f t="shared" si="8"/>
        <v>-4.2395685921831341E-3</v>
      </c>
    </row>
    <row r="151" spans="5:13" ht="15.75" thickBot="1">
      <c r="E151" s="547">
        <v>41690</v>
      </c>
      <c r="F151" s="548">
        <v>3000</v>
      </c>
      <c r="G151" s="549">
        <f t="shared" si="6"/>
        <v>1.3423020332140771E-2</v>
      </c>
      <c r="H151" s="556">
        <v>1525.21</v>
      </c>
      <c r="I151" s="551">
        <f t="shared" si="7"/>
        <v>-1.3584121780378442E-2</v>
      </c>
      <c r="L151" s="550">
        <v>12445.06</v>
      </c>
      <c r="M151" s="553">
        <f t="shared" si="8"/>
        <v>-1.3620691015398223E-2</v>
      </c>
    </row>
    <row r="152" spans="5:13" ht="15.75" thickBot="1">
      <c r="E152" s="554">
        <v>41689</v>
      </c>
      <c r="F152" s="555">
        <v>2960</v>
      </c>
      <c r="G152" s="549">
        <f t="shared" si="6"/>
        <v>0</v>
      </c>
      <c r="H152" s="550">
        <v>1546.07</v>
      </c>
      <c r="I152" s="551">
        <f t="shared" si="7"/>
        <v>7.23144988386737E-3</v>
      </c>
      <c r="L152" s="556">
        <v>12615.73</v>
      </c>
      <c r="M152" s="553">
        <f t="shared" si="8"/>
        <v>3.7197348229335903E-3</v>
      </c>
    </row>
    <row r="153" spans="5:13" ht="15.75" thickBot="1">
      <c r="E153" s="547">
        <v>41688</v>
      </c>
      <c r="F153" s="548">
        <v>2960</v>
      </c>
      <c r="G153" s="549">
        <f t="shared" si="6"/>
        <v>0</v>
      </c>
      <c r="H153" s="556">
        <v>1534.93</v>
      </c>
      <c r="I153" s="551">
        <f t="shared" si="7"/>
        <v>6.628081734317409E-3</v>
      </c>
      <c r="L153" s="550">
        <v>12568.89</v>
      </c>
      <c r="M153" s="553">
        <f t="shared" si="8"/>
        <v>7.4724206025381388E-3</v>
      </c>
    </row>
    <row r="154" spans="5:13" ht="15.75" thickBot="1">
      <c r="E154" s="554">
        <v>41687</v>
      </c>
      <c r="F154" s="555">
        <v>2960</v>
      </c>
      <c r="G154" s="549">
        <f t="shared" si="6"/>
        <v>-1.175496323144362E-2</v>
      </c>
      <c r="H154" s="550">
        <v>1524.79</v>
      </c>
      <c r="I154" s="551">
        <f t="shared" si="7"/>
        <v>-1.6775119098926007E-3</v>
      </c>
      <c r="L154" s="556">
        <v>12475.32</v>
      </c>
      <c r="M154" s="553">
        <f t="shared" si="8"/>
        <v>-2.3546801218323589E-3</v>
      </c>
    </row>
    <row r="155" spans="5:13" ht="15.75" thickBot="1">
      <c r="E155" s="547">
        <v>41684</v>
      </c>
      <c r="F155" s="548">
        <v>2995</v>
      </c>
      <c r="G155" s="549">
        <f t="shared" si="6"/>
        <v>4.4375881400709798E-2</v>
      </c>
      <c r="H155" s="556">
        <v>1527.35</v>
      </c>
      <c r="I155" s="551">
        <f t="shared" si="7"/>
        <v>4.6725683684626972E-3</v>
      </c>
      <c r="L155" s="550">
        <v>12504.73</v>
      </c>
      <c r="M155" s="553">
        <f t="shared" si="8"/>
        <v>3.8009790165649273E-3</v>
      </c>
    </row>
    <row r="156" spans="5:13" ht="15.75" thickBot="1">
      <c r="E156" s="554">
        <v>41683</v>
      </c>
      <c r="F156" s="555">
        <v>2865</v>
      </c>
      <c r="G156" s="549">
        <f t="shared" si="6"/>
        <v>4.0967438488222901E-2</v>
      </c>
      <c r="H156" s="550">
        <v>1520.23</v>
      </c>
      <c r="I156" s="551">
        <f t="shared" si="7"/>
        <v>3.1822086854433039E-3</v>
      </c>
      <c r="L156" s="556">
        <v>12457.29</v>
      </c>
      <c r="M156" s="553">
        <f t="shared" si="8"/>
        <v>3.0124100697773767E-3</v>
      </c>
    </row>
    <row r="157" spans="5:13" ht="15.75" thickBot="1">
      <c r="E157" s="547">
        <v>41682</v>
      </c>
      <c r="F157" s="548">
        <v>2750</v>
      </c>
      <c r="G157" s="549">
        <f t="shared" si="6"/>
        <v>-1.8018505502678365E-2</v>
      </c>
      <c r="H157" s="556">
        <v>1515.4</v>
      </c>
      <c r="I157" s="551">
        <f t="shared" si="7"/>
        <v>1.1588599626806693E-2</v>
      </c>
      <c r="L157" s="550">
        <v>12419.82</v>
      </c>
      <c r="M157" s="553">
        <f t="shared" si="8"/>
        <v>1.5104049448582799E-2</v>
      </c>
    </row>
    <row r="158" spans="5:13" ht="15.75" thickBot="1">
      <c r="E158" s="554">
        <v>41681</v>
      </c>
      <c r="F158" s="555">
        <v>2800</v>
      </c>
      <c r="G158" s="549">
        <f t="shared" si="6"/>
        <v>-2.4692612590371522E-2</v>
      </c>
      <c r="H158" s="550">
        <v>1497.94</v>
      </c>
      <c r="I158" s="551">
        <f t="shared" si="7"/>
        <v>8.9993432077259822E-3</v>
      </c>
      <c r="L158" s="556">
        <v>12233.64</v>
      </c>
      <c r="M158" s="553">
        <f t="shared" si="8"/>
        <v>1.0385913426228341E-2</v>
      </c>
    </row>
    <row r="159" spans="5:13" ht="15.75" thickBot="1">
      <c r="E159" s="547">
        <v>41680</v>
      </c>
      <c r="F159" s="548">
        <v>2870</v>
      </c>
      <c r="G159" s="549">
        <f t="shared" si="6"/>
        <v>-2.7493140580198732E-2</v>
      </c>
      <c r="H159" s="556">
        <v>1484.52</v>
      </c>
      <c r="I159" s="551">
        <f t="shared" si="7"/>
        <v>-1.0086912664151083E-2</v>
      </c>
      <c r="L159" s="550">
        <v>12107.24</v>
      </c>
      <c r="M159" s="553">
        <f t="shared" si="8"/>
        <v>-7.8880359769387953E-3</v>
      </c>
    </row>
    <row r="160" spans="5:13" ht="15.75" thickBot="1">
      <c r="E160" s="554">
        <v>41677</v>
      </c>
      <c r="F160" s="555">
        <v>2950</v>
      </c>
      <c r="G160" s="549">
        <f t="shared" si="6"/>
        <v>-1.0118130165584667E-2</v>
      </c>
      <c r="H160" s="550">
        <v>1499.57</v>
      </c>
      <c r="I160" s="551">
        <f t="shared" si="7"/>
        <v>8.0075950614103015E-3</v>
      </c>
      <c r="L160" s="556">
        <v>12203.12</v>
      </c>
      <c r="M160" s="553">
        <f t="shared" si="8"/>
        <v>2.6092921964381965E-3</v>
      </c>
    </row>
    <row r="161" spans="5:13" ht="15.75" thickBot="1">
      <c r="E161" s="547">
        <v>41676</v>
      </c>
      <c r="F161" s="548">
        <v>2980</v>
      </c>
      <c r="G161" s="549">
        <f t="shared" si="6"/>
        <v>-6.688988150796652E-3</v>
      </c>
      <c r="H161" s="556">
        <v>1487.61</v>
      </c>
      <c r="I161" s="551">
        <f t="shared" si="7"/>
        <v>1.479692599858284E-2</v>
      </c>
      <c r="L161" s="550">
        <v>12171.32</v>
      </c>
      <c r="M161" s="553">
        <f t="shared" si="8"/>
        <v>1.2077916682231576E-2</v>
      </c>
    </row>
    <row r="162" spans="5:13" ht="15.75" thickBot="1">
      <c r="E162" s="554">
        <v>41675</v>
      </c>
      <c r="F162" s="555">
        <v>3000</v>
      </c>
      <c r="G162" s="549">
        <f t="shared" si="6"/>
        <v>1.3423020332140771E-2</v>
      </c>
      <c r="H162" s="550">
        <v>1465.76</v>
      </c>
      <c r="I162" s="551">
        <f t="shared" si="7"/>
        <v>9.5972658001299404E-3</v>
      </c>
      <c r="L162" s="556">
        <v>12025.2</v>
      </c>
      <c r="M162" s="553">
        <f t="shared" si="8"/>
        <v>1.0021608715198645E-2</v>
      </c>
    </row>
    <row r="163" spans="5:13" ht="15.75" thickBot="1">
      <c r="E163" s="547">
        <v>41674</v>
      </c>
      <c r="F163" s="548">
        <v>2960</v>
      </c>
      <c r="G163" s="549">
        <f t="shared" si="6"/>
        <v>-6.7340321813440683E-3</v>
      </c>
      <c r="H163" s="556">
        <v>1451.76</v>
      </c>
      <c r="I163" s="551">
        <f t="shared" si="7"/>
        <v>2.0824003387864159E-3</v>
      </c>
      <c r="L163" s="550">
        <v>11905.29</v>
      </c>
      <c r="M163" s="553">
        <f t="shared" si="8"/>
        <v>4.8592118387133145E-3</v>
      </c>
    </row>
    <row r="164" spans="5:13" ht="15.75" thickBot="1">
      <c r="E164" s="554">
        <v>41673</v>
      </c>
      <c r="F164" s="555">
        <v>2980</v>
      </c>
      <c r="G164" s="549">
        <f t="shared" si="6"/>
        <v>1.3513719166722855E-2</v>
      </c>
      <c r="H164" s="550">
        <v>1448.74</v>
      </c>
      <c r="I164" s="551">
        <f t="shared" si="7"/>
        <v>-7.7696194593759775E-3</v>
      </c>
      <c r="L164" s="556">
        <v>11847.58</v>
      </c>
      <c r="M164" s="553">
        <f t="shared" si="8"/>
        <v>-1.0872865950507592E-2</v>
      </c>
    </row>
    <row r="165" spans="5:13" ht="15.75" thickBot="1">
      <c r="E165" s="547">
        <v>41670</v>
      </c>
      <c r="F165" s="548">
        <v>2940</v>
      </c>
      <c r="G165" s="549">
        <f t="shared" si="6"/>
        <v>-6.7404308801813639E-2</v>
      </c>
      <c r="H165" s="550">
        <v>1460.04</v>
      </c>
      <c r="I165" s="551">
        <f t="shared" si="7"/>
        <v>4.448112770646888E-3</v>
      </c>
      <c r="L165" s="550">
        <v>11977.1</v>
      </c>
      <c r="M165" s="553">
        <f t="shared" si="8"/>
        <v>1.4956366135745729E-3</v>
      </c>
    </row>
    <row r="166" spans="5:13" ht="15.75" thickBot="1">
      <c r="E166" s="554">
        <v>41669</v>
      </c>
      <c r="F166" s="555">
        <v>3145</v>
      </c>
      <c r="G166" s="549">
        <f t="shared" si="6"/>
        <v>-1.4207026644349374E-2</v>
      </c>
      <c r="H166" s="556">
        <v>1453.56</v>
      </c>
      <c r="I166" s="551">
        <f t="shared" si="7"/>
        <v>6.0559350012009169E-4</v>
      </c>
      <c r="L166" s="556">
        <v>11959.2</v>
      </c>
      <c r="M166" s="553">
        <f t="shared" si="8"/>
        <v>8.1978874119305746E-4</v>
      </c>
    </row>
    <row r="167" spans="5:13" ht="15.75" thickBot="1">
      <c r="E167" s="547">
        <v>41668</v>
      </c>
      <c r="F167" s="548">
        <v>3190</v>
      </c>
      <c r="G167" s="549">
        <f t="shared" si="6"/>
        <v>1.2618463959211464E-2</v>
      </c>
      <c r="H167" s="550">
        <v>1452.68</v>
      </c>
      <c r="I167" s="551">
        <f t="shared" si="7"/>
        <v>-5.7110064341083979E-3</v>
      </c>
      <c r="L167" s="550">
        <v>11949.4</v>
      </c>
      <c r="M167" s="553">
        <f t="shared" si="8"/>
        <v>-3.0882687138574219E-3</v>
      </c>
    </row>
    <row r="168" spans="5:13" ht="15.75" thickBot="1">
      <c r="E168" s="554">
        <v>41667</v>
      </c>
      <c r="F168" s="555">
        <v>3150</v>
      </c>
      <c r="G168" s="549">
        <f t="shared" si="6"/>
        <v>-9.47874395454377E-3</v>
      </c>
      <c r="H168" s="556">
        <v>1461</v>
      </c>
      <c r="I168" s="551">
        <f t="shared" si="7"/>
        <v>-8.3632873036524336E-3</v>
      </c>
      <c r="L168" s="556">
        <v>11986.36</v>
      </c>
      <c r="M168" s="553">
        <f t="shared" si="8"/>
        <v>-4.2773779943629901E-3</v>
      </c>
    </row>
    <row r="169" spans="5:13" ht="15.75" thickBot="1">
      <c r="E169" s="547">
        <v>41666</v>
      </c>
      <c r="F169" s="548">
        <v>3180</v>
      </c>
      <c r="G169" s="549">
        <f t="shared" si="6"/>
        <v>-1.8692133012152522E-2</v>
      </c>
      <c r="H169" s="550">
        <v>1473.27</v>
      </c>
      <c r="I169" s="551">
        <f t="shared" si="7"/>
        <v>-1.4487928781055263E-2</v>
      </c>
      <c r="L169" s="550">
        <v>12037.74</v>
      </c>
      <c r="M169" s="553">
        <f t="shared" si="8"/>
        <v>-1.3223649639674331E-2</v>
      </c>
    </row>
    <row r="170" spans="5:13" ht="15.75" thickBot="1">
      <c r="E170" s="554">
        <v>41663</v>
      </c>
      <c r="F170" s="555">
        <v>3240</v>
      </c>
      <c r="G170" s="549">
        <f t="shared" si="6"/>
        <v>1.8692133012152546E-2</v>
      </c>
      <c r="H170" s="556">
        <v>1494.77</v>
      </c>
      <c r="I170" s="551">
        <f t="shared" si="7"/>
        <v>-1.4234855786796421E-2</v>
      </c>
      <c r="L170" s="556">
        <v>12197.98</v>
      </c>
      <c r="M170" s="553">
        <f t="shared" si="8"/>
        <v>-1.6283356227038529E-2</v>
      </c>
    </row>
    <row r="171" spans="5:13" ht="15.75" thickBot="1">
      <c r="E171" s="547">
        <v>41662</v>
      </c>
      <c r="F171" s="548">
        <v>3180</v>
      </c>
      <c r="G171" s="549">
        <f t="shared" si="6"/>
        <v>-2.0234153363967878E-2</v>
      </c>
      <c r="H171" s="550">
        <v>1516.2</v>
      </c>
      <c r="I171" s="551">
        <f t="shared" si="7"/>
        <v>-1.6834159238201269E-2</v>
      </c>
      <c r="L171" s="550">
        <v>12398.23</v>
      </c>
      <c r="M171" s="553">
        <f t="shared" si="8"/>
        <v>-1.3445808271561837E-2</v>
      </c>
    </row>
    <row r="172" spans="5:13" ht="15.75" thickBot="1">
      <c r="E172" s="554">
        <v>41661</v>
      </c>
      <c r="F172" s="555">
        <v>3245</v>
      </c>
      <c r="G172" s="549">
        <f t="shared" si="6"/>
        <v>2.0234153363967791E-2</v>
      </c>
      <c r="H172" s="556">
        <v>1541.94</v>
      </c>
      <c r="I172" s="551">
        <f t="shared" si="7"/>
        <v>5.6256103202393815E-3</v>
      </c>
      <c r="L172" s="556">
        <v>12566.06</v>
      </c>
      <c r="M172" s="553">
        <f t="shared" si="8"/>
        <v>3.6649746139516253E-3</v>
      </c>
    </row>
    <row r="173" spans="5:13" ht="15.75" thickBot="1">
      <c r="E173" s="547">
        <v>41660</v>
      </c>
      <c r="F173" s="548">
        <v>3180</v>
      </c>
      <c r="G173" s="549">
        <f t="shared" si="6"/>
        <v>1.5848192240023713E-2</v>
      </c>
      <c r="H173" s="550">
        <v>1533.29</v>
      </c>
      <c r="I173" s="551">
        <f t="shared" si="7"/>
        <v>-3.0606155537008023E-3</v>
      </c>
      <c r="L173" s="550">
        <v>12520.09</v>
      </c>
      <c r="M173" s="553">
        <f t="shared" si="8"/>
        <v>-1.8608739186046972E-3</v>
      </c>
    </row>
    <row r="174" spans="5:13" ht="15.75" thickBot="1">
      <c r="E174" s="554">
        <v>41659</v>
      </c>
      <c r="F174" s="555">
        <v>3130</v>
      </c>
      <c r="G174" s="549">
        <f t="shared" si="6"/>
        <v>6.4102783609190188E-3</v>
      </c>
      <c r="H174" s="556">
        <v>1537.99</v>
      </c>
      <c r="I174" s="551">
        <f t="shared" si="7"/>
        <v>1.2426524092053492E-3</v>
      </c>
      <c r="L174" s="556">
        <v>12543.41</v>
      </c>
      <c r="M174" s="553">
        <f t="shared" si="8"/>
        <v>-7.1008098783170433E-4</v>
      </c>
    </row>
    <row r="175" spans="5:13" ht="15.75" thickBot="1">
      <c r="E175" s="547">
        <v>41656</v>
      </c>
      <c r="F175" s="548">
        <v>3110</v>
      </c>
      <c r="G175" s="549">
        <f t="shared" si="6"/>
        <v>-1.9108861698046473E-2</v>
      </c>
      <c r="H175" s="550">
        <v>1536.08</v>
      </c>
      <c r="I175" s="551">
        <f t="shared" si="7"/>
        <v>4.8186181917062552E-4</v>
      </c>
      <c r="L175" s="550">
        <v>12552.32</v>
      </c>
      <c r="M175" s="553">
        <f t="shared" si="8"/>
        <v>3.9037370320282386E-5</v>
      </c>
    </row>
    <row r="176" spans="5:13" ht="15.75" thickBot="1">
      <c r="E176" s="554">
        <v>41655</v>
      </c>
      <c r="F176" s="555">
        <v>3170</v>
      </c>
      <c r="G176" s="549">
        <f t="shared" si="6"/>
        <v>-6.2893289075639904E-3</v>
      </c>
      <c r="H176" s="556">
        <v>1535.34</v>
      </c>
      <c r="I176" s="551">
        <f t="shared" si="7"/>
        <v>-8.3992412398081213E-3</v>
      </c>
      <c r="L176" s="556">
        <v>12551.83</v>
      </c>
      <c r="M176" s="553">
        <f t="shared" si="8"/>
        <v>-3.8819282478063724E-3</v>
      </c>
    </row>
    <row r="177" spans="5:13" ht="15.75" thickBot="1">
      <c r="E177" s="547">
        <v>41654</v>
      </c>
      <c r="F177" s="548">
        <v>3190</v>
      </c>
      <c r="G177" s="549">
        <f t="shared" si="6"/>
        <v>0</v>
      </c>
      <c r="H177" s="550">
        <v>1548.29</v>
      </c>
      <c r="I177" s="551">
        <f t="shared" si="7"/>
        <v>3.87628737573001E-3</v>
      </c>
      <c r="L177" s="550">
        <v>12600.65</v>
      </c>
      <c r="M177" s="553">
        <f t="shared" si="8"/>
        <v>3.0202738819233351E-3</v>
      </c>
    </row>
    <row r="178" spans="5:13" ht="15.75" thickBot="1">
      <c r="E178" s="554">
        <v>41653</v>
      </c>
      <c r="F178" s="555">
        <v>3190</v>
      </c>
      <c r="G178" s="549">
        <f t="shared" si="6"/>
        <v>1.5686277726264339E-3</v>
      </c>
      <c r="H178" s="556">
        <v>1542.3</v>
      </c>
      <c r="I178" s="551">
        <f t="shared" si="7"/>
        <v>1.8301116803193808E-3</v>
      </c>
      <c r="L178" s="556">
        <v>12562.65</v>
      </c>
      <c r="M178" s="553">
        <f t="shared" si="8"/>
        <v>7.7242832998510177E-4</v>
      </c>
    </row>
    <row r="179" spans="5:13" ht="15.75" thickBot="1">
      <c r="E179" s="547">
        <v>41652</v>
      </c>
      <c r="F179" s="548">
        <v>3185</v>
      </c>
      <c r="G179" s="549">
        <f t="shared" si="6"/>
        <v>-1.4029848210438555E-2</v>
      </c>
      <c r="H179" s="550">
        <v>1539.48</v>
      </c>
      <c r="I179" s="551">
        <f t="shared" si="7"/>
        <v>-1.6809726338195869E-3</v>
      </c>
      <c r="L179" s="550">
        <v>12552.95</v>
      </c>
      <c r="M179" s="553">
        <f t="shared" si="8"/>
        <v>-2.3981513750710314E-3</v>
      </c>
    </row>
    <row r="180" spans="5:13" ht="15.75" thickBot="1">
      <c r="E180" s="554">
        <v>41649</v>
      </c>
      <c r="F180" s="555">
        <v>3230</v>
      </c>
      <c r="G180" s="549">
        <f t="shared" si="6"/>
        <v>6.2112000926406764E-3</v>
      </c>
      <c r="H180" s="556">
        <v>1542.07</v>
      </c>
      <c r="I180" s="551">
        <f t="shared" si="7"/>
        <v>-1.3737267103161251E-2</v>
      </c>
      <c r="L180" s="556">
        <v>12583.09</v>
      </c>
      <c r="M180" s="553">
        <f t="shared" si="8"/>
        <v>-1.0689624625941743E-2</v>
      </c>
    </row>
    <row r="181" spans="5:13" ht="15.75" thickBot="1">
      <c r="E181" s="547">
        <v>41648</v>
      </c>
      <c r="F181" s="548">
        <v>3210</v>
      </c>
      <c r="G181" s="549">
        <f t="shared" si="6"/>
        <v>-2.461662763535603E-2</v>
      </c>
      <c r="H181" s="550">
        <v>1563.4</v>
      </c>
      <c r="I181" s="551">
        <f t="shared" si="7"/>
        <v>-1.8404442709390237E-3</v>
      </c>
      <c r="L181" s="550">
        <v>12718.32</v>
      </c>
      <c r="M181" s="553">
        <f t="shared" si="8"/>
        <v>-4.9561216169171649E-3</v>
      </c>
    </row>
    <row r="182" spans="5:13" ht="15.75" thickBot="1">
      <c r="E182" s="554">
        <v>41647</v>
      </c>
      <c r="F182" s="555">
        <v>3290</v>
      </c>
      <c r="G182" s="549">
        <f t="shared" si="6"/>
        <v>2.7736754971599619E-2</v>
      </c>
      <c r="H182" s="556">
        <v>1566.28</v>
      </c>
      <c r="I182" s="551">
        <f t="shared" si="7"/>
        <v>-5.939117807965833E-3</v>
      </c>
      <c r="L182" s="556">
        <v>12781.51</v>
      </c>
      <c r="M182" s="553">
        <f t="shared" si="8"/>
        <v>-8.182208440212807E-3</v>
      </c>
    </row>
    <row r="183" spans="5:13" ht="15.75" thickBot="1">
      <c r="E183" s="547">
        <v>41646</v>
      </c>
      <c r="F183" s="548">
        <v>3200</v>
      </c>
      <c r="G183" s="549">
        <f t="shared" si="6"/>
        <v>-6.2305497506360864E-3</v>
      </c>
      <c r="H183" s="550">
        <v>1575.61</v>
      </c>
      <c r="I183" s="551">
        <f t="shared" si="7"/>
        <v>-1.6167055517798828E-2</v>
      </c>
      <c r="L183" s="550">
        <v>12886.52</v>
      </c>
      <c r="M183" s="553">
        <f t="shared" si="8"/>
        <v>-1.1938674211308547E-2</v>
      </c>
    </row>
    <row r="184" spans="5:13" ht="15.75" thickBot="1">
      <c r="E184" s="554">
        <v>41642</v>
      </c>
      <c r="F184" s="555">
        <v>3220</v>
      </c>
      <c r="G184" s="549">
        <f t="shared" si="6"/>
        <v>-1.2345835822299379E-2</v>
      </c>
      <c r="H184" s="556">
        <v>1601.29</v>
      </c>
      <c r="I184" s="551">
        <f t="shared" si="7"/>
        <v>-6.5233996031500274E-3</v>
      </c>
      <c r="L184" s="556">
        <v>13041.29</v>
      </c>
      <c r="M184" s="553">
        <f t="shared" si="8"/>
        <v>-5.3768565838699664E-3</v>
      </c>
    </row>
    <row r="185" spans="5:13" ht="15.75" thickBot="1">
      <c r="E185" s="547">
        <v>41641</v>
      </c>
      <c r="F185" s="548">
        <v>3260</v>
      </c>
      <c r="G185" s="549">
        <f t="shared" si="6"/>
        <v>3.0721990369700588E-3</v>
      </c>
      <c r="H185" s="550">
        <v>1611.77</v>
      </c>
      <c r="I185" s="551">
        <f t="shared" si="7"/>
        <v>3.3808801353331606E-3</v>
      </c>
      <c r="L185" s="550">
        <v>13111.6</v>
      </c>
      <c r="M185" s="553">
        <f t="shared" si="8"/>
        <v>3.080642564815069E-3</v>
      </c>
    </row>
    <row r="186" spans="5:13" ht="15.75" thickBot="1">
      <c r="E186" s="554">
        <v>41638</v>
      </c>
      <c r="F186" s="555">
        <v>3250</v>
      </c>
      <c r="G186" s="549">
        <f t="shared" si="6"/>
        <v>1.0827638652063393E-2</v>
      </c>
      <c r="H186" s="556">
        <v>1606.33</v>
      </c>
      <c r="I186" s="551">
        <f t="shared" si="7"/>
        <v>3.0113838015376872E-3</v>
      </c>
      <c r="L186" s="556">
        <v>13071.27</v>
      </c>
      <c r="M186" s="553">
        <f t="shared" si="8"/>
        <v>4.6192327450619783E-3</v>
      </c>
    </row>
    <row r="187" spans="5:13" ht="15.75" thickBot="1">
      <c r="E187" s="547">
        <v>41635</v>
      </c>
      <c r="F187" s="548">
        <v>3215</v>
      </c>
      <c r="G187" s="549">
        <f t="shared" si="6"/>
        <v>-2.609511078285184E-2</v>
      </c>
      <c r="H187" s="550">
        <v>1601.5</v>
      </c>
      <c r="I187" s="551">
        <f t="shared" si="7"/>
        <v>-7.6149581424121097E-4</v>
      </c>
      <c r="L187" s="550">
        <v>13011.03</v>
      </c>
      <c r="M187" s="553">
        <f t="shared" si="8"/>
        <v>-1.8820141949200478E-3</v>
      </c>
    </row>
    <row r="188" spans="5:13" ht="15.75" thickBot="1">
      <c r="E188" s="554">
        <v>41634</v>
      </c>
      <c r="F188" s="555">
        <v>3300</v>
      </c>
      <c r="G188" s="549">
        <f t="shared" si="6"/>
        <v>0</v>
      </c>
      <c r="H188" s="556">
        <v>1602.72</v>
      </c>
      <c r="I188" s="551">
        <f t="shared" si="7"/>
        <v>-6.8956570864690319E-3</v>
      </c>
      <c r="L188" s="556">
        <v>13035.54</v>
      </c>
      <c r="M188" s="553">
        <f t="shared" si="8"/>
        <v>-3.8558412089052516E-3</v>
      </c>
    </row>
    <row r="189" spans="5:13" ht="15.75" thickBot="1">
      <c r="E189" s="547">
        <v>41632</v>
      </c>
      <c r="F189" s="548">
        <v>3300</v>
      </c>
      <c r="G189" s="549">
        <f t="shared" si="6"/>
        <v>0</v>
      </c>
      <c r="H189" s="550">
        <v>1613.81</v>
      </c>
      <c r="I189" s="551">
        <f t="shared" si="7"/>
        <v>6.9705326059531052E-3</v>
      </c>
      <c r="L189" s="550">
        <v>13085.9</v>
      </c>
      <c r="M189" s="553">
        <f t="shared" si="8"/>
        <v>3.4769490268086092E-3</v>
      </c>
    </row>
    <row r="190" spans="5:13" ht="15.75" thickBot="1">
      <c r="E190" s="554">
        <v>41631</v>
      </c>
      <c r="F190" s="555">
        <v>3300</v>
      </c>
      <c r="G190" s="549">
        <f t="shared" si="6"/>
        <v>3.0349036951541112E-3</v>
      </c>
      <c r="H190" s="556">
        <v>1602.6</v>
      </c>
      <c r="I190" s="551">
        <f t="shared" si="7"/>
        <v>-1.7216473347746793E-2</v>
      </c>
      <c r="L190" s="556">
        <v>13040.48</v>
      </c>
      <c r="M190" s="553">
        <f t="shared" si="8"/>
        <v>-1.129900381616283E-2</v>
      </c>
    </row>
    <row r="191" spans="5:13" ht="15.75" thickBot="1">
      <c r="E191" s="547">
        <v>41628</v>
      </c>
      <c r="F191" s="548">
        <v>3290</v>
      </c>
      <c r="G191" s="549">
        <f t="shared" si="6"/>
        <v>2.6175474404647237E-2</v>
      </c>
      <c r="H191" s="550">
        <v>1630.43</v>
      </c>
      <c r="I191" s="551">
        <f t="shared" si="7"/>
        <v>1.4200932315419435E-2</v>
      </c>
      <c r="L191" s="550">
        <v>13188.66</v>
      </c>
      <c r="M191" s="553">
        <f t="shared" si="8"/>
        <v>1.2773195186964396E-2</v>
      </c>
    </row>
    <row r="192" spans="5:13" ht="15.75" thickBot="1">
      <c r="E192" s="554">
        <v>41627</v>
      </c>
      <c r="F192" s="555">
        <v>3205</v>
      </c>
      <c r="G192" s="549">
        <f t="shared" si="6"/>
        <v>7.8308935805478392E-3</v>
      </c>
      <c r="H192" s="556">
        <v>1607.44</v>
      </c>
      <c r="I192" s="551">
        <f t="shared" si="7"/>
        <v>4.5579754490275388E-3</v>
      </c>
      <c r="L192" s="556">
        <v>13021.27</v>
      </c>
      <c r="M192" s="553">
        <f t="shared" si="8"/>
        <v>3.2168367693592962E-3</v>
      </c>
    </row>
    <row r="193" spans="5:13" ht="15.75" thickBot="1">
      <c r="E193" s="547">
        <v>41626</v>
      </c>
      <c r="F193" s="548">
        <v>3180</v>
      </c>
      <c r="G193" s="549">
        <f t="shared" si="6"/>
        <v>-1.5710922320412123E-3</v>
      </c>
      <c r="H193" s="550">
        <v>1600.13</v>
      </c>
      <c r="I193" s="551">
        <f t="shared" si="7"/>
        <v>-1.0147510736026712E-2</v>
      </c>
      <c r="L193" s="550">
        <v>12979.45</v>
      </c>
      <c r="M193" s="553">
        <f t="shared" si="8"/>
        <v>-6.9307668034698797E-3</v>
      </c>
    </row>
    <row r="194" spans="5:13" ht="15.75" thickBot="1">
      <c r="E194" s="554">
        <v>41625</v>
      </c>
      <c r="F194" s="555">
        <v>3185</v>
      </c>
      <c r="G194" s="549">
        <f t="shared" si="6"/>
        <v>6.2992334279871505E-3</v>
      </c>
      <c r="H194" s="556">
        <v>1616.45</v>
      </c>
      <c r="I194" s="551">
        <f t="shared" si="7"/>
        <v>-7.2918562825648008E-3</v>
      </c>
      <c r="L194" s="556">
        <v>13069.72</v>
      </c>
      <c r="M194" s="553">
        <f t="shared" si="8"/>
        <v>-7.6548009116674835E-3</v>
      </c>
    </row>
    <row r="195" spans="5:13" ht="15.75" thickBot="1">
      <c r="E195" s="547">
        <v>41624</v>
      </c>
      <c r="F195" s="548">
        <v>3165</v>
      </c>
      <c r="G195" s="549">
        <f t="shared" ref="G195:G258" si="9">+LN(F195/F196)</f>
        <v>3.1645596029629399E-3</v>
      </c>
      <c r="H195" s="550">
        <v>1628.28</v>
      </c>
      <c r="I195" s="551">
        <f t="shared" ref="I195:I258" si="10">+LN(H195/H196)</f>
        <v>-6.0738351356398757E-3</v>
      </c>
      <c r="L195" s="550">
        <v>13170.15</v>
      </c>
      <c r="M195" s="553">
        <f t="shared" ref="M195:M258" si="11">+LN(L195/L196)</f>
        <v>-5.2745394426183603E-3</v>
      </c>
    </row>
    <row r="196" spans="5:13" ht="15.75" thickBot="1">
      <c r="E196" s="554">
        <v>41621</v>
      </c>
      <c r="F196" s="555">
        <v>3155</v>
      </c>
      <c r="G196" s="549">
        <f t="shared" si="9"/>
        <v>-9.4637930309501399E-3</v>
      </c>
      <c r="H196" s="550">
        <v>1638.2</v>
      </c>
      <c r="I196" s="551">
        <f t="shared" si="10"/>
        <v>-5.193425231192368E-3</v>
      </c>
      <c r="L196" s="550">
        <v>13239.8</v>
      </c>
      <c r="M196" s="553">
        <f t="shared" si="11"/>
        <v>-4.4568881488459902E-3</v>
      </c>
    </row>
    <row r="197" spans="5:13" ht="15.75" thickBot="1">
      <c r="E197" s="547">
        <v>41620</v>
      </c>
      <c r="F197" s="548">
        <v>3185</v>
      </c>
      <c r="G197" s="549">
        <f t="shared" si="9"/>
        <v>1.5823114939242659E-2</v>
      </c>
      <c r="H197" s="556">
        <v>1646.73</v>
      </c>
      <c r="I197" s="551">
        <f t="shared" si="10"/>
        <v>9.6962838293009387E-3</v>
      </c>
      <c r="L197" s="556">
        <v>13298.94</v>
      </c>
      <c r="M197" s="553">
        <f t="shared" si="11"/>
        <v>8.4672452108881559E-3</v>
      </c>
    </row>
    <row r="198" spans="5:13" ht="15.75" thickBot="1">
      <c r="E198" s="554">
        <v>41619</v>
      </c>
      <c r="F198" s="555">
        <v>3135</v>
      </c>
      <c r="G198" s="549">
        <f t="shared" si="9"/>
        <v>1.1227062593783402E-2</v>
      </c>
      <c r="H198" s="550">
        <v>1630.84</v>
      </c>
      <c r="I198" s="551">
        <f t="shared" si="10"/>
        <v>4.2029777617698565E-3</v>
      </c>
      <c r="L198" s="550">
        <v>13186.81</v>
      </c>
      <c r="M198" s="553">
        <f t="shared" si="11"/>
        <v>6.2743776487391139E-3</v>
      </c>
    </row>
    <row r="199" spans="5:13" ht="15.75" thickBot="1">
      <c r="E199" s="547">
        <v>41618</v>
      </c>
      <c r="F199" s="548">
        <v>3100</v>
      </c>
      <c r="G199" s="549">
        <f t="shared" si="9"/>
        <v>-1.4411778661303316E-2</v>
      </c>
      <c r="H199" s="556">
        <v>1624</v>
      </c>
      <c r="I199" s="551">
        <f t="shared" si="10"/>
        <v>5.786413479959558E-3</v>
      </c>
      <c r="L199" s="556">
        <v>13104.33</v>
      </c>
      <c r="M199" s="553">
        <f t="shared" si="11"/>
        <v>5.3046625583414849E-3</v>
      </c>
    </row>
    <row r="200" spans="5:13" ht="15.75" thickBot="1">
      <c r="E200" s="554">
        <v>41617</v>
      </c>
      <c r="F200" s="555">
        <v>3145</v>
      </c>
      <c r="G200" s="549">
        <f t="shared" si="9"/>
        <v>4.7808856003418946E-3</v>
      </c>
      <c r="H200" s="550">
        <v>1614.63</v>
      </c>
      <c r="I200" s="551">
        <f t="shared" si="10"/>
        <v>9.4022440227932765E-3</v>
      </c>
      <c r="L200" s="550">
        <v>13035</v>
      </c>
      <c r="M200" s="553">
        <f t="shared" si="11"/>
        <v>4.3531512946062322E-3</v>
      </c>
    </row>
    <row r="201" spans="5:13" ht="15.75" thickBot="1">
      <c r="E201" s="547">
        <v>41614</v>
      </c>
      <c r="F201" s="548">
        <v>3130</v>
      </c>
      <c r="G201" s="549">
        <f t="shared" si="9"/>
        <v>-4.7808856003420082E-3</v>
      </c>
      <c r="H201" s="556">
        <v>1599.52</v>
      </c>
      <c r="I201" s="551">
        <f t="shared" si="10"/>
        <v>-6.7044926819961144E-3</v>
      </c>
      <c r="L201" s="556">
        <v>12978.38</v>
      </c>
      <c r="M201" s="553">
        <f t="shared" si="11"/>
        <v>-4.2196556180566945E-3</v>
      </c>
    </row>
    <row r="202" spans="5:13" ht="15.75" thickBot="1">
      <c r="E202" s="554">
        <v>41613</v>
      </c>
      <c r="F202" s="555">
        <v>3145</v>
      </c>
      <c r="G202" s="549">
        <f t="shared" si="9"/>
        <v>2.4136328553298073E-2</v>
      </c>
      <c r="H202" s="550">
        <v>1610.28</v>
      </c>
      <c r="I202" s="551">
        <f t="shared" si="10"/>
        <v>1.4329518250949465E-2</v>
      </c>
      <c r="L202" s="550">
        <v>13033.26</v>
      </c>
      <c r="M202" s="553">
        <f t="shared" si="11"/>
        <v>1.0938699367161643E-2</v>
      </c>
    </row>
    <row r="203" spans="5:13" ht="15.75" thickBot="1">
      <c r="E203" s="547">
        <v>41612</v>
      </c>
      <c r="F203" s="548">
        <v>3070</v>
      </c>
      <c r="G203" s="549">
        <f t="shared" si="9"/>
        <v>-8.1103445374536252E-3</v>
      </c>
      <c r="H203" s="556">
        <v>1587.37</v>
      </c>
      <c r="I203" s="551">
        <f t="shared" si="10"/>
        <v>-2.4653123268732337E-2</v>
      </c>
      <c r="L203" s="556">
        <v>12891.47</v>
      </c>
      <c r="M203" s="553">
        <f t="shared" si="11"/>
        <v>-1.9006876756913812E-2</v>
      </c>
    </row>
    <row r="204" spans="5:13" ht="15.75" thickBot="1">
      <c r="E204" s="554">
        <v>41611</v>
      </c>
      <c r="F204" s="555">
        <v>3095</v>
      </c>
      <c r="G204" s="549">
        <f t="shared" si="9"/>
        <v>-1.7614546700982319E-2</v>
      </c>
      <c r="H204" s="550">
        <v>1626.99</v>
      </c>
      <c r="I204" s="551">
        <f t="shared" si="10"/>
        <v>6.5172216809437076E-4</v>
      </c>
      <c r="L204" s="550">
        <v>13138.84</v>
      </c>
      <c r="M204" s="553">
        <f t="shared" si="11"/>
        <v>-2.1857782638234099E-3</v>
      </c>
    </row>
    <row r="205" spans="5:13" ht="15.75" thickBot="1">
      <c r="E205" s="547">
        <v>41610</v>
      </c>
      <c r="F205" s="548">
        <v>3150</v>
      </c>
      <c r="G205" s="549">
        <f t="shared" si="9"/>
        <v>1.1173300598125255E-2</v>
      </c>
      <c r="H205" s="556">
        <v>1625.93</v>
      </c>
      <c r="I205" s="551">
        <f t="shared" si="10"/>
        <v>-2.6166126743269388E-3</v>
      </c>
      <c r="L205" s="556">
        <v>13167.59</v>
      </c>
      <c r="M205" s="553">
        <f t="shared" si="11"/>
        <v>-3.5993376907045671E-3</v>
      </c>
    </row>
    <row r="206" spans="5:13" ht="15.75" thickBot="1">
      <c r="E206" s="554">
        <v>41607</v>
      </c>
      <c r="F206" s="555">
        <v>3115</v>
      </c>
      <c r="G206" s="549">
        <f t="shared" si="9"/>
        <v>1.6064260482737947E-3</v>
      </c>
      <c r="H206" s="550">
        <v>1630.19</v>
      </c>
      <c r="I206" s="551">
        <f t="shared" si="10"/>
        <v>1.9157211608510068E-3</v>
      </c>
      <c r="L206" s="550">
        <v>13215.07</v>
      </c>
      <c r="M206" s="553">
        <f t="shared" si="11"/>
        <v>5.1863078462584776E-3</v>
      </c>
    </row>
    <row r="207" spans="5:13" ht="15.75" thickBot="1">
      <c r="E207" s="547">
        <v>41606</v>
      </c>
      <c r="F207" s="548">
        <v>3110</v>
      </c>
      <c r="G207" s="549">
        <f t="shared" si="9"/>
        <v>4.8348200545833111E-3</v>
      </c>
      <c r="H207" s="556">
        <v>1627.07</v>
      </c>
      <c r="I207" s="551">
        <f t="shared" si="10"/>
        <v>2.7941918721320672E-3</v>
      </c>
      <c r="L207" s="556">
        <v>13146.71</v>
      </c>
      <c r="M207" s="553">
        <f t="shared" si="11"/>
        <v>2.4560989637653027E-3</v>
      </c>
    </row>
    <row r="208" spans="5:13" ht="15.75" thickBot="1">
      <c r="E208" s="554">
        <v>41605</v>
      </c>
      <c r="F208" s="555">
        <v>3095</v>
      </c>
      <c r="G208" s="549">
        <f t="shared" si="9"/>
        <v>6.483004878078312E-3</v>
      </c>
      <c r="H208" s="550">
        <v>1622.53</v>
      </c>
      <c r="I208" s="551">
        <f t="shared" si="10"/>
        <v>-1.9026220661868354E-3</v>
      </c>
      <c r="L208" s="550">
        <v>13114.46</v>
      </c>
      <c r="M208" s="553">
        <f t="shared" si="11"/>
        <v>-5.0708231196527074E-3</v>
      </c>
    </row>
    <row r="209" spans="5:13" ht="15.75" thickBot="1">
      <c r="E209" s="547">
        <v>41604</v>
      </c>
      <c r="F209" s="548">
        <v>3075</v>
      </c>
      <c r="G209" s="549">
        <f t="shared" si="9"/>
        <v>-1.624695727001922E-3</v>
      </c>
      <c r="H209" s="556">
        <v>1625.62</v>
      </c>
      <c r="I209" s="551">
        <f t="shared" si="10"/>
        <v>-6.0592865203527345E-3</v>
      </c>
      <c r="L209" s="556">
        <v>13181.13</v>
      </c>
      <c r="M209" s="553">
        <f t="shared" si="11"/>
        <v>-3.4308390804922528E-3</v>
      </c>
    </row>
    <row r="210" spans="5:13" ht="15.75" thickBot="1">
      <c r="E210" s="554">
        <v>41603</v>
      </c>
      <c r="F210" s="555">
        <v>3080</v>
      </c>
      <c r="G210" s="549">
        <f t="shared" si="9"/>
        <v>-9.6931292056596802E-3</v>
      </c>
      <c r="H210" s="550">
        <v>1635.5</v>
      </c>
      <c r="I210" s="551">
        <f t="shared" si="10"/>
        <v>-1.1997445424790788E-2</v>
      </c>
      <c r="L210" s="550">
        <v>13226.43</v>
      </c>
      <c r="M210" s="553">
        <f t="shared" si="11"/>
        <v>-9.3614547549695417E-3</v>
      </c>
    </row>
    <row r="211" spans="5:13" ht="15.75" thickBot="1">
      <c r="E211" s="547">
        <v>41600</v>
      </c>
      <c r="F211" s="548">
        <v>3110</v>
      </c>
      <c r="G211" s="549">
        <f t="shared" si="9"/>
        <v>0</v>
      </c>
      <c r="H211" s="556">
        <v>1655.24</v>
      </c>
      <c r="I211" s="551">
        <f t="shared" si="10"/>
        <v>-2.6004678600093311E-3</v>
      </c>
      <c r="L211" s="556">
        <v>13350.83</v>
      </c>
      <c r="M211" s="553">
        <f t="shared" si="11"/>
        <v>-1.6659236480415093E-3</v>
      </c>
    </row>
    <row r="212" spans="5:13" ht="15.75" thickBot="1">
      <c r="E212" s="554">
        <v>41599</v>
      </c>
      <c r="F212" s="555">
        <v>3110</v>
      </c>
      <c r="G212" s="549">
        <f t="shared" si="9"/>
        <v>-8.0064478937412562E-3</v>
      </c>
      <c r="H212" s="550">
        <v>1659.55</v>
      </c>
      <c r="I212" s="551">
        <f t="shared" si="10"/>
        <v>-1.9143485625255064E-3</v>
      </c>
      <c r="L212" s="550">
        <v>13373.09</v>
      </c>
      <c r="M212" s="553">
        <f t="shared" si="11"/>
        <v>-1.4914368452000578E-3</v>
      </c>
    </row>
    <row r="213" spans="5:13" ht="15.75" thickBot="1">
      <c r="E213" s="547">
        <v>41598</v>
      </c>
      <c r="F213" s="548">
        <v>3135</v>
      </c>
      <c r="G213" s="549">
        <f t="shared" si="9"/>
        <v>-6.359321908292504E-3</v>
      </c>
      <c r="H213" s="556">
        <v>1662.73</v>
      </c>
      <c r="I213" s="551">
        <f t="shared" si="10"/>
        <v>-2.1207641495203369E-3</v>
      </c>
      <c r="L213" s="556">
        <v>13393.05</v>
      </c>
      <c r="M213" s="553">
        <f t="shared" si="11"/>
        <v>-1.7039096305905734E-3</v>
      </c>
    </row>
    <row r="214" spans="5:13" ht="15.75" thickBot="1">
      <c r="E214" s="554">
        <v>41597</v>
      </c>
      <c r="F214" s="555">
        <v>3155</v>
      </c>
      <c r="G214" s="549">
        <f t="shared" si="9"/>
        <v>6.3593219082924216E-3</v>
      </c>
      <c r="H214" s="550">
        <v>1666.26</v>
      </c>
      <c r="I214" s="551">
        <f t="shared" si="10"/>
        <v>-2.8346711617475225E-3</v>
      </c>
      <c r="L214" s="550">
        <v>13415.89</v>
      </c>
      <c r="M214" s="553">
        <f t="shared" si="11"/>
        <v>-1.4717966691657337E-3</v>
      </c>
    </row>
    <row r="215" spans="5:13" ht="15.75" thickBot="1">
      <c r="E215" s="547">
        <v>41596</v>
      </c>
      <c r="F215" s="548">
        <v>3135</v>
      </c>
      <c r="G215" s="549">
        <f t="shared" si="9"/>
        <v>2.421425812059453E-2</v>
      </c>
      <c r="H215" s="556">
        <v>1670.99</v>
      </c>
      <c r="I215" s="551">
        <f t="shared" si="10"/>
        <v>-6.6405633159126649E-4</v>
      </c>
      <c r="L215" s="556">
        <v>13435.65</v>
      </c>
      <c r="M215" s="553">
        <f t="shared" si="11"/>
        <v>-5.8632742708291069E-4</v>
      </c>
    </row>
    <row r="216" spans="5:13" ht="15.75" thickBot="1">
      <c r="E216" s="554">
        <v>41593</v>
      </c>
      <c r="F216" s="555">
        <v>3060</v>
      </c>
      <c r="G216" s="549">
        <f t="shared" si="9"/>
        <v>-1.298719552681119E-2</v>
      </c>
      <c r="H216" s="550">
        <v>1672.1</v>
      </c>
      <c r="I216" s="551">
        <f t="shared" si="10"/>
        <v>-4.7842883978289175E-5</v>
      </c>
      <c r="L216" s="550">
        <v>13443.53</v>
      </c>
      <c r="M216" s="553">
        <f t="shared" si="11"/>
        <v>9.7492152534274241E-4</v>
      </c>
    </row>
    <row r="217" spans="5:13" ht="15.75" thickBot="1">
      <c r="E217" s="547">
        <v>41592</v>
      </c>
      <c r="F217" s="548">
        <v>3100</v>
      </c>
      <c r="G217" s="549">
        <f t="shared" si="9"/>
        <v>3.6128724088505482E-2</v>
      </c>
      <c r="H217" s="556">
        <v>1672.18</v>
      </c>
      <c r="I217" s="551">
        <f t="shared" si="10"/>
        <v>5.5049641596739592E-3</v>
      </c>
      <c r="L217" s="556">
        <v>13430.43</v>
      </c>
      <c r="M217" s="553">
        <f t="shared" si="11"/>
        <v>5.2383988960446855E-3</v>
      </c>
    </row>
    <row r="218" spans="5:13" ht="15.75" thickBot="1">
      <c r="E218" s="554">
        <v>41591</v>
      </c>
      <c r="F218" s="555">
        <v>2990</v>
      </c>
      <c r="G218" s="549">
        <f t="shared" si="9"/>
        <v>2.3689771122404665E-2</v>
      </c>
      <c r="H218" s="550">
        <v>1663</v>
      </c>
      <c r="I218" s="551">
        <f t="shared" si="10"/>
        <v>2.2457139581310761E-2</v>
      </c>
      <c r="L218" s="550">
        <v>13360.26</v>
      </c>
      <c r="M218" s="553">
        <f t="shared" si="11"/>
        <v>1.9103095225050246E-2</v>
      </c>
    </row>
    <row r="219" spans="5:13" ht="15.75" thickBot="1">
      <c r="E219" s="547">
        <v>41590</v>
      </c>
      <c r="F219" s="548">
        <v>2920</v>
      </c>
      <c r="G219" s="549">
        <f t="shared" si="9"/>
        <v>-2.2016130564375049E-2</v>
      </c>
      <c r="H219" s="556">
        <v>1626.07</v>
      </c>
      <c r="I219" s="551">
        <f t="shared" si="10"/>
        <v>-3.1543812222650104E-2</v>
      </c>
      <c r="L219" s="556">
        <v>13107.46</v>
      </c>
      <c r="M219" s="553">
        <f t="shared" si="11"/>
        <v>-2.7942482206981648E-2</v>
      </c>
    </row>
    <row r="220" spans="5:13" ht="15.75" thickBot="1">
      <c r="E220" s="554">
        <v>41586</v>
      </c>
      <c r="F220" s="555">
        <v>2985</v>
      </c>
      <c r="G220" s="549">
        <f t="shared" si="9"/>
        <v>-5.0125418235442863E-3</v>
      </c>
      <c r="H220" s="550">
        <v>1678.18</v>
      </c>
      <c r="I220" s="551">
        <f t="shared" si="10"/>
        <v>-2.1026594074697137E-2</v>
      </c>
      <c r="L220" s="550">
        <v>13478.88</v>
      </c>
      <c r="M220" s="553">
        <f t="shared" si="11"/>
        <v>-1.7974016925298819E-2</v>
      </c>
    </row>
    <row r="221" spans="5:13" ht="15.75" thickBot="1">
      <c r="E221" s="547">
        <v>41585</v>
      </c>
      <c r="F221" s="548">
        <v>3000</v>
      </c>
      <c r="G221" s="549">
        <f t="shared" si="9"/>
        <v>-9.950330853168092E-3</v>
      </c>
      <c r="H221" s="556">
        <v>1713.84</v>
      </c>
      <c r="I221" s="551">
        <f t="shared" si="10"/>
        <v>-1.3296357158137687E-2</v>
      </c>
      <c r="L221" s="556">
        <v>13723.34</v>
      </c>
      <c r="M221" s="553">
        <f t="shared" si="11"/>
        <v>-1.9465603436004772E-2</v>
      </c>
    </row>
    <row r="222" spans="5:13" ht="15.75" thickBot="1">
      <c r="E222" s="554">
        <v>41584</v>
      </c>
      <c r="F222" s="555">
        <v>3030</v>
      </c>
      <c r="G222" s="549">
        <f t="shared" si="9"/>
        <v>-6.578971098042511E-3</v>
      </c>
      <c r="H222" s="550">
        <v>1736.78</v>
      </c>
      <c r="I222" s="551">
        <f t="shared" si="10"/>
        <v>1.1637487846753189E-3</v>
      </c>
      <c r="L222" s="550">
        <v>13993.09</v>
      </c>
      <c r="M222" s="553">
        <f t="shared" si="11"/>
        <v>1.1233276846610921E-3</v>
      </c>
    </row>
    <row r="223" spans="5:13" ht="15.75" thickBot="1">
      <c r="E223" s="547">
        <v>41583</v>
      </c>
      <c r="F223" s="548">
        <v>3050</v>
      </c>
      <c r="G223" s="549">
        <f t="shared" si="9"/>
        <v>-8.1633106391609811E-3</v>
      </c>
      <c r="H223" s="556">
        <v>1734.76</v>
      </c>
      <c r="I223" s="551">
        <f t="shared" si="10"/>
        <v>-1.044241697268939E-2</v>
      </c>
      <c r="L223" s="556">
        <v>13977.38</v>
      </c>
      <c r="M223" s="553">
        <f t="shared" si="11"/>
        <v>-1.1611905275798348E-2</v>
      </c>
    </row>
    <row r="224" spans="5:13" ht="15.75" thickBot="1">
      <c r="E224" s="554">
        <v>41579</v>
      </c>
      <c r="F224" s="555">
        <v>3075</v>
      </c>
      <c r="G224" s="549">
        <f t="shared" si="9"/>
        <v>1.8048069871702849E-2</v>
      </c>
      <c r="H224" s="550">
        <v>1752.97</v>
      </c>
      <c r="I224" s="551">
        <f t="shared" si="10"/>
        <v>5.7381497355116556E-3</v>
      </c>
      <c r="L224" s="550">
        <v>14140.63</v>
      </c>
      <c r="M224" s="553">
        <f t="shared" si="11"/>
        <v>6.2148946300947475E-3</v>
      </c>
    </row>
    <row r="225" spans="5:13" ht="15.75" thickBot="1">
      <c r="E225" s="547">
        <v>41578</v>
      </c>
      <c r="F225" s="548">
        <v>3020</v>
      </c>
      <c r="G225" s="549">
        <f t="shared" si="9"/>
        <v>-2.6145280104322245E-2</v>
      </c>
      <c r="H225" s="556">
        <v>1742.94</v>
      </c>
      <c r="I225" s="551">
        <f t="shared" si="10"/>
        <v>-8.8139010196993141E-3</v>
      </c>
      <c r="L225" s="556">
        <v>14053.02</v>
      </c>
      <c r="M225" s="553">
        <f t="shared" si="11"/>
        <v>-7.3012431819598524E-3</v>
      </c>
    </row>
    <row r="226" spans="5:13" ht="15.75" thickBot="1">
      <c r="E226" s="554">
        <v>41577</v>
      </c>
      <c r="F226" s="555">
        <v>3100</v>
      </c>
      <c r="G226" s="549">
        <f t="shared" si="9"/>
        <v>-4.8270407483158679E-3</v>
      </c>
      <c r="H226" s="550">
        <v>1758.37</v>
      </c>
      <c r="I226" s="551">
        <f t="shared" si="10"/>
        <v>-2.6353319922246842E-3</v>
      </c>
      <c r="L226" s="550">
        <v>14156</v>
      </c>
      <c r="M226" s="553">
        <f t="shared" si="11"/>
        <v>-5.1780092011609888E-3</v>
      </c>
    </row>
    <row r="227" spans="5:13" ht="15.75" thickBot="1">
      <c r="E227" s="547">
        <v>41576</v>
      </c>
      <c r="F227" s="548">
        <v>3115</v>
      </c>
      <c r="G227" s="549">
        <f t="shared" si="9"/>
        <v>9.6774948820654381E-3</v>
      </c>
      <c r="H227" s="556">
        <v>1763.01</v>
      </c>
      <c r="I227" s="551">
        <f t="shared" si="10"/>
        <v>-8.5078144326854329E-5</v>
      </c>
      <c r="L227" s="556">
        <v>14229.49</v>
      </c>
      <c r="M227" s="553">
        <f t="shared" si="11"/>
        <v>-4.2227312142432375E-4</v>
      </c>
    </row>
    <row r="228" spans="5:13" ht="15.75" thickBot="1">
      <c r="E228" s="554">
        <v>41575</v>
      </c>
      <c r="F228" s="555">
        <v>3085</v>
      </c>
      <c r="G228" s="549">
        <f t="shared" si="9"/>
        <v>-9.6774948820653687E-3</v>
      </c>
      <c r="H228" s="550">
        <v>1763.16</v>
      </c>
      <c r="I228" s="551">
        <f t="shared" si="10"/>
        <v>-6.0390344688856321E-3</v>
      </c>
      <c r="L228" s="550">
        <v>14235.5</v>
      </c>
      <c r="M228" s="553">
        <f t="shared" si="11"/>
        <v>-5.6529183831807942E-3</v>
      </c>
    </row>
    <row r="229" spans="5:13" ht="15.75" thickBot="1">
      <c r="E229" s="547">
        <v>41572</v>
      </c>
      <c r="F229" s="548">
        <v>3115</v>
      </c>
      <c r="G229" s="549">
        <f t="shared" si="9"/>
        <v>-3.2051309489483358E-3</v>
      </c>
      <c r="H229" s="556">
        <v>1773.84</v>
      </c>
      <c r="I229" s="551">
        <f t="shared" si="10"/>
        <v>-6.8190338212051002E-4</v>
      </c>
      <c r="L229" s="556">
        <v>14316.2</v>
      </c>
      <c r="M229" s="553">
        <f t="shared" si="11"/>
        <v>2.6686618914885829E-4</v>
      </c>
    </row>
    <row r="230" spans="5:13" ht="15.75" thickBot="1">
      <c r="E230" s="554">
        <v>41571</v>
      </c>
      <c r="F230" s="555">
        <v>3125</v>
      </c>
      <c r="G230" s="549">
        <f t="shared" si="9"/>
        <v>-1.901800583576186E-2</v>
      </c>
      <c r="H230" s="550">
        <v>1775.05</v>
      </c>
      <c r="I230" s="551">
        <f t="shared" si="10"/>
        <v>2.143079521971303E-3</v>
      </c>
      <c r="L230" s="550">
        <v>14312.38</v>
      </c>
      <c r="M230" s="553">
        <f t="shared" si="11"/>
        <v>2.6319542085508677E-3</v>
      </c>
    </row>
    <row r="231" spans="5:13" ht="15.75" thickBot="1">
      <c r="E231" s="547">
        <v>41570</v>
      </c>
      <c r="F231" s="548">
        <v>3185</v>
      </c>
      <c r="G231" s="549">
        <f t="shared" si="9"/>
        <v>7.8802614253059653E-3</v>
      </c>
      <c r="H231" s="556">
        <v>1771.25</v>
      </c>
      <c r="I231" s="551">
        <f t="shared" si="10"/>
        <v>-1.2807602808074412E-3</v>
      </c>
      <c r="L231" s="556">
        <v>14274.76</v>
      </c>
      <c r="M231" s="553">
        <f t="shared" si="11"/>
        <v>-2.6913415893087514E-3</v>
      </c>
    </row>
    <row r="232" spans="5:13" ht="15.75" thickBot="1">
      <c r="E232" s="554">
        <v>41569</v>
      </c>
      <c r="F232" s="555">
        <v>3160</v>
      </c>
      <c r="G232" s="549">
        <f t="shared" si="9"/>
        <v>-6.309169193264721E-3</v>
      </c>
      <c r="H232" s="550">
        <v>1773.52</v>
      </c>
      <c r="I232" s="551">
        <f t="shared" si="10"/>
        <v>-3.4616815545517703E-3</v>
      </c>
      <c r="L232" s="550">
        <v>14313.23</v>
      </c>
      <c r="M232" s="553">
        <f t="shared" si="11"/>
        <v>-4.9273268184770857E-3</v>
      </c>
    </row>
    <row r="233" spans="5:13" ht="15.75" thickBot="1">
      <c r="E233" s="547">
        <v>41568</v>
      </c>
      <c r="F233" s="548">
        <v>3180</v>
      </c>
      <c r="G233" s="549">
        <f t="shared" si="9"/>
        <v>0</v>
      </c>
      <c r="H233" s="556">
        <v>1779.67</v>
      </c>
      <c r="I233" s="551">
        <f t="shared" si="10"/>
        <v>-7.4705044941219981E-4</v>
      </c>
      <c r="L233" s="556">
        <v>14383.93</v>
      </c>
      <c r="M233" s="553">
        <f t="shared" si="11"/>
        <v>-6.9428399976296867E-4</v>
      </c>
    </row>
    <row r="234" spans="5:13" ht="15.75" thickBot="1">
      <c r="E234" s="554">
        <v>41565</v>
      </c>
      <c r="F234" s="555">
        <v>3180</v>
      </c>
      <c r="G234" s="549">
        <f t="shared" si="9"/>
        <v>1.2658396871923465E-2</v>
      </c>
      <c r="H234" s="550">
        <v>1781</v>
      </c>
      <c r="I234" s="551">
        <f t="shared" si="10"/>
        <v>4.9702199316929334E-3</v>
      </c>
      <c r="L234" s="550">
        <v>14393.92</v>
      </c>
      <c r="M234" s="553">
        <f t="shared" si="11"/>
        <v>4.6886439930941401E-3</v>
      </c>
    </row>
    <row r="235" spans="5:13" ht="15.75" thickBot="1">
      <c r="E235" s="547">
        <v>41564</v>
      </c>
      <c r="F235" s="548">
        <v>3140</v>
      </c>
      <c r="G235" s="549">
        <f t="shared" si="9"/>
        <v>1.2820688429061469E-2</v>
      </c>
      <c r="H235" s="556">
        <v>1772.17</v>
      </c>
      <c r="I235" s="551">
        <f t="shared" si="10"/>
        <v>1.1913400595437507E-3</v>
      </c>
      <c r="L235" s="556">
        <v>14326.59</v>
      </c>
      <c r="M235" s="553">
        <f t="shared" si="11"/>
        <v>2.0045778707087191E-3</v>
      </c>
    </row>
    <row r="236" spans="5:13" ht="15.75" thickBot="1">
      <c r="E236" s="554">
        <v>41563</v>
      </c>
      <c r="F236" s="555">
        <v>3100</v>
      </c>
      <c r="G236" s="549">
        <f t="shared" si="9"/>
        <v>-1.2820688429061434E-2</v>
      </c>
      <c r="H236" s="550">
        <v>1770.06</v>
      </c>
      <c r="I236" s="551">
        <f t="shared" si="10"/>
        <v>2.0472225445051003E-3</v>
      </c>
      <c r="L236" s="550">
        <v>14297.9</v>
      </c>
      <c r="M236" s="553">
        <f t="shared" si="11"/>
        <v>2.8941188101546298E-3</v>
      </c>
    </row>
    <row r="237" spans="5:13" ht="15.75" thickBot="1">
      <c r="E237" s="547">
        <v>41562</v>
      </c>
      <c r="F237" s="548">
        <v>3140</v>
      </c>
      <c r="G237" s="549">
        <f t="shared" si="9"/>
        <v>1.593625835278026E-3</v>
      </c>
      <c r="H237" s="556">
        <v>1766.44</v>
      </c>
      <c r="I237" s="551">
        <f t="shared" si="10"/>
        <v>1.8869266552601479E-3</v>
      </c>
      <c r="L237" s="556">
        <v>14256.58</v>
      </c>
      <c r="M237" s="553">
        <f t="shared" si="11"/>
        <v>1.1418791150793021E-3</v>
      </c>
    </row>
    <row r="238" spans="5:13" ht="15.75" thickBot="1">
      <c r="E238" s="554">
        <v>41558</v>
      </c>
      <c r="F238" s="555">
        <v>3135</v>
      </c>
      <c r="G238" s="549">
        <f t="shared" si="9"/>
        <v>1.1227062593783402E-2</v>
      </c>
      <c r="H238" s="550">
        <v>1763.11</v>
      </c>
      <c r="I238" s="551">
        <f t="shared" si="10"/>
        <v>3.6023994319856253E-3</v>
      </c>
      <c r="L238" s="550">
        <v>14240.31</v>
      </c>
      <c r="M238" s="553">
        <f t="shared" si="11"/>
        <v>5.8385134787431875E-3</v>
      </c>
    </row>
    <row r="239" spans="5:13" ht="15.75" thickBot="1">
      <c r="E239" s="547">
        <v>41557</v>
      </c>
      <c r="F239" s="548">
        <v>3100</v>
      </c>
      <c r="G239" s="549">
        <f t="shared" si="9"/>
        <v>6.4725145056175196E-3</v>
      </c>
      <c r="H239" s="556">
        <v>1756.77</v>
      </c>
      <c r="I239" s="551">
        <f t="shared" si="10"/>
        <v>3.2555768342550184E-3</v>
      </c>
      <c r="L239" s="556">
        <v>14157.41</v>
      </c>
      <c r="M239" s="553">
        <f t="shared" si="11"/>
        <v>4.1662067144366786E-3</v>
      </c>
    </row>
    <row r="240" spans="5:13" ht="15.75" thickBot="1">
      <c r="E240" s="554">
        <v>41556</v>
      </c>
      <c r="F240" s="555">
        <v>3080</v>
      </c>
      <c r="G240" s="549">
        <f t="shared" si="9"/>
        <v>-3.2414939241709557E-3</v>
      </c>
      <c r="H240" s="550">
        <v>1751.06</v>
      </c>
      <c r="I240" s="551">
        <f t="shared" si="10"/>
        <v>-3.5515308041902524E-3</v>
      </c>
      <c r="L240" s="550">
        <v>14098.55</v>
      </c>
      <c r="M240" s="553">
        <f t="shared" si="11"/>
        <v>-2.5494920672382913E-3</v>
      </c>
    </row>
    <row r="241" spans="5:13" ht="15.75" thickBot="1">
      <c r="E241" s="547">
        <v>41555</v>
      </c>
      <c r="F241" s="548">
        <v>3090</v>
      </c>
      <c r="G241" s="549">
        <f t="shared" si="9"/>
        <v>0</v>
      </c>
      <c r="H241" s="556">
        <v>1757.29</v>
      </c>
      <c r="I241" s="551">
        <f t="shared" si="10"/>
        <v>2.1020318829132129E-3</v>
      </c>
      <c r="L241" s="556">
        <v>14134.54</v>
      </c>
      <c r="M241" s="553">
        <f t="shared" si="11"/>
        <v>4.4998200415483991E-3</v>
      </c>
    </row>
    <row r="242" spans="5:13" ht="15.75" thickBot="1">
      <c r="E242" s="554">
        <v>41554</v>
      </c>
      <c r="F242" s="555">
        <v>3090</v>
      </c>
      <c r="G242" s="549">
        <f t="shared" si="9"/>
        <v>8.1235215214793474E-3</v>
      </c>
      <c r="H242" s="550">
        <v>1753.6</v>
      </c>
      <c r="I242" s="551">
        <f t="shared" si="10"/>
        <v>1.0783640723084416E-3</v>
      </c>
      <c r="L242" s="550">
        <v>14071.08</v>
      </c>
      <c r="M242" s="553">
        <f t="shared" si="11"/>
        <v>1.7725784269691073E-3</v>
      </c>
    </row>
    <row r="243" spans="5:13" ht="15.75" thickBot="1">
      <c r="E243" s="547">
        <v>41551</v>
      </c>
      <c r="F243" s="548">
        <v>3065</v>
      </c>
      <c r="G243" s="549">
        <f t="shared" si="9"/>
        <v>-1.9386713800190095E-2</v>
      </c>
      <c r="H243" s="556">
        <v>1751.71</v>
      </c>
      <c r="I243" s="551">
        <f t="shared" si="10"/>
        <v>-1.7339429291429228E-3</v>
      </c>
      <c r="L243" s="556">
        <v>14046.16</v>
      </c>
      <c r="M243" s="553">
        <f t="shared" si="11"/>
        <v>-1.0367565607624567E-3</v>
      </c>
    </row>
    <row r="244" spans="5:13" ht="15.75" thickBot="1">
      <c r="E244" s="554">
        <v>41550</v>
      </c>
      <c r="F244" s="555">
        <v>3125</v>
      </c>
      <c r="G244" s="549">
        <f t="shared" si="9"/>
        <v>3.205130948948331E-3</v>
      </c>
      <c r="H244" s="550">
        <v>1754.75</v>
      </c>
      <c r="I244" s="551">
        <f t="shared" si="10"/>
        <v>-1.264337871887157E-3</v>
      </c>
      <c r="L244" s="550">
        <v>14060.73</v>
      </c>
      <c r="M244" s="553">
        <f t="shared" si="11"/>
        <v>-2.1845540530534948E-3</v>
      </c>
    </row>
    <row r="245" spans="5:13" ht="15.75" thickBot="1">
      <c r="E245" s="547">
        <v>41549</v>
      </c>
      <c r="F245" s="548">
        <v>3115</v>
      </c>
      <c r="G245" s="549">
        <f t="shared" si="9"/>
        <v>0</v>
      </c>
      <c r="H245" s="556">
        <v>1756.97</v>
      </c>
      <c r="I245" s="551">
        <f t="shared" si="10"/>
        <v>-5.4055747015284157E-4</v>
      </c>
      <c r="L245" s="556">
        <v>14091.48</v>
      </c>
      <c r="M245" s="553">
        <f t="shared" si="11"/>
        <v>-1.6230679114454909E-3</v>
      </c>
    </row>
    <row r="246" spans="5:13" ht="15.75" thickBot="1">
      <c r="E246" s="554">
        <v>41548</v>
      </c>
      <c r="F246" s="555">
        <v>3115</v>
      </c>
      <c r="G246" s="549">
        <f t="shared" si="9"/>
        <v>6.4645535959226175E-2</v>
      </c>
      <c r="H246" s="550">
        <v>1757.92</v>
      </c>
      <c r="I246" s="551">
        <f t="shared" si="10"/>
        <v>3.2249086402118079E-3</v>
      </c>
      <c r="L246" s="550">
        <v>14114.37</v>
      </c>
      <c r="M246" s="553">
        <f t="shared" si="11"/>
        <v>3.7869973589882353E-3</v>
      </c>
    </row>
    <row r="247" spans="5:13" ht="15.75" thickBot="1">
      <c r="E247" s="552">
        <v>41547</v>
      </c>
      <c r="F247" s="550">
        <v>2920</v>
      </c>
      <c r="G247" s="549">
        <f t="shared" si="9"/>
        <v>-1.8660422717402748E-2</v>
      </c>
      <c r="H247" s="556">
        <v>1752.26</v>
      </c>
      <c r="I247" s="551">
        <f t="shared" si="10"/>
        <v>-9.2366552881724285E-3</v>
      </c>
      <c r="L247" s="556">
        <v>14061.02</v>
      </c>
      <c r="M247" s="553">
        <f t="shared" si="11"/>
        <v>-3.9138104228873876E-3</v>
      </c>
    </row>
    <row r="248" spans="5:13" ht="15.75" thickBot="1">
      <c r="E248" s="557">
        <v>41544</v>
      </c>
      <c r="F248" s="556">
        <v>2975</v>
      </c>
      <c r="G248" s="549">
        <f t="shared" si="9"/>
        <v>-8.3682496705165792E-3</v>
      </c>
      <c r="H248" s="550">
        <v>1768.52</v>
      </c>
      <c r="I248" s="551">
        <f t="shared" si="10"/>
        <v>1.7034381303177627E-3</v>
      </c>
      <c r="L248" s="550">
        <v>14116.16</v>
      </c>
      <c r="M248" s="553">
        <f t="shared" si="11"/>
        <v>1.3816411257164519E-3</v>
      </c>
    </row>
    <row r="249" spans="5:13" ht="15.75" thickBot="1">
      <c r="E249" s="552">
        <v>41543</v>
      </c>
      <c r="F249" s="550">
        <v>3000</v>
      </c>
      <c r="G249" s="549">
        <f t="shared" si="9"/>
        <v>-9.950330853168092E-3</v>
      </c>
      <c r="H249" s="556">
        <v>1765.51</v>
      </c>
      <c r="I249" s="551">
        <f t="shared" si="10"/>
        <v>-6.4869486844376821E-3</v>
      </c>
      <c r="L249" s="556">
        <v>14096.67</v>
      </c>
      <c r="M249" s="553">
        <f t="shared" si="11"/>
        <v>-4.9915401892024064E-3</v>
      </c>
    </row>
    <row r="250" spans="5:13" ht="15.75" thickBot="1">
      <c r="E250" s="557">
        <v>41542</v>
      </c>
      <c r="F250" s="556">
        <v>3030</v>
      </c>
      <c r="G250" s="549">
        <f t="shared" si="9"/>
        <v>1.496287267671232E-2</v>
      </c>
      <c r="H250" s="550">
        <v>1777</v>
      </c>
      <c r="I250" s="551">
        <f t="shared" si="10"/>
        <v>9.2896258457570032E-4</v>
      </c>
      <c r="L250" s="550">
        <v>14167.21</v>
      </c>
      <c r="M250" s="553">
        <f t="shared" si="11"/>
        <v>-2.0397137272525293E-4</v>
      </c>
    </row>
    <row r="251" spans="5:13" ht="15.75" thickBot="1">
      <c r="E251" s="552">
        <v>41541</v>
      </c>
      <c r="F251" s="550">
        <v>2985</v>
      </c>
      <c r="G251" s="549">
        <f t="shared" si="9"/>
        <v>1.1794576492836877E-2</v>
      </c>
      <c r="H251" s="556">
        <v>1775.35</v>
      </c>
      <c r="I251" s="551">
        <f t="shared" si="10"/>
        <v>1.053868555593969E-3</v>
      </c>
      <c r="L251" s="556">
        <v>14170.1</v>
      </c>
      <c r="M251" s="553">
        <f t="shared" si="11"/>
        <v>3.1550272656320403E-4</v>
      </c>
    </row>
    <row r="252" spans="5:13" ht="15.75" thickBot="1">
      <c r="E252" s="557">
        <v>41540</v>
      </c>
      <c r="F252" s="556">
        <v>2950</v>
      </c>
      <c r="G252" s="549">
        <f t="shared" si="9"/>
        <v>0</v>
      </c>
      <c r="H252" s="550">
        <v>1773.48</v>
      </c>
      <c r="I252" s="551">
        <f t="shared" si="10"/>
        <v>3.3775992437538706E-3</v>
      </c>
      <c r="L252" s="550">
        <v>14165.63</v>
      </c>
      <c r="M252" s="553">
        <f t="shared" si="11"/>
        <v>3.1491835610433601E-3</v>
      </c>
    </row>
    <row r="253" spans="5:13" ht="15.75" thickBot="1">
      <c r="E253" s="552">
        <v>41537</v>
      </c>
      <c r="F253" s="550">
        <v>2950</v>
      </c>
      <c r="G253" s="549">
        <f t="shared" si="9"/>
        <v>2.054866822738776E-2</v>
      </c>
      <c r="H253" s="556">
        <v>1767.5</v>
      </c>
      <c r="I253" s="551">
        <f t="shared" si="10"/>
        <v>8.5467913701083042E-4</v>
      </c>
      <c r="L253" s="556">
        <v>14121.09</v>
      </c>
      <c r="M253" s="553">
        <f t="shared" si="11"/>
        <v>1.0486273509051174E-3</v>
      </c>
    </row>
    <row r="254" spans="5:13" ht="15.75" thickBot="1">
      <c r="E254" s="557">
        <v>41536</v>
      </c>
      <c r="F254" s="556">
        <v>2890</v>
      </c>
      <c r="G254" s="549">
        <f t="shared" si="9"/>
        <v>-8.6133176781149467E-3</v>
      </c>
      <c r="H254" s="550">
        <v>1765.99</v>
      </c>
      <c r="I254" s="551">
        <f t="shared" si="10"/>
        <v>-5.6625301883287828E-6</v>
      </c>
      <c r="L254" s="550">
        <v>14106.29</v>
      </c>
      <c r="M254" s="553">
        <f t="shared" si="11"/>
        <v>1.4209430058777955E-3</v>
      </c>
    </row>
    <row r="255" spans="5:13" ht="15.75" thickBot="1">
      <c r="E255" s="552">
        <v>41535</v>
      </c>
      <c r="F255" s="550">
        <v>2915</v>
      </c>
      <c r="G255" s="549">
        <f t="shared" si="9"/>
        <v>-2.5403567600139339E-2</v>
      </c>
      <c r="H255" s="556">
        <v>1766</v>
      </c>
      <c r="I255" s="551">
        <f t="shared" si="10"/>
        <v>-5.3779420761511257E-4</v>
      </c>
      <c r="L255" s="556">
        <v>14086.26</v>
      </c>
      <c r="M255" s="553">
        <f t="shared" si="11"/>
        <v>1.7969801508289456E-3</v>
      </c>
    </row>
    <row r="256" spans="5:13" ht="15.75" thickBot="1">
      <c r="E256" s="557">
        <v>41534</v>
      </c>
      <c r="F256" s="556">
        <v>2990</v>
      </c>
      <c r="G256" s="549">
        <f t="shared" si="9"/>
        <v>1.3468217050866611E-2</v>
      </c>
      <c r="H256" s="550">
        <v>1766.95</v>
      </c>
      <c r="I256" s="551">
        <f t="shared" si="10"/>
        <v>4.6572528155182308E-3</v>
      </c>
      <c r="L256" s="550">
        <v>14060.97</v>
      </c>
      <c r="M256" s="553">
        <f t="shared" si="11"/>
        <v>5.0679481581251268E-3</v>
      </c>
    </row>
    <row r="257" spans="5:13" ht="15.75" thickBot="1">
      <c r="E257" s="552">
        <v>41533</v>
      </c>
      <c r="F257" s="550">
        <v>2950</v>
      </c>
      <c r="G257" s="549">
        <f t="shared" si="9"/>
        <v>-1.6807118316381289E-2</v>
      </c>
      <c r="H257" s="556">
        <v>1758.74</v>
      </c>
      <c r="I257" s="551">
        <f t="shared" si="10"/>
        <v>-1.4602067906120499E-3</v>
      </c>
      <c r="L257" s="556">
        <v>13989.89</v>
      </c>
      <c r="M257" s="553">
        <f t="shared" si="11"/>
        <v>-2.066500025623088E-3</v>
      </c>
    </row>
    <row r="258" spans="5:13" ht="15.75" thickBot="1">
      <c r="E258" s="557">
        <v>41530</v>
      </c>
      <c r="F258" s="556">
        <v>3000</v>
      </c>
      <c r="G258" s="549">
        <f t="shared" si="9"/>
        <v>-9.950330853168092E-3</v>
      </c>
      <c r="H258" s="550">
        <v>1761.31</v>
      </c>
      <c r="I258" s="551">
        <f t="shared" si="10"/>
        <v>-3.8137380294349867E-3</v>
      </c>
      <c r="L258" s="550">
        <v>14018.83</v>
      </c>
      <c r="M258" s="553">
        <f t="shared" si="11"/>
        <v>-9.5967655002951783E-4</v>
      </c>
    </row>
    <row r="259" spans="5:13" ht="15.75" thickBot="1">
      <c r="E259" s="552">
        <v>41529</v>
      </c>
      <c r="F259" s="550">
        <v>3030</v>
      </c>
      <c r="G259" s="549">
        <f t="shared" ref="G259:G322" si="12">+LN(F259/F260)</f>
        <v>0</v>
      </c>
      <c r="H259" s="556">
        <v>1768.04</v>
      </c>
      <c r="I259" s="551">
        <f t="shared" ref="I259:I322" si="13">+LN(H259/H260)</f>
        <v>-1.1136078933801712E-3</v>
      </c>
      <c r="L259" s="556">
        <v>14032.29</v>
      </c>
      <c r="M259" s="553">
        <f t="shared" ref="M259:M322" si="14">+LN(L259/L260)</f>
        <v>-2.6418345928728207E-3</v>
      </c>
    </row>
    <row r="260" spans="5:13" ht="15.75" thickBot="1">
      <c r="E260" s="557">
        <v>41528</v>
      </c>
      <c r="F260" s="556">
        <v>3030</v>
      </c>
      <c r="G260" s="549">
        <f t="shared" si="12"/>
        <v>3.3057881344994103E-3</v>
      </c>
      <c r="H260" s="550">
        <v>1770.01</v>
      </c>
      <c r="I260" s="551">
        <f t="shared" si="13"/>
        <v>2.2794191979651013E-3</v>
      </c>
      <c r="L260" s="550">
        <v>14069.41</v>
      </c>
      <c r="M260" s="553">
        <f t="shared" si="14"/>
        <v>2.7458857462241354E-3</v>
      </c>
    </row>
    <row r="261" spans="5:13" ht="15.75" thickBot="1">
      <c r="E261" s="552">
        <v>41527</v>
      </c>
      <c r="F261" s="550">
        <v>3020</v>
      </c>
      <c r="G261" s="549">
        <f t="shared" si="12"/>
        <v>-3.3057881344995439E-3</v>
      </c>
      <c r="H261" s="556">
        <v>1765.98</v>
      </c>
      <c r="I261" s="551">
        <f t="shared" si="13"/>
        <v>7.5140886804514013E-3</v>
      </c>
      <c r="L261" s="556">
        <v>14030.83</v>
      </c>
      <c r="M261" s="553">
        <f t="shared" si="14"/>
        <v>9.9093647644601119E-3</v>
      </c>
    </row>
    <row r="262" spans="5:13" ht="15.75" thickBot="1">
      <c r="E262" s="557">
        <v>41526</v>
      </c>
      <c r="F262" s="556">
        <v>3030</v>
      </c>
      <c r="G262" s="549">
        <f t="shared" si="12"/>
        <v>3.3057881344994103E-3</v>
      </c>
      <c r="H262" s="550">
        <v>1752.76</v>
      </c>
      <c r="I262" s="551">
        <f t="shared" si="13"/>
        <v>9.2970606319861104E-3</v>
      </c>
      <c r="L262" s="550">
        <v>13892.48</v>
      </c>
      <c r="M262" s="553">
        <f t="shared" si="14"/>
        <v>9.2272657510759897E-3</v>
      </c>
    </row>
    <row r="263" spans="5:13" ht="15.75" thickBot="1">
      <c r="E263" s="552">
        <v>41523</v>
      </c>
      <c r="F263" s="550">
        <v>3020</v>
      </c>
      <c r="G263" s="549">
        <f t="shared" si="12"/>
        <v>1.3333530869465168E-2</v>
      </c>
      <c r="H263" s="556">
        <v>1736.54</v>
      </c>
      <c r="I263" s="551">
        <f t="shared" si="13"/>
        <v>-5.862290673533401E-3</v>
      </c>
      <c r="L263" s="556">
        <v>13764.88</v>
      </c>
      <c r="M263" s="553">
        <f t="shared" si="14"/>
        <v>-3.1161259942913519E-3</v>
      </c>
    </row>
    <row r="264" spans="5:13" ht="15.75" thickBot="1">
      <c r="E264" s="557">
        <v>41522</v>
      </c>
      <c r="F264" s="556">
        <v>2980</v>
      </c>
      <c r="G264" s="549">
        <f t="shared" si="12"/>
        <v>-3.7864605619246372E-2</v>
      </c>
      <c r="H264" s="550">
        <v>1746.75</v>
      </c>
      <c r="I264" s="551">
        <f t="shared" si="13"/>
        <v>-8.5870078623903384E-5</v>
      </c>
      <c r="L264" s="550">
        <v>13807.84</v>
      </c>
      <c r="M264" s="553">
        <f t="shared" si="14"/>
        <v>1.6586156247038397E-4</v>
      </c>
    </row>
    <row r="265" spans="5:13" ht="15.75" thickBot="1">
      <c r="E265" s="552">
        <v>41521</v>
      </c>
      <c r="F265" s="550">
        <v>3095</v>
      </c>
      <c r="G265" s="549">
        <f t="shared" si="12"/>
        <v>-3.2258092488826771E-3</v>
      </c>
      <c r="H265" s="556">
        <v>1746.9</v>
      </c>
      <c r="I265" s="551">
        <f t="shared" si="13"/>
        <v>5.3264277088952488E-3</v>
      </c>
      <c r="L265" s="556">
        <v>13805.55</v>
      </c>
      <c r="M265" s="553">
        <f t="shared" si="14"/>
        <v>5.0876910329353056E-3</v>
      </c>
    </row>
    <row r="266" spans="5:13" ht="15.75" thickBot="1">
      <c r="E266" s="557">
        <v>41520</v>
      </c>
      <c r="F266" s="556">
        <v>3105</v>
      </c>
      <c r="G266" s="549">
        <f t="shared" si="12"/>
        <v>8.0841183999590584E-3</v>
      </c>
      <c r="H266" s="550">
        <v>1737.62</v>
      </c>
      <c r="I266" s="551">
        <f t="shared" si="13"/>
        <v>2.8643323994895693E-3</v>
      </c>
      <c r="L266" s="550">
        <v>13735.49</v>
      </c>
      <c r="M266" s="553">
        <f t="shared" si="14"/>
        <v>-4.9276233585265959E-4</v>
      </c>
    </row>
    <row r="267" spans="5:13" ht="15.75" thickBot="1">
      <c r="E267" s="552">
        <v>41519</v>
      </c>
      <c r="F267" s="550">
        <v>3080</v>
      </c>
      <c r="G267" s="549">
        <f t="shared" si="12"/>
        <v>4.8820275973083188E-3</v>
      </c>
      <c r="H267" s="556">
        <v>1732.65</v>
      </c>
      <c r="I267" s="551">
        <f t="shared" si="13"/>
        <v>1.7502972174580308E-3</v>
      </c>
      <c r="L267" s="556">
        <v>13742.26</v>
      </c>
      <c r="M267" s="553">
        <f t="shared" si="14"/>
        <v>8.0586898253352747E-4</v>
      </c>
    </row>
    <row r="268" spans="5:13" ht="15.75" thickBot="1">
      <c r="E268" s="557">
        <v>41516</v>
      </c>
      <c r="F268" s="556">
        <v>3065</v>
      </c>
      <c r="G268" s="549">
        <f t="shared" si="12"/>
        <v>2.8124268870861627E-2</v>
      </c>
      <c r="H268" s="550">
        <v>1729.62</v>
      </c>
      <c r="I268" s="551">
        <f t="shared" si="13"/>
        <v>4.450169010278472E-3</v>
      </c>
      <c r="L268" s="550">
        <v>13731.19</v>
      </c>
      <c r="M268" s="553">
        <f t="shared" si="14"/>
        <v>5.485776115370245E-3</v>
      </c>
    </row>
    <row r="269" spans="5:13" ht="15.75" thickBot="1">
      <c r="E269" s="552">
        <v>41515</v>
      </c>
      <c r="F269" s="550">
        <v>2980</v>
      </c>
      <c r="G269" s="549">
        <f t="shared" si="12"/>
        <v>5.0462680676242192E-3</v>
      </c>
      <c r="H269" s="556">
        <v>1721.94</v>
      </c>
      <c r="I269" s="551">
        <f t="shared" si="13"/>
        <v>-6.9793161654244694E-3</v>
      </c>
      <c r="L269" s="556">
        <v>13656.07</v>
      </c>
      <c r="M269" s="553">
        <f t="shared" si="14"/>
        <v>-6.4255296866778276E-3</v>
      </c>
    </row>
    <row r="270" spans="5:13" ht="15.75" thickBot="1">
      <c r="E270" s="557">
        <v>41514</v>
      </c>
      <c r="F270" s="556">
        <v>2965</v>
      </c>
      <c r="G270" s="549">
        <f t="shared" si="12"/>
        <v>-8.3963549529062782E-3</v>
      </c>
      <c r="H270" s="556">
        <v>1734</v>
      </c>
      <c r="I270" s="551">
        <f t="shared" si="13"/>
        <v>1.1519381238367845E-2</v>
      </c>
      <c r="L270" s="550">
        <v>13744.1</v>
      </c>
      <c r="M270" s="553">
        <f t="shared" si="14"/>
        <v>1.2775433670592275E-2</v>
      </c>
    </row>
    <row r="271" spans="5:13" ht="15.75" thickBot="1">
      <c r="E271" s="552">
        <v>41513</v>
      </c>
      <c r="F271" s="550">
        <v>2990</v>
      </c>
      <c r="G271" s="549">
        <f t="shared" si="12"/>
        <v>-2.3141528561694377E-2</v>
      </c>
      <c r="H271" s="550">
        <v>1714.14</v>
      </c>
      <c r="I271" s="551">
        <f t="shared" si="13"/>
        <v>-5.8338121921409074E-6</v>
      </c>
      <c r="L271" s="556">
        <v>13569.63</v>
      </c>
      <c r="M271" s="553">
        <f t="shared" si="14"/>
        <v>-2.2002905544574501E-3</v>
      </c>
    </row>
    <row r="272" spans="5:13" ht="15.75" thickBot="1">
      <c r="E272" s="557">
        <v>41512</v>
      </c>
      <c r="F272" s="556">
        <v>3060</v>
      </c>
      <c r="G272" s="549">
        <f t="shared" si="12"/>
        <v>6.5574005461590396E-3</v>
      </c>
      <c r="H272" s="556">
        <v>1714.15</v>
      </c>
      <c r="I272" s="551">
        <f t="shared" si="13"/>
        <v>-3.8022306006366973E-3</v>
      </c>
      <c r="L272" s="550">
        <v>13599.52</v>
      </c>
      <c r="M272" s="553">
        <f t="shared" si="14"/>
        <v>-1.9841298213303365E-3</v>
      </c>
    </row>
    <row r="273" spans="5:13" ht="15.75" thickBot="1">
      <c r="E273" s="552">
        <v>41509</v>
      </c>
      <c r="F273" s="550">
        <v>3040</v>
      </c>
      <c r="G273" s="549">
        <f t="shared" si="12"/>
        <v>3.2948958968524846E-3</v>
      </c>
      <c r="H273" s="550">
        <v>1720.68</v>
      </c>
      <c r="I273" s="551">
        <f t="shared" si="13"/>
        <v>-9.700758523522356E-4</v>
      </c>
      <c r="L273" s="556">
        <v>13626.53</v>
      </c>
      <c r="M273" s="553">
        <f t="shared" si="14"/>
        <v>-3.1206462980964051E-3</v>
      </c>
    </row>
    <row r="274" spans="5:13" ht="15.75" thickBot="1">
      <c r="E274" s="557">
        <v>41508</v>
      </c>
      <c r="F274" s="556">
        <v>3030</v>
      </c>
      <c r="G274" s="549">
        <f t="shared" si="12"/>
        <v>9.950330853168092E-3</v>
      </c>
      <c r="H274" s="556">
        <v>1722.35</v>
      </c>
      <c r="I274" s="551">
        <f t="shared" si="13"/>
        <v>-5.7463093153565679E-4</v>
      </c>
      <c r="L274" s="550">
        <v>13669.12</v>
      </c>
      <c r="M274" s="553">
        <f t="shared" si="14"/>
        <v>-2.7732135452170291E-3</v>
      </c>
    </row>
    <row r="275" spans="5:13" ht="15.75" thickBot="1">
      <c r="E275" s="552">
        <v>41507</v>
      </c>
      <c r="F275" s="550">
        <v>3000</v>
      </c>
      <c r="G275" s="549">
        <f t="shared" si="12"/>
        <v>1.6680571006970134E-3</v>
      </c>
      <c r="H275" s="550">
        <v>1723.34</v>
      </c>
      <c r="I275" s="551">
        <f t="shared" si="13"/>
        <v>-1.3337278505196207E-3</v>
      </c>
      <c r="L275" s="556">
        <v>13707.08</v>
      </c>
      <c r="M275" s="553">
        <f t="shared" si="14"/>
        <v>-9.2245513765650401E-4</v>
      </c>
    </row>
    <row r="276" spans="5:13" ht="15.75" thickBot="1">
      <c r="E276" s="557">
        <v>41506</v>
      </c>
      <c r="F276" s="556">
        <v>2995</v>
      </c>
      <c r="G276" s="549">
        <f t="shared" si="12"/>
        <v>-1.6680571006970587E-3</v>
      </c>
      <c r="H276" s="556">
        <v>1725.64</v>
      </c>
      <c r="I276" s="551">
        <f t="shared" si="13"/>
        <v>-1.2161999309949776E-3</v>
      </c>
      <c r="L276" s="550">
        <v>13719.73</v>
      </c>
      <c r="M276" s="553">
        <f t="shared" si="14"/>
        <v>-3.6798823921358596E-3</v>
      </c>
    </row>
    <row r="277" spans="5:13" ht="15.75" thickBot="1">
      <c r="E277" s="552">
        <v>41502</v>
      </c>
      <c r="F277" s="550">
        <v>3000</v>
      </c>
      <c r="G277" s="549">
        <f t="shared" si="12"/>
        <v>6.6889881507967101E-3</v>
      </c>
      <c r="H277" s="550">
        <v>1727.74</v>
      </c>
      <c r="I277" s="551">
        <f t="shared" si="13"/>
        <v>-1.5441785524332641E-3</v>
      </c>
      <c r="L277" s="556">
        <v>13770.31</v>
      </c>
      <c r="M277" s="553">
        <f t="shared" si="14"/>
        <v>-9.4216370711392805E-4</v>
      </c>
    </row>
    <row r="278" spans="5:13" ht="15.75" thickBot="1">
      <c r="E278" s="557">
        <v>41501</v>
      </c>
      <c r="F278" s="556">
        <v>2980</v>
      </c>
      <c r="G278" s="549">
        <f t="shared" si="12"/>
        <v>1.3513719166722855E-2</v>
      </c>
      <c r="H278" s="556">
        <v>1730.41</v>
      </c>
      <c r="I278" s="551">
        <f t="shared" si="13"/>
        <v>-9.6046196020542953E-3</v>
      </c>
      <c r="L278" s="550">
        <v>13783.29</v>
      </c>
      <c r="M278" s="553">
        <f t="shared" si="14"/>
        <v>-9.1186656822515345E-3</v>
      </c>
    </row>
    <row r="279" spans="5:13" ht="15.75" thickBot="1">
      <c r="E279" s="552">
        <v>41500</v>
      </c>
      <c r="F279" s="550">
        <v>2940</v>
      </c>
      <c r="G279" s="549">
        <f t="shared" si="12"/>
        <v>-1.6992357529598016E-3</v>
      </c>
      <c r="H279" s="550">
        <v>1747.11</v>
      </c>
      <c r="I279" s="551">
        <f t="shared" si="13"/>
        <v>6.1777854324671783E-3</v>
      </c>
      <c r="L279" s="556">
        <v>13909.55</v>
      </c>
      <c r="M279" s="553">
        <f t="shared" si="14"/>
        <v>5.9314789410401152E-3</v>
      </c>
    </row>
    <row r="280" spans="5:13" ht="15.75" thickBot="1">
      <c r="E280" s="557">
        <v>41499</v>
      </c>
      <c r="F280" s="556">
        <v>2945</v>
      </c>
      <c r="G280" s="549">
        <f t="shared" si="12"/>
        <v>3.9832105448403834E-2</v>
      </c>
      <c r="H280" s="556">
        <v>1736.35</v>
      </c>
      <c r="I280" s="551">
        <f t="shared" si="13"/>
        <v>7.7704871134626017E-3</v>
      </c>
      <c r="L280" s="550">
        <v>13827.29</v>
      </c>
      <c r="M280" s="553">
        <f t="shared" si="14"/>
        <v>6.7485501888814355E-3</v>
      </c>
    </row>
    <row r="281" spans="5:13" ht="15.75" thickBot="1">
      <c r="E281" s="552">
        <v>41498</v>
      </c>
      <c r="F281" s="550">
        <v>2830</v>
      </c>
      <c r="G281" s="549">
        <f t="shared" si="12"/>
        <v>7.0922283094918366E-3</v>
      </c>
      <c r="H281" s="550">
        <v>1722.91</v>
      </c>
      <c r="I281" s="551">
        <f t="shared" si="13"/>
        <v>1.300971846705225E-3</v>
      </c>
      <c r="L281" s="556">
        <v>13734.29</v>
      </c>
      <c r="M281" s="553">
        <f t="shared" si="14"/>
        <v>2.1918108554810265E-3</v>
      </c>
    </row>
    <row r="282" spans="5:13" ht="15.75" thickBot="1">
      <c r="E282" s="557">
        <v>41495</v>
      </c>
      <c r="F282" s="556">
        <v>2810</v>
      </c>
      <c r="G282" s="549">
        <f t="shared" si="12"/>
        <v>7.1428875123802039E-3</v>
      </c>
      <c r="H282" s="556">
        <v>1720.67</v>
      </c>
      <c r="I282" s="551">
        <f t="shared" si="13"/>
        <v>2.4846757248337035E-3</v>
      </c>
      <c r="L282" s="550">
        <v>13704.22</v>
      </c>
      <c r="M282" s="553">
        <f t="shared" si="14"/>
        <v>-5.4230099399795346E-3</v>
      </c>
    </row>
    <row r="283" spans="5:13" ht="15.75" thickBot="1">
      <c r="E283" s="552">
        <v>41494</v>
      </c>
      <c r="F283" s="550">
        <v>2790</v>
      </c>
      <c r="G283" s="549">
        <f t="shared" si="12"/>
        <v>1.4440684154794428E-2</v>
      </c>
      <c r="H283" s="550">
        <v>1716.4</v>
      </c>
      <c r="I283" s="551">
        <f t="shared" si="13"/>
        <v>-2.1126583984867006E-3</v>
      </c>
      <c r="L283" s="556">
        <v>13778.74</v>
      </c>
      <c r="M283" s="553">
        <f t="shared" si="14"/>
        <v>-1.8649038149471397E-3</v>
      </c>
    </row>
    <row r="284" spans="5:13" ht="15.75" thickBot="1">
      <c r="E284" s="557">
        <v>41492</v>
      </c>
      <c r="F284" s="556">
        <v>2750</v>
      </c>
      <c r="G284" s="549">
        <f t="shared" si="12"/>
        <v>-5.4397232958182098E-3</v>
      </c>
      <c r="H284" s="556">
        <v>1720.03</v>
      </c>
      <c r="I284" s="551">
        <f t="shared" si="13"/>
        <v>9.1901079035103554E-4</v>
      </c>
      <c r="L284" s="550">
        <v>13804.46</v>
      </c>
      <c r="M284" s="553">
        <f t="shared" si="14"/>
        <v>2.2234914480972414E-3</v>
      </c>
    </row>
    <row r="285" spans="5:13" ht="15.75" thickBot="1">
      <c r="E285" s="552">
        <v>41491</v>
      </c>
      <c r="F285" s="550">
        <v>2765</v>
      </c>
      <c r="G285" s="549">
        <f t="shared" si="12"/>
        <v>0</v>
      </c>
      <c r="H285" s="550">
        <v>1718.45</v>
      </c>
      <c r="I285" s="551">
        <f t="shared" si="13"/>
        <v>-2.0346478359720486E-3</v>
      </c>
      <c r="L285" s="556">
        <v>13773.8</v>
      </c>
      <c r="M285" s="553">
        <f t="shared" si="14"/>
        <v>-9.2814368143299042E-4</v>
      </c>
    </row>
    <row r="286" spans="5:13" ht="15.75" thickBot="1">
      <c r="E286" s="557">
        <v>41488</v>
      </c>
      <c r="F286" s="556">
        <v>2765</v>
      </c>
      <c r="G286" s="549">
        <f t="shared" si="12"/>
        <v>0</v>
      </c>
      <c r="H286" s="556">
        <v>1721.95</v>
      </c>
      <c r="I286" s="551">
        <f t="shared" si="13"/>
        <v>9.3059205098529017E-3</v>
      </c>
      <c r="L286" s="550">
        <v>13786.59</v>
      </c>
      <c r="M286" s="553">
        <f t="shared" si="14"/>
        <v>7.6861788304337011E-3</v>
      </c>
    </row>
    <row r="287" spans="5:13" ht="15.75" thickBot="1">
      <c r="E287" s="552">
        <v>41487</v>
      </c>
      <c r="F287" s="550">
        <v>2765</v>
      </c>
      <c r="G287" s="549">
        <f t="shared" si="12"/>
        <v>1.6408754666392224E-2</v>
      </c>
      <c r="H287" s="550">
        <v>1706</v>
      </c>
      <c r="I287" s="551">
        <f t="shared" si="13"/>
        <v>1.4941075769103524E-2</v>
      </c>
      <c r="L287" s="556">
        <v>13681.03</v>
      </c>
      <c r="M287" s="553">
        <f t="shared" si="14"/>
        <v>1.5896423708579112E-2</v>
      </c>
    </row>
    <row r="288" spans="5:13" ht="15.75" thickBot="1">
      <c r="E288" s="557">
        <v>41486</v>
      </c>
      <c r="F288" s="556">
        <v>2720</v>
      </c>
      <c r="G288" s="549">
        <f t="shared" si="12"/>
        <v>-1.6408754666392213E-2</v>
      </c>
      <c r="H288" s="556">
        <v>1680.7</v>
      </c>
      <c r="I288" s="551">
        <f t="shared" si="13"/>
        <v>-8.4133687414879137E-3</v>
      </c>
      <c r="L288" s="550">
        <v>13465.27</v>
      </c>
      <c r="M288" s="553">
        <f t="shared" si="14"/>
        <v>2.1024263698983321E-3</v>
      </c>
    </row>
    <row r="289" spans="5:13" ht="15.75" thickBot="1">
      <c r="E289" s="552">
        <v>41485</v>
      </c>
      <c r="F289" s="550">
        <v>2765</v>
      </c>
      <c r="G289" s="549">
        <f t="shared" si="12"/>
        <v>1.6408754666392224E-2</v>
      </c>
      <c r="H289" s="550">
        <v>1694.9</v>
      </c>
      <c r="I289" s="551">
        <f t="shared" si="13"/>
        <v>3.1733582945518563E-3</v>
      </c>
      <c r="L289" s="556">
        <v>13436.99</v>
      </c>
      <c r="M289" s="553">
        <f t="shared" si="14"/>
        <v>1.5379846052950754E-3</v>
      </c>
    </row>
    <row r="290" spans="5:13" ht="15.75" thickBot="1">
      <c r="E290" s="557">
        <v>41484</v>
      </c>
      <c r="F290" s="556">
        <v>2720</v>
      </c>
      <c r="G290" s="549">
        <f t="shared" si="12"/>
        <v>-9.1491946535879765E-3</v>
      </c>
      <c r="H290" s="556">
        <v>1689.53</v>
      </c>
      <c r="I290" s="551">
        <f t="shared" si="13"/>
        <v>-2.8429007258366744E-3</v>
      </c>
      <c r="L290" s="550">
        <v>13416.34</v>
      </c>
      <c r="M290" s="553">
        <f t="shared" si="14"/>
        <v>-1.0347691522149111E-3</v>
      </c>
    </row>
    <row r="291" spans="5:13" ht="15.75" thickBot="1">
      <c r="E291" s="552">
        <v>41481</v>
      </c>
      <c r="F291" s="550">
        <v>2745</v>
      </c>
      <c r="G291" s="549">
        <f t="shared" si="12"/>
        <v>-5.449604767564703E-3</v>
      </c>
      <c r="H291" s="550">
        <v>1694.34</v>
      </c>
      <c r="I291" s="551">
        <f t="shared" si="13"/>
        <v>-4.0935023574153141E-3</v>
      </c>
      <c r="L291" s="556">
        <v>13430.23</v>
      </c>
      <c r="M291" s="553">
        <f t="shared" si="14"/>
        <v>-5.3482019975269971E-3</v>
      </c>
    </row>
    <row r="292" spans="5:13" ht="15.75" thickBot="1">
      <c r="E292" s="557">
        <v>41480</v>
      </c>
      <c r="F292" s="556">
        <v>2760</v>
      </c>
      <c r="G292" s="549">
        <f t="shared" si="12"/>
        <v>9.0992438551140888E-3</v>
      </c>
      <c r="H292" s="556">
        <v>1701.29</v>
      </c>
      <c r="I292" s="551">
        <f t="shared" si="13"/>
        <v>-2.0962090966296114E-3</v>
      </c>
      <c r="L292" s="550">
        <v>13502.25</v>
      </c>
      <c r="M292" s="553">
        <f t="shared" si="14"/>
        <v>-4.2236955219720849E-3</v>
      </c>
    </row>
    <row r="293" spans="5:13" ht="15.75" thickBot="1">
      <c r="E293" s="552">
        <v>41479</v>
      </c>
      <c r="F293" s="550">
        <v>2735</v>
      </c>
      <c r="G293" s="549">
        <f t="shared" si="12"/>
        <v>1.6590242260196789E-2</v>
      </c>
      <c r="H293" s="550">
        <v>1704.86</v>
      </c>
      <c r="I293" s="551">
        <f t="shared" si="13"/>
        <v>6.0421722599903983E-3</v>
      </c>
      <c r="L293" s="556">
        <v>13559.4</v>
      </c>
      <c r="M293" s="553">
        <f t="shared" si="14"/>
        <v>9.8725650344194194E-4</v>
      </c>
    </row>
    <row r="294" spans="5:13" ht="15.75" thickBot="1">
      <c r="E294" s="557">
        <v>41478</v>
      </c>
      <c r="F294" s="556">
        <v>2690</v>
      </c>
      <c r="G294" s="549">
        <f t="shared" si="12"/>
        <v>2.4460297570160671E-2</v>
      </c>
      <c r="H294" s="556">
        <v>1694.59</v>
      </c>
      <c r="I294" s="551">
        <f t="shared" si="13"/>
        <v>1.6841225443068663E-2</v>
      </c>
      <c r="L294" s="550">
        <v>13546.02</v>
      </c>
      <c r="M294" s="553">
        <f t="shared" si="14"/>
        <v>1.5814611856907766E-2</v>
      </c>
    </row>
    <row r="295" spans="5:13" ht="15.75" thickBot="1">
      <c r="E295" s="552">
        <v>41477</v>
      </c>
      <c r="F295" s="550">
        <v>2625</v>
      </c>
      <c r="G295" s="549">
        <f t="shared" si="12"/>
        <v>-2.0735898479178276E-2</v>
      </c>
      <c r="H295" s="550">
        <v>1666.29</v>
      </c>
      <c r="I295" s="551">
        <f t="shared" si="13"/>
        <v>-1.1539782942121848E-2</v>
      </c>
      <c r="L295" s="556">
        <v>13333.48</v>
      </c>
      <c r="M295" s="553">
        <f t="shared" si="14"/>
        <v>-1.1072846657734987E-2</v>
      </c>
    </row>
    <row r="296" spans="5:13" ht="15.75" thickBot="1">
      <c r="E296" s="557">
        <v>41474</v>
      </c>
      <c r="F296" s="556">
        <v>2680</v>
      </c>
      <c r="G296" s="549">
        <f t="shared" si="12"/>
        <v>-3.7243990909824397E-3</v>
      </c>
      <c r="H296" s="556">
        <v>1685.63</v>
      </c>
      <c r="I296" s="551">
        <f t="shared" si="13"/>
        <v>3.280113704092751E-3</v>
      </c>
      <c r="L296" s="550">
        <v>13481.94</v>
      </c>
      <c r="M296" s="553">
        <f t="shared" si="14"/>
        <v>5.3413662436514837E-3</v>
      </c>
    </row>
    <row r="297" spans="5:13" ht="15.75" thickBot="1">
      <c r="E297" s="552">
        <v>41473</v>
      </c>
      <c r="F297" s="550">
        <v>2690</v>
      </c>
      <c r="G297" s="549">
        <f t="shared" si="12"/>
        <v>-3.7105793965356015E-3</v>
      </c>
      <c r="H297" s="550">
        <v>1680.11</v>
      </c>
      <c r="I297" s="551">
        <f t="shared" si="13"/>
        <v>7.9116511375755417E-3</v>
      </c>
      <c r="L297" s="556">
        <v>13410.12</v>
      </c>
      <c r="M297" s="553">
        <f t="shared" si="14"/>
        <v>7.8817669963684531E-3</v>
      </c>
    </row>
    <row r="298" spans="5:13" ht="15.75" thickBot="1">
      <c r="E298" s="557">
        <v>41472</v>
      </c>
      <c r="F298" s="556">
        <v>2700</v>
      </c>
      <c r="G298" s="549">
        <f t="shared" si="12"/>
        <v>3.0077455237277954E-2</v>
      </c>
      <c r="H298" s="556">
        <v>1666.87</v>
      </c>
      <c r="I298" s="551">
        <f t="shared" si="13"/>
        <v>1.3365299310469E-2</v>
      </c>
      <c r="L298" s="550">
        <v>13304.84</v>
      </c>
      <c r="M298" s="553">
        <f t="shared" si="14"/>
        <v>1.4062506445309221E-2</v>
      </c>
    </row>
    <row r="299" spans="5:13" ht="15.75" thickBot="1">
      <c r="E299" s="552">
        <v>41471</v>
      </c>
      <c r="F299" s="550">
        <v>2620</v>
      </c>
      <c r="G299" s="549">
        <f t="shared" si="12"/>
        <v>3.8240964384034758E-3</v>
      </c>
      <c r="H299" s="550">
        <v>1644.74</v>
      </c>
      <c r="I299" s="551">
        <f t="shared" si="13"/>
        <v>6.0924295548785068E-3</v>
      </c>
      <c r="L299" s="556">
        <v>13119.05</v>
      </c>
      <c r="M299" s="553">
        <f t="shared" si="14"/>
        <v>5.4136463595803779E-3</v>
      </c>
    </row>
    <row r="300" spans="5:13" ht="15.75" thickBot="1">
      <c r="E300" s="557">
        <v>41470</v>
      </c>
      <c r="F300" s="556">
        <v>2610</v>
      </c>
      <c r="G300" s="549">
        <f t="shared" si="12"/>
        <v>2.7186140304156781E-2</v>
      </c>
      <c r="H300" s="556">
        <v>1634.75</v>
      </c>
      <c r="I300" s="551">
        <f t="shared" si="13"/>
        <v>1.8839763272607116E-2</v>
      </c>
      <c r="L300" s="550">
        <v>13048.22</v>
      </c>
      <c r="M300" s="553">
        <f t="shared" si="14"/>
        <v>1.5729793518565915E-2</v>
      </c>
    </row>
    <row r="301" spans="5:13" ht="15.75" thickBot="1">
      <c r="E301" s="552">
        <v>41467</v>
      </c>
      <c r="F301" s="550">
        <v>2540</v>
      </c>
      <c r="G301" s="549">
        <f t="shared" si="12"/>
        <v>5.9230183031220712E-3</v>
      </c>
      <c r="H301" s="550">
        <v>1604.24</v>
      </c>
      <c r="I301" s="551">
        <f t="shared" si="13"/>
        <v>1.2425402987802394E-2</v>
      </c>
      <c r="L301" s="556">
        <v>12844.58</v>
      </c>
      <c r="M301" s="553">
        <f t="shared" si="14"/>
        <v>1.4136500227418561E-2</v>
      </c>
    </row>
    <row r="302" spans="5:13" ht="15.75" thickBot="1">
      <c r="E302" s="557">
        <v>41466</v>
      </c>
      <c r="F302" s="556">
        <v>2525</v>
      </c>
      <c r="G302" s="549">
        <f t="shared" si="12"/>
        <v>-3.9525743158233583E-3</v>
      </c>
      <c r="H302" s="556">
        <v>1584.43</v>
      </c>
      <c r="I302" s="551">
        <f t="shared" si="13"/>
        <v>2.1518279310872312E-2</v>
      </c>
      <c r="L302" s="550">
        <v>12664.28</v>
      </c>
      <c r="M302" s="553">
        <f t="shared" si="14"/>
        <v>2.4738352517752187E-2</v>
      </c>
    </row>
    <row r="303" spans="5:13" ht="15.75" thickBot="1">
      <c r="E303" s="552">
        <v>41465</v>
      </c>
      <c r="F303" s="550">
        <v>2535</v>
      </c>
      <c r="G303" s="549">
        <f t="shared" si="12"/>
        <v>1.1904902506318458E-2</v>
      </c>
      <c r="H303" s="550">
        <v>1550.7</v>
      </c>
      <c r="I303" s="551">
        <f t="shared" si="13"/>
        <v>-1.5980483245875948E-2</v>
      </c>
      <c r="L303" s="556">
        <v>12354.83</v>
      </c>
      <c r="M303" s="553">
        <f t="shared" si="14"/>
        <v>-1.5321332574418698E-2</v>
      </c>
    </row>
    <row r="304" spans="5:13" ht="15.75" thickBot="1">
      <c r="E304" s="557">
        <v>41464</v>
      </c>
      <c r="F304" s="556">
        <v>2505</v>
      </c>
      <c r="G304" s="549">
        <f t="shared" si="12"/>
        <v>-2.561716437030033E-2</v>
      </c>
      <c r="H304" s="556">
        <v>1575.68</v>
      </c>
      <c r="I304" s="551">
        <f t="shared" si="13"/>
        <v>-6.6164665663907812E-3</v>
      </c>
      <c r="L304" s="550">
        <v>12545.58</v>
      </c>
      <c r="M304" s="553">
        <f t="shared" si="14"/>
        <v>-4.6386709704107527E-3</v>
      </c>
    </row>
    <row r="305" spans="5:13" ht="15.75" thickBot="1">
      <c r="E305" s="552">
        <v>41463</v>
      </c>
      <c r="F305" s="550">
        <v>2570</v>
      </c>
      <c r="G305" s="549">
        <f t="shared" si="12"/>
        <v>-5.8196090532640415E-3</v>
      </c>
      <c r="H305" s="550">
        <v>1586.14</v>
      </c>
      <c r="I305" s="551">
        <f t="shared" si="13"/>
        <v>-7.0801759541045031E-3</v>
      </c>
      <c r="L305" s="556">
        <v>12603.91</v>
      </c>
      <c r="M305" s="553">
        <f t="shared" si="14"/>
        <v>-1.9221575928056148E-3</v>
      </c>
    </row>
    <row r="306" spans="5:13" ht="15.75" thickBot="1">
      <c r="E306" s="557">
        <v>41460</v>
      </c>
      <c r="F306" s="556">
        <v>2585</v>
      </c>
      <c r="G306" s="549">
        <f t="shared" si="12"/>
        <v>-7.7071672449377784E-3</v>
      </c>
      <c r="H306" s="556">
        <v>1597.41</v>
      </c>
      <c r="I306" s="551">
        <f t="shared" si="13"/>
        <v>-8.1300753939080594E-3</v>
      </c>
      <c r="L306" s="550">
        <v>12628.16</v>
      </c>
      <c r="M306" s="553">
        <f t="shared" si="14"/>
        <v>-7.8742644937359208E-3</v>
      </c>
    </row>
    <row r="307" spans="5:13" ht="15.75" thickBot="1">
      <c r="E307" s="552">
        <v>41459</v>
      </c>
      <c r="F307" s="550">
        <v>2605</v>
      </c>
      <c r="G307" s="549">
        <f t="shared" si="12"/>
        <v>1.9212301778938723E-3</v>
      </c>
      <c r="H307" s="550">
        <v>1610.45</v>
      </c>
      <c r="I307" s="551">
        <f t="shared" si="13"/>
        <v>2.1258881410476569E-3</v>
      </c>
      <c r="L307" s="556">
        <v>12727.99</v>
      </c>
      <c r="M307" s="553">
        <f t="shared" si="14"/>
        <v>4.3131887411142931E-3</v>
      </c>
    </row>
    <row r="308" spans="5:13" ht="15.75" thickBot="1">
      <c r="E308" s="557">
        <v>41458</v>
      </c>
      <c r="F308" s="556">
        <v>2600</v>
      </c>
      <c r="G308" s="549">
        <f t="shared" si="12"/>
        <v>0</v>
      </c>
      <c r="H308" s="556">
        <v>1607.03</v>
      </c>
      <c r="I308" s="551">
        <f t="shared" si="13"/>
        <v>-3.7390418955530369E-3</v>
      </c>
      <c r="L308" s="550">
        <v>12673.21</v>
      </c>
      <c r="M308" s="553">
        <f t="shared" si="14"/>
        <v>-5.473735317572349E-3</v>
      </c>
    </row>
    <row r="309" spans="5:13" ht="15.75" thickBot="1">
      <c r="E309" s="552">
        <v>41457</v>
      </c>
      <c r="F309" s="550">
        <v>2600</v>
      </c>
      <c r="G309" s="549">
        <f t="shared" si="12"/>
        <v>9.6619109117368901E-3</v>
      </c>
      <c r="H309" s="550">
        <v>1613.05</v>
      </c>
      <c r="I309" s="551">
        <f t="shared" si="13"/>
        <v>-1.7281484933587363E-3</v>
      </c>
      <c r="L309" s="556">
        <v>12742.77</v>
      </c>
      <c r="M309" s="553">
        <f t="shared" si="14"/>
        <v>-6.7044268516977864E-3</v>
      </c>
    </row>
    <row r="310" spans="5:13" ht="15.75" thickBot="1">
      <c r="E310" s="557">
        <v>41453</v>
      </c>
      <c r="F310" s="556">
        <v>2575</v>
      </c>
      <c r="G310" s="549">
        <f t="shared" si="12"/>
        <v>3.5576874567107432E-2</v>
      </c>
      <c r="H310" s="556">
        <v>1615.84</v>
      </c>
      <c r="I310" s="551">
        <f t="shared" si="13"/>
        <v>2.4083362880539756E-2</v>
      </c>
      <c r="L310" s="550">
        <v>12828.49</v>
      </c>
      <c r="M310" s="553">
        <f t="shared" si="14"/>
        <v>2.2427609574916855E-2</v>
      </c>
    </row>
    <row r="311" spans="5:13" ht="15.75" thickBot="1">
      <c r="E311" s="552">
        <v>41452</v>
      </c>
      <c r="F311" s="550">
        <v>2485</v>
      </c>
      <c r="G311" s="549">
        <f t="shared" si="12"/>
        <v>8.0808520539386742E-3</v>
      </c>
      <c r="H311" s="550">
        <v>1577.39</v>
      </c>
      <c r="I311" s="551">
        <f t="shared" si="13"/>
        <v>1.8338208566277875E-3</v>
      </c>
      <c r="L311" s="556">
        <v>12543.98</v>
      </c>
      <c r="M311" s="553">
        <f t="shared" si="14"/>
        <v>-4.225045031247074E-5</v>
      </c>
    </row>
    <row r="312" spans="5:13" ht="15.75" thickBot="1">
      <c r="E312" s="557">
        <v>41451</v>
      </c>
      <c r="F312" s="556">
        <v>2465</v>
      </c>
      <c r="G312" s="549">
        <f t="shared" si="12"/>
        <v>-8.0808520539386725E-3</v>
      </c>
      <c r="H312" s="556">
        <v>1574.5</v>
      </c>
      <c r="I312" s="551">
        <f t="shared" si="13"/>
        <v>1.0990630430723923E-2</v>
      </c>
      <c r="L312" s="550">
        <v>12544.51</v>
      </c>
      <c r="M312" s="553">
        <f t="shared" si="14"/>
        <v>1.0113539066519697E-2</v>
      </c>
    </row>
    <row r="313" spans="5:13" ht="15.75" thickBot="1">
      <c r="E313" s="552">
        <v>41450</v>
      </c>
      <c r="F313" s="550">
        <v>2485</v>
      </c>
      <c r="G313" s="549">
        <f t="shared" si="12"/>
        <v>2.0140993717011856E-3</v>
      </c>
      <c r="H313" s="550">
        <v>1557.29</v>
      </c>
      <c r="I313" s="551">
        <f t="shared" si="13"/>
        <v>-8.5487820617764446E-3</v>
      </c>
      <c r="L313" s="556">
        <v>12418.28</v>
      </c>
      <c r="M313" s="553">
        <f t="shared" si="14"/>
        <v>-1.0460244195689144E-2</v>
      </c>
    </row>
    <row r="314" spans="5:13" ht="15.75" thickBot="1">
      <c r="E314" s="557">
        <v>41449</v>
      </c>
      <c r="F314" s="556">
        <v>2480</v>
      </c>
      <c r="G314" s="549">
        <f t="shared" si="12"/>
        <v>1.8311803642337688E-2</v>
      </c>
      <c r="H314" s="556">
        <v>1570.66</v>
      </c>
      <c r="I314" s="551">
        <f t="shared" si="13"/>
        <v>-1.5597234710990253E-2</v>
      </c>
      <c r="L314" s="550">
        <v>12548.86</v>
      </c>
      <c r="M314" s="553">
        <f t="shared" si="14"/>
        <v>-1.8297788969463311E-2</v>
      </c>
    </row>
    <row r="315" spans="5:13" ht="15.75" thickBot="1">
      <c r="E315" s="552">
        <v>41446</v>
      </c>
      <c r="F315" s="550">
        <v>2435</v>
      </c>
      <c r="G315" s="549">
        <f t="shared" si="12"/>
        <v>-2.6343975339601977E-2</v>
      </c>
      <c r="H315" s="550">
        <v>1595.35</v>
      </c>
      <c r="I315" s="551">
        <f t="shared" si="13"/>
        <v>-1.1727744776831734E-2</v>
      </c>
      <c r="L315" s="556">
        <v>12780.59</v>
      </c>
      <c r="M315" s="553">
        <f t="shared" si="14"/>
        <v>-1.4099015142130475E-2</v>
      </c>
    </row>
    <row r="316" spans="5:13" ht="15.75" thickBot="1">
      <c r="E316" s="557">
        <v>41445</v>
      </c>
      <c r="F316" s="556">
        <v>2500</v>
      </c>
      <c r="G316" s="549">
        <f t="shared" si="12"/>
        <v>-9.950330853168092E-3</v>
      </c>
      <c r="H316" s="556">
        <v>1614.17</v>
      </c>
      <c r="I316" s="551">
        <f t="shared" si="13"/>
        <v>-2.2396721636348465E-2</v>
      </c>
      <c r="L316" s="550">
        <v>12962.06</v>
      </c>
      <c r="M316" s="553">
        <f t="shared" si="14"/>
        <v>-2.4935581182335648E-2</v>
      </c>
    </row>
    <row r="317" spans="5:13" ht="15.75" thickBot="1">
      <c r="E317" s="552">
        <v>41444</v>
      </c>
      <c r="F317" s="550">
        <v>2525</v>
      </c>
      <c r="G317" s="549">
        <f t="shared" si="12"/>
        <v>1.9821612039912025E-3</v>
      </c>
      <c r="H317" s="550">
        <v>1650.73</v>
      </c>
      <c r="I317" s="551">
        <f t="shared" si="13"/>
        <v>-3.0968578361679237E-3</v>
      </c>
      <c r="L317" s="556">
        <v>13289.34</v>
      </c>
      <c r="M317" s="553">
        <f t="shared" si="14"/>
        <v>-6.5461968503439929E-3</v>
      </c>
    </row>
    <row r="318" spans="5:13" ht="15.75" thickBot="1">
      <c r="E318" s="557">
        <v>41443</v>
      </c>
      <c r="F318" s="556">
        <v>2520</v>
      </c>
      <c r="G318" s="549">
        <f t="shared" si="12"/>
        <v>1.9860979716293243E-3</v>
      </c>
      <c r="H318" s="556">
        <v>1655.85</v>
      </c>
      <c r="I318" s="551">
        <f t="shared" si="13"/>
        <v>1.2531004911730018E-2</v>
      </c>
      <c r="L318" s="550">
        <v>13376.62</v>
      </c>
      <c r="M318" s="553">
        <f t="shared" si="14"/>
        <v>1.5429467069594536E-2</v>
      </c>
    </row>
    <row r="319" spans="5:13" ht="15.75" thickBot="1">
      <c r="E319" s="552">
        <v>41442</v>
      </c>
      <c r="F319" s="550">
        <v>2515</v>
      </c>
      <c r="G319" s="549">
        <f t="shared" si="12"/>
        <v>-3.9682591756206222E-3</v>
      </c>
      <c r="H319" s="550">
        <v>1635.23</v>
      </c>
      <c r="I319" s="551">
        <f t="shared" si="13"/>
        <v>-1.0207419295687047E-3</v>
      </c>
      <c r="L319" s="556">
        <v>13171.81</v>
      </c>
      <c r="M319" s="553">
        <f t="shared" si="14"/>
        <v>2.1196455840093759E-3</v>
      </c>
    </row>
    <row r="320" spans="5:13" ht="15.75" thickBot="1">
      <c r="E320" s="557">
        <v>41439</v>
      </c>
      <c r="F320" s="556">
        <v>2525</v>
      </c>
      <c r="G320" s="549">
        <f t="shared" si="12"/>
        <v>-5.9230183031220556E-3</v>
      </c>
      <c r="H320" s="556">
        <v>1636.9</v>
      </c>
      <c r="I320" s="551">
        <f t="shared" si="13"/>
        <v>4.475759731749766E-3</v>
      </c>
      <c r="L320" s="550">
        <v>13143.92</v>
      </c>
      <c r="M320" s="553">
        <f t="shared" si="14"/>
        <v>5.3926663508703518E-3</v>
      </c>
    </row>
    <row r="321" spans="5:13" ht="15.75" thickBot="1">
      <c r="E321" s="552">
        <v>41438</v>
      </c>
      <c r="F321" s="550">
        <v>2540</v>
      </c>
      <c r="G321" s="549">
        <f t="shared" si="12"/>
        <v>1.1881327886752686E-2</v>
      </c>
      <c r="H321" s="550">
        <v>1629.59</v>
      </c>
      <c r="I321" s="551">
        <f t="shared" si="13"/>
        <v>-6.7499363384025072E-5</v>
      </c>
      <c r="L321" s="556">
        <v>13073.23</v>
      </c>
      <c r="M321" s="553">
        <f t="shared" si="14"/>
        <v>-1.3308430724991117E-3</v>
      </c>
    </row>
    <row r="322" spans="5:13" ht="15.75" thickBot="1">
      <c r="E322" s="557">
        <v>41437</v>
      </c>
      <c r="F322" s="556">
        <v>2510</v>
      </c>
      <c r="G322" s="549">
        <f t="shared" si="12"/>
        <v>-1.7769470511975295E-2</v>
      </c>
      <c r="H322" s="556">
        <v>1629.7</v>
      </c>
      <c r="I322" s="551">
        <f t="shared" si="13"/>
        <v>-1.4510400121637314E-2</v>
      </c>
      <c r="L322" s="550">
        <v>13090.64</v>
      </c>
      <c r="M322" s="553">
        <f t="shared" si="14"/>
        <v>-1.2318170845744762E-2</v>
      </c>
    </row>
    <row r="323" spans="5:13" ht="15.75" thickBot="1">
      <c r="E323" s="552">
        <v>41436</v>
      </c>
      <c r="F323" s="550">
        <v>2555</v>
      </c>
      <c r="G323" s="549">
        <f t="shared" ref="G323:G386" si="15">+LN(F323/F324)</f>
        <v>-9.7371752778583169E-3</v>
      </c>
      <c r="H323" s="550">
        <v>1653.52</v>
      </c>
      <c r="I323" s="551">
        <f t="shared" ref="I323:I386" si="16">+LN(H323/H324)</f>
        <v>-1.161045405290053E-2</v>
      </c>
      <c r="L323" s="556">
        <v>13252.89</v>
      </c>
      <c r="M323" s="553">
        <f t="shared" ref="M323:M386" si="17">+LN(L323/L324)</f>
        <v>-8.5404237061468061E-3</v>
      </c>
    </row>
    <row r="324" spans="5:13" ht="15.75" thickBot="1">
      <c r="E324" s="557">
        <v>41432</v>
      </c>
      <c r="F324" s="556">
        <v>2580</v>
      </c>
      <c r="G324" s="549">
        <f t="shared" si="15"/>
        <v>-5.7971176843259579E-3</v>
      </c>
      <c r="H324" s="556">
        <v>1672.83</v>
      </c>
      <c r="I324" s="551">
        <f t="shared" si="16"/>
        <v>-2.799709322009283E-3</v>
      </c>
      <c r="L324" s="550">
        <v>13366.56</v>
      </c>
      <c r="M324" s="553">
        <f t="shared" si="17"/>
        <v>-2.6854463556473914E-4</v>
      </c>
    </row>
    <row r="325" spans="5:13" ht="15.75" thickBot="1">
      <c r="E325" s="552">
        <v>41431</v>
      </c>
      <c r="F325" s="550">
        <v>2595</v>
      </c>
      <c r="G325" s="549">
        <f t="shared" si="15"/>
        <v>-2.8491955794306158E-2</v>
      </c>
      <c r="H325" s="550">
        <v>1677.52</v>
      </c>
      <c r="I325" s="551">
        <f t="shared" si="16"/>
        <v>-2.6789397901314741E-3</v>
      </c>
      <c r="L325" s="556">
        <v>13370.15</v>
      </c>
      <c r="M325" s="553">
        <f t="shared" si="17"/>
        <v>-1.0547794780886748E-3</v>
      </c>
    </row>
    <row r="326" spans="5:13" ht="15.75" thickBot="1">
      <c r="E326" s="557">
        <v>41430</v>
      </c>
      <c r="F326" s="556">
        <v>2670</v>
      </c>
      <c r="G326" s="549">
        <f t="shared" si="15"/>
        <v>0</v>
      </c>
      <c r="H326" s="556">
        <v>1682.02</v>
      </c>
      <c r="I326" s="551">
        <f t="shared" si="16"/>
        <v>-1.8413257992682449E-3</v>
      </c>
      <c r="L326" s="550">
        <v>13384.26</v>
      </c>
      <c r="M326" s="553">
        <f t="shared" si="17"/>
        <v>-4.5494691684999271E-3</v>
      </c>
    </row>
    <row r="327" spans="5:13" ht="15.75" thickBot="1">
      <c r="E327" s="552">
        <v>41429</v>
      </c>
      <c r="F327" s="550">
        <v>2670</v>
      </c>
      <c r="G327" s="549">
        <f t="shared" si="15"/>
        <v>1.8904154639152654E-2</v>
      </c>
      <c r="H327" s="550">
        <v>1685.12</v>
      </c>
      <c r="I327" s="551">
        <f t="shared" si="16"/>
        <v>1.1261185374971328E-2</v>
      </c>
      <c r="L327" s="556">
        <v>13445.29</v>
      </c>
      <c r="M327" s="553">
        <f t="shared" si="17"/>
        <v>6.9596766839326307E-3</v>
      </c>
    </row>
    <row r="328" spans="5:13" ht="15.75" thickBot="1">
      <c r="E328" s="557">
        <v>41425</v>
      </c>
      <c r="F328" s="556">
        <v>2620</v>
      </c>
      <c r="G328" s="549">
        <f t="shared" si="15"/>
        <v>3.8915416249673623E-2</v>
      </c>
      <c r="H328" s="556">
        <v>1666.25</v>
      </c>
      <c r="I328" s="551">
        <f t="shared" si="16"/>
        <v>-2.1627887814303848E-2</v>
      </c>
      <c r="L328" s="550">
        <v>13352.04</v>
      </c>
      <c r="M328" s="553">
        <f t="shared" si="17"/>
        <v>-1.4294397497795859E-2</v>
      </c>
    </row>
    <row r="329" spans="5:13" ht="15.75" thickBot="1">
      <c r="E329" s="552">
        <v>41424</v>
      </c>
      <c r="F329" s="550">
        <v>2520</v>
      </c>
      <c r="G329" s="549">
        <f t="shared" si="15"/>
        <v>0</v>
      </c>
      <c r="H329" s="550">
        <v>1702.68</v>
      </c>
      <c r="I329" s="551">
        <f t="shared" si="16"/>
        <v>-3.3771931064324454E-3</v>
      </c>
      <c r="L329" s="556">
        <v>13544.27</v>
      </c>
      <c r="M329" s="553">
        <f t="shared" si="17"/>
        <v>2.9354329802781195E-3</v>
      </c>
    </row>
    <row r="330" spans="5:13" ht="15.75" thickBot="1">
      <c r="E330" s="557">
        <v>41423</v>
      </c>
      <c r="F330" s="556">
        <v>2520</v>
      </c>
      <c r="G330" s="549">
        <f t="shared" si="15"/>
        <v>-2.1590632592367497E-2</v>
      </c>
      <c r="H330" s="556">
        <v>1708.44</v>
      </c>
      <c r="I330" s="551">
        <f t="shared" si="16"/>
        <v>-4.549351286714483E-3</v>
      </c>
      <c r="L330" s="550">
        <v>13504.57</v>
      </c>
      <c r="M330" s="553">
        <f t="shared" si="17"/>
        <v>-4.2148603492010604E-3</v>
      </c>
    </row>
    <row r="331" spans="5:13" ht="15.75" thickBot="1">
      <c r="E331" s="552">
        <v>41422</v>
      </c>
      <c r="F331" s="550">
        <v>2575</v>
      </c>
      <c r="G331" s="549">
        <f t="shared" si="15"/>
        <v>-9.6619109117368589E-3</v>
      </c>
      <c r="H331" s="550">
        <v>1716.23</v>
      </c>
      <c r="I331" s="551">
        <f t="shared" si="16"/>
        <v>7.0342323065135893E-3</v>
      </c>
      <c r="L331" s="556">
        <v>13561.61</v>
      </c>
      <c r="M331" s="553">
        <f t="shared" si="17"/>
        <v>6.1716674358058164E-3</v>
      </c>
    </row>
    <row r="332" spans="5:13" ht="15.75" thickBot="1">
      <c r="E332" s="557">
        <v>41421</v>
      </c>
      <c r="F332" s="556">
        <v>2600</v>
      </c>
      <c r="G332" s="549">
        <f t="shared" si="15"/>
        <v>-1.5267472130788421E-2</v>
      </c>
      <c r="H332" s="556">
        <v>1704.2</v>
      </c>
      <c r="I332" s="551">
        <f t="shared" si="16"/>
        <v>-2.6988494851191438E-4</v>
      </c>
      <c r="L332" s="550">
        <v>13478.17</v>
      </c>
      <c r="M332" s="553">
        <f t="shared" si="17"/>
        <v>9.0334946874229879E-4</v>
      </c>
    </row>
    <row r="333" spans="5:13" ht="15.75" thickBot="1">
      <c r="E333" s="552">
        <v>41418</v>
      </c>
      <c r="F333" s="550">
        <v>2640</v>
      </c>
      <c r="G333" s="549">
        <f t="shared" si="15"/>
        <v>9.5148196413384883E-3</v>
      </c>
      <c r="H333" s="550">
        <v>1704.66</v>
      </c>
      <c r="I333" s="551">
        <f t="shared" si="16"/>
        <v>3.0139351113340628E-3</v>
      </c>
      <c r="L333" s="556">
        <v>13466</v>
      </c>
      <c r="M333" s="553">
        <f t="shared" si="17"/>
        <v>4.4700978052753968E-3</v>
      </c>
    </row>
    <row r="334" spans="5:13" ht="15.75" thickBot="1">
      <c r="E334" s="557">
        <v>41417</v>
      </c>
      <c r="F334" s="556">
        <v>2615</v>
      </c>
      <c r="G334" s="549">
        <f t="shared" si="15"/>
        <v>-1.7062025276721439E-2</v>
      </c>
      <c r="H334" s="556">
        <v>1699.53</v>
      </c>
      <c r="I334" s="551">
        <f t="shared" si="16"/>
        <v>2.8578098001359495E-3</v>
      </c>
      <c r="L334" s="550">
        <v>13405.94</v>
      </c>
      <c r="M334" s="553">
        <f t="shared" si="17"/>
        <v>5.7077652435731209E-3</v>
      </c>
    </row>
    <row r="335" spans="5:13" ht="15.75" thickBot="1">
      <c r="E335" s="552">
        <v>41416</v>
      </c>
      <c r="F335" s="550">
        <v>2660</v>
      </c>
      <c r="G335" s="549">
        <f t="shared" si="15"/>
        <v>0</v>
      </c>
      <c r="H335" s="550">
        <v>1694.68</v>
      </c>
      <c r="I335" s="551">
        <f t="shared" si="16"/>
        <v>2.4281822727442491E-3</v>
      </c>
      <c r="L335" s="556">
        <v>13329.64</v>
      </c>
      <c r="M335" s="553">
        <f t="shared" si="17"/>
        <v>2.1719579734511283E-3</v>
      </c>
    </row>
    <row r="336" spans="5:13" ht="15.75" thickBot="1">
      <c r="E336" s="557">
        <v>41415</v>
      </c>
      <c r="F336" s="556">
        <v>2660</v>
      </c>
      <c r="G336" s="549">
        <f t="shared" si="15"/>
        <v>5.6550574833450565E-3</v>
      </c>
      <c r="H336" s="556">
        <v>1690.57</v>
      </c>
      <c r="I336" s="551">
        <f t="shared" si="16"/>
        <v>5.1951557668060361E-3</v>
      </c>
      <c r="L336" s="550">
        <v>13300.72</v>
      </c>
      <c r="M336" s="553">
        <f t="shared" si="17"/>
        <v>1.6998482206306178E-3</v>
      </c>
    </row>
    <row r="337" spans="5:13" ht="15.75" thickBot="1">
      <c r="E337" s="552">
        <v>41414</v>
      </c>
      <c r="F337" s="550">
        <v>2645</v>
      </c>
      <c r="G337" s="549">
        <f t="shared" si="15"/>
        <v>1.8921481520379623E-3</v>
      </c>
      <c r="H337" s="550">
        <v>1681.81</v>
      </c>
      <c r="I337" s="551">
        <f t="shared" si="16"/>
        <v>-4.7928436500104246E-3</v>
      </c>
      <c r="L337" s="556">
        <v>13278.13</v>
      </c>
      <c r="M337" s="553">
        <f t="shared" si="17"/>
        <v>-4.8698345898841198E-3</v>
      </c>
    </row>
    <row r="338" spans="5:13" ht="15.75" thickBot="1">
      <c r="E338" s="557">
        <v>41411</v>
      </c>
      <c r="F338" s="556">
        <v>2640</v>
      </c>
      <c r="G338" s="549">
        <f t="shared" si="15"/>
        <v>3.7950709685515343E-3</v>
      </c>
      <c r="H338" s="556">
        <v>1689.89</v>
      </c>
      <c r="I338" s="551">
        <f t="shared" si="16"/>
        <v>1.9250538296195939E-3</v>
      </c>
      <c r="L338" s="550">
        <v>13342.95</v>
      </c>
      <c r="M338" s="553">
        <f t="shared" si="17"/>
        <v>1.2899018238495567E-3</v>
      </c>
    </row>
    <row r="339" spans="5:13" ht="15.75" thickBot="1">
      <c r="E339" s="552">
        <v>41410</v>
      </c>
      <c r="F339" s="550">
        <v>2630</v>
      </c>
      <c r="G339" s="549">
        <f t="shared" si="15"/>
        <v>1.1472401162236781E-2</v>
      </c>
      <c r="H339" s="550">
        <v>1686.64</v>
      </c>
      <c r="I339" s="551">
        <f t="shared" si="16"/>
        <v>5.4159107702249198E-3</v>
      </c>
      <c r="L339" s="556">
        <v>13325.75</v>
      </c>
      <c r="M339" s="553">
        <f t="shared" si="17"/>
        <v>4.4780527269183933E-3</v>
      </c>
    </row>
    <row r="340" spans="5:13" ht="15.75" thickBot="1">
      <c r="E340" s="557">
        <v>41409</v>
      </c>
      <c r="F340" s="556">
        <v>2600</v>
      </c>
      <c r="G340" s="549">
        <f t="shared" si="15"/>
        <v>1.9418085857101516E-2</v>
      </c>
      <c r="H340" s="556">
        <v>1677.53</v>
      </c>
      <c r="I340" s="551">
        <f t="shared" si="16"/>
        <v>8.3806228804932971E-3</v>
      </c>
      <c r="L340" s="550">
        <v>13266.21</v>
      </c>
      <c r="M340" s="553">
        <f t="shared" si="17"/>
        <v>3.8222509425134693E-3</v>
      </c>
    </row>
    <row r="341" spans="5:13" ht="15.75" thickBot="1">
      <c r="E341" s="552">
        <v>41408</v>
      </c>
      <c r="F341" s="550">
        <v>2550</v>
      </c>
      <c r="G341" s="549">
        <f t="shared" si="15"/>
        <v>-1.1696039763191298E-2</v>
      </c>
      <c r="H341" s="550">
        <v>1663.53</v>
      </c>
      <c r="I341" s="551">
        <f t="shared" si="16"/>
        <v>5.2798242171397019E-3</v>
      </c>
      <c r="L341" s="556">
        <v>13215.6</v>
      </c>
      <c r="M341" s="553">
        <f t="shared" si="17"/>
        <v>1.8722682630248966E-3</v>
      </c>
    </row>
    <row r="342" spans="5:13" ht="15.75" thickBot="1">
      <c r="E342" s="557">
        <v>41404</v>
      </c>
      <c r="F342" s="556">
        <v>2580</v>
      </c>
      <c r="G342" s="549">
        <f t="shared" si="15"/>
        <v>0</v>
      </c>
      <c r="H342" s="556">
        <v>1654.77</v>
      </c>
      <c r="I342" s="551">
        <f t="shared" si="16"/>
        <v>-1.1679385866268661E-2</v>
      </c>
      <c r="L342" s="550">
        <v>13190.88</v>
      </c>
      <c r="M342" s="553">
        <f t="shared" si="17"/>
        <v>-9.9962060816816915E-3</v>
      </c>
    </row>
    <row r="343" spans="5:13" ht="15.75" thickBot="1">
      <c r="E343" s="552">
        <v>41403</v>
      </c>
      <c r="F343" s="550">
        <v>2580</v>
      </c>
      <c r="G343" s="549">
        <f t="shared" si="15"/>
        <v>-3.8684767779203176E-3</v>
      </c>
      <c r="H343" s="550">
        <v>1674.21</v>
      </c>
      <c r="I343" s="551">
        <f t="shared" si="16"/>
        <v>-5.3755252349029981E-5</v>
      </c>
      <c r="L343" s="556">
        <v>13323.4</v>
      </c>
      <c r="M343" s="553">
        <f t="shared" si="17"/>
        <v>3.9851431689891543E-3</v>
      </c>
    </row>
    <row r="344" spans="5:13" ht="15.75" thickBot="1">
      <c r="E344" s="557">
        <v>41402</v>
      </c>
      <c r="F344" s="556">
        <v>2590</v>
      </c>
      <c r="G344" s="549">
        <f t="shared" si="15"/>
        <v>1.9323677510538603E-3</v>
      </c>
      <c r="H344" s="556">
        <v>1674.3</v>
      </c>
      <c r="I344" s="551">
        <f t="shared" si="16"/>
        <v>-8.3565531717638194E-3</v>
      </c>
      <c r="L344" s="550">
        <v>13270.41</v>
      </c>
      <c r="M344" s="553">
        <f t="shared" si="17"/>
        <v>-8.0165156906788528E-3</v>
      </c>
    </row>
    <row r="345" spans="5:13" ht="15.75" thickBot="1">
      <c r="E345" s="552">
        <v>41401</v>
      </c>
      <c r="F345" s="550">
        <v>2585</v>
      </c>
      <c r="G345" s="549">
        <f t="shared" si="15"/>
        <v>3.8759738446929397E-3</v>
      </c>
      <c r="H345" s="550">
        <v>1688.35</v>
      </c>
      <c r="I345" s="551">
        <f t="shared" si="16"/>
        <v>9.1254939432150277E-4</v>
      </c>
      <c r="L345" s="556">
        <v>13377.22</v>
      </c>
      <c r="M345" s="553">
        <f t="shared" si="17"/>
        <v>-2.6219183980058366E-3</v>
      </c>
    </row>
    <row r="346" spans="5:13" ht="15.75" thickBot="1">
      <c r="E346" s="557">
        <v>41400</v>
      </c>
      <c r="F346" s="556">
        <v>2575</v>
      </c>
      <c r="G346" s="549">
        <f t="shared" si="15"/>
        <v>1.9436352085710307E-3</v>
      </c>
      <c r="H346" s="556">
        <v>1686.81</v>
      </c>
      <c r="I346" s="551">
        <f t="shared" si="16"/>
        <v>-6.9298872747425916E-3</v>
      </c>
      <c r="L346" s="550">
        <v>13412.34</v>
      </c>
      <c r="M346" s="553">
        <f t="shared" si="17"/>
        <v>-5.8283454485259182E-3</v>
      </c>
    </row>
    <row r="347" spans="5:13" ht="15.75" thickBot="1">
      <c r="E347" s="552">
        <v>41397</v>
      </c>
      <c r="F347" s="550">
        <v>2570</v>
      </c>
      <c r="G347" s="549">
        <f t="shared" si="15"/>
        <v>1.1741817876683195E-2</v>
      </c>
      <c r="H347" s="550">
        <v>1698.54</v>
      </c>
      <c r="I347" s="551">
        <f t="shared" si="16"/>
        <v>1.7088078450007095E-3</v>
      </c>
      <c r="L347" s="556">
        <v>13490.74</v>
      </c>
      <c r="M347" s="553">
        <f t="shared" si="17"/>
        <v>5.6367492164959114E-3</v>
      </c>
    </row>
    <row r="348" spans="5:13" ht="15.75" thickBot="1">
      <c r="E348" s="557">
        <v>41396</v>
      </c>
      <c r="F348" s="556">
        <v>2540</v>
      </c>
      <c r="G348" s="549">
        <f t="shared" si="15"/>
        <v>0</v>
      </c>
      <c r="H348" s="556">
        <v>1695.64</v>
      </c>
      <c r="I348" s="551">
        <f t="shared" si="16"/>
        <v>6.365906036453926E-3</v>
      </c>
      <c r="L348" s="550">
        <v>13414.91</v>
      </c>
      <c r="M348" s="553">
        <f t="shared" si="17"/>
        <v>1.838451145641685E-3</v>
      </c>
    </row>
    <row r="349" spans="5:13" ht="15.75" thickBot="1">
      <c r="E349" s="552">
        <v>41394</v>
      </c>
      <c r="F349" s="550">
        <v>2540</v>
      </c>
      <c r="G349" s="549">
        <f t="shared" si="15"/>
        <v>5.9230183031220712E-3</v>
      </c>
      <c r="H349" s="550">
        <v>1684.88</v>
      </c>
      <c r="I349" s="551">
        <f t="shared" si="16"/>
        <v>-9.0103740755886046E-3</v>
      </c>
      <c r="L349" s="556">
        <v>13390.27</v>
      </c>
      <c r="M349" s="553">
        <f t="shared" si="17"/>
        <v>-5.0037891611329809E-3</v>
      </c>
    </row>
    <row r="350" spans="5:13" ht="15.75" thickBot="1">
      <c r="E350" s="557">
        <v>41393</v>
      </c>
      <c r="F350" s="556">
        <v>2525</v>
      </c>
      <c r="G350" s="549">
        <f t="shared" si="15"/>
        <v>1.9821612039912025E-3</v>
      </c>
      <c r="H350" s="556">
        <v>1700.13</v>
      </c>
      <c r="I350" s="551">
        <f t="shared" si="16"/>
        <v>-2.9249060567570198E-3</v>
      </c>
      <c r="L350" s="550">
        <v>13457.44</v>
      </c>
      <c r="M350" s="553">
        <f t="shared" si="17"/>
        <v>2.1259906171353501E-3</v>
      </c>
    </row>
    <row r="351" spans="5:13" ht="15.75" thickBot="1">
      <c r="E351" s="552">
        <v>41390</v>
      </c>
      <c r="F351" s="550">
        <v>2520</v>
      </c>
      <c r="G351" s="549">
        <f t="shared" si="15"/>
        <v>-1.1834457647002796E-2</v>
      </c>
      <c r="H351" s="550">
        <v>1705.11</v>
      </c>
      <c r="I351" s="551">
        <f t="shared" si="16"/>
        <v>-6.3430659873413972E-3</v>
      </c>
      <c r="L351" s="556">
        <v>13428.86</v>
      </c>
      <c r="M351" s="553">
        <f t="shared" si="17"/>
        <v>-7.2202051150775893E-3</v>
      </c>
    </row>
    <row r="352" spans="5:13" ht="15.75" thickBot="1">
      <c r="E352" s="557">
        <v>41389</v>
      </c>
      <c r="F352" s="556">
        <v>2550</v>
      </c>
      <c r="G352" s="549">
        <f t="shared" si="15"/>
        <v>1.9627091678486889E-3</v>
      </c>
      <c r="H352" s="556">
        <v>1715.96</v>
      </c>
      <c r="I352" s="551">
        <f t="shared" si="16"/>
        <v>1.1073132221610951E-4</v>
      </c>
      <c r="L352" s="550">
        <v>13526.17</v>
      </c>
      <c r="M352" s="553">
        <f t="shared" si="17"/>
        <v>5.2517605842139535E-3</v>
      </c>
    </row>
    <row r="353" spans="5:13" ht="15.75" thickBot="1">
      <c r="E353" s="552">
        <v>41388</v>
      </c>
      <c r="F353" s="550">
        <v>2545</v>
      </c>
      <c r="G353" s="549">
        <f t="shared" si="15"/>
        <v>9.871748479154091E-3</v>
      </c>
      <c r="H353" s="550">
        <v>1715.77</v>
      </c>
      <c r="I353" s="551">
        <f t="shared" si="16"/>
        <v>1.411441070451673E-3</v>
      </c>
      <c r="L353" s="556">
        <v>13455.32</v>
      </c>
      <c r="M353" s="553">
        <f t="shared" si="17"/>
        <v>4.2489727318098238E-3</v>
      </c>
    </row>
    <row r="354" spans="5:13" ht="15.75" thickBot="1">
      <c r="E354" s="557">
        <v>41387</v>
      </c>
      <c r="F354" s="556">
        <v>2520</v>
      </c>
      <c r="G354" s="549">
        <f t="shared" si="15"/>
        <v>-1.1834457647002796E-2</v>
      </c>
      <c r="H354" s="556">
        <v>1713.35</v>
      </c>
      <c r="I354" s="551">
        <f t="shared" si="16"/>
        <v>-1.9258658431356768E-4</v>
      </c>
      <c r="L354" s="550">
        <v>13398.27</v>
      </c>
      <c r="M354" s="553">
        <f t="shared" si="17"/>
        <v>9.1247422729966545E-4</v>
      </c>
    </row>
    <row r="355" spans="5:13" ht="15.75" thickBot="1">
      <c r="E355" s="552">
        <v>41386</v>
      </c>
      <c r="F355" s="550">
        <v>2550</v>
      </c>
      <c r="G355" s="549">
        <f t="shared" si="15"/>
        <v>0</v>
      </c>
      <c r="H355" s="550">
        <v>1713.68</v>
      </c>
      <c r="I355" s="551">
        <f t="shared" si="16"/>
        <v>4.5033792910805972E-3</v>
      </c>
      <c r="L355" s="556">
        <v>13386.05</v>
      </c>
      <c r="M355" s="553">
        <f t="shared" si="17"/>
        <v>5.3113862492557102E-3</v>
      </c>
    </row>
    <row r="356" spans="5:13" ht="15.75" thickBot="1">
      <c r="E356" s="557">
        <v>41383</v>
      </c>
      <c r="F356" s="556">
        <v>2550</v>
      </c>
      <c r="G356" s="549">
        <f t="shared" si="15"/>
        <v>1.980262729617973E-2</v>
      </c>
      <c r="H356" s="556">
        <v>1705.98</v>
      </c>
      <c r="I356" s="551">
        <f t="shared" si="16"/>
        <v>1.4606378367860401E-3</v>
      </c>
      <c r="L356" s="550">
        <v>13315.14</v>
      </c>
      <c r="M356" s="553">
        <f t="shared" si="17"/>
        <v>2.4566129385416055E-3</v>
      </c>
    </row>
    <row r="357" spans="5:13" ht="15.75" thickBot="1">
      <c r="E357" s="552">
        <v>41382</v>
      </c>
      <c r="F357" s="550">
        <v>2500</v>
      </c>
      <c r="G357" s="549">
        <f t="shared" si="15"/>
        <v>-1.1928570865273845E-2</v>
      </c>
      <c r="H357" s="550">
        <v>1703.49</v>
      </c>
      <c r="I357" s="551">
        <f t="shared" si="16"/>
        <v>2.0861315128855389E-3</v>
      </c>
      <c r="L357" s="556">
        <v>13282.47</v>
      </c>
      <c r="M357" s="553">
        <f t="shared" si="17"/>
        <v>-1.0466969993023062E-3</v>
      </c>
    </row>
    <row r="358" spans="5:13" ht="15.75" thickBot="1">
      <c r="E358" s="557">
        <v>41381</v>
      </c>
      <c r="F358" s="556">
        <v>2530</v>
      </c>
      <c r="G358" s="549">
        <f t="shared" si="15"/>
        <v>2.4001152099543045E-2</v>
      </c>
      <c r="H358" s="556">
        <v>1699.94</v>
      </c>
      <c r="I358" s="551">
        <f t="shared" si="16"/>
        <v>-3.2536397197887451E-3</v>
      </c>
      <c r="L358" s="550">
        <v>13296.38</v>
      </c>
      <c r="M358" s="553">
        <f t="shared" si="17"/>
        <v>-6.8072088304385542E-3</v>
      </c>
    </row>
    <row r="359" spans="5:13" ht="15.75" thickBot="1">
      <c r="E359" s="552">
        <v>41380</v>
      </c>
      <c r="F359" s="550">
        <v>2470</v>
      </c>
      <c r="G359" s="549">
        <f t="shared" si="15"/>
        <v>2.0450610471290841E-2</v>
      </c>
      <c r="H359" s="550">
        <v>1705.48</v>
      </c>
      <c r="I359" s="551">
        <f t="shared" si="16"/>
        <v>1.3744135495260341E-2</v>
      </c>
      <c r="L359" s="556">
        <v>13387.2</v>
      </c>
      <c r="M359" s="553">
        <f t="shared" si="17"/>
        <v>1.1685828129365094E-2</v>
      </c>
    </row>
    <row r="360" spans="5:13" ht="15.75" thickBot="1">
      <c r="E360" s="557">
        <v>41379</v>
      </c>
      <c r="F360" s="556">
        <v>2420</v>
      </c>
      <c r="G360" s="549">
        <f t="shared" si="15"/>
        <v>-4.0491361354736875E-2</v>
      </c>
      <c r="H360" s="556">
        <v>1682.2</v>
      </c>
      <c r="I360" s="551">
        <f t="shared" si="16"/>
        <v>-3.0270746022290275E-2</v>
      </c>
      <c r="L360" s="550">
        <v>13231.67</v>
      </c>
      <c r="M360" s="553">
        <f t="shared" si="17"/>
        <v>-3.1948695582966397E-2</v>
      </c>
    </row>
    <row r="361" spans="5:13" ht="15.75" thickBot="1">
      <c r="E361" s="552">
        <v>41376</v>
      </c>
      <c r="F361" s="550">
        <v>2520</v>
      </c>
      <c r="G361" s="549">
        <f t="shared" si="15"/>
        <v>-5.9347355198145777E-3</v>
      </c>
      <c r="H361" s="550">
        <v>1733.9</v>
      </c>
      <c r="I361" s="551">
        <f t="shared" si="16"/>
        <v>-9.6539253248338844E-3</v>
      </c>
      <c r="L361" s="556">
        <v>13661.23</v>
      </c>
      <c r="M361" s="553">
        <f t="shared" si="17"/>
        <v>-1.2945418790844087E-2</v>
      </c>
    </row>
    <row r="362" spans="5:13" ht="15.75" thickBot="1">
      <c r="E362" s="557">
        <v>41375</v>
      </c>
      <c r="F362" s="556">
        <v>2535</v>
      </c>
      <c r="G362" s="549">
        <f t="shared" si="15"/>
        <v>-3.9370129593395316E-3</v>
      </c>
      <c r="H362" s="556">
        <v>1750.72</v>
      </c>
      <c r="I362" s="551">
        <f t="shared" si="16"/>
        <v>4.8899292948240049E-3</v>
      </c>
      <c r="L362" s="550">
        <v>13839.23</v>
      </c>
      <c r="M362" s="553">
        <f t="shared" si="17"/>
        <v>7.8505341852164855E-3</v>
      </c>
    </row>
    <row r="363" spans="5:13" ht="15.75" thickBot="1">
      <c r="E363" s="552">
        <v>41374</v>
      </c>
      <c r="F363" s="550">
        <v>2545</v>
      </c>
      <c r="G363" s="549">
        <f t="shared" si="15"/>
        <v>1.7839918128331016E-2</v>
      </c>
      <c r="H363" s="550">
        <v>1742.18</v>
      </c>
      <c r="I363" s="551">
        <f t="shared" si="16"/>
        <v>1.49349781908159E-3</v>
      </c>
      <c r="L363" s="556">
        <v>13731.01</v>
      </c>
      <c r="M363" s="553">
        <f t="shared" si="17"/>
        <v>2.0741019268790974E-3</v>
      </c>
    </row>
    <row r="364" spans="5:13" ht="15.75" thickBot="1">
      <c r="E364" s="557">
        <v>41373</v>
      </c>
      <c r="F364" s="556">
        <v>2500</v>
      </c>
      <c r="G364" s="549">
        <f t="shared" si="15"/>
        <v>1.6129381929883717E-2</v>
      </c>
      <c r="H364" s="556">
        <v>1739.58</v>
      </c>
      <c r="I364" s="551">
        <f t="shared" si="16"/>
        <v>-3.6207495078612742E-3</v>
      </c>
      <c r="L364" s="550">
        <v>13702.56</v>
      </c>
      <c r="M364" s="553">
        <f t="shared" si="17"/>
        <v>3.7508516283635291E-3</v>
      </c>
    </row>
    <row r="365" spans="5:13" ht="15.75" thickBot="1">
      <c r="E365" s="552">
        <v>41372</v>
      </c>
      <c r="F365" s="550">
        <v>2460</v>
      </c>
      <c r="G365" s="549">
        <f t="shared" si="15"/>
        <v>-1.4127379259210565E-2</v>
      </c>
      <c r="H365" s="550">
        <v>1745.89</v>
      </c>
      <c r="I365" s="551">
        <f t="shared" si="16"/>
        <v>-7.4127885611370119E-3</v>
      </c>
      <c r="L365" s="556">
        <v>13651.26</v>
      </c>
      <c r="M365" s="553">
        <f t="shared" si="17"/>
        <v>-6.6955955776571499E-3</v>
      </c>
    </row>
    <row r="366" spans="5:13" ht="15.75" thickBot="1">
      <c r="E366" s="557">
        <v>41369</v>
      </c>
      <c r="F366" s="556">
        <v>2495</v>
      </c>
      <c r="G366" s="549">
        <f t="shared" si="15"/>
        <v>-4.0000053333461277E-3</v>
      </c>
      <c r="H366" s="556">
        <v>1758.88</v>
      </c>
      <c r="I366" s="551">
        <f t="shared" si="16"/>
        <v>1.0865083481356749E-3</v>
      </c>
      <c r="L366" s="550">
        <v>13742.97</v>
      </c>
      <c r="M366" s="553">
        <f t="shared" si="17"/>
        <v>-4.5164634103478409E-3</v>
      </c>
    </row>
    <row r="367" spans="5:13" ht="15.75" thickBot="1">
      <c r="E367" s="552">
        <v>41368</v>
      </c>
      <c r="F367" s="550">
        <v>2505</v>
      </c>
      <c r="G367" s="549">
        <f t="shared" si="15"/>
        <v>-9.9305682026007997E-3</v>
      </c>
      <c r="H367" s="550">
        <v>1756.97</v>
      </c>
      <c r="I367" s="551">
        <f t="shared" si="16"/>
        <v>5.7479459712340853E-3</v>
      </c>
      <c r="L367" s="556">
        <v>13805.18</v>
      </c>
      <c r="M367" s="553">
        <f t="shared" si="17"/>
        <v>6.2694398947444677E-3</v>
      </c>
    </row>
    <row r="368" spans="5:13" ht="15.75" thickBot="1">
      <c r="E368" s="557">
        <v>41367</v>
      </c>
      <c r="F368" s="556">
        <v>2530</v>
      </c>
      <c r="G368" s="549">
        <f t="shared" si="15"/>
        <v>0</v>
      </c>
      <c r="H368" s="556">
        <v>1746.9</v>
      </c>
      <c r="I368" s="551">
        <f t="shared" si="16"/>
        <v>-1.2916394795439833E-2</v>
      </c>
      <c r="L368" s="550">
        <v>13718.9</v>
      </c>
      <c r="M368" s="553">
        <f t="shared" si="17"/>
        <v>-2.1970032853481068E-2</v>
      </c>
    </row>
    <row r="369" spans="5:13" ht="15.75" thickBot="1">
      <c r="E369" s="552">
        <v>41366</v>
      </c>
      <c r="F369" s="550">
        <v>2530</v>
      </c>
      <c r="G369" s="549">
        <f t="shared" si="15"/>
        <v>-5.9113472630572374E-3</v>
      </c>
      <c r="H369" s="550">
        <v>1769.61</v>
      </c>
      <c r="I369" s="551">
        <f t="shared" si="16"/>
        <v>-2.7120942618995427E-4</v>
      </c>
      <c r="L369" s="556">
        <v>14023.64</v>
      </c>
      <c r="M369" s="553">
        <f t="shared" si="17"/>
        <v>-1.4030729523113971E-3</v>
      </c>
    </row>
    <row r="370" spans="5:13" ht="15.75" thickBot="1">
      <c r="E370" s="557">
        <v>41365</v>
      </c>
      <c r="F370" s="556">
        <v>2545</v>
      </c>
      <c r="G370" s="549">
        <f t="shared" si="15"/>
        <v>1.9665689720408473E-3</v>
      </c>
      <c r="H370" s="556">
        <v>1770.09</v>
      </c>
      <c r="I370" s="551">
        <f t="shared" si="16"/>
        <v>-2.6911538266082258E-3</v>
      </c>
      <c r="L370" s="550">
        <v>14043.33</v>
      </c>
      <c r="M370" s="553">
        <f t="shared" si="17"/>
        <v>-6.5312021077497872E-3</v>
      </c>
    </row>
    <row r="371" spans="5:13" ht="15.75" thickBot="1">
      <c r="E371" s="552">
        <v>41360</v>
      </c>
      <c r="F371" s="550">
        <v>2540</v>
      </c>
      <c r="G371" s="549">
        <f t="shared" si="15"/>
        <v>9.8912774787427004E-3</v>
      </c>
      <c r="H371" s="550">
        <v>1774.86</v>
      </c>
      <c r="I371" s="551">
        <f t="shared" si="16"/>
        <v>4.9593671060776565E-4</v>
      </c>
      <c r="L371" s="556">
        <v>14135.35</v>
      </c>
      <c r="M371" s="553">
        <f t="shared" si="17"/>
        <v>2.9678920754076126E-3</v>
      </c>
    </row>
    <row r="372" spans="5:13" ht="15.75" thickBot="1">
      <c r="E372" s="557">
        <v>41359</v>
      </c>
      <c r="F372" s="556">
        <v>2515</v>
      </c>
      <c r="G372" s="549">
        <f t="shared" si="15"/>
        <v>1.9900504080100092E-3</v>
      </c>
      <c r="H372" s="556">
        <v>1773.98</v>
      </c>
      <c r="I372" s="551">
        <f t="shared" si="16"/>
        <v>7.883392129238392E-3</v>
      </c>
      <c r="L372" s="550">
        <v>14093.46</v>
      </c>
      <c r="M372" s="553">
        <f t="shared" si="17"/>
        <v>7.7999014973893985E-3</v>
      </c>
    </row>
    <row r="373" spans="5:13" ht="15.75" thickBot="1">
      <c r="E373" s="552">
        <v>41355</v>
      </c>
      <c r="F373" s="550">
        <v>2510</v>
      </c>
      <c r="G373" s="549">
        <f t="shared" si="15"/>
        <v>0</v>
      </c>
      <c r="H373" s="550">
        <v>1760.05</v>
      </c>
      <c r="I373" s="551">
        <f t="shared" si="16"/>
        <v>9.1516537626539342E-4</v>
      </c>
      <c r="L373" s="556">
        <v>13983.96</v>
      </c>
      <c r="M373" s="553">
        <f t="shared" si="17"/>
        <v>4.1741865509816248E-3</v>
      </c>
    </row>
    <row r="374" spans="5:13" ht="15.75" thickBot="1">
      <c r="E374" s="557">
        <v>41354</v>
      </c>
      <c r="F374" s="556">
        <v>2510</v>
      </c>
      <c r="G374" s="549">
        <f t="shared" si="15"/>
        <v>-7.9365495957363034E-3</v>
      </c>
      <c r="H374" s="556">
        <v>1758.44</v>
      </c>
      <c r="I374" s="551">
        <f t="shared" si="16"/>
        <v>-6.3672543367772469E-4</v>
      </c>
      <c r="L374" s="550">
        <v>13925.71</v>
      </c>
      <c r="M374" s="553">
        <f t="shared" si="17"/>
        <v>-1.4989790162025232E-3</v>
      </c>
    </row>
    <row r="375" spans="5:13" ht="15.75" thickBot="1">
      <c r="E375" s="552">
        <v>41353</v>
      </c>
      <c r="F375" s="550">
        <v>2530</v>
      </c>
      <c r="G375" s="549">
        <f t="shared" si="15"/>
        <v>0</v>
      </c>
      <c r="H375" s="550">
        <v>1759.56</v>
      </c>
      <c r="I375" s="551">
        <f t="shared" si="16"/>
        <v>-3.807045352662501E-4</v>
      </c>
      <c r="L375" s="556">
        <v>13946.6</v>
      </c>
      <c r="M375" s="553">
        <f t="shared" si="17"/>
        <v>-8.7724836339832506E-4</v>
      </c>
    </row>
    <row r="376" spans="5:13" ht="15.75" thickBot="1">
      <c r="E376" s="557">
        <v>41352</v>
      </c>
      <c r="F376" s="556">
        <v>2530</v>
      </c>
      <c r="G376" s="549">
        <f t="shared" si="15"/>
        <v>3.9604012160969143E-3</v>
      </c>
      <c r="H376" s="556">
        <v>1760.23</v>
      </c>
      <c r="I376" s="551">
        <f t="shared" si="16"/>
        <v>-2.043480913570956E-2</v>
      </c>
      <c r="L376" s="550">
        <v>13958.84</v>
      </c>
      <c r="M376" s="553">
        <f t="shared" si="17"/>
        <v>-1.9518361919430433E-2</v>
      </c>
    </row>
    <row r="377" spans="5:13" ht="15.75" thickBot="1">
      <c r="E377" s="552">
        <v>41351</v>
      </c>
      <c r="F377" s="550">
        <v>2520</v>
      </c>
      <c r="G377" s="549">
        <f t="shared" si="15"/>
        <v>-1.9646997383796536E-2</v>
      </c>
      <c r="H377" s="550">
        <v>1796.57</v>
      </c>
      <c r="I377" s="551">
        <f t="shared" si="16"/>
        <v>-5.6060803343664888E-3</v>
      </c>
      <c r="L377" s="556">
        <v>14233.97</v>
      </c>
      <c r="M377" s="553">
        <f t="shared" si="17"/>
        <v>-9.9440914021746464E-3</v>
      </c>
    </row>
    <row r="378" spans="5:13" ht="15.75" thickBot="1">
      <c r="E378" s="557">
        <v>41348</v>
      </c>
      <c r="F378" s="556">
        <v>2570</v>
      </c>
      <c r="G378" s="549">
        <f t="shared" si="15"/>
        <v>7.8125397367936247E-3</v>
      </c>
      <c r="H378" s="550">
        <v>1806.67</v>
      </c>
      <c r="I378" s="551">
        <f t="shared" si="16"/>
        <v>9.375902832732215E-3</v>
      </c>
      <c r="L378" s="556">
        <v>14376.22</v>
      </c>
      <c r="M378" s="553">
        <f t="shared" si="17"/>
        <v>6.0413532731775337E-3</v>
      </c>
    </row>
    <row r="379" spans="5:13" ht="15.75" thickBot="1">
      <c r="E379" s="552">
        <v>41347</v>
      </c>
      <c r="F379" s="550">
        <v>2550</v>
      </c>
      <c r="G379" s="549">
        <f t="shared" si="15"/>
        <v>5.899722127188322E-3</v>
      </c>
      <c r="H379" s="556">
        <v>1789.81</v>
      </c>
      <c r="I379" s="551">
        <f t="shared" si="16"/>
        <v>-1.6201524654768418E-4</v>
      </c>
      <c r="L379" s="550">
        <v>14289.63</v>
      </c>
      <c r="M379" s="553">
        <f t="shared" si="17"/>
        <v>-5.4248677636756226E-3</v>
      </c>
    </row>
    <row r="380" spans="5:13" ht="15.75" thickBot="1">
      <c r="E380" s="557">
        <v>41346</v>
      </c>
      <c r="F380" s="556">
        <v>2535</v>
      </c>
      <c r="G380" s="549">
        <f t="shared" si="15"/>
        <v>3.9525743158233418E-3</v>
      </c>
      <c r="H380" s="550">
        <v>1790.1</v>
      </c>
      <c r="I380" s="551">
        <f t="shared" si="16"/>
        <v>-5.8817801489823001E-3</v>
      </c>
      <c r="L380" s="556">
        <v>14367.36</v>
      </c>
      <c r="M380" s="553">
        <f t="shared" si="17"/>
        <v>-8.020032998261914E-3</v>
      </c>
    </row>
    <row r="381" spans="5:13" ht="15.75" thickBot="1">
      <c r="E381" s="552">
        <v>41345</v>
      </c>
      <c r="F381" s="550">
        <v>2525</v>
      </c>
      <c r="G381" s="549">
        <f t="shared" si="15"/>
        <v>7.9523281904950154E-3</v>
      </c>
      <c r="H381" s="556">
        <v>1800.66</v>
      </c>
      <c r="I381" s="551">
        <f t="shared" si="16"/>
        <v>3.7110748779311553E-3</v>
      </c>
      <c r="L381" s="550">
        <v>14483.05</v>
      </c>
      <c r="M381" s="553">
        <f t="shared" si="17"/>
        <v>1.3666678927563888E-3</v>
      </c>
    </row>
    <row r="382" spans="5:13" ht="15.75" thickBot="1">
      <c r="E382" s="557">
        <v>41344</v>
      </c>
      <c r="F382" s="556">
        <v>2505</v>
      </c>
      <c r="G382" s="549">
        <f t="shared" si="15"/>
        <v>-9.9305682026007997E-3</v>
      </c>
      <c r="H382" s="550">
        <v>1793.99</v>
      </c>
      <c r="I382" s="551">
        <f t="shared" si="16"/>
        <v>9.6479617103944473E-4</v>
      </c>
      <c r="L382" s="556">
        <v>14463.27</v>
      </c>
      <c r="M382" s="553">
        <f t="shared" si="17"/>
        <v>-1.6117519733559104E-3</v>
      </c>
    </row>
    <row r="383" spans="5:13" ht="15.75" thickBot="1">
      <c r="E383" s="552">
        <v>41341</v>
      </c>
      <c r="F383" s="550">
        <v>2530</v>
      </c>
      <c r="G383" s="549">
        <f t="shared" si="15"/>
        <v>9.9305682026007876E-3</v>
      </c>
      <c r="H383" s="556">
        <v>1792.26</v>
      </c>
      <c r="I383" s="551">
        <f t="shared" si="16"/>
        <v>7.1443724363691766E-4</v>
      </c>
      <c r="L383" s="550">
        <v>14486.6</v>
      </c>
      <c r="M383" s="553">
        <f t="shared" si="17"/>
        <v>1.3808488368865521E-3</v>
      </c>
    </row>
    <row r="384" spans="5:13" ht="15.75" thickBot="1">
      <c r="E384" s="557">
        <v>41340</v>
      </c>
      <c r="F384" s="556">
        <v>2505</v>
      </c>
      <c r="G384" s="549">
        <f t="shared" si="15"/>
        <v>-1.9763489118839635E-2</v>
      </c>
      <c r="H384" s="550">
        <v>1790.98</v>
      </c>
      <c r="I384" s="551">
        <f t="shared" si="16"/>
        <v>-8.888453298958373E-3</v>
      </c>
      <c r="L384" s="556">
        <v>14466.61</v>
      </c>
      <c r="M384" s="553">
        <f t="shared" si="17"/>
        <v>-4.9061670857048593E-3</v>
      </c>
    </row>
    <row r="385" spans="5:13" ht="15.75" thickBot="1">
      <c r="E385" s="552">
        <v>41339</v>
      </c>
      <c r="F385" s="550">
        <v>2555</v>
      </c>
      <c r="G385" s="549">
        <f t="shared" si="15"/>
        <v>-7.7973104600317297E-3</v>
      </c>
      <c r="H385" s="556">
        <v>1806.97</v>
      </c>
      <c r="I385" s="551">
        <f t="shared" si="16"/>
        <v>-4.5828076143298183E-3</v>
      </c>
      <c r="L385" s="550">
        <v>14537.76</v>
      </c>
      <c r="M385" s="553">
        <f t="shared" si="17"/>
        <v>-7.1180726986180215E-3</v>
      </c>
    </row>
    <row r="386" spans="5:13" ht="15.75" thickBot="1">
      <c r="E386" s="557">
        <v>41338</v>
      </c>
      <c r="F386" s="556">
        <v>2575</v>
      </c>
      <c r="G386" s="549">
        <f t="shared" si="15"/>
        <v>1.3685453085254229E-2</v>
      </c>
      <c r="H386" s="550">
        <v>1815.27</v>
      </c>
      <c r="I386" s="551">
        <f t="shared" si="16"/>
        <v>-3.9530198023465168E-3</v>
      </c>
      <c r="L386" s="556">
        <v>14641.61</v>
      </c>
      <c r="M386" s="553">
        <f t="shared" si="17"/>
        <v>-5.9182750417180558E-3</v>
      </c>
    </row>
    <row r="387" spans="5:13" ht="15.75" thickBot="1">
      <c r="E387" s="552">
        <v>41337</v>
      </c>
      <c r="F387" s="550">
        <v>2540</v>
      </c>
      <c r="G387" s="549">
        <f t="shared" ref="G387:G450" si="18">+LN(F387/F388)</f>
        <v>-1.9493794681001129E-2</v>
      </c>
      <c r="H387" s="556">
        <v>1822.46</v>
      </c>
      <c r="I387" s="551">
        <f t="shared" ref="I387:I450" si="19">+LN(H387/H388)</f>
        <v>-9.4370205026499433E-3</v>
      </c>
      <c r="L387" s="550">
        <v>14728.52</v>
      </c>
      <c r="M387" s="553">
        <f t="shared" ref="M387:M450" si="20">+LN(L387/L388)</f>
        <v>-3.8828631770774446E-3</v>
      </c>
    </row>
    <row r="388" spans="5:13" ht="15.75" thickBot="1">
      <c r="E388" s="557">
        <v>41334</v>
      </c>
      <c r="F388" s="556">
        <v>2590</v>
      </c>
      <c r="G388" s="549">
        <f t="shared" si="18"/>
        <v>1.3605652055778678E-2</v>
      </c>
      <c r="H388" s="550">
        <v>1839.74</v>
      </c>
      <c r="I388" s="551">
        <f t="shared" si="19"/>
        <v>-2.5785592277804176E-3</v>
      </c>
      <c r="L388" s="556">
        <v>14785.82</v>
      </c>
      <c r="M388" s="553">
        <f t="shared" si="20"/>
        <v>-3.5316056345325105E-3</v>
      </c>
    </row>
    <row r="389" spans="5:13" ht="15.75" thickBot="1">
      <c r="E389" s="552">
        <v>41333</v>
      </c>
      <c r="F389" s="550">
        <v>2555</v>
      </c>
      <c r="G389" s="549">
        <f t="shared" si="18"/>
        <v>-1.1673284304724734E-2</v>
      </c>
      <c r="H389" s="556">
        <v>1844.49</v>
      </c>
      <c r="I389" s="551">
        <f t="shared" si="19"/>
        <v>-1.7009202068381391E-3</v>
      </c>
      <c r="L389" s="550">
        <v>14838.13</v>
      </c>
      <c r="M389" s="553">
        <f t="shared" si="20"/>
        <v>-1.6914447640415463E-4</v>
      </c>
    </row>
    <row r="390" spans="5:13" ht="15.75" thickBot="1">
      <c r="E390" s="557">
        <v>41332</v>
      </c>
      <c r="F390" s="556">
        <v>2585</v>
      </c>
      <c r="G390" s="549">
        <f t="shared" si="18"/>
        <v>1.9361090268664007E-3</v>
      </c>
      <c r="H390" s="550">
        <v>1847.63</v>
      </c>
      <c r="I390" s="551">
        <f t="shared" si="19"/>
        <v>7.1468408051309623E-4</v>
      </c>
      <c r="L390" s="556">
        <v>14840.64</v>
      </c>
      <c r="M390" s="553">
        <f t="shared" si="20"/>
        <v>4.9446062790723883E-3</v>
      </c>
    </row>
    <row r="391" spans="5:13" ht="15.75" thickBot="1">
      <c r="E391" s="552">
        <v>41331</v>
      </c>
      <c r="F391" s="550">
        <v>2580</v>
      </c>
      <c r="G391" s="549">
        <f t="shared" si="18"/>
        <v>3.8835000263976122E-3</v>
      </c>
      <c r="H391" s="556">
        <v>1846.31</v>
      </c>
      <c r="I391" s="551">
        <f t="shared" si="19"/>
        <v>-3.5953078111567375E-3</v>
      </c>
      <c r="L391" s="550">
        <v>14767.44</v>
      </c>
      <c r="M391" s="553">
        <f t="shared" si="20"/>
        <v>-4.1262474943199821E-3</v>
      </c>
    </row>
    <row r="392" spans="5:13" ht="15.75" thickBot="1">
      <c r="E392" s="557">
        <v>41330</v>
      </c>
      <c r="F392" s="556">
        <v>2570</v>
      </c>
      <c r="G392" s="549">
        <f t="shared" si="18"/>
        <v>-3.883500026397633E-3</v>
      </c>
      <c r="H392" s="550">
        <v>1852.96</v>
      </c>
      <c r="I392" s="551">
        <f t="shared" si="19"/>
        <v>5.560219205084548E-4</v>
      </c>
      <c r="L392" s="556">
        <v>14828.5</v>
      </c>
      <c r="M392" s="553">
        <f t="shared" si="20"/>
        <v>-2.0722352247094212E-3</v>
      </c>
    </row>
    <row r="393" spans="5:13" ht="15.75" thickBot="1">
      <c r="E393" s="552">
        <v>41327</v>
      </c>
      <c r="F393" s="550">
        <v>2580</v>
      </c>
      <c r="G393" s="549">
        <f t="shared" si="18"/>
        <v>7.782140442054949E-3</v>
      </c>
      <c r="H393" s="556">
        <v>1851.93</v>
      </c>
      <c r="I393" s="551">
        <f t="shared" si="19"/>
        <v>4.2532531650719659E-3</v>
      </c>
      <c r="L393" s="550">
        <v>14859.26</v>
      </c>
      <c r="M393" s="553">
        <f t="shared" si="20"/>
        <v>7.6486677700919421E-3</v>
      </c>
    </row>
    <row r="394" spans="5:13" ht="15.75" thickBot="1">
      <c r="E394" s="557">
        <v>41326</v>
      </c>
      <c r="F394" s="556">
        <v>2560</v>
      </c>
      <c r="G394" s="549">
        <f t="shared" si="18"/>
        <v>0</v>
      </c>
      <c r="H394" s="550">
        <v>1844.07</v>
      </c>
      <c r="I394" s="551">
        <f t="shared" si="19"/>
        <v>-5.2045215454695371E-4</v>
      </c>
      <c r="L394" s="556">
        <v>14746.04</v>
      </c>
      <c r="M394" s="553">
        <f t="shared" si="20"/>
        <v>-4.6095829926056557E-3</v>
      </c>
    </row>
    <row r="395" spans="5:13" ht="15.75" thickBot="1">
      <c r="E395" s="552">
        <v>41325</v>
      </c>
      <c r="F395" s="550">
        <v>2560</v>
      </c>
      <c r="G395" s="549">
        <f t="shared" si="18"/>
        <v>3.9138993211363148E-3</v>
      </c>
      <c r="H395" s="556">
        <v>1845.03</v>
      </c>
      <c r="I395" s="551">
        <f t="shared" si="19"/>
        <v>-2.4360152360842027E-3</v>
      </c>
      <c r="L395" s="550">
        <v>14814.17</v>
      </c>
      <c r="M395" s="553">
        <f t="shared" si="20"/>
        <v>-4.1737597765356352E-3</v>
      </c>
    </row>
    <row r="396" spans="5:13" ht="15.75" thickBot="1">
      <c r="E396" s="557">
        <v>41324</v>
      </c>
      <c r="F396" s="556">
        <v>2550</v>
      </c>
      <c r="G396" s="549">
        <f t="shared" si="18"/>
        <v>1.3820555618632316E-2</v>
      </c>
      <c r="H396" s="550">
        <v>1849.53</v>
      </c>
      <c r="I396" s="551">
        <f t="shared" si="19"/>
        <v>-7.0042257654240039E-3</v>
      </c>
      <c r="L396" s="556">
        <v>14876.13</v>
      </c>
      <c r="M396" s="553">
        <f t="shared" si="20"/>
        <v>-6.5521062674442744E-3</v>
      </c>
    </row>
    <row r="397" spans="5:13" ht="15.75" thickBot="1">
      <c r="E397" s="552">
        <v>41323</v>
      </c>
      <c r="F397" s="550">
        <v>2515</v>
      </c>
      <c r="G397" s="549">
        <f t="shared" si="18"/>
        <v>0</v>
      </c>
      <c r="H397" s="556">
        <v>1862.53</v>
      </c>
      <c r="I397" s="551">
        <f t="shared" si="19"/>
        <v>1.6066332138657781E-3</v>
      </c>
      <c r="L397" s="550">
        <v>14973.92</v>
      </c>
      <c r="M397" s="553">
        <f t="shared" si="20"/>
        <v>8.6989003581984211E-4</v>
      </c>
    </row>
    <row r="398" spans="5:13" ht="15.75" thickBot="1">
      <c r="E398" s="557">
        <v>41320</v>
      </c>
      <c r="F398" s="556">
        <v>2515</v>
      </c>
      <c r="G398" s="549">
        <f t="shared" si="18"/>
        <v>-1.9860979716294028E-3</v>
      </c>
      <c r="H398" s="550">
        <v>1859.54</v>
      </c>
      <c r="I398" s="551">
        <f t="shared" si="19"/>
        <v>-7.4898690909178467E-3</v>
      </c>
      <c r="L398" s="556">
        <v>14960.9</v>
      </c>
      <c r="M398" s="553">
        <f t="shared" si="20"/>
        <v>-5.0836747198845173E-3</v>
      </c>
    </row>
    <row r="399" spans="5:13" ht="15.75" thickBot="1">
      <c r="E399" s="552">
        <v>41319</v>
      </c>
      <c r="F399" s="550">
        <v>2520</v>
      </c>
      <c r="G399" s="549">
        <f t="shared" si="18"/>
        <v>-5.9347355198145777E-3</v>
      </c>
      <c r="H399" s="556">
        <v>1873.52</v>
      </c>
      <c r="I399" s="551">
        <f t="shared" si="19"/>
        <v>7.4728442213527495E-5</v>
      </c>
      <c r="L399" s="550">
        <v>15037.15</v>
      </c>
      <c r="M399" s="553">
        <f t="shared" si="20"/>
        <v>-1.4546694355699738E-3</v>
      </c>
    </row>
    <row r="400" spans="5:13" ht="15.75" thickBot="1">
      <c r="E400" s="557">
        <v>41318</v>
      </c>
      <c r="F400" s="556">
        <v>2535</v>
      </c>
      <c r="G400" s="549">
        <f t="shared" si="18"/>
        <v>1.1904902506318458E-2</v>
      </c>
      <c r="H400" s="550">
        <v>1873.38</v>
      </c>
      <c r="I400" s="551">
        <f t="shared" si="19"/>
        <v>7.0065209174391338E-3</v>
      </c>
      <c r="L400" s="556">
        <v>15059.04</v>
      </c>
      <c r="M400" s="553">
        <f t="shared" si="20"/>
        <v>8.6855722369233081E-3</v>
      </c>
    </row>
    <row r="401" spans="5:13" ht="15.75" thickBot="1">
      <c r="E401" s="552">
        <v>41317</v>
      </c>
      <c r="F401" s="550">
        <v>2505</v>
      </c>
      <c r="G401" s="549">
        <f t="shared" si="18"/>
        <v>1.9980026626730579E-3</v>
      </c>
      <c r="H401" s="556">
        <v>1860.3</v>
      </c>
      <c r="I401" s="551">
        <f t="shared" si="19"/>
        <v>8.8734729333039104E-4</v>
      </c>
      <c r="L401" s="550">
        <v>14928.81</v>
      </c>
      <c r="M401" s="553">
        <f t="shared" si="20"/>
        <v>2.5352279286893951E-3</v>
      </c>
    </row>
    <row r="402" spans="5:13" ht="15.75" thickBot="1">
      <c r="E402" s="557">
        <v>41316</v>
      </c>
      <c r="F402" s="556">
        <v>2500</v>
      </c>
      <c r="G402" s="549">
        <f t="shared" si="18"/>
        <v>6.0180723255629448E-3</v>
      </c>
      <c r="H402" s="550">
        <v>1858.65</v>
      </c>
      <c r="I402" s="551">
        <f t="shared" si="19"/>
        <v>-6.4783112733362794E-3</v>
      </c>
      <c r="L402" s="556">
        <v>14891.01</v>
      </c>
      <c r="M402" s="553">
        <f t="shared" si="20"/>
        <v>-8.839994666894951E-3</v>
      </c>
    </row>
    <row r="403" spans="5:13" ht="15.75" thickBot="1">
      <c r="E403" s="552">
        <v>41313</v>
      </c>
      <c r="F403" s="550">
        <v>2485</v>
      </c>
      <c r="G403" s="549">
        <f t="shared" si="18"/>
        <v>-4.0160696548899432E-3</v>
      </c>
      <c r="H403" s="556">
        <v>1870.73</v>
      </c>
      <c r="I403" s="551">
        <f t="shared" si="19"/>
        <v>1.2295421574715155E-4</v>
      </c>
      <c r="L403" s="550">
        <v>15023.23</v>
      </c>
      <c r="M403" s="553">
        <f t="shared" si="20"/>
        <v>-1.2851822011087297E-3</v>
      </c>
    </row>
    <row r="404" spans="5:13" ht="15.75" thickBot="1">
      <c r="E404" s="557">
        <v>41312</v>
      </c>
      <c r="F404" s="556">
        <v>2495</v>
      </c>
      <c r="G404" s="549">
        <f t="shared" si="18"/>
        <v>6.0301690265912311E-3</v>
      </c>
      <c r="H404" s="550">
        <v>1870.5</v>
      </c>
      <c r="I404" s="551">
        <f t="shared" si="19"/>
        <v>-5.0766402770801014E-3</v>
      </c>
      <c r="L404" s="556">
        <v>15042.55</v>
      </c>
      <c r="M404" s="553">
        <f t="shared" si="20"/>
        <v>-8.5377932068176621E-3</v>
      </c>
    </row>
    <row r="405" spans="5:13" ht="15.75" thickBot="1">
      <c r="E405" s="552">
        <v>41311</v>
      </c>
      <c r="F405" s="550">
        <v>2480</v>
      </c>
      <c r="G405" s="549">
        <f t="shared" si="18"/>
        <v>-6.0301690265911877E-3</v>
      </c>
      <c r="H405" s="556">
        <v>1880.02</v>
      </c>
      <c r="I405" s="551">
        <f t="shared" si="19"/>
        <v>-4.9239750139912844E-3</v>
      </c>
      <c r="L405" s="550">
        <v>15171.53</v>
      </c>
      <c r="M405" s="553">
        <f t="shared" si="20"/>
        <v>-1.5273538555570115E-3</v>
      </c>
    </row>
    <row r="406" spans="5:13" ht="15.75" thickBot="1">
      <c r="E406" s="557">
        <v>41310</v>
      </c>
      <c r="F406" s="556">
        <v>2495</v>
      </c>
      <c r="G406" s="549">
        <f t="shared" si="18"/>
        <v>-2.0020026706730793E-3</v>
      </c>
      <c r="H406" s="550">
        <v>1889.3</v>
      </c>
      <c r="I406" s="551">
        <f t="shared" si="19"/>
        <v>6.8779897504122481E-3</v>
      </c>
      <c r="L406" s="556">
        <v>15194.72</v>
      </c>
      <c r="M406" s="553">
        <f t="shared" si="20"/>
        <v>3.8686833980626674E-3</v>
      </c>
    </row>
    <row r="407" spans="5:13" ht="15.75" thickBot="1">
      <c r="E407" s="552">
        <v>41309</v>
      </c>
      <c r="F407" s="550">
        <v>2500</v>
      </c>
      <c r="G407" s="549">
        <f t="shared" si="18"/>
        <v>2.2245608947319737E-2</v>
      </c>
      <c r="H407" s="556">
        <v>1876.35</v>
      </c>
      <c r="I407" s="551">
        <f t="shared" si="19"/>
        <v>-1.0813028887790095E-3</v>
      </c>
      <c r="L407" s="550">
        <v>15136.05</v>
      </c>
      <c r="M407" s="553">
        <f t="shared" si="20"/>
        <v>1.7106268324014163E-3</v>
      </c>
    </row>
    <row r="408" spans="5:13" ht="15.75" thickBot="1">
      <c r="E408" s="557">
        <v>41306</v>
      </c>
      <c r="F408" s="556">
        <v>2445</v>
      </c>
      <c r="G408" s="549">
        <f t="shared" si="18"/>
        <v>-2.0243606276646661E-2</v>
      </c>
      <c r="H408" s="550">
        <v>1878.38</v>
      </c>
      <c r="I408" s="551">
        <f t="shared" si="19"/>
        <v>6.5000669495961193E-3</v>
      </c>
      <c r="L408" s="556">
        <v>15110.18</v>
      </c>
      <c r="M408" s="553">
        <f t="shared" si="20"/>
        <v>8.5492448229803897E-3</v>
      </c>
    </row>
    <row r="409" spans="5:13" ht="15.75" thickBot="1">
      <c r="E409" s="552">
        <v>41305</v>
      </c>
      <c r="F409" s="550">
        <v>2495</v>
      </c>
      <c r="G409" s="549">
        <f t="shared" si="18"/>
        <v>0</v>
      </c>
      <c r="H409" s="556">
        <v>1866.21</v>
      </c>
      <c r="I409" s="551">
        <f t="shared" si="19"/>
        <v>-2.018099336229825E-3</v>
      </c>
      <c r="L409" s="550">
        <v>14981.55</v>
      </c>
      <c r="M409" s="553">
        <f t="shared" si="20"/>
        <v>-9.0937209891056819E-4</v>
      </c>
    </row>
    <row r="410" spans="5:13" ht="15.75" thickBot="1">
      <c r="E410" s="557">
        <v>41304</v>
      </c>
      <c r="F410" s="556">
        <v>2495</v>
      </c>
      <c r="G410" s="549">
        <f t="shared" si="18"/>
        <v>-1.1952333523841171E-2</v>
      </c>
      <c r="H410" s="550">
        <v>1869.98</v>
      </c>
      <c r="I410" s="551">
        <f t="shared" si="19"/>
        <v>1.2467795377414201E-3</v>
      </c>
      <c r="L410" s="556">
        <v>14995.18</v>
      </c>
      <c r="M410" s="553">
        <f t="shared" si="20"/>
        <v>-2.6912413095007957E-3</v>
      </c>
    </row>
    <row r="411" spans="5:13" ht="15.75" thickBot="1">
      <c r="E411" s="552">
        <v>41303</v>
      </c>
      <c r="F411" s="550">
        <v>2525</v>
      </c>
      <c r="G411" s="549">
        <f t="shared" si="18"/>
        <v>5.9583095836306249E-3</v>
      </c>
      <c r="H411" s="556">
        <v>1867.65</v>
      </c>
      <c r="I411" s="551">
        <f t="shared" si="19"/>
        <v>4.1689865695715058E-3</v>
      </c>
      <c r="L411" s="550">
        <v>15035.59</v>
      </c>
      <c r="M411" s="553">
        <f t="shared" si="20"/>
        <v>3.8723178010460777E-3</v>
      </c>
    </row>
    <row r="412" spans="5:13" ht="15.75" thickBot="1">
      <c r="E412" s="557">
        <v>41302</v>
      </c>
      <c r="F412" s="556">
        <v>2510</v>
      </c>
      <c r="G412" s="549">
        <f t="shared" si="18"/>
        <v>-1.5810606026642315E-2</v>
      </c>
      <c r="H412" s="550">
        <v>1859.88</v>
      </c>
      <c r="I412" s="551">
        <f t="shared" si="19"/>
        <v>-3.6173392456658898E-3</v>
      </c>
      <c r="L412" s="556">
        <v>14977.48</v>
      </c>
      <c r="M412" s="553">
        <f t="shared" si="20"/>
        <v>-1.0136753603629822E-3</v>
      </c>
    </row>
    <row r="413" spans="5:13" ht="15.75" thickBot="1">
      <c r="E413" s="552">
        <v>41299</v>
      </c>
      <c r="F413" s="550">
        <v>2550</v>
      </c>
      <c r="G413" s="549">
        <f t="shared" si="18"/>
        <v>-1.3632148790057644E-2</v>
      </c>
      <c r="H413" s="556">
        <v>1866.62</v>
      </c>
      <c r="I413" s="551">
        <f t="shared" si="19"/>
        <v>1.4957983729567438E-3</v>
      </c>
      <c r="L413" s="550">
        <v>14992.67</v>
      </c>
      <c r="M413" s="553">
        <f t="shared" si="20"/>
        <v>6.1840947948351892E-3</v>
      </c>
    </row>
    <row r="414" spans="5:13" ht="15.75" thickBot="1">
      <c r="E414" s="557">
        <v>41298</v>
      </c>
      <c r="F414" s="556">
        <v>2585</v>
      </c>
      <c r="G414" s="549">
        <f t="shared" si="18"/>
        <v>0</v>
      </c>
      <c r="H414" s="550">
        <v>1863.83</v>
      </c>
      <c r="I414" s="551">
        <f t="shared" si="19"/>
        <v>4.0159293151604972E-3</v>
      </c>
      <c r="L414" s="556">
        <v>14900.24</v>
      </c>
      <c r="M414" s="553">
        <f t="shared" si="20"/>
        <v>2.1095721899996598E-3</v>
      </c>
    </row>
    <row r="415" spans="5:13" ht="15.75" thickBot="1">
      <c r="E415" s="552">
        <v>41297</v>
      </c>
      <c r="F415" s="550">
        <v>2585</v>
      </c>
      <c r="G415" s="549">
        <f t="shared" si="18"/>
        <v>-3.8610086574595425E-3</v>
      </c>
      <c r="H415" s="556">
        <v>1856.36</v>
      </c>
      <c r="I415" s="551">
        <f t="shared" si="19"/>
        <v>1.8494110612227983E-3</v>
      </c>
      <c r="L415" s="550">
        <v>14868.84</v>
      </c>
      <c r="M415" s="553">
        <f t="shared" si="20"/>
        <v>3.1632805912523024E-3</v>
      </c>
    </row>
    <row r="416" spans="5:13" ht="15.75" thickBot="1">
      <c r="E416" s="557">
        <v>41296</v>
      </c>
      <c r="F416" s="556">
        <v>2595</v>
      </c>
      <c r="G416" s="549">
        <f t="shared" si="18"/>
        <v>1.9286409064056863E-3</v>
      </c>
      <c r="H416" s="550">
        <v>1852.93</v>
      </c>
      <c r="I416" s="551">
        <f t="shared" si="19"/>
        <v>4.982900223973576E-3</v>
      </c>
      <c r="L416" s="556">
        <v>14821.88</v>
      </c>
      <c r="M416" s="553">
        <f t="shared" si="20"/>
        <v>2.940518817314657E-3</v>
      </c>
    </row>
    <row r="417" spans="5:13" ht="15.75" thickBot="1">
      <c r="E417" s="552">
        <v>41295</v>
      </c>
      <c r="F417" s="550">
        <v>2590</v>
      </c>
      <c r="G417" s="549">
        <f t="shared" si="18"/>
        <v>1.9323677510538603E-3</v>
      </c>
      <c r="H417" s="556">
        <v>1843.72</v>
      </c>
      <c r="I417" s="551">
        <f t="shared" si="19"/>
        <v>-8.1324178906148599E-4</v>
      </c>
      <c r="L417" s="550">
        <v>14778.36</v>
      </c>
      <c r="M417" s="553">
        <f t="shared" si="20"/>
        <v>-1.0381418262980142E-3</v>
      </c>
    </row>
    <row r="418" spans="5:13" ht="15.75" thickBot="1">
      <c r="E418" s="557">
        <v>41292</v>
      </c>
      <c r="F418" s="556">
        <v>2585</v>
      </c>
      <c r="G418" s="549">
        <f t="shared" si="18"/>
        <v>3.8759738446929397E-3</v>
      </c>
      <c r="H418" s="550">
        <v>1845.22</v>
      </c>
      <c r="I418" s="551">
        <f t="shared" si="19"/>
        <v>6.4372537844278252E-3</v>
      </c>
      <c r="L418" s="556">
        <v>14793.71</v>
      </c>
      <c r="M418" s="553">
        <f t="shared" si="20"/>
        <v>4.7551960984033225E-3</v>
      </c>
    </row>
    <row r="419" spans="5:13" ht="15.75" thickBot="1">
      <c r="E419" s="552">
        <v>41291</v>
      </c>
      <c r="F419" s="550">
        <v>2575</v>
      </c>
      <c r="G419" s="549">
        <f t="shared" si="18"/>
        <v>1.9436352085710307E-3</v>
      </c>
      <c r="H419" s="556">
        <v>1833.38</v>
      </c>
      <c r="I419" s="551">
        <f t="shared" si="19"/>
        <v>-4.3757553220001933E-3</v>
      </c>
      <c r="L419" s="550">
        <v>14723.53</v>
      </c>
      <c r="M419" s="553">
        <f t="shared" si="20"/>
        <v>-1.8158492759335824E-3</v>
      </c>
    </row>
    <row r="420" spans="5:13" ht="15.75" thickBot="1">
      <c r="E420" s="557">
        <v>41290</v>
      </c>
      <c r="F420" s="556">
        <v>2570</v>
      </c>
      <c r="G420" s="549">
        <f t="shared" si="18"/>
        <v>3.8986404156573229E-3</v>
      </c>
      <c r="H420" s="550">
        <v>1841.42</v>
      </c>
      <c r="I420" s="551">
        <f t="shared" si="19"/>
        <v>1.4782129361501693E-3</v>
      </c>
      <c r="L420" s="556">
        <v>14750.29</v>
      </c>
      <c r="M420" s="553">
        <f t="shared" si="20"/>
        <v>-1.0821048908724038E-3</v>
      </c>
    </row>
    <row r="421" spans="5:13" ht="15.75" thickBot="1">
      <c r="E421" s="552">
        <v>41289</v>
      </c>
      <c r="F421" s="550">
        <v>2560</v>
      </c>
      <c r="G421" s="549">
        <f t="shared" si="18"/>
        <v>0</v>
      </c>
      <c r="H421" s="556">
        <v>1838.7</v>
      </c>
      <c r="I421" s="551">
        <f t="shared" si="19"/>
        <v>-8.1002698176411774E-4</v>
      </c>
      <c r="L421" s="550">
        <v>14766.26</v>
      </c>
      <c r="M421" s="553">
        <f t="shared" si="20"/>
        <v>6.4492093147492909E-4</v>
      </c>
    </row>
    <row r="422" spans="5:13" ht="15.75" thickBot="1">
      <c r="E422" s="557">
        <v>41288</v>
      </c>
      <c r="F422" s="556">
        <v>2560</v>
      </c>
      <c r="G422" s="549">
        <f t="shared" si="18"/>
        <v>0</v>
      </c>
      <c r="H422" s="550">
        <v>1840.19</v>
      </c>
      <c r="I422" s="551">
        <f t="shared" si="19"/>
        <v>1.7295772831127218E-3</v>
      </c>
      <c r="L422" s="556">
        <v>14756.74</v>
      </c>
      <c r="M422" s="553">
        <f t="shared" si="20"/>
        <v>1.815733756313268E-3</v>
      </c>
    </row>
    <row r="423" spans="5:13" ht="15.75" thickBot="1">
      <c r="E423" s="552">
        <v>41285</v>
      </c>
      <c r="F423" s="550">
        <v>2560</v>
      </c>
      <c r="G423" s="549">
        <f t="shared" si="18"/>
        <v>9.8136214483246706E-3</v>
      </c>
      <c r="H423" s="556">
        <v>1837.01</v>
      </c>
      <c r="I423" s="551">
        <f t="shared" si="19"/>
        <v>-4.136302096102209E-4</v>
      </c>
      <c r="L423" s="550">
        <v>14729.97</v>
      </c>
      <c r="M423" s="553">
        <f t="shared" si="20"/>
        <v>-6.5423398255733058E-4</v>
      </c>
    </row>
    <row r="424" spans="5:13" ht="15.75" thickBot="1">
      <c r="E424" s="557">
        <v>41284</v>
      </c>
      <c r="F424" s="556">
        <v>2535</v>
      </c>
      <c r="G424" s="549">
        <f t="shared" si="18"/>
        <v>-5.8997221271882708E-3</v>
      </c>
      <c r="H424" s="550">
        <v>1837.77</v>
      </c>
      <c r="I424" s="551">
        <f t="shared" si="19"/>
        <v>-3.5631878225178934E-3</v>
      </c>
      <c r="L424" s="556">
        <v>14739.61</v>
      </c>
      <c r="M424" s="553">
        <f t="shared" si="20"/>
        <v>-5.2738612674106027E-3</v>
      </c>
    </row>
    <row r="425" spans="5:13" ht="15.75" thickBot="1">
      <c r="E425" s="552">
        <v>41283</v>
      </c>
      <c r="F425" s="550">
        <v>2550</v>
      </c>
      <c r="G425" s="549">
        <f t="shared" si="18"/>
        <v>1.980262729617973E-2</v>
      </c>
      <c r="H425" s="556">
        <v>1844.33</v>
      </c>
      <c r="I425" s="551">
        <f t="shared" si="19"/>
        <v>6.685967833723998E-3</v>
      </c>
      <c r="L425" s="550">
        <v>14817.55</v>
      </c>
      <c r="M425" s="553">
        <f t="shared" si="20"/>
        <v>1.2685443836567502E-2</v>
      </c>
    </row>
    <row r="426" spans="5:13" ht="15.75" thickBot="1">
      <c r="E426" s="557">
        <v>41282</v>
      </c>
      <c r="F426" s="556">
        <v>2500</v>
      </c>
      <c r="G426" s="549">
        <f t="shared" si="18"/>
        <v>-2.1761491781512748E-2</v>
      </c>
      <c r="H426" s="550">
        <v>1832.04</v>
      </c>
      <c r="I426" s="551">
        <f t="shared" si="19"/>
        <v>-8.8957100090229346E-3</v>
      </c>
      <c r="L426" s="556">
        <v>14630.77</v>
      </c>
      <c r="M426" s="553">
        <f t="shared" si="20"/>
        <v>-1.4513359392994271E-2</v>
      </c>
    </row>
    <row r="427" spans="5:13" ht="15.75" thickBot="1">
      <c r="E427" s="552">
        <v>41278</v>
      </c>
      <c r="F427" s="550">
        <v>2555</v>
      </c>
      <c r="G427" s="549">
        <f t="shared" si="18"/>
        <v>-1.9550348358033506E-3</v>
      </c>
      <c r="H427" s="556">
        <v>1848.41</v>
      </c>
      <c r="I427" s="551">
        <f t="shared" si="19"/>
        <v>3.0884959204430422E-3</v>
      </c>
      <c r="L427" s="550">
        <v>14844.66</v>
      </c>
      <c r="M427" s="553">
        <f t="shared" si="20"/>
        <v>1.5289904362923042E-3</v>
      </c>
    </row>
    <row r="428" spans="5:13" ht="15.75" thickBot="1">
      <c r="E428" s="557">
        <v>41277</v>
      </c>
      <c r="F428" s="556">
        <v>2560</v>
      </c>
      <c r="G428" s="549">
        <f t="shared" si="18"/>
        <v>3.5789107851585289E-2</v>
      </c>
      <c r="H428" s="550">
        <v>1842.71</v>
      </c>
      <c r="I428" s="551">
        <f t="shared" si="19"/>
        <v>9.6956840288393211E-3</v>
      </c>
      <c r="L428" s="556">
        <v>14821.98</v>
      </c>
      <c r="M428" s="553">
        <f t="shared" si="20"/>
        <v>7.1976222160010589E-3</v>
      </c>
    </row>
    <row r="429" spans="5:13" ht="15.75" thickBot="1">
      <c r="E429" s="552">
        <v>41276</v>
      </c>
      <c r="F429" s="550">
        <v>2470</v>
      </c>
      <c r="G429" s="549">
        <f t="shared" si="18"/>
        <v>-1.4070583896942331E-2</v>
      </c>
      <c r="H429" s="556">
        <v>1824.93</v>
      </c>
      <c r="I429" s="551">
        <f t="shared" si="19"/>
        <v>-4.2759409871040797E-3</v>
      </c>
      <c r="L429" s="550">
        <v>14715.68</v>
      </c>
      <c r="M429" s="553">
        <f t="shared" si="20"/>
        <v>-1.0872697026990703E-5</v>
      </c>
    </row>
    <row r="430" spans="5:13" ht="15.75" thickBot="1">
      <c r="E430" s="557">
        <v>41271</v>
      </c>
      <c r="F430" s="556">
        <v>2505</v>
      </c>
      <c r="G430" s="549">
        <f t="shared" si="18"/>
        <v>-3.9840690148744591E-3</v>
      </c>
      <c r="H430" s="550">
        <v>1832.75</v>
      </c>
      <c r="I430" s="551">
        <f t="shared" si="19"/>
        <v>-1.4339734146107883E-3</v>
      </c>
      <c r="L430" s="556">
        <v>14715.84</v>
      </c>
      <c r="M430" s="553">
        <f t="shared" si="20"/>
        <v>4.4451785838163537E-4</v>
      </c>
    </row>
    <row r="431" spans="5:13" ht="15.75" thickBot="1">
      <c r="E431" s="552">
        <v>41270</v>
      </c>
      <c r="F431" s="550">
        <v>2515</v>
      </c>
      <c r="G431" s="549">
        <f t="shared" si="18"/>
        <v>7.9840743482205486E-3</v>
      </c>
      <c r="H431" s="556">
        <v>1835.38</v>
      </c>
      <c r="I431" s="551">
        <f t="shared" si="19"/>
        <v>7.0643077501513392E-3</v>
      </c>
      <c r="L431" s="550">
        <v>14709.3</v>
      </c>
      <c r="M431" s="553">
        <f t="shared" si="20"/>
        <v>8.2388595425628257E-3</v>
      </c>
    </row>
    <row r="432" spans="5:13" ht="15.75" thickBot="1">
      <c r="E432" s="557">
        <v>41269</v>
      </c>
      <c r="F432" s="556">
        <v>2495</v>
      </c>
      <c r="G432" s="549">
        <f t="shared" si="18"/>
        <v>-4.0000053333461277E-3</v>
      </c>
      <c r="H432" s="550">
        <v>1822.46</v>
      </c>
      <c r="I432" s="551">
        <f t="shared" si="19"/>
        <v>-1.5187697049114483E-3</v>
      </c>
      <c r="L432" s="556">
        <v>14588.61</v>
      </c>
      <c r="M432" s="553">
        <f t="shared" si="20"/>
        <v>-1.8163206397320663E-4</v>
      </c>
    </row>
    <row r="433" spans="5:13" ht="15.75" thickBot="1">
      <c r="E433" s="552">
        <v>41267</v>
      </c>
      <c r="F433" s="550">
        <v>2505</v>
      </c>
      <c r="G433" s="549">
        <f t="shared" si="18"/>
        <v>-9.9305682026007997E-3</v>
      </c>
      <c r="H433" s="556">
        <v>1825.23</v>
      </c>
      <c r="I433" s="551">
        <f t="shared" si="19"/>
        <v>5.7693101706097327E-3</v>
      </c>
      <c r="L433" s="550">
        <v>14591.26</v>
      </c>
      <c r="M433" s="553">
        <f t="shared" si="20"/>
        <v>3.2063663250103259E-3</v>
      </c>
    </row>
    <row r="434" spans="5:13" ht="15.75" thickBot="1">
      <c r="E434" s="557">
        <v>41264</v>
      </c>
      <c r="F434" s="556">
        <v>2530</v>
      </c>
      <c r="G434" s="549">
        <f t="shared" si="18"/>
        <v>-7.874056430905883E-3</v>
      </c>
      <c r="H434" s="550">
        <v>1814.73</v>
      </c>
      <c r="I434" s="551">
        <f t="shared" si="19"/>
        <v>-2.31412609713997E-4</v>
      </c>
      <c r="L434" s="556">
        <v>14544.55</v>
      </c>
      <c r="M434" s="553">
        <f t="shared" si="20"/>
        <v>-1.4812445985107037E-3</v>
      </c>
    </row>
    <row r="435" spans="5:13" ht="15.75" thickBot="1">
      <c r="E435" s="552">
        <v>41263</v>
      </c>
      <c r="F435" s="550">
        <v>2550</v>
      </c>
      <c r="G435" s="549">
        <f t="shared" si="18"/>
        <v>0</v>
      </c>
      <c r="H435" s="556">
        <v>1815.15</v>
      </c>
      <c r="I435" s="551">
        <f t="shared" si="19"/>
        <v>-3.717292419859125E-3</v>
      </c>
      <c r="L435" s="550">
        <v>14566.11</v>
      </c>
      <c r="M435" s="553">
        <f t="shared" si="20"/>
        <v>-5.495608352740663E-3</v>
      </c>
    </row>
    <row r="436" spans="5:13" ht="15.75" thickBot="1">
      <c r="E436" s="557">
        <v>41262</v>
      </c>
      <c r="F436" s="556">
        <v>2550</v>
      </c>
      <c r="G436" s="549">
        <f t="shared" si="18"/>
        <v>0</v>
      </c>
      <c r="H436" s="550">
        <v>1821.91</v>
      </c>
      <c r="I436" s="551">
        <f t="shared" si="19"/>
        <v>6.8016795469277649E-3</v>
      </c>
      <c r="L436" s="556">
        <v>14646.38</v>
      </c>
      <c r="M436" s="553">
        <f t="shared" si="20"/>
        <v>4.6378199940630815E-3</v>
      </c>
    </row>
    <row r="437" spans="5:13" ht="15.75" thickBot="1">
      <c r="E437" s="552">
        <v>41261</v>
      </c>
      <c r="F437" s="550">
        <v>2550</v>
      </c>
      <c r="G437" s="549">
        <f t="shared" si="18"/>
        <v>3.929278139889557E-3</v>
      </c>
      <c r="H437" s="556">
        <v>1809.56</v>
      </c>
      <c r="I437" s="551">
        <f t="shared" si="19"/>
        <v>5.2512735544816658E-4</v>
      </c>
      <c r="L437" s="550">
        <v>14578.61</v>
      </c>
      <c r="M437" s="553">
        <f t="shared" si="20"/>
        <v>-9.1873267983635476E-4</v>
      </c>
    </row>
    <row r="438" spans="5:13" ht="15.75" thickBot="1">
      <c r="E438" s="557">
        <v>41260</v>
      </c>
      <c r="F438" s="556">
        <v>2540</v>
      </c>
      <c r="G438" s="549">
        <f t="shared" si="18"/>
        <v>-1.1741817876683174E-2</v>
      </c>
      <c r="H438" s="550">
        <v>1808.61</v>
      </c>
      <c r="I438" s="551">
        <f t="shared" si="19"/>
        <v>1.0123390042494106E-3</v>
      </c>
      <c r="L438" s="556">
        <v>14592.01</v>
      </c>
      <c r="M438" s="553">
        <f t="shared" si="20"/>
        <v>3.938664725203901E-3</v>
      </c>
    </row>
    <row r="439" spans="5:13" ht="15.75" thickBot="1">
      <c r="E439" s="552">
        <v>41257</v>
      </c>
      <c r="F439" s="550">
        <v>2570</v>
      </c>
      <c r="G439" s="549">
        <f t="shared" si="18"/>
        <v>-1.9436352085710144E-3</v>
      </c>
      <c r="H439" s="556">
        <v>1806.78</v>
      </c>
      <c r="I439" s="551">
        <f t="shared" si="19"/>
        <v>-3.0284297428412005E-3</v>
      </c>
      <c r="L439" s="550">
        <v>14534.65</v>
      </c>
      <c r="M439" s="553">
        <f t="shared" si="20"/>
        <v>-3.9948582832439131E-3</v>
      </c>
    </row>
    <row r="440" spans="5:13" ht="15.75" thickBot="1">
      <c r="E440" s="557">
        <v>41256</v>
      </c>
      <c r="F440" s="556">
        <v>2575</v>
      </c>
      <c r="G440" s="549">
        <f t="shared" si="18"/>
        <v>3.8910554929667217E-3</v>
      </c>
      <c r="H440" s="550">
        <v>1812.26</v>
      </c>
      <c r="I440" s="551">
        <f t="shared" si="19"/>
        <v>-3.563770127519975E-3</v>
      </c>
      <c r="L440" s="556">
        <v>14592.83</v>
      </c>
      <c r="M440" s="553">
        <f t="shared" si="20"/>
        <v>-2.5110930010306264E-3</v>
      </c>
    </row>
    <row r="441" spans="5:13" ht="15.75" thickBot="1">
      <c r="E441" s="552">
        <v>41255</v>
      </c>
      <c r="F441" s="550">
        <v>2565</v>
      </c>
      <c r="G441" s="549">
        <f t="shared" si="18"/>
        <v>9.794397592287625E-3</v>
      </c>
      <c r="H441" s="556">
        <v>1818.73</v>
      </c>
      <c r="I441" s="551">
        <f t="shared" si="19"/>
        <v>2.4332251672145038E-3</v>
      </c>
      <c r="L441" s="550">
        <v>14629.52</v>
      </c>
      <c r="M441" s="553">
        <f t="shared" si="20"/>
        <v>2.5789368382492964E-3</v>
      </c>
    </row>
    <row r="442" spans="5:13" ht="15.75" thickBot="1">
      <c r="E442" s="557">
        <v>41254</v>
      </c>
      <c r="F442" s="556">
        <v>2540</v>
      </c>
      <c r="G442" s="549">
        <f t="shared" si="18"/>
        <v>1.1881327886752686E-2</v>
      </c>
      <c r="H442" s="550">
        <v>1814.31</v>
      </c>
      <c r="I442" s="551">
        <f t="shared" si="19"/>
        <v>5.9039293200888986E-3</v>
      </c>
      <c r="L442" s="556">
        <v>14591.84</v>
      </c>
      <c r="M442" s="553">
        <f t="shared" si="20"/>
        <v>6.293129491906661E-3</v>
      </c>
    </row>
    <row r="443" spans="5:13" ht="15.75" thickBot="1">
      <c r="E443" s="552">
        <v>41253</v>
      </c>
      <c r="F443" s="550">
        <v>2510</v>
      </c>
      <c r="G443" s="549">
        <f t="shared" si="18"/>
        <v>-5.9583095836306353E-3</v>
      </c>
      <c r="H443" s="556">
        <v>1803.63</v>
      </c>
      <c r="I443" s="551">
        <f t="shared" si="19"/>
        <v>1.9090859392465582E-3</v>
      </c>
      <c r="L443" s="550">
        <v>14500.3</v>
      </c>
      <c r="M443" s="553">
        <f t="shared" si="20"/>
        <v>5.0859098311785257E-3</v>
      </c>
    </row>
    <row r="444" spans="5:13" ht="15.75" thickBot="1">
      <c r="E444" s="557">
        <v>41250</v>
      </c>
      <c r="F444" s="556">
        <v>2525</v>
      </c>
      <c r="G444" s="549">
        <f t="shared" si="18"/>
        <v>-1.9782400121057075E-3</v>
      </c>
      <c r="H444" s="550">
        <v>1800.19</v>
      </c>
      <c r="I444" s="551">
        <f t="shared" si="19"/>
        <v>1.8125616562850971E-3</v>
      </c>
      <c r="L444" s="556">
        <v>14426.74</v>
      </c>
      <c r="M444" s="553">
        <f t="shared" si="20"/>
        <v>8.2519755681034431E-4</v>
      </c>
    </row>
    <row r="445" spans="5:13" ht="15.75" thickBot="1">
      <c r="E445" s="552">
        <v>41249</v>
      </c>
      <c r="F445" s="550">
        <v>2530</v>
      </c>
      <c r="G445" s="549">
        <f t="shared" si="18"/>
        <v>1.9782400121057205E-3</v>
      </c>
      <c r="H445" s="556">
        <v>1796.93</v>
      </c>
      <c r="I445" s="551">
        <f t="shared" si="19"/>
        <v>2.2061904822982936E-3</v>
      </c>
      <c r="L445" s="550">
        <v>14414.84</v>
      </c>
      <c r="M445" s="553">
        <f t="shared" si="20"/>
        <v>1.3328485219528056E-3</v>
      </c>
    </row>
    <row r="446" spans="5:13" ht="15.75" thickBot="1">
      <c r="E446" s="557">
        <v>41248</v>
      </c>
      <c r="F446" s="556">
        <v>2525</v>
      </c>
      <c r="G446" s="549">
        <f t="shared" si="18"/>
        <v>-1.9782400121057075E-3</v>
      </c>
      <c r="H446" s="550">
        <v>1792.97</v>
      </c>
      <c r="I446" s="551">
        <f t="shared" si="19"/>
        <v>1.0777513256380197E-2</v>
      </c>
      <c r="L446" s="556">
        <v>14395.64</v>
      </c>
      <c r="M446" s="553">
        <f t="shared" si="20"/>
        <v>6.4071379008749782E-3</v>
      </c>
    </row>
    <row r="447" spans="5:13" ht="15.75" thickBot="1">
      <c r="E447" s="552">
        <v>41247</v>
      </c>
      <c r="F447" s="550">
        <v>2530</v>
      </c>
      <c r="G447" s="549">
        <f t="shared" si="18"/>
        <v>-1.178795575204224E-2</v>
      </c>
      <c r="H447" s="556">
        <v>1773.75</v>
      </c>
      <c r="I447" s="551">
        <f t="shared" si="19"/>
        <v>3.5750933968888106E-3</v>
      </c>
      <c r="L447" s="550">
        <v>14303.7</v>
      </c>
      <c r="M447" s="553">
        <f t="shared" si="20"/>
        <v>2.4807551302216853E-3</v>
      </c>
    </row>
    <row r="448" spans="5:13" ht="15.75" thickBot="1">
      <c r="E448" s="557">
        <v>41246</v>
      </c>
      <c r="F448" s="556">
        <v>2560</v>
      </c>
      <c r="G448" s="549">
        <f t="shared" si="18"/>
        <v>0</v>
      </c>
      <c r="H448" s="550">
        <v>1767.42</v>
      </c>
      <c r="I448" s="551">
        <f t="shared" si="19"/>
        <v>4.4741281626981847E-3</v>
      </c>
      <c r="L448" s="556">
        <v>14268.26</v>
      </c>
      <c r="M448" s="553">
        <f t="shared" si="20"/>
        <v>7.2619447143362562E-3</v>
      </c>
    </row>
    <row r="449" spans="5:13" ht="15.75" thickBot="1">
      <c r="E449" s="552">
        <v>41243</v>
      </c>
      <c r="F449" s="550">
        <v>2560</v>
      </c>
      <c r="G449" s="549">
        <f t="shared" si="18"/>
        <v>1.1787955752042173E-2</v>
      </c>
      <c r="H449" s="556">
        <v>1759.53</v>
      </c>
      <c r="I449" s="551">
        <f t="shared" si="19"/>
        <v>6.9921580640600828E-3</v>
      </c>
      <c r="L449" s="550">
        <v>14165.02</v>
      </c>
      <c r="M449" s="553">
        <f t="shared" si="20"/>
        <v>1.4850393170109701E-3</v>
      </c>
    </row>
    <row r="450" spans="5:13" ht="15.75" thickBot="1">
      <c r="E450" s="557">
        <v>41242</v>
      </c>
      <c r="F450" s="556">
        <v>2530</v>
      </c>
      <c r="G450" s="549">
        <f t="shared" si="18"/>
        <v>0</v>
      </c>
      <c r="H450" s="550">
        <v>1747.27</v>
      </c>
      <c r="I450" s="551">
        <f t="shared" si="19"/>
        <v>5.2102279416911699E-3</v>
      </c>
      <c r="L450" s="556">
        <v>14144</v>
      </c>
      <c r="M450" s="553">
        <f t="shared" si="20"/>
        <v>7.7298835619236091E-3</v>
      </c>
    </row>
    <row r="451" spans="5:13" ht="15.75" thickBot="1">
      <c r="E451" s="552">
        <v>41241</v>
      </c>
      <c r="F451" s="550">
        <v>2530</v>
      </c>
      <c r="G451" s="549">
        <f t="shared" ref="G451:G514" si="21">+LN(F451/F452)</f>
        <v>7.9365495957363415E-3</v>
      </c>
      <c r="H451" s="556">
        <v>1738.19</v>
      </c>
      <c r="I451" s="551">
        <f t="shared" ref="I451:I514" si="22">+LN(H451/H452)</f>
        <v>2.984560869506324E-3</v>
      </c>
      <c r="L451" s="550">
        <v>14035.09</v>
      </c>
      <c r="M451" s="553">
        <f t="shared" ref="M451:M514" si="23">+LN(L451/L452)</f>
        <v>-1.8593200901819938E-3</v>
      </c>
    </row>
    <row r="452" spans="5:13" ht="15.75" thickBot="1">
      <c r="E452" s="557">
        <v>41240</v>
      </c>
      <c r="F452" s="556">
        <v>2510</v>
      </c>
      <c r="G452" s="549">
        <f t="shared" si="21"/>
        <v>8.0000426670763704E-3</v>
      </c>
      <c r="H452" s="550">
        <v>1733.01</v>
      </c>
      <c r="I452" s="551">
        <f t="shared" si="22"/>
        <v>-1.1822138761683574E-3</v>
      </c>
      <c r="L452" s="556">
        <v>14061.21</v>
      </c>
      <c r="M452" s="553">
        <f t="shared" si="23"/>
        <v>-2.9037800408991117E-3</v>
      </c>
    </row>
    <row r="453" spans="5:13" ht="15.75" thickBot="1">
      <c r="E453" s="552">
        <v>41239</v>
      </c>
      <c r="F453" s="550">
        <v>2490</v>
      </c>
      <c r="G453" s="549">
        <f t="shared" si="21"/>
        <v>-2.1847939525869775E-2</v>
      </c>
      <c r="H453" s="556">
        <v>1735.06</v>
      </c>
      <c r="I453" s="551">
        <f t="shared" si="22"/>
        <v>-6.4458161787494398E-3</v>
      </c>
      <c r="L453" s="550">
        <v>14102.1</v>
      </c>
      <c r="M453" s="553">
        <f t="shared" si="23"/>
        <v>-6.9900705489637886E-3</v>
      </c>
    </row>
    <row r="454" spans="5:13" ht="15.75" thickBot="1">
      <c r="E454" s="557">
        <v>41236</v>
      </c>
      <c r="F454" s="556">
        <v>2545</v>
      </c>
      <c r="G454" s="549">
        <f t="shared" si="21"/>
        <v>1.9665689720408473E-3</v>
      </c>
      <c r="H454" s="550">
        <v>1746.28</v>
      </c>
      <c r="I454" s="551">
        <f t="shared" si="22"/>
        <v>1.6035369477809404E-4</v>
      </c>
      <c r="L454" s="556">
        <v>14201.02</v>
      </c>
      <c r="M454" s="553">
        <f t="shared" si="23"/>
        <v>7.7559712007098185E-4</v>
      </c>
    </row>
    <row r="455" spans="5:13" ht="15.75" thickBot="1">
      <c r="E455" s="552">
        <v>41235</v>
      </c>
      <c r="F455" s="550">
        <v>2540</v>
      </c>
      <c r="G455" s="549">
        <f t="shared" si="21"/>
        <v>1.9704439872987385E-3</v>
      </c>
      <c r="H455" s="550">
        <v>1746</v>
      </c>
      <c r="I455" s="551">
        <f t="shared" si="22"/>
        <v>-1.2935501737894892E-3</v>
      </c>
      <c r="L455" s="556">
        <v>14190.01</v>
      </c>
      <c r="M455" s="553">
        <f t="shared" si="23"/>
        <v>-2.0646197878712604E-4</v>
      </c>
    </row>
    <row r="456" spans="5:13" ht="15.75" thickBot="1">
      <c r="E456" s="557">
        <v>41234</v>
      </c>
      <c r="F456" s="556">
        <v>2535</v>
      </c>
      <c r="G456" s="549">
        <f t="shared" si="21"/>
        <v>1.3902905168991434E-2</v>
      </c>
      <c r="H456" s="556">
        <v>1748.26</v>
      </c>
      <c r="I456" s="551">
        <f t="shared" si="22"/>
        <v>2.8239302301951577E-3</v>
      </c>
      <c r="L456" s="550">
        <v>14192.94</v>
      </c>
      <c r="M456" s="553">
        <f t="shared" si="23"/>
        <v>2.8689160209926733E-3</v>
      </c>
    </row>
    <row r="457" spans="5:13" ht="15.75" thickBot="1">
      <c r="E457" s="552">
        <v>41233</v>
      </c>
      <c r="F457" s="550">
        <v>2500</v>
      </c>
      <c r="G457" s="549">
        <f t="shared" si="21"/>
        <v>0</v>
      </c>
      <c r="H457" s="550">
        <v>1743.33</v>
      </c>
      <c r="I457" s="551">
        <f t="shared" si="22"/>
        <v>-2.8676631036510697E-4</v>
      </c>
      <c r="L457" s="556">
        <v>14152.28</v>
      </c>
      <c r="M457" s="553">
        <f t="shared" si="23"/>
        <v>-4.2395096871922881E-5</v>
      </c>
    </row>
    <row r="458" spans="5:13" ht="15.75" thickBot="1">
      <c r="E458" s="557">
        <v>41232</v>
      </c>
      <c r="F458" s="556">
        <v>2500</v>
      </c>
      <c r="G458" s="549">
        <f t="shared" si="21"/>
        <v>0</v>
      </c>
      <c r="H458" s="556">
        <v>1743.83</v>
      </c>
      <c r="I458" s="551">
        <f t="shared" si="22"/>
        <v>2.5608649732433396E-3</v>
      </c>
      <c r="L458" s="550">
        <v>14152.88</v>
      </c>
      <c r="M458" s="553">
        <f t="shared" si="23"/>
        <v>4.1753477596031922E-3</v>
      </c>
    </row>
    <row r="459" spans="5:13" ht="15.75" thickBot="1">
      <c r="E459" s="552">
        <v>41229</v>
      </c>
      <c r="F459" s="550">
        <v>2500</v>
      </c>
      <c r="G459" s="549">
        <f t="shared" si="21"/>
        <v>6.0180723255629448E-3</v>
      </c>
      <c r="H459" s="550">
        <v>1739.37</v>
      </c>
      <c r="I459" s="551">
        <f t="shared" si="22"/>
        <v>-1.2468005671548677E-3</v>
      </c>
      <c r="L459" s="556">
        <v>14093.91</v>
      </c>
      <c r="M459" s="553">
        <f t="shared" si="23"/>
        <v>-7.0610512874375716E-3</v>
      </c>
    </row>
    <row r="460" spans="5:13" ht="15.75" thickBot="1">
      <c r="E460" s="557">
        <v>41228</v>
      </c>
      <c r="F460" s="556">
        <v>2485</v>
      </c>
      <c r="G460" s="549">
        <f t="shared" si="21"/>
        <v>-3.1685819074140809E-2</v>
      </c>
      <c r="H460" s="556">
        <v>1741.54</v>
      </c>
      <c r="I460" s="551">
        <f t="shared" si="22"/>
        <v>6.2438283164650424E-3</v>
      </c>
      <c r="L460" s="550">
        <v>14193.78</v>
      </c>
      <c r="M460" s="553">
        <f t="shared" si="23"/>
        <v>1.0872074585088494E-2</v>
      </c>
    </row>
    <row r="461" spans="5:13" ht="15.75" thickBot="1">
      <c r="E461" s="552">
        <v>41227</v>
      </c>
      <c r="F461" s="550">
        <v>2565</v>
      </c>
      <c r="G461" s="549">
        <f t="shared" si="21"/>
        <v>0</v>
      </c>
      <c r="H461" s="550">
        <v>1730.7</v>
      </c>
      <c r="I461" s="551">
        <f t="shared" si="22"/>
        <v>-7.1334493678969508E-3</v>
      </c>
      <c r="L461" s="556">
        <v>14040.3</v>
      </c>
      <c r="M461" s="553">
        <f t="shared" si="23"/>
        <v>-8.8261300555278373E-3</v>
      </c>
    </row>
    <row r="462" spans="5:13" ht="15.75" thickBot="1">
      <c r="E462" s="557">
        <v>41226</v>
      </c>
      <c r="F462" s="556">
        <v>2565</v>
      </c>
      <c r="G462" s="549">
        <f t="shared" si="21"/>
        <v>-5.8309203107932096E-3</v>
      </c>
      <c r="H462" s="556">
        <v>1743.09</v>
      </c>
      <c r="I462" s="551">
        <f t="shared" si="22"/>
        <v>-3.8363804181332185E-3</v>
      </c>
      <c r="L462" s="550">
        <v>14164.77</v>
      </c>
      <c r="M462" s="553">
        <f t="shared" si="23"/>
        <v>-9.8470362093550923E-3</v>
      </c>
    </row>
    <row r="463" spans="5:13" ht="15.75" thickBot="1">
      <c r="E463" s="552">
        <v>41222</v>
      </c>
      <c r="F463" s="550">
        <v>2580</v>
      </c>
      <c r="G463" s="549">
        <f t="shared" si="21"/>
        <v>3.5506688456909817E-2</v>
      </c>
      <c r="H463" s="550">
        <v>1749.79</v>
      </c>
      <c r="I463" s="551">
        <f t="shared" si="22"/>
        <v>2.5120249877726838E-3</v>
      </c>
      <c r="L463" s="556">
        <v>14304.94</v>
      </c>
      <c r="M463" s="553">
        <f t="shared" si="23"/>
        <v>-4.9271533617512757E-4</v>
      </c>
    </row>
    <row r="464" spans="5:13" ht="15.75" thickBot="1">
      <c r="E464" s="557">
        <v>41221</v>
      </c>
      <c r="F464" s="556">
        <v>2490</v>
      </c>
      <c r="G464" s="549">
        <f t="shared" si="21"/>
        <v>1.6194685919980606E-2</v>
      </c>
      <c r="H464" s="556">
        <v>1745.4</v>
      </c>
      <c r="I464" s="551">
        <f t="shared" si="22"/>
        <v>2.5837991559100638E-2</v>
      </c>
      <c r="L464" s="550">
        <v>14311.99</v>
      </c>
      <c r="M464" s="553">
        <f t="shared" si="23"/>
        <v>2.4169010507356162E-2</v>
      </c>
    </row>
    <row r="465" spans="5:13" ht="15.75" thickBot="1">
      <c r="E465" s="552">
        <v>41220</v>
      </c>
      <c r="F465" s="550">
        <v>2450</v>
      </c>
      <c r="G465" s="549">
        <f t="shared" si="21"/>
        <v>-2.0202707317519466E-2</v>
      </c>
      <c r="H465" s="550">
        <v>1700.88</v>
      </c>
      <c r="I465" s="551">
        <f t="shared" si="22"/>
        <v>-2.4330037245882619E-2</v>
      </c>
      <c r="L465" s="556">
        <v>13970.23</v>
      </c>
      <c r="M465" s="553">
        <f t="shared" si="23"/>
        <v>-2.5417532937297867E-2</v>
      </c>
    </row>
    <row r="466" spans="5:13" ht="15.75" thickBot="1">
      <c r="E466" s="557">
        <v>41219</v>
      </c>
      <c r="F466" s="556">
        <v>2500</v>
      </c>
      <c r="G466" s="549">
        <f t="shared" si="21"/>
        <v>0</v>
      </c>
      <c r="H466" s="556">
        <v>1742.77</v>
      </c>
      <c r="I466" s="551">
        <f t="shared" si="22"/>
        <v>-6.6454167170404395E-3</v>
      </c>
      <c r="L466" s="550">
        <v>14329.87</v>
      </c>
      <c r="M466" s="553">
        <f t="shared" si="23"/>
        <v>-3.4546295102787349E-3</v>
      </c>
    </row>
    <row r="467" spans="5:13" ht="15.75" thickBot="1">
      <c r="E467" s="552">
        <v>41215</v>
      </c>
      <c r="F467" s="550">
        <v>2500</v>
      </c>
      <c r="G467" s="549">
        <f t="shared" si="21"/>
        <v>-1.5873349156290122E-2</v>
      </c>
      <c r="H467" s="550">
        <v>1754.39</v>
      </c>
      <c r="I467" s="551">
        <f t="shared" si="22"/>
        <v>-9.6828471828792253E-3</v>
      </c>
      <c r="L467" s="556">
        <v>14379.46</v>
      </c>
      <c r="M467" s="553">
        <f t="shared" si="23"/>
        <v>-1.0357553325177951E-2</v>
      </c>
    </row>
    <row r="468" spans="5:13" ht="15.75" thickBot="1">
      <c r="E468" s="557">
        <v>41214</v>
      </c>
      <c r="F468" s="556">
        <v>2540</v>
      </c>
      <c r="G468" s="549">
        <f t="shared" si="21"/>
        <v>-1.1741817876683174E-2</v>
      </c>
      <c r="H468" s="556">
        <v>1771.46</v>
      </c>
      <c r="I468" s="551">
        <f t="shared" si="22"/>
        <v>-2.1484105162950021E-2</v>
      </c>
      <c r="L468" s="550">
        <v>14529.17</v>
      </c>
      <c r="M468" s="553">
        <f t="shared" si="23"/>
        <v>-1.7200456402001154E-2</v>
      </c>
    </row>
    <row r="469" spans="5:13" ht="15.75" thickBot="1">
      <c r="E469" s="552">
        <v>41213</v>
      </c>
      <c r="F469" s="550">
        <v>2570</v>
      </c>
      <c r="G469" s="549">
        <f t="shared" si="21"/>
        <v>7.8125397367936247E-3</v>
      </c>
      <c r="H469" s="550">
        <v>1809.93</v>
      </c>
      <c r="I469" s="551">
        <f t="shared" si="22"/>
        <v>-1.9153657330931878E-3</v>
      </c>
      <c r="L469" s="556">
        <v>14781.24</v>
      </c>
      <c r="M469" s="553">
        <f t="shared" si="23"/>
        <v>-5.4003637020945674E-3</v>
      </c>
    </row>
    <row r="470" spans="5:13" ht="15.75" thickBot="1">
      <c r="E470" s="557">
        <v>41212</v>
      </c>
      <c r="F470" s="556">
        <v>2550</v>
      </c>
      <c r="G470" s="549">
        <f t="shared" si="21"/>
        <v>-5.8651194523981339E-3</v>
      </c>
      <c r="H470" s="556">
        <v>1813.4</v>
      </c>
      <c r="I470" s="551">
        <f t="shared" si="22"/>
        <v>-1.2287711946635688E-2</v>
      </c>
      <c r="L470" s="550">
        <v>14861.28</v>
      </c>
      <c r="M470" s="553">
        <f t="shared" si="23"/>
        <v>-1.6935071292659542E-2</v>
      </c>
    </row>
    <row r="471" spans="5:13" ht="15.75" thickBot="1">
      <c r="E471" s="552">
        <v>41211</v>
      </c>
      <c r="F471" s="550">
        <v>2565</v>
      </c>
      <c r="G471" s="549">
        <f t="shared" si="21"/>
        <v>-5.8309203107932096E-3</v>
      </c>
      <c r="H471" s="550">
        <v>1835.82</v>
      </c>
      <c r="I471" s="551">
        <f t="shared" si="22"/>
        <v>3.1424949753570577E-3</v>
      </c>
      <c r="L471" s="556">
        <v>15115.1</v>
      </c>
      <c r="M471" s="553">
        <f t="shared" si="23"/>
        <v>-1.8097949322631412E-3</v>
      </c>
    </row>
    <row r="472" spans="5:13" ht="15.75" thickBot="1">
      <c r="E472" s="557">
        <v>41208</v>
      </c>
      <c r="F472" s="556">
        <v>2580</v>
      </c>
      <c r="G472" s="549">
        <f t="shared" si="21"/>
        <v>0</v>
      </c>
      <c r="H472" s="556">
        <v>1830.06</v>
      </c>
      <c r="I472" s="551">
        <f t="shared" si="22"/>
        <v>-1.1359293450157106E-3</v>
      </c>
      <c r="L472" s="550">
        <v>15142.48</v>
      </c>
      <c r="M472" s="553">
        <f t="shared" si="23"/>
        <v>3.080192881945346E-3</v>
      </c>
    </row>
    <row r="473" spans="5:13" ht="15.75" thickBot="1">
      <c r="E473" s="552">
        <v>41207</v>
      </c>
      <c r="F473" s="550">
        <v>2580</v>
      </c>
      <c r="G473" s="549">
        <f t="shared" si="21"/>
        <v>1.759576189037966E-2</v>
      </c>
      <c r="H473" s="550">
        <v>1832.14</v>
      </c>
      <c r="I473" s="551">
        <f t="shared" si="22"/>
        <v>2.01565930206647E-2</v>
      </c>
      <c r="L473" s="556">
        <v>15095.91</v>
      </c>
      <c r="M473" s="553">
        <f t="shared" si="23"/>
        <v>1.4931492577047333E-2</v>
      </c>
    </row>
    <row r="474" spans="5:13" ht="15.75" thickBot="1">
      <c r="E474" s="557">
        <v>41206</v>
      </c>
      <c r="F474" s="556">
        <v>2535</v>
      </c>
      <c r="G474" s="549">
        <f t="shared" si="21"/>
        <v>7.9208334914440577E-3</v>
      </c>
      <c r="H474" s="556">
        <v>1795.58</v>
      </c>
      <c r="I474" s="551">
        <f t="shared" si="22"/>
        <v>2.8387641168081583E-3</v>
      </c>
      <c r="L474" s="550">
        <v>14872.18</v>
      </c>
      <c r="M474" s="553">
        <f t="shared" si="23"/>
        <v>-8.4282978014021872E-4</v>
      </c>
    </row>
    <row r="475" spans="5:13" ht="15.75" thickBot="1">
      <c r="E475" s="552">
        <v>41205</v>
      </c>
      <c r="F475" s="550">
        <v>2515</v>
      </c>
      <c r="G475" s="549">
        <f t="shared" si="21"/>
        <v>-1.9860979716294028E-3</v>
      </c>
      <c r="H475" s="550">
        <v>1790.49</v>
      </c>
      <c r="I475" s="551">
        <f t="shared" si="22"/>
        <v>-2.9278678447444335E-3</v>
      </c>
      <c r="L475" s="556">
        <v>14884.72</v>
      </c>
      <c r="M475" s="553">
        <f t="shared" si="23"/>
        <v>-2.9295857582817713E-3</v>
      </c>
    </row>
    <row r="476" spans="5:13" ht="15.75" thickBot="1">
      <c r="E476" s="557">
        <v>41204</v>
      </c>
      <c r="F476" s="556">
        <v>2520</v>
      </c>
      <c r="G476" s="549">
        <f t="shared" si="21"/>
        <v>0</v>
      </c>
      <c r="H476" s="556">
        <v>1795.74</v>
      </c>
      <c r="I476" s="551">
        <f t="shared" si="22"/>
        <v>8.7420331059843339E-3</v>
      </c>
      <c r="L476" s="550">
        <v>14928.39</v>
      </c>
      <c r="M476" s="553">
        <f t="shared" si="23"/>
        <v>5.3066556302876784E-3</v>
      </c>
    </row>
    <row r="477" spans="5:13" ht="15.75" thickBot="1">
      <c r="E477" s="552">
        <v>41201</v>
      </c>
      <c r="F477" s="550">
        <v>2520</v>
      </c>
      <c r="G477" s="549">
        <f t="shared" si="21"/>
        <v>-3.9604012160969048E-3</v>
      </c>
      <c r="H477" s="550">
        <v>1780.11</v>
      </c>
      <c r="I477" s="551">
        <f t="shared" si="22"/>
        <v>2.7057374167852931E-3</v>
      </c>
      <c r="L477" s="556">
        <v>14849.38</v>
      </c>
      <c r="M477" s="553">
        <f t="shared" si="23"/>
        <v>1.0591908018632511E-3</v>
      </c>
    </row>
    <row r="478" spans="5:13" ht="15.75" thickBot="1">
      <c r="E478" s="557">
        <v>41200</v>
      </c>
      <c r="F478" s="556">
        <v>2530</v>
      </c>
      <c r="G478" s="549">
        <f t="shared" si="21"/>
        <v>-5.9113472630572374E-3</v>
      </c>
      <c r="H478" s="556">
        <v>1775.3</v>
      </c>
      <c r="I478" s="551">
        <f t="shared" si="22"/>
        <v>1.2281497441156223E-2</v>
      </c>
      <c r="L478" s="550">
        <v>14833.66</v>
      </c>
      <c r="M478" s="553">
        <f t="shared" si="23"/>
        <v>1.2236086428306297E-2</v>
      </c>
    </row>
    <row r="479" spans="5:13" ht="15.75" thickBot="1">
      <c r="E479" s="552">
        <v>41199</v>
      </c>
      <c r="F479" s="550">
        <v>2545</v>
      </c>
      <c r="G479" s="549">
        <f t="shared" si="21"/>
        <v>1.5841915465657923E-2</v>
      </c>
      <c r="H479" s="550">
        <v>1753.63</v>
      </c>
      <c r="I479" s="551">
        <f t="shared" si="22"/>
        <v>1.8422217271236552E-2</v>
      </c>
      <c r="L479" s="556">
        <v>14653.26</v>
      </c>
      <c r="M479" s="553">
        <f t="shared" si="23"/>
        <v>1.4592145633829825E-2</v>
      </c>
    </row>
    <row r="480" spans="5:13" ht="15.75" thickBot="1">
      <c r="E480" s="557">
        <v>41198</v>
      </c>
      <c r="F480" s="556">
        <v>2505</v>
      </c>
      <c r="G480" s="549">
        <f t="shared" si="21"/>
        <v>1.407058389694237E-2</v>
      </c>
      <c r="H480" s="556">
        <v>1721.62</v>
      </c>
      <c r="I480" s="551">
        <f t="shared" si="22"/>
        <v>8.8212186535973416E-3</v>
      </c>
      <c r="L480" s="550">
        <v>14440.99</v>
      </c>
      <c r="M480" s="553">
        <f t="shared" si="23"/>
        <v>1.1666019459565642E-2</v>
      </c>
    </row>
    <row r="481" spans="5:13" ht="15.75" thickBot="1">
      <c r="E481" s="552">
        <v>41194</v>
      </c>
      <c r="F481" s="550">
        <v>2470</v>
      </c>
      <c r="G481" s="549">
        <f t="shared" si="21"/>
        <v>-4.0404095370049744E-3</v>
      </c>
      <c r="H481" s="550">
        <v>1706.5</v>
      </c>
      <c r="I481" s="551">
        <f t="shared" si="22"/>
        <v>3.6515459826259207E-3</v>
      </c>
      <c r="L481" s="556">
        <v>14273.5</v>
      </c>
      <c r="M481" s="553">
        <f t="shared" si="23"/>
        <v>3.4831319645833411E-3</v>
      </c>
    </row>
    <row r="482" spans="5:13" ht="15.75" thickBot="1">
      <c r="E482" s="557">
        <v>41193</v>
      </c>
      <c r="F482" s="556">
        <v>2480</v>
      </c>
      <c r="G482" s="549">
        <f t="shared" si="21"/>
        <v>-8.0321716972642666E-3</v>
      </c>
      <c r="H482" s="556">
        <v>1700.28</v>
      </c>
      <c r="I482" s="551">
        <f t="shared" si="22"/>
        <v>1.2476314279472806E-3</v>
      </c>
      <c r="L482" s="550">
        <v>14223.87</v>
      </c>
      <c r="M482" s="553">
        <f t="shared" si="23"/>
        <v>8.3063931294245948E-4</v>
      </c>
    </row>
    <row r="483" spans="5:13" ht="15.75" thickBot="1">
      <c r="E483" s="552">
        <v>41192</v>
      </c>
      <c r="F483" s="550">
        <v>2500</v>
      </c>
      <c r="G483" s="549">
        <f t="shared" si="21"/>
        <v>-1.9802627296179754E-2</v>
      </c>
      <c r="H483" s="550">
        <v>1698.16</v>
      </c>
      <c r="I483" s="551">
        <f t="shared" si="22"/>
        <v>1.3376351783088939E-3</v>
      </c>
      <c r="L483" s="556">
        <v>14212.06</v>
      </c>
      <c r="M483" s="553">
        <f t="shared" si="23"/>
        <v>-1.1589067631820606E-3</v>
      </c>
    </row>
    <row r="484" spans="5:13" ht="15.75" thickBot="1">
      <c r="E484" s="557">
        <v>41191</v>
      </c>
      <c r="F484" s="556">
        <v>2550</v>
      </c>
      <c r="G484" s="549">
        <f t="shared" si="21"/>
        <v>5.899722127188322E-3</v>
      </c>
      <c r="H484" s="556">
        <v>1695.89</v>
      </c>
      <c r="I484" s="551">
        <f t="shared" si="22"/>
        <v>-3.6139795420722428E-3</v>
      </c>
      <c r="L484" s="550">
        <v>14228.54</v>
      </c>
      <c r="M484" s="553">
        <f t="shared" si="23"/>
        <v>-7.2938333052505536E-3</v>
      </c>
    </row>
    <row r="485" spans="5:13" ht="15.75" thickBot="1">
      <c r="E485" s="552">
        <v>41190</v>
      </c>
      <c r="F485" s="550">
        <v>2535</v>
      </c>
      <c r="G485" s="549">
        <f t="shared" si="21"/>
        <v>-5.8997221271882708E-3</v>
      </c>
      <c r="H485" s="550">
        <v>1702.03</v>
      </c>
      <c r="I485" s="551">
        <f t="shared" si="22"/>
        <v>-1.5205556772934427E-3</v>
      </c>
      <c r="L485" s="556">
        <v>14332.7</v>
      </c>
      <c r="M485" s="553">
        <f t="shared" si="23"/>
        <v>-1.4996389664262519E-3</v>
      </c>
    </row>
    <row r="486" spans="5:13" ht="15.75" thickBot="1">
      <c r="E486" s="557">
        <v>41187</v>
      </c>
      <c r="F486" s="556">
        <v>2550</v>
      </c>
      <c r="G486" s="549">
        <f t="shared" si="21"/>
        <v>1.9627091678486889E-3</v>
      </c>
      <c r="H486" s="556">
        <v>1704.62</v>
      </c>
      <c r="I486" s="551">
        <f t="shared" si="22"/>
        <v>5.398554257485729E-4</v>
      </c>
      <c r="L486" s="550">
        <v>14354.21</v>
      </c>
      <c r="M486" s="553">
        <f t="shared" si="23"/>
        <v>4.2971601932801284E-3</v>
      </c>
    </row>
    <row r="487" spans="5:13" ht="15.75" thickBot="1">
      <c r="E487" s="552">
        <v>41186</v>
      </c>
      <c r="F487" s="550">
        <v>2545</v>
      </c>
      <c r="G487" s="549">
        <f t="shared" si="21"/>
        <v>0</v>
      </c>
      <c r="H487" s="550">
        <v>1703.7</v>
      </c>
      <c r="I487" s="551">
        <f t="shared" si="22"/>
        <v>6.4479311857417194E-3</v>
      </c>
      <c r="L487" s="556">
        <v>14292.66</v>
      </c>
      <c r="M487" s="553">
        <f t="shared" si="23"/>
        <v>1.2671017567013235E-2</v>
      </c>
    </row>
    <row r="488" spans="5:13" ht="15.75" thickBot="1">
      <c r="E488" s="557">
        <v>41185</v>
      </c>
      <c r="F488" s="556">
        <v>2545</v>
      </c>
      <c r="G488" s="549">
        <f t="shared" si="21"/>
        <v>1.5841915465657923E-2</v>
      </c>
      <c r="H488" s="556">
        <v>1692.75</v>
      </c>
      <c r="I488" s="551">
        <f t="shared" si="22"/>
        <v>-1.5996650608382044E-3</v>
      </c>
      <c r="L488" s="550">
        <v>14112.7</v>
      </c>
      <c r="M488" s="553">
        <f t="shared" si="23"/>
        <v>-7.0066515226666947E-3</v>
      </c>
    </row>
    <row r="489" spans="5:13" ht="15.75" thickBot="1">
      <c r="E489" s="552">
        <v>41184</v>
      </c>
      <c r="F489" s="550">
        <v>2505</v>
      </c>
      <c r="G489" s="549">
        <f t="shared" si="21"/>
        <v>6.0060240602119487E-3</v>
      </c>
      <c r="H489" s="550">
        <v>1695.46</v>
      </c>
      <c r="I489" s="551">
        <f t="shared" si="22"/>
        <v>7.1385326491173028E-3</v>
      </c>
      <c r="L489" s="556">
        <v>14211.93</v>
      </c>
      <c r="M489" s="553">
        <f t="shared" si="23"/>
        <v>7.8239800665256386E-3</v>
      </c>
    </row>
    <row r="490" spans="5:13" ht="15.75" thickBot="1">
      <c r="E490" s="557">
        <v>41183</v>
      </c>
      <c r="F490" s="556">
        <v>2490</v>
      </c>
      <c r="G490" s="549">
        <f t="shared" si="21"/>
        <v>1.6194685919980606E-2</v>
      </c>
      <c r="H490" s="556">
        <v>1683.4</v>
      </c>
      <c r="I490" s="551">
        <f t="shared" si="22"/>
        <v>1.3791137814529507E-3</v>
      </c>
      <c r="L490" s="550">
        <v>14101.17</v>
      </c>
      <c r="M490" s="553">
        <f t="shared" si="23"/>
        <v>3.1657362939570893E-3</v>
      </c>
    </row>
    <row r="491" spans="5:13" ht="15.75" thickBot="1">
      <c r="E491" s="552">
        <v>41180</v>
      </c>
      <c r="F491" s="550">
        <v>2450</v>
      </c>
      <c r="G491" s="549">
        <f t="shared" si="21"/>
        <v>-2.220070998019253E-2</v>
      </c>
      <c r="H491" s="550">
        <v>1681.08</v>
      </c>
      <c r="I491" s="551">
        <f t="shared" si="22"/>
        <v>-8.6886768301661175E-3</v>
      </c>
      <c r="L491" s="556">
        <v>14056.6</v>
      </c>
      <c r="M491" s="553">
        <f t="shared" si="23"/>
        <v>-3.5386854325559448E-3</v>
      </c>
    </row>
    <row r="492" spans="5:13" ht="15.75" thickBot="1">
      <c r="E492" s="557">
        <v>41179</v>
      </c>
      <c r="F492" s="556">
        <v>2505</v>
      </c>
      <c r="G492" s="549">
        <f t="shared" si="21"/>
        <v>6.0060240602119487E-3</v>
      </c>
      <c r="H492" s="556">
        <v>1695.75</v>
      </c>
      <c r="I492" s="551">
        <f t="shared" si="22"/>
        <v>7.2382812837465836E-3</v>
      </c>
      <c r="L492" s="550">
        <v>14106.43</v>
      </c>
      <c r="M492" s="553">
        <f t="shared" si="23"/>
        <v>1.6986124716226961E-2</v>
      </c>
    </row>
    <row r="493" spans="5:13" ht="15.75" thickBot="1">
      <c r="E493" s="552">
        <v>41178</v>
      </c>
      <c r="F493" s="550">
        <v>2490</v>
      </c>
      <c r="G493" s="549">
        <f t="shared" si="21"/>
        <v>0</v>
      </c>
      <c r="H493" s="550">
        <v>1683.52</v>
      </c>
      <c r="I493" s="551">
        <f t="shared" si="22"/>
        <v>-1.5313302414925142E-3</v>
      </c>
      <c r="L493" s="556">
        <v>13868.84</v>
      </c>
      <c r="M493" s="553">
        <f t="shared" si="23"/>
        <v>-7.4966122270644087E-3</v>
      </c>
    </row>
    <row r="494" spans="5:13" ht="15.75" thickBot="1">
      <c r="E494" s="557">
        <v>41177</v>
      </c>
      <c r="F494" s="556">
        <v>2490</v>
      </c>
      <c r="G494" s="549">
        <f t="shared" si="21"/>
        <v>0</v>
      </c>
      <c r="H494" s="556">
        <v>1686.1</v>
      </c>
      <c r="I494" s="551">
        <f t="shared" si="22"/>
        <v>-5.9310155737763107E-3</v>
      </c>
      <c r="L494" s="550">
        <v>13973.2</v>
      </c>
      <c r="M494" s="553">
        <f t="shared" si="23"/>
        <v>-1.3235386435953546E-2</v>
      </c>
    </row>
    <row r="495" spans="5:13" ht="15.75" thickBot="1">
      <c r="E495" s="552">
        <v>41176</v>
      </c>
      <c r="F495" s="550">
        <v>2490</v>
      </c>
      <c r="G495" s="549">
        <f t="shared" si="21"/>
        <v>0</v>
      </c>
      <c r="H495" s="550">
        <v>1696.13</v>
      </c>
      <c r="I495" s="551">
        <f t="shared" si="22"/>
        <v>-7.7815462940607743E-3</v>
      </c>
      <c r="L495" s="556">
        <v>14159.37</v>
      </c>
      <c r="M495" s="553">
        <f t="shared" si="23"/>
        <v>-1.1293833850530243E-2</v>
      </c>
    </row>
    <row r="496" spans="5:13" ht="15.75" thickBot="1">
      <c r="E496" s="557">
        <v>41173</v>
      </c>
      <c r="F496" s="556">
        <v>2490</v>
      </c>
      <c r="G496" s="549">
        <f t="shared" si="21"/>
        <v>-2.006018726865743E-3</v>
      </c>
      <c r="H496" s="556">
        <v>1709.38</v>
      </c>
      <c r="I496" s="551">
        <f t="shared" si="22"/>
        <v>3.2755502937339468E-3</v>
      </c>
      <c r="L496" s="550">
        <v>14320.19</v>
      </c>
      <c r="M496" s="553">
        <f t="shared" si="23"/>
        <v>8.5230711407679571E-4</v>
      </c>
    </row>
    <row r="497" spans="5:13" ht="15.75" thickBot="1">
      <c r="E497" s="552">
        <v>41172</v>
      </c>
      <c r="F497" s="550">
        <v>2495</v>
      </c>
      <c r="G497" s="549">
        <f t="shared" si="21"/>
        <v>-2.0020026706730793E-3</v>
      </c>
      <c r="H497" s="550">
        <v>1703.79</v>
      </c>
      <c r="I497" s="551">
        <f t="shared" si="22"/>
        <v>-7.6857866606792761E-4</v>
      </c>
      <c r="L497" s="556">
        <v>14307.99</v>
      </c>
      <c r="M497" s="553">
        <f t="shared" si="23"/>
        <v>-2.7359817284654262E-3</v>
      </c>
    </row>
    <row r="498" spans="5:13" ht="15.75" thickBot="1">
      <c r="E498" s="557">
        <v>41171</v>
      </c>
      <c r="F498" s="556">
        <v>2500</v>
      </c>
      <c r="G498" s="549">
        <f t="shared" si="21"/>
        <v>4.0080213975388678E-3</v>
      </c>
      <c r="H498" s="556">
        <v>1705.1</v>
      </c>
      <c r="I498" s="551">
        <f t="shared" si="22"/>
        <v>9.6884450262678494E-3</v>
      </c>
      <c r="L498" s="550">
        <v>14347.19</v>
      </c>
      <c r="M498" s="553">
        <f t="shared" si="23"/>
        <v>6.1174285958747699E-3</v>
      </c>
    </row>
    <row r="499" spans="5:13" ht="15.75" thickBot="1">
      <c r="E499" s="552">
        <v>41170</v>
      </c>
      <c r="F499" s="550">
        <v>2490</v>
      </c>
      <c r="G499" s="549">
        <f t="shared" si="21"/>
        <v>-4.0080213975388218E-3</v>
      </c>
      <c r="H499" s="550">
        <v>1688.66</v>
      </c>
      <c r="I499" s="551">
        <f t="shared" si="22"/>
        <v>4.3263777301120535E-3</v>
      </c>
      <c r="L499" s="556">
        <v>14259.69</v>
      </c>
      <c r="M499" s="553">
        <f t="shared" si="23"/>
        <v>5.1388185132992719E-3</v>
      </c>
    </row>
    <row r="500" spans="5:13" ht="15.75" thickBot="1">
      <c r="E500" s="557">
        <v>41169</v>
      </c>
      <c r="F500" s="556">
        <v>2500</v>
      </c>
      <c r="G500" s="549">
        <f t="shared" si="21"/>
        <v>0</v>
      </c>
      <c r="H500" s="556">
        <v>1681.37</v>
      </c>
      <c r="I500" s="551">
        <f t="shared" si="22"/>
        <v>-1.6018561394111237E-2</v>
      </c>
      <c r="L500" s="550">
        <v>14186.6</v>
      </c>
      <c r="M500" s="553">
        <f t="shared" si="23"/>
        <v>-2.1545228399131651E-2</v>
      </c>
    </row>
    <row r="501" spans="5:13" ht="15.75" thickBot="1">
      <c r="E501" s="552">
        <v>41166</v>
      </c>
      <c r="F501" s="550">
        <v>2500</v>
      </c>
      <c r="G501" s="549">
        <f t="shared" si="21"/>
        <v>-1.9980026626731087E-3</v>
      </c>
      <c r="H501" s="550">
        <v>1708.52</v>
      </c>
      <c r="I501" s="551">
        <f t="shared" si="22"/>
        <v>7.4905837138382883E-3</v>
      </c>
      <c r="L501" s="556">
        <v>14495.57</v>
      </c>
      <c r="M501" s="553">
        <f t="shared" si="23"/>
        <v>1.1081087601912711E-2</v>
      </c>
    </row>
    <row r="502" spans="5:13" ht="15.75" thickBot="1">
      <c r="E502" s="557">
        <v>41165</v>
      </c>
      <c r="F502" s="556">
        <v>2505</v>
      </c>
      <c r="G502" s="549">
        <f t="shared" si="21"/>
        <v>8.0160749882361246E-3</v>
      </c>
      <c r="H502" s="556">
        <v>1695.77</v>
      </c>
      <c r="I502" s="551">
        <f t="shared" si="22"/>
        <v>7.4461124868950629E-3</v>
      </c>
      <c r="L502" s="550">
        <v>14335.83</v>
      </c>
      <c r="M502" s="553">
        <f t="shared" si="23"/>
        <v>1.2657343878587574E-2</v>
      </c>
    </row>
    <row r="503" spans="5:13" ht="15.75" thickBot="1">
      <c r="E503" s="552">
        <v>41164</v>
      </c>
      <c r="F503" s="550">
        <v>2485</v>
      </c>
      <c r="G503" s="549">
        <f t="shared" si="21"/>
        <v>0</v>
      </c>
      <c r="H503" s="550">
        <v>1683.19</v>
      </c>
      <c r="I503" s="551">
        <f t="shared" si="22"/>
        <v>-1.1934486437576838E-3</v>
      </c>
      <c r="L503" s="556">
        <v>14155.52</v>
      </c>
      <c r="M503" s="553">
        <f t="shared" si="23"/>
        <v>-1.6587532663865274E-3</v>
      </c>
    </row>
    <row r="504" spans="5:13" ht="15.75" thickBot="1">
      <c r="E504" s="557">
        <v>41163</v>
      </c>
      <c r="F504" s="556">
        <v>2485</v>
      </c>
      <c r="G504" s="549">
        <f t="shared" si="21"/>
        <v>2.0140993717011856E-3</v>
      </c>
      <c r="H504" s="556">
        <v>1685.2</v>
      </c>
      <c r="I504" s="551">
        <f t="shared" si="22"/>
        <v>1.2706859256379995E-3</v>
      </c>
      <c r="L504" s="550">
        <v>14179.02</v>
      </c>
      <c r="M504" s="553">
        <f t="shared" si="23"/>
        <v>-3.9839668778848261E-4</v>
      </c>
    </row>
    <row r="505" spans="5:13" ht="15.75" thickBot="1">
      <c r="E505" s="552">
        <v>41162</v>
      </c>
      <c r="F505" s="550">
        <v>2480</v>
      </c>
      <c r="G505" s="549">
        <f t="shared" si="21"/>
        <v>-4.0241502997254907E-3</v>
      </c>
      <c r="H505" s="550">
        <v>1683.06</v>
      </c>
      <c r="I505" s="551">
        <f t="shared" si="22"/>
        <v>-3.8427373385390442E-3</v>
      </c>
      <c r="L505" s="556">
        <v>14184.67</v>
      </c>
      <c r="M505" s="553">
        <f t="shared" si="23"/>
        <v>-4.4779028856454395E-3</v>
      </c>
    </row>
    <row r="506" spans="5:13" ht="15.75" thickBot="1">
      <c r="E506" s="557">
        <v>41159</v>
      </c>
      <c r="F506" s="556">
        <v>2490</v>
      </c>
      <c r="G506" s="549">
        <f t="shared" si="21"/>
        <v>4.024150299725548E-3</v>
      </c>
      <c r="H506" s="556">
        <v>1689.54</v>
      </c>
      <c r="I506" s="551">
        <f t="shared" si="22"/>
        <v>5.0912437521658232E-3</v>
      </c>
      <c r="L506" s="550">
        <v>14248.33</v>
      </c>
      <c r="M506" s="553">
        <f t="shared" si="23"/>
        <v>6.0251344933936694E-3</v>
      </c>
    </row>
    <row r="507" spans="5:13" ht="15.75" thickBot="1">
      <c r="E507" s="552">
        <v>41158</v>
      </c>
      <c r="F507" s="550">
        <v>2480</v>
      </c>
      <c r="G507" s="549">
        <f t="shared" si="21"/>
        <v>1.8311803642337688E-2</v>
      </c>
      <c r="H507" s="550">
        <v>1680.96</v>
      </c>
      <c r="I507" s="551">
        <f t="shared" si="22"/>
        <v>1.8492805875257857E-2</v>
      </c>
      <c r="L507" s="556">
        <v>14162.74</v>
      </c>
      <c r="M507" s="553">
        <f t="shared" si="23"/>
        <v>1.9823456815916969E-2</v>
      </c>
    </row>
    <row r="508" spans="5:13" ht="15.75" thickBot="1">
      <c r="E508" s="557">
        <v>41157</v>
      </c>
      <c r="F508" s="556">
        <v>2435</v>
      </c>
      <c r="G508" s="549">
        <f t="shared" si="21"/>
        <v>-4.0983663922822483E-3</v>
      </c>
      <c r="H508" s="556">
        <v>1650.16</v>
      </c>
      <c r="I508" s="551">
        <f t="shared" si="22"/>
        <v>-3.0495945409943644E-3</v>
      </c>
      <c r="L508" s="550">
        <v>13884.75</v>
      </c>
      <c r="M508" s="553">
        <f t="shared" si="23"/>
        <v>-4.0186344239191325E-3</v>
      </c>
    </row>
    <row r="509" spans="5:13" ht="15.75" thickBot="1">
      <c r="E509" s="552">
        <v>41156</v>
      </c>
      <c r="F509" s="550">
        <v>2445</v>
      </c>
      <c r="G509" s="549">
        <f t="shared" si="21"/>
        <v>-8.1466845678181375E-3</v>
      </c>
      <c r="H509" s="550">
        <v>1655.2</v>
      </c>
      <c r="I509" s="551">
        <f t="shared" si="22"/>
        <v>-7.1637425226518774E-3</v>
      </c>
      <c r="L509" s="556">
        <v>13940.66</v>
      </c>
      <c r="M509" s="553">
        <f t="shared" si="23"/>
        <v>-1.1297669248563104E-2</v>
      </c>
    </row>
    <row r="510" spans="5:13" ht="15.75" thickBot="1">
      <c r="E510" s="557">
        <v>41155</v>
      </c>
      <c r="F510" s="556">
        <v>2465</v>
      </c>
      <c r="G510" s="549">
        <f t="shared" si="21"/>
        <v>0</v>
      </c>
      <c r="H510" s="556">
        <v>1667.1</v>
      </c>
      <c r="I510" s="551">
        <f t="shared" si="22"/>
        <v>-8.3942923744354664E-4</v>
      </c>
      <c r="L510" s="550">
        <v>14099.05</v>
      </c>
      <c r="M510" s="553">
        <f t="shared" si="23"/>
        <v>7.4713786891401077E-4</v>
      </c>
    </row>
    <row r="511" spans="5:13" ht="15.75" thickBot="1">
      <c r="E511" s="552">
        <v>41152</v>
      </c>
      <c r="F511" s="550">
        <v>2465</v>
      </c>
      <c r="G511" s="549">
        <f t="shared" si="21"/>
        <v>2.0304575503819213E-3</v>
      </c>
      <c r="H511" s="550">
        <v>1668.5</v>
      </c>
      <c r="I511" s="551">
        <f t="shared" si="22"/>
        <v>3.2369637562872051E-4</v>
      </c>
      <c r="L511" s="556">
        <v>14088.52</v>
      </c>
      <c r="M511" s="553">
        <f t="shared" si="23"/>
        <v>2.9621100037455577E-3</v>
      </c>
    </row>
    <row r="512" spans="5:13" ht="15.75" thickBot="1">
      <c r="E512" s="557">
        <v>41151</v>
      </c>
      <c r="F512" s="556">
        <v>2460</v>
      </c>
      <c r="G512" s="549">
        <f t="shared" si="21"/>
        <v>-4.0568006956144299E-3</v>
      </c>
      <c r="H512" s="556">
        <v>1667.96</v>
      </c>
      <c r="I512" s="551">
        <f t="shared" si="22"/>
        <v>-4.3312383004724354E-3</v>
      </c>
      <c r="L512" s="550">
        <v>14046.85</v>
      </c>
      <c r="M512" s="553">
        <f t="shared" si="23"/>
        <v>-1.0537408292886451E-2</v>
      </c>
    </row>
    <row r="513" spans="5:13" ht="15.75" thickBot="1">
      <c r="E513" s="552">
        <v>41150</v>
      </c>
      <c r="F513" s="550">
        <v>2470</v>
      </c>
      <c r="G513" s="549">
        <f t="shared" si="21"/>
        <v>0</v>
      </c>
      <c r="H513" s="550">
        <v>1675.2</v>
      </c>
      <c r="I513" s="551">
        <f t="shared" si="22"/>
        <v>-4.7641824271182727E-3</v>
      </c>
      <c r="L513" s="556">
        <v>14195.65</v>
      </c>
      <c r="M513" s="553">
        <f t="shared" si="23"/>
        <v>-7.5505053805851484E-3</v>
      </c>
    </row>
    <row r="514" spans="5:13" ht="15.75" thickBot="1">
      <c r="E514" s="557">
        <v>41149</v>
      </c>
      <c r="F514" s="556">
        <v>2470</v>
      </c>
      <c r="G514" s="549">
        <f t="shared" si="21"/>
        <v>2.0263431452324674E-3</v>
      </c>
      <c r="H514" s="556">
        <v>1683.2</v>
      </c>
      <c r="I514" s="551">
        <f t="shared" si="22"/>
        <v>4.4896260428529183E-3</v>
      </c>
      <c r="L514" s="550">
        <v>14303.24</v>
      </c>
      <c r="M514" s="553">
        <f t="shared" si="23"/>
        <v>7.2659516455525833E-3</v>
      </c>
    </row>
    <row r="515" spans="5:13" ht="15.75" thickBot="1">
      <c r="E515" s="552">
        <v>41148</v>
      </c>
      <c r="F515" s="550">
        <v>2465</v>
      </c>
      <c r="G515" s="549">
        <f t="shared" ref="G515:G578" si="24">+LN(F515/F516)</f>
        <v>-6.0667526822374262E-3</v>
      </c>
      <c r="H515" s="550">
        <v>1675.66</v>
      </c>
      <c r="I515" s="551">
        <f t="shared" ref="I515:I578" si="25">+LN(H515/H516)</f>
        <v>1.8337942867567838E-3</v>
      </c>
      <c r="L515" s="556">
        <v>14199.69</v>
      </c>
      <c r="M515" s="553">
        <f t="shared" ref="M515:M578" si="26">+LN(L515/L516)</f>
        <v>2.6330984353612761E-3</v>
      </c>
    </row>
    <row r="516" spans="5:13" ht="15.75" thickBot="1">
      <c r="E516" s="557">
        <v>41145</v>
      </c>
      <c r="F516" s="556">
        <v>2480</v>
      </c>
      <c r="G516" s="549">
        <f t="shared" si="24"/>
        <v>-2.0140993717012562E-3</v>
      </c>
      <c r="H516" s="556">
        <v>1672.59</v>
      </c>
      <c r="I516" s="551">
        <f t="shared" si="25"/>
        <v>-3.8250548637599434E-3</v>
      </c>
      <c r="L516" s="550">
        <v>14162.35</v>
      </c>
      <c r="M516" s="553">
        <f t="shared" si="26"/>
        <v>-2.5323869402563109E-3</v>
      </c>
    </row>
    <row r="517" spans="5:13" ht="15.75" thickBot="1">
      <c r="E517" s="552">
        <v>41144</v>
      </c>
      <c r="F517" s="550">
        <v>2485</v>
      </c>
      <c r="G517" s="549">
        <f t="shared" si="24"/>
        <v>6.0545089087062224E-3</v>
      </c>
      <c r="H517" s="550">
        <v>1679</v>
      </c>
      <c r="I517" s="551">
        <f t="shared" si="25"/>
        <v>7.2688710831040368E-4</v>
      </c>
      <c r="L517" s="556">
        <v>14198.26</v>
      </c>
      <c r="M517" s="553">
        <f t="shared" si="26"/>
        <v>-3.3033939368982703E-3</v>
      </c>
    </row>
    <row r="518" spans="5:13" ht="15.75" thickBot="1">
      <c r="E518" s="557">
        <v>41143</v>
      </c>
      <c r="F518" s="556">
        <v>2470</v>
      </c>
      <c r="G518" s="549">
        <f t="shared" si="24"/>
        <v>-0.13782378653982963</v>
      </c>
      <c r="H518" s="556">
        <v>1677.78</v>
      </c>
      <c r="I518" s="551">
        <f t="shared" si="25"/>
        <v>1.2643734686926876E-3</v>
      </c>
      <c r="L518" s="550">
        <v>14245.24</v>
      </c>
      <c r="M518" s="553">
        <f t="shared" si="26"/>
        <v>2.8956806149743799E-3</v>
      </c>
    </row>
    <row r="519" spans="5:13" ht="15.75" thickBot="1">
      <c r="E519" s="552">
        <v>41142</v>
      </c>
      <c r="F519" s="550">
        <v>2835</v>
      </c>
      <c r="G519" s="549">
        <f t="shared" si="24"/>
        <v>0.12975922670309911</v>
      </c>
      <c r="H519" s="550">
        <v>1675.66</v>
      </c>
      <c r="I519" s="551">
        <f t="shared" si="25"/>
        <v>-6.5964830069969727E-3</v>
      </c>
      <c r="L519" s="556">
        <v>14204.05</v>
      </c>
      <c r="M519" s="553">
        <f t="shared" si="26"/>
        <v>-2.9125282060500409E-3</v>
      </c>
    </row>
    <row r="520" spans="5:13" ht="15.75" thickBot="1">
      <c r="E520" s="557">
        <v>41138</v>
      </c>
      <c r="F520" s="556">
        <v>2490</v>
      </c>
      <c r="G520" s="549">
        <f t="shared" si="24"/>
        <v>1.009090298196272E-2</v>
      </c>
      <c r="H520" s="556">
        <v>1686.75</v>
      </c>
      <c r="I520" s="551">
        <f t="shared" si="25"/>
        <v>1.3526262585197362E-3</v>
      </c>
      <c r="L520" s="550">
        <v>14245.48</v>
      </c>
      <c r="M520" s="553">
        <f t="shared" si="26"/>
        <v>2.2536002412157995E-4</v>
      </c>
    </row>
    <row r="521" spans="5:13" ht="15.75" thickBot="1">
      <c r="E521" s="552">
        <v>41137</v>
      </c>
      <c r="F521" s="550">
        <v>2465</v>
      </c>
      <c r="G521" s="549">
        <f t="shared" si="24"/>
        <v>-8.0808520539386725E-3</v>
      </c>
      <c r="H521" s="550">
        <v>1684.47</v>
      </c>
      <c r="I521" s="551">
        <f t="shared" si="25"/>
        <v>3.580225774249914E-3</v>
      </c>
      <c r="L521" s="556">
        <v>14242.27</v>
      </c>
      <c r="M521" s="553">
        <f t="shared" si="26"/>
        <v>1.1712535947738637E-2</v>
      </c>
    </row>
    <row r="522" spans="5:13" ht="15.75" thickBot="1">
      <c r="E522" s="557">
        <v>41136</v>
      </c>
      <c r="F522" s="556">
        <v>2485</v>
      </c>
      <c r="G522" s="549">
        <f t="shared" si="24"/>
        <v>4.0322635279384511E-3</v>
      </c>
      <c r="H522" s="556">
        <v>1678.45</v>
      </c>
      <c r="I522" s="551">
        <f t="shared" si="25"/>
        <v>6.7731617119307563E-3</v>
      </c>
      <c r="L522" s="550">
        <v>14076.43</v>
      </c>
      <c r="M522" s="553">
        <f t="shared" si="26"/>
        <v>1.0624258538535396E-2</v>
      </c>
    </row>
    <row r="523" spans="5:13" ht="15.75" thickBot="1">
      <c r="E523" s="552">
        <v>41135</v>
      </c>
      <c r="F523" s="550">
        <v>2475</v>
      </c>
      <c r="G523" s="549">
        <f t="shared" si="24"/>
        <v>2.0222453807678706E-3</v>
      </c>
      <c r="H523" s="550">
        <v>1667.12</v>
      </c>
      <c r="I523" s="551">
        <f t="shared" si="25"/>
        <v>6.4993127704626574E-3</v>
      </c>
      <c r="L523" s="556">
        <v>13927.67</v>
      </c>
      <c r="M523" s="553">
        <f t="shared" si="26"/>
        <v>2.3441276202935198E-3</v>
      </c>
    </row>
    <row r="524" spans="5:13" ht="15.75" thickBot="1">
      <c r="E524" s="557">
        <v>41134</v>
      </c>
      <c r="F524" s="556">
        <v>2470</v>
      </c>
      <c r="G524" s="549">
        <f t="shared" si="24"/>
        <v>-4.0404095370049744E-3</v>
      </c>
      <c r="H524" s="556">
        <v>1656.32</v>
      </c>
      <c r="I524" s="551">
        <f t="shared" si="25"/>
        <v>-3.2308647754813622E-3</v>
      </c>
      <c r="L524" s="550">
        <v>13895.06</v>
      </c>
      <c r="M524" s="553">
        <f t="shared" si="26"/>
        <v>1.6184304328720773E-3</v>
      </c>
    </row>
    <row r="525" spans="5:13" ht="15.75" thickBot="1">
      <c r="E525" s="552">
        <v>41131</v>
      </c>
      <c r="F525" s="550">
        <v>2480</v>
      </c>
      <c r="G525" s="549">
        <f t="shared" si="24"/>
        <v>6.066752682237362E-3</v>
      </c>
      <c r="H525" s="550">
        <v>1661.68</v>
      </c>
      <c r="I525" s="551">
        <f t="shared" si="25"/>
        <v>5.7093006406887404E-3</v>
      </c>
      <c r="L525" s="556">
        <v>13872.59</v>
      </c>
      <c r="M525" s="553">
        <f t="shared" si="26"/>
        <v>1.4752998132837208E-2</v>
      </c>
    </row>
    <row r="526" spans="5:13" ht="15.75" thickBot="1">
      <c r="E526" s="557">
        <v>41130</v>
      </c>
      <c r="F526" s="556">
        <v>2465</v>
      </c>
      <c r="G526" s="549">
        <f t="shared" si="24"/>
        <v>-8.0808520539386725E-3</v>
      </c>
      <c r="H526" s="556">
        <v>1652.22</v>
      </c>
      <c r="I526" s="551">
        <f t="shared" si="25"/>
        <v>2.4259652621512761E-2</v>
      </c>
      <c r="L526" s="550">
        <v>13669.43</v>
      </c>
      <c r="M526" s="553">
        <f t="shared" si="26"/>
        <v>2.8675424886280981E-2</v>
      </c>
    </row>
    <row r="527" spans="5:13" ht="15.75" thickBot="1">
      <c r="E527" s="552">
        <v>41129</v>
      </c>
      <c r="F527" s="550">
        <v>2485</v>
      </c>
      <c r="G527" s="549">
        <f t="shared" si="24"/>
        <v>-4.0160696548899432E-3</v>
      </c>
      <c r="H527" s="550">
        <v>1612.62</v>
      </c>
      <c r="I527" s="551">
        <f t="shared" si="25"/>
        <v>-1.603695662966451E-2</v>
      </c>
      <c r="L527" s="556">
        <v>13283.02</v>
      </c>
      <c r="M527" s="553">
        <f t="shared" si="26"/>
        <v>-1.0942678856173891E-2</v>
      </c>
    </row>
    <row r="528" spans="5:13" ht="15.75" thickBot="1">
      <c r="E528" s="557">
        <v>41127</v>
      </c>
      <c r="F528" s="556">
        <v>2495</v>
      </c>
      <c r="G528" s="549">
        <f t="shared" si="24"/>
        <v>-2.0020026706730793E-3</v>
      </c>
      <c r="H528" s="556">
        <v>1638.69</v>
      </c>
      <c r="I528" s="551">
        <f t="shared" si="25"/>
        <v>-3.6122123393304618E-3</v>
      </c>
      <c r="L528" s="550">
        <v>13429.17</v>
      </c>
      <c r="M528" s="553">
        <f t="shared" si="26"/>
        <v>-4.3267095949290815E-3</v>
      </c>
    </row>
    <row r="529" spans="5:13" ht="15.75" thickBot="1">
      <c r="E529" s="552">
        <v>41124</v>
      </c>
      <c r="F529" s="550">
        <v>2500</v>
      </c>
      <c r="G529" s="549">
        <f t="shared" si="24"/>
        <v>4.0080213975388678E-3</v>
      </c>
      <c r="H529" s="550">
        <v>1644.62</v>
      </c>
      <c r="I529" s="551">
        <f t="shared" si="25"/>
        <v>-4.2714882862435665E-3</v>
      </c>
      <c r="L529" s="556">
        <v>13487.4</v>
      </c>
      <c r="M529" s="553">
        <f t="shared" si="26"/>
        <v>7.4146023212009142E-5</v>
      </c>
    </row>
    <row r="530" spans="5:13" ht="15.75" thickBot="1">
      <c r="E530" s="557">
        <v>41123</v>
      </c>
      <c r="F530" s="556">
        <v>2490</v>
      </c>
      <c r="G530" s="549">
        <f t="shared" si="24"/>
        <v>-8.0000426670762646E-3</v>
      </c>
      <c r="H530" s="556">
        <v>1651.66</v>
      </c>
      <c r="I530" s="551">
        <f t="shared" si="25"/>
        <v>-9.9403798188508509E-3</v>
      </c>
      <c r="L530" s="550">
        <v>13486.4</v>
      </c>
      <c r="M530" s="553">
        <f t="shared" si="26"/>
        <v>-1.3769106678503231E-2</v>
      </c>
    </row>
    <row r="531" spans="5:13" ht="15.75" thickBot="1">
      <c r="E531" s="552">
        <v>41122</v>
      </c>
      <c r="F531" s="550">
        <v>2510</v>
      </c>
      <c r="G531" s="549">
        <f t="shared" si="24"/>
        <v>1.0010093595100425E-2</v>
      </c>
      <c r="H531" s="550">
        <v>1668.16</v>
      </c>
      <c r="I531" s="551">
        <f t="shared" si="25"/>
        <v>-3.4170881506524944E-3</v>
      </c>
      <c r="L531" s="556">
        <v>13673.38</v>
      </c>
      <c r="M531" s="553">
        <f t="shared" si="26"/>
        <v>-6.9288659212923863E-3</v>
      </c>
    </row>
    <row r="532" spans="5:13" ht="15.75" thickBot="1">
      <c r="E532" s="557">
        <v>41121</v>
      </c>
      <c r="F532" s="556">
        <v>2485</v>
      </c>
      <c r="G532" s="549">
        <f t="shared" si="24"/>
        <v>-6.0180723255630212E-3</v>
      </c>
      <c r="H532" s="556">
        <v>1673.87</v>
      </c>
      <c r="I532" s="551">
        <f t="shared" si="25"/>
        <v>-5.4930789664543456E-3</v>
      </c>
      <c r="L532" s="550">
        <v>13768.45</v>
      </c>
      <c r="M532" s="553">
        <f t="shared" si="26"/>
        <v>-8.749096317975092E-3</v>
      </c>
    </row>
    <row r="533" spans="5:13" ht="15.75" thickBot="1">
      <c r="E533" s="552">
        <v>41120</v>
      </c>
      <c r="F533" s="550">
        <v>2500</v>
      </c>
      <c r="G533" s="549">
        <f t="shared" si="24"/>
        <v>2.0020026706729687E-3</v>
      </c>
      <c r="H533" s="550">
        <v>1683.09</v>
      </c>
      <c r="I533" s="551">
        <f t="shared" si="25"/>
        <v>-1.1163697768156724E-3</v>
      </c>
      <c r="L533" s="556">
        <v>13889.44</v>
      </c>
      <c r="M533" s="553">
        <f t="shared" si="26"/>
        <v>2.2538887664681154E-3</v>
      </c>
    </row>
    <row r="534" spans="5:13" ht="15.75" thickBot="1">
      <c r="E534" s="557">
        <v>41117</v>
      </c>
      <c r="F534" s="556">
        <v>2495</v>
      </c>
      <c r="G534" s="549">
        <f t="shared" si="24"/>
        <v>1.007057856359609E-2</v>
      </c>
      <c r="H534" s="556">
        <v>1684.97</v>
      </c>
      <c r="I534" s="551">
        <f t="shared" si="25"/>
        <v>2.0960350440377421E-2</v>
      </c>
      <c r="L534" s="550">
        <v>13858.17</v>
      </c>
      <c r="M534" s="553">
        <f t="shared" si="26"/>
        <v>2.6982619807934042E-2</v>
      </c>
    </row>
    <row r="535" spans="5:13" ht="15.75" thickBot="1">
      <c r="E535" s="552">
        <v>41116</v>
      </c>
      <c r="F535" s="550">
        <v>2470</v>
      </c>
      <c r="G535" s="549">
        <f t="shared" si="24"/>
        <v>2.0263431452324674E-3</v>
      </c>
      <c r="H535" s="550">
        <v>1650.02</v>
      </c>
      <c r="I535" s="551">
        <f t="shared" si="25"/>
        <v>4.409654920313753E-3</v>
      </c>
      <c r="L535" s="556">
        <v>13489.24</v>
      </c>
      <c r="M535" s="553">
        <f t="shared" si="26"/>
        <v>8.6523383902010666E-3</v>
      </c>
    </row>
    <row r="536" spans="5:13" ht="15.75" thickBot="1">
      <c r="E536" s="557">
        <v>41115</v>
      </c>
      <c r="F536" s="556">
        <v>2465</v>
      </c>
      <c r="G536" s="549">
        <f t="shared" si="24"/>
        <v>-1.4098924379501648E-2</v>
      </c>
      <c r="H536" s="556">
        <v>1642.76</v>
      </c>
      <c r="I536" s="551">
        <f t="shared" si="25"/>
        <v>-9.7166952592537981E-3</v>
      </c>
      <c r="L536" s="550">
        <v>13373.03</v>
      </c>
      <c r="M536" s="553">
        <f t="shared" si="26"/>
        <v>-1.3803903586250235E-2</v>
      </c>
    </row>
    <row r="537" spans="5:13" ht="15.75" thickBot="1">
      <c r="E537" s="552">
        <v>41114</v>
      </c>
      <c r="F537" s="550">
        <v>2500</v>
      </c>
      <c r="G537" s="549">
        <f t="shared" si="24"/>
        <v>8.0321716972642527E-3</v>
      </c>
      <c r="H537" s="550">
        <v>1658.8</v>
      </c>
      <c r="I537" s="551">
        <f t="shared" si="25"/>
        <v>4.1001893897143192E-4</v>
      </c>
      <c r="L537" s="556">
        <v>13558.91</v>
      </c>
      <c r="M537" s="553">
        <f t="shared" si="26"/>
        <v>-1.3082461530460525E-3</v>
      </c>
    </row>
    <row r="538" spans="5:13" ht="15.75" thickBot="1">
      <c r="E538" s="557">
        <v>41113</v>
      </c>
      <c r="F538" s="556">
        <v>2480</v>
      </c>
      <c r="G538" s="549">
        <f t="shared" si="24"/>
        <v>-4.0241502997254907E-3</v>
      </c>
      <c r="H538" s="556">
        <v>1658.12</v>
      </c>
      <c r="I538" s="551">
        <f t="shared" si="25"/>
        <v>-7.7497879714221417E-3</v>
      </c>
      <c r="L538" s="550">
        <v>13576.66</v>
      </c>
      <c r="M538" s="553">
        <f t="shared" si="26"/>
        <v>-1.0749534371939968E-2</v>
      </c>
    </row>
    <row r="539" spans="5:13" ht="15.75" thickBot="1">
      <c r="E539" s="552">
        <v>41109</v>
      </c>
      <c r="F539" s="550">
        <v>2490</v>
      </c>
      <c r="G539" s="549">
        <f t="shared" si="24"/>
        <v>-4.0080213975388218E-3</v>
      </c>
      <c r="H539" s="550">
        <v>1671.02</v>
      </c>
      <c r="I539" s="551">
        <f t="shared" si="25"/>
        <v>3.2848232475733586E-3</v>
      </c>
      <c r="L539" s="556">
        <v>13723.39</v>
      </c>
      <c r="M539" s="553">
        <f t="shared" si="26"/>
        <v>3.7590447577850387E-3</v>
      </c>
    </row>
    <row r="540" spans="5:13" ht="15.75" thickBot="1">
      <c r="E540" s="557">
        <v>41108</v>
      </c>
      <c r="F540" s="556">
        <v>2500</v>
      </c>
      <c r="G540" s="549">
        <f t="shared" si="24"/>
        <v>1.0050335853501506E-2</v>
      </c>
      <c r="H540" s="556">
        <v>1665.54</v>
      </c>
      <c r="I540" s="551">
        <f t="shared" si="25"/>
        <v>3.0547227602301572E-3</v>
      </c>
      <c r="L540" s="550">
        <v>13671.9</v>
      </c>
      <c r="M540" s="553">
        <f t="shared" si="26"/>
        <v>1.3738321935771835E-3</v>
      </c>
    </row>
    <row r="541" spans="5:13" ht="15.75" thickBot="1">
      <c r="E541" s="552">
        <v>41107</v>
      </c>
      <c r="F541" s="550">
        <v>2475</v>
      </c>
      <c r="G541" s="549">
        <f t="shared" si="24"/>
        <v>6.0790460763821925E-3</v>
      </c>
      <c r="H541" s="550">
        <v>1660.46</v>
      </c>
      <c r="I541" s="551">
        <f t="shared" si="25"/>
        <v>3.2332424503786765E-3</v>
      </c>
      <c r="L541" s="556">
        <v>13653.13</v>
      </c>
      <c r="M541" s="553">
        <f t="shared" si="26"/>
        <v>5.5982436355756495E-3</v>
      </c>
    </row>
    <row r="542" spans="5:13" ht="15.75" thickBot="1">
      <c r="E542" s="557">
        <v>41106</v>
      </c>
      <c r="F542" s="556">
        <v>2460</v>
      </c>
      <c r="G542" s="549">
        <f t="shared" si="24"/>
        <v>1.021459340971842E-2</v>
      </c>
      <c r="H542" s="556">
        <v>1655.1</v>
      </c>
      <c r="I542" s="551">
        <f t="shared" si="25"/>
        <v>-1.6541202827374142E-3</v>
      </c>
      <c r="L542" s="550">
        <v>13576.91</v>
      </c>
      <c r="M542" s="553">
        <f t="shared" si="26"/>
        <v>-6.4409186182778754E-3</v>
      </c>
    </row>
    <row r="543" spans="5:13" ht="15.75" thickBot="1">
      <c r="E543" s="552">
        <v>41103</v>
      </c>
      <c r="F543" s="550">
        <v>2435</v>
      </c>
      <c r="G543" s="549">
        <f t="shared" si="24"/>
        <v>1.0320009031989449E-2</v>
      </c>
      <c r="H543" s="550">
        <v>1657.84</v>
      </c>
      <c r="I543" s="551">
        <f t="shared" si="25"/>
        <v>7.9879546250939733E-3</v>
      </c>
      <c r="L543" s="556">
        <v>13664.64</v>
      </c>
      <c r="M543" s="553">
        <f t="shared" si="26"/>
        <v>1.1527150929839367E-2</v>
      </c>
    </row>
    <row r="544" spans="5:13" ht="15.75" thickBot="1">
      <c r="E544" s="557">
        <v>41102</v>
      </c>
      <c r="F544" s="556">
        <v>2410</v>
      </c>
      <c r="G544" s="549">
        <f t="shared" si="24"/>
        <v>-1.0320009031989472E-2</v>
      </c>
      <c r="H544" s="556">
        <v>1644.65</v>
      </c>
      <c r="I544" s="551">
        <f t="shared" si="25"/>
        <v>-1.2945966177447686E-2</v>
      </c>
      <c r="L544" s="550">
        <v>13508.03</v>
      </c>
      <c r="M544" s="553">
        <f t="shared" si="26"/>
        <v>-1.2294531234411959E-2</v>
      </c>
    </row>
    <row r="545" spans="5:13" ht="15.75" thickBot="1">
      <c r="E545" s="552">
        <v>41101</v>
      </c>
      <c r="F545" s="550">
        <v>2435</v>
      </c>
      <c r="G545" s="549">
        <f t="shared" si="24"/>
        <v>4.1152321451065794E-3</v>
      </c>
      <c r="H545" s="550">
        <v>1666.08</v>
      </c>
      <c r="I545" s="551">
        <f t="shared" si="25"/>
        <v>7.1983709467758053E-3</v>
      </c>
      <c r="L545" s="556">
        <v>13675.13</v>
      </c>
      <c r="M545" s="553">
        <f t="shared" si="26"/>
        <v>8.1994424556076553E-3</v>
      </c>
    </row>
    <row r="546" spans="5:13" ht="15.75" thickBot="1">
      <c r="E546" s="557">
        <v>41100</v>
      </c>
      <c r="F546" s="556">
        <v>2425</v>
      </c>
      <c r="G546" s="549">
        <f t="shared" si="24"/>
        <v>-1.2295236857037354E-2</v>
      </c>
      <c r="H546" s="556">
        <v>1654.13</v>
      </c>
      <c r="I546" s="551">
        <f t="shared" si="25"/>
        <v>-3.7411869393582675E-3</v>
      </c>
      <c r="L546" s="550">
        <v>13563.46</v>
      </c>
      <c r="M546" s="553">
        <f t="shared" si="26"/>
        <v>-1.098529418438021E-2</v>
      </c>
    </row>
    <row r="547" spans="5:13" ht="15.75" thickBot="1">
      <c r="E547" s="552">
        <v>41099</v>
      </c>
      <c r="F547" s="550">
        <v>2455</v>
      </c>
      <c r="G547" s="549">
        <f t="shared" si="24"/>
        <v>-1.816397062767118E-2</v>
      </c>
      <c r="H547" s="550">
        <v>1660.33</v>
      </c>
      <c r="I547" s="551">
        <f t="shared" si="25"/>
        <v>-4.2731383592470784E-3</v>
      </c>
      <c r="L547" s="556">
        <v>13713.28</v>
      </c>
      <c r="M547" s="553">
        <f t="shared" si="26"/>
        <v>1.195992551268928E-4</v>
      </c>
    </row>
    <row r="548" spans="5:13" ht="15.75" thickBot="1">
      <c r="E548" s="557">
        <v>41096</v>
      </c>
      <c r="F548" s="556">
        <v>2500</v>
      </c>
      <c r="G548" s="549">
        <f t="shared" si="24"/>
        <v>1.207258123426924E-2</v>
      </c>
      <c r="H548" s="556">
        <v>1667.44</v>
      </c>
      <c r="I548" s="551">
        <f t="shared" si="25"/>
        <v>-3.5082083671125366E-3</v>
      </c>
      <c r="L548" s="550">
        <v>13711.64</v>
      </c>
      <c r="M548" s="553">
        <f t="shared" si="26"/>
        <v>-8.1509775605609156E-3</v>
      </c>
    </row>
    <row r="549" spans="5:13" ht="15.75" thickBot="1">
      <c r="E549" s="552">
        <v>41095</v>
      </c>
      <c r="F549" s="550">
        <v>2470</v>
      </c>
      <c r="G549" s="549">
        <f t="shared" si="24"/>
        <v>0</v>
      </c>
      <c r="H549" s="550">
        <v>1673.3</v>
      </c>
      <c r="I549" s="551">
        <f t="shared" si="25"/>
        <v>3.9221020023585207E-3</v>
      </c>
      <c r="L549" s="556">
        <v>13823.86</v>
      </c>
      <c r="M549" s="553">
        <f t="shared" si="26"/>
        <v>7.2987804772413432E-3</v>
      </c>
    </row>
    <row r="550" spans="5:13" ht="15.75" thickBot="1">
      <c r="E550" s="557">
        <v>41094</v>
      </c>
      <c r="F550" s="556">
        <v>2470</v>
      </c>
      <c r="G550" s="549">
        <f t="shared" si="24"/>
        <v>-4.0404095370049744E-3</v>
      </c>
      <c r="H550" s="556">
        <v>1666.75</v>
      </c>
      <c r="I550" s="551">
        <f t="shared" si="25"/>
        <v>-1.7803251846805527E-3</v>
      </c>
      <c r="L550" s="550">
        <v>13723.33</v>
      </c>
      <c r="M550" s="553">
        <f t="shared" si="26"/>
        <v>1.4701112887798913E-3</v>
      </c>
    </row>
    <row r="551" spans="5:13" ht="15.75" thickBot="1">
      <c r="E551" s="552">
        <v>41093</v>
      </c>
      <c r="F551" s="550">
        <v>2480</v>
      </c>
      <c r="G551" s="549">
        <f t="shared" si="24"/>
        <v>1.2170535620255114E-2</v>
      </c>
      <c r="H551" s="550">
        <v>1669.72</v>
      </c>
      <c r="I551" s="551">
        <f t="shared" si="25"/>
        <v>1.7953608322220278E-2</v>
      </c>
      <c r="L551" s="556">
        <v>13703.17</v>
      </c>
      <c r="M551" s="553">
        <f t="shared" si="26"/>
        <v>2.1066622565689731E-2</v>
      </c>
    </row>
    <row r="552" spans="5:13" ht="15.75" thickBot="1">
      <c r="E552" s="557">
        <v>41089</v>
      </c>
      <c r="F552" s="556">
        <v>2450</v>
      </c>
      <c r="G552" s="549">
        <f t="shared" si="24"/>
        <v>3.1090587070031182E-2</v>
      </c>
      <c r="H552" s="556">
        <v>1640.01</v>
      </c>
      <c r="I552" s="551">
        <f t="shared" si="25"/>
        <v>1.8163858860438829E-2</v>
      </c>
      <c r="L552" s="550">
        <v>13417.51</v>
      </c>
      <c r="M552" s="553">
        <f t="shared" si="26"/>
        <v>1.5336672277735979E-2</v>
      </c>
    </row>
    <row r="553" spans="5:13" ht="15.75" thickBot="1">
      <c r="E553" s="552">
        <v>41088</v>
      </c>
      <c r="F553" s="550">
        <v>2375</v>
      </c>
      <c r="G553" s="549">
        <f t="shared" si="24"/>
        <v>-8.38579337627407E-3</v>
      </c>
      <c r="H553" s="550">
        <v>1610.49</v>
      </c>
      <c r="I553" s="551">
        <f t="shared" si="25"/>
        <v>-1.0119442867043152E-2</v>
      </c>
      <c r="L553" s="556">
        <v>13213.3</v>
      </c>
      <c r="M553" s="553">
        <f t="shared" si="26"/>
        <v>-1.5943158268916461E-2</v>
      </c>
    </row>
    <row r="554" spans="5:13" ht="15.75" thickBot="1">
      <c r="E554" s="557">
        <v>41087</v>
      </c>
      <c r="F554" s="556">
        <v>2395</v>
      </c>
      <c r="G554" s="549">
        <f t="shared" si="24"/>
        <v>2.3232301493268416E-2</v>
      </c>
      <c r="H554" s="556">
        <v>1626.87</v>
      </c>
      <c r="I554" s="551">
        <f t="shared" si="25"/>
        <v>1.9583580311938433E-2</v>
      </c>
      <c r="L554" s="550">
        <v>13425.65</v>
      </c>
      <c r="M554" s="553">
        <f t="shared" si="26"/>
        <v>2.1361457100250537E-2</v>
      </c>
    </row>
    <row r="555" spans="5:13" ht="15.75" thickBot="1">
      <c r="E555" s="552">
        <v>41086</v>
      </c>
      <c r="F555" s="550">
        <v>2340</v>
      </c>
      <c r="G555" s="549">
        <f t="shared" si="24"/>
        <v>4.2826617920009493E-3</v>
      </c>
      <c r="H555" s="550">
        <v>1595.32</v>
      </c>
      <c r="I555" s="551">
        <f t="shared" si="25"/>
        <v>8.4658345940885897E-4</v>
      </c>
      <c r="L555" s="556">
        <v>13141.9</v>
      </c>
      <c r="M555" s="553">
        <f t="shared" si="26"/>
        <v>4.637158902469035E-3</v>
      </c>
    </row>
    <row r="556" spans="5:13" ht="15.75" thickBot="1">
      <c r="E556" s="557">
        <v>41085</v>
      </c>
      <c r="F556" s="556">
        <v>2330</v>
      </c>
      <c r="G556" s="549">
        <f t="shared" si="24"/>
        <v>-2.9600469776290744E-2</v>
      </c>
      <c r="H556" s="556">
        <v>1593.97</v>
      </c>
      <c r="I556" s="551">
        <f t="shared" si="25"/>
        <v>-2.4503314250803494E-2</v>
      </c>
      <c r="L556" s="550">
        <v>13081.1</v>
      </c>
      <c r="M556" s="553">
        <f t="shared" si="26"/>
        <v>-2.7063174497634988E-2</v>
      </c>
    </row>
    <row r="557" spans="5:13" ht="15.75" thickBot="1">
      <c r="E557" s="552">
        <v>41082</v>
      </c>
      <c r="F557" s="550">
        <v>2400</v>
      </c>
      <c r="G557" s="549">
        <f t="shared" si="24"/>
        <v>1.6807118316381191E-2</v>
      </c>
      <c r="H557" s="550">
        <v>1633.51</v>
      </c>
      <c r="I557" s="551">
        <f t="shared" si="25"/>
        <v>-3.3125160162020442E-3</v>
      </c>
      <c r="L557" s="556">
        <v>13439.95</v>
      </c>
      <c r="M557" s="553">
        <f t="shared" si="26"/>
        <v>-8.3305628082693591E-3</v>
      </c>
    </row>
    <row r="558" spans="5:13" ht="15.75" thickBot="1">
      <c r="E558" s="557">
        <v>41081</v>
      </c>
      <c r="F558" s="556">
        <v>2360</v>
      </c>
      <c r="G558" s="549">
        <f t="shared" si="24"/>
        <v>-2.3037668067017316E-2</v>
      </c>
      <c r="H558" s="556">
        <v>1638.93</v>
      </c>
      <c r="I558" s="551">
        <f t="shared" si="25"/>
        <v>-2.8671078277648858E-2</v>
      </c>
      <c r="L558" s="550">
        <v>13552.38</v>
      </c>
      <c r="M558" s="553">
        <f t="shared" si="26"/>
        <v>-3.0104439336722681E-2</v>
      </c>
    </row>
    <row r="559" spans="5:13" ht="15.75" thickBot="1">
      <c r="E559" s="552">
        <v>41080</v>
      </c>
      <c r="F559" s="550">
        <v>2415</v>
      </c>
      <c r="G559" s="549">
        <f t="shared" si="24"/>
        <v>1.4598799421152631E-2</v>
      </c>
      <c r="H559" s="550">
        <v>1686.6</v>
      </c>
      <c r="I559" s="551">
        <f t="shared" si="25"/>
        <v>5.9884869714562691E-3</v>
      </c>
      <c r="L559" s="556">
        <v>13966.57</v>
      </c>
      <c r="M559" s="553">
        <f t="shared" si="26"/>
        <v>-2.0799500528788442E-3</v>
      </c>
    </row>
    <row r="560" spans="5:13" ht="15.75" thickBot="1">
      <c r="E560" s="557">
        <v>41079</v>
      </c>
      <c r="F560" s="556">
        <v>2380</v>
      </c>
      <c r="G560" s="549">
        <f t="shared" si="24"/>
        <v>4.2105325363434578E-3</v>
      </c>
      <c r="H560" s="556">
        <v>1676.53</v>
      </c>
      <c r="I560" s="551">
        <f t="shared" si="25"/>
        <v>1.6253969500448655E-2</v>
      </c>
      <c r="L560" s="550">
        <v>13995.65</v>
      </c>
      <c r="M560" s="553">
        <f t="shared" si="26"/>
        <v>7.983540257420511E-3</v>
      </c>
    </row>
    <row r="561" spans="5:13" ht="15.75" thickBot="1">
      <c r="E561" s="552">
        <v>41075</v>
      </c>
      <c r="F561" s="550">
        <v>2370</v>
      </c>
      <c r="G561" s="549">
        <f t="shared" si="24"/>
        <v>-1.8809331957496227E-2</v>
      </c>
      <c r="H561" s="550">
        <v>1649.5</v>
      </c>
      <c r="I561" s="551">
        <f t="shared" si="25"/>
        <v>-9.4610140107558652E-3</v>
      </c>
      <c r="L561" s="556">
        <v>13884.36</v>
      </c>
      <c r="M561" s="553">
        <f t="shared" si="26"/>
        <v>-4.2676352408202696E-3</v>
      </c>
    </row>
    <row r="562" spans="5:13" ht="15.75" thickBot="1">
      <c r="E562" s="557">
        <v>41074</v>
      </c>
      <c r="F562" s="556">
        <v>2415</v>
      </c>
      <c r="G562" s="549">
        <f t="shared" si="24"/>
        <v>1.2500162764231468E-2</v>
      </c>
      <c r="H562" s="556">
        <v>1665.18</v>
      </c>
      <c r="I562" s="551">
        <f t="shared" si="25"/>
        <v>7.3293077180115827E-3</v>
      </c>
      <c r="L562" s="550">
        <v>13943.74</v>
      </c>
      <c r="M562" s="553">
        <f t="shared" si="26"/>
        <v>3.2087306077708587E-3</v>
      </c>
    </row>
    <row r="563" spans="5:13" ht="15.75" thickBot="1">
      <c r="E563" s="552">
        <v>41073</v>
      </c>
      <c r="F563" s="550">
        <v>2385</v>
      </c>
      <c r="G563" s="549">
        <f t="shared" si="24"/>
        <v>-1.6632400049142033E-2</v>
      </c>
      <c r="H563" s="550">
        <v>1653.02</v>
      </c>
      <c r="I563" s="551">
        <f t="shared" si="25"/>
        <v>-2.1452816581472751E-3</v>
      </c>
      <c r="L563" s="556">
        <v>13899.07</v>
      </c>
      <c r="M563" s="553">
        <f t="shared" si="26"/>
        <v>-2.0287069293087827E-4</v>
      </c>
    </row>
    <row r="564" spans="5:13" ht="15.75" thickBot="1">
      <c r="E564" s="557">
        <v>41072</v>
      </c>
      <c r="F564" s="556">
        <v>2425</v>
      </c>
      <c r="G564" s="549">
        <f t="shared" si="24"/>
        <v>-1.6360283105206909E-2</v>
      </c>
      <c r="H564" s="556">
        <v>1656.57</v>
      </c>
      <c r="I564" s="551">
        <f t="shared" si="25"/>
        <v>-9.7735812128345399E-3</v>
      </c>
      <c r="L564" s="550">
        <v>13901.89</v>
      </c>
      <c r="M564" s="553">
        <f t="shared" si="26"/>
        <v>-9.6669116027902485E-3</v>
      </c>
    </row>
    <row r="565" spans="5:13" ht="15.75" thickBot="1">
      <c r="E565" s="552">
        <v>41068</v>
      </c>
      <c r="F565" s="550">
        <v>2465</v>
      </c>
      <c r="G565" s="549">
        <f t="shared" si="24"/>
        <v>1.8424267326058504E-2</v>
      </c>
      <c r="H565" s="550">
        <v>1672.84</v>
      </c>
      <c r="I565" s="551">
        <f t="shared" si="25"/>
        <v>-2.1497165876752113E-3</v>
      </c>
      <c r="L565" s="556">
        <v>14036.93</v>
      </c>
      <c r="M565" s="553">
        <f t="shared" si="26"/>
        <v>-7.974852678182754E-3</v>
      </c>
    </row>
    <row r="566" spans="5:13" ht="15.75" thickBot="1">
      <c r="E566" s="557">
        <v>41067</v>
      </c>
      <c r="F566" s="556">
        <v>2420</v>
      </c>
      <c r="G566" s="549">
        <f t="shared" si="24"/>
        <v>-8.23049913651548E-3</v>
      </c>
      <c r="H566" s="556">
        <v>1676.44</v>
      </c>
      <c r="I566" s="551">
        <f t="shared" si="25"/>
        <v>1.8508683465637602E-3</v>
      </c>
      <c r="L566" s="550">
        <v>14149.32</v>
      </c>
      <c r="M566" s="553">
        <f t="shared" si="26"/>
        <v>3.875530583584209E-3</v>
      </c>
    </row>
    <row r="567" spans="5:13" ht="15.75" thickBot="1">
      <c r="E567" s="552">
        <v>41066</v>
      </c>
      <c r="F567" s="550">
        <v>2440</v>
      </c>
      <c r="G567" s="549">
        <f t="shared" si="24"/>
        <v>2.2798914964806027E-2</v>
      </c>
      <c r="H567" s="550">
        <v>1673.34</v>
      </c>
      <c r="I567" s="551">
        <f t="shared" si="25"/>
        <v>7.6125370998882721E-3</v>
      </c>
      <c r="L567" s="556">
        <v>14094.59</v>
      </c>
      <c r="M567" s="553">
        <f t="shared" si="26"/>
        <v>5.7306380111194107E-3</v>
      </c>
    </row>
    <row r="568" spans="5:13" ht="15.75" thickBot="1">
      <c r="E568" s="557">
        <v>41065</v>
      </c>
      <c r="F568" s="556">
        <v>2385</v>
      </c>
      <c r="G568" s="549">
        <f t="shared" si="24"/>
        <v>-2.0942416031147371E-3</v>
      </c>
      <c r="H568" s="556">
        <v>1660.65</v>
      </c>
      <c r="I568" s="551">
        <f t="shared" si="25"/>
        <v>-2.0392885801875432E-3</v>
      </c>
      <c r="L568" s="550">
        <v>14014.05</v>
      </c>
      <c r="M568" s="553">
        <f t="shared" si="26"/>
        <v>-1.9511352818520264E-3</v>
      </c>
    </row>
    <row r="569" spans="5:13" ht="15.75" thickBot="1">
      <c r="E569" s="552">
        <v>41064</v>
      </c>
      <c r="F569" s="550">
        <v>2390</v>
      </c>
      <c r="G569" s="549">
        <f t="shared" si="24"/>
        <v>-2.8867984000852127E-2</v>
      </c>
      <c r="H569" s="550">
        <v>1664.04</v>
      </c>
      <c r="I569" s="551">
        <f t="shared" si="25"/>
        <v>-9.807283314371338E-3</v>
      </c>
      <c r="L569" s="556">
        <v>14041.42</v>
      </c>
      <c r="M569" s="553">
        <f t="shared" si="26"/>
        <v>-6.2922021760528557E-3</v>
      </c>
    </row>
    <row r="570" spans="5:13" ht="15.75" thickBot="1">
      <c r="E570" s="557">
        <v>41061</v>
      </c>
      <c r="F570" s="556">
        <v>2460</v>
      </c>
      <c r="G570" s="549">
        <f t="shared" si="24"/>
        <v>-3.5932009226063329E-2</v>
      </c>
      <c r="H570" s="556">
        <v>1680.44</v>
      </c>
      <c r="I570" s="551">
        <f t="shared" si="25"/>
        <v>-2.7069533866916125E-2</v>
      </c>
      <c r="L570" s="550">
        <v>14130.05</v>
      </c>
      <c r="M570" s="553">
        <f t="shared" si="26"/>
        <v>-3.1797507106391391E-2</v>
      </c>
    </row>
    <row r="571" spans="5:13" ht="15.75" thickBot="1">
      <c r="E571" s="552">
        <v>41060</v>
      </c>
      <c r="F571" s="550">
        <v>2550</v>
      </c>
      <c r="G571" s="549">
        <f t="shared" si="24"/>
        <v>3.3901551675681416E-2</v>
      </c>
      <c r="H571" s="550">
        <v>1726.55</v>
      </c>
      <c r="I571" s="551">
        <f t="shared" si="25"/>
        <v>1.958765518265556E-2</v>
      </c>
      <c r="L571" s="556">
        <v>14586.57</v>
      </c>
      <c r="M571" s="553">
        <f t="shared" si="26"/>
        <v>1.3201561966068243E-2</v>
      </c>
    </row>
    <row r="572" spans="5:13" ht="15.75" thickBot="1">
      <c r="E572" s="557">
        <v>41059</v>
      </c>
      <c r="F572" s="556">
        <v>2465</v>
      </c>
      <c r="G572" s="549">
        <f t="shared" si="24"/>
        <v>0</v>
      </c>
      <c r="H572" s="556">
        <v>1693.06</v>
      </c>
      <c r="I572" s="551">
        <f t="shared" si="25"/>
        <v>-1.1142258360236001E-2</v>
      </c>
      <c r="L572" s="550">
        <v>14395.27</v>
      </c>
      <c r="M572" s="553">
        <f t="shared" si="26"/>
        <v>-1.6704127796367835E-2</v>
      </c>
    </row>
    <row r="573" spans="5:13" ht="15.75" thickBot="1">
      <c r="E573" s="552">
        <v>41058</v>
      </c>
      <c r="F573" s="550">
        <v>2465</v>
      </c>
      <c r="G573" s="549">
        <f t="shared" si="24"/>
        <v>4.0650462481695935E-3</v>
      </c>
      <c r="H573" s="550">
        <v>1712.03</v>
      </c>
      <c r="I573" s="551">
        <f t="shared" si="25"/>
        <v>6.4105788635567445E-3</v>
      </c>
      <c r="L573" s="556">
        <v>14637.75</v>
      </c>
      <c r="M573" s="553">
        <f t="shared" si="26"/>
        <v>1.3450716598270358E-2</v>
      </c>
    </row>
    <row r="574" spans="5:13" ht="15.75" thickBot="1">
      <c r="E574" s="557">
        <v>41057</v>
      </c>
      <c r="F574" s="556">
        <v>2455</v>
      </c>
      <c r="G574" s="549">
        <f t="shared" si="24"/>
        <v>-1.816397062767118E-2</v>
      </c>
      <c r="H574" s="556">
        <v>1701.09</v>
      </c>
      <c r="I574" s="551">
        <f t="shared" si="25"/>
        <v>-7.1696232048324218E-3</v>
      </c>
      <c r="L574" s="550">
        <v>14442.18</v>
      </c>
      <c r="M574" s="553">
        <f t="shared" si="26"/>
        <v>-2.1849541562783824E-3</v>
      </c>
    </row>
    <row r="575" spans="5:13" ht="15.75" thickBot="1">
      <c r="E575" s="552">
        <v>41054</v>
      </c>
      <c r="F575" s="550">
        <v>2500</v>
      </c>
      <c r="G575" s="549">
        <f t="shared" si="24"/>
        <v>8.0321716972642527E-3</v>
      </c>
      <c r="H575" s="550">
        <v>1713.33</v>
      </c>
      <c r="I575" s="551">
        <f t="shared" si="25"/>
        <v>-3.9319560998567777E-3</v>
      </c>
      <c r="L575" s="556">
        <v>14473.77</v>
      </c>
      <c r="M575" s="553">
        <f t="shared" si="26"/>
        <v>1.2388688335320938E-3</v>
      </c>
    </row>
    <row r="576" spans="5:13" ht="15.75" thickBot="1">
      <c r="E576" s="557">
        <v>41053</v>
      </c>
      <c r="F576" s="556">
        <v>2480</v>
      </c>
      <c r="G576" s="549">
        <f t="shared" si="24"/>
        <v>2.0181641562371953E-3</v>
      </c>
      <c r="H576" s="556">
        <v>1720.08</v>
      </c>
      <c r="I576" s="551">
        <f t="shared" si="25"/>
        <v>-4.2118516064254367E-3</v>
      </c>
      <c r="L576" s="550">
        <v>14455.85</v>
      </c>
      <c r="M576" s="553">
        <f t="shared" si="26"/>
        <v>-4.4216341085728632E-3</v>
      </c>
    </row>
    <row r="577" spans="5:13" ht="15.75" thickBot="1">
      <c r="E577" s="552">
        <v>41052</v>
      </c>
      <c r="F577" s="550">
        <v>2475</v>
      </c>
      <c r="G577" s="549">
        <f t="shared" si="24"/>
        <v>1.0152371464017908E-2</v>
      </c>
      <c r="H577" s="550">
        <v>1727.34</v>
      </c>
      <c r="I577" s="551">
        <f t="shared" si="25"/>
        <v>-3.1386311172645781E-3</v>
      </c>
      <c r="L577" s="556">
        <v>14519.91</v>
      </c>
      <c r="M577" s="553">
        <f t="shared" si="26"/>
        <v>-4.6818893848638646E-3</v>
      </c>
    </row>
    <row r="578" spans="5:13" ht="15.75" thickBot="1">
      <c r="E578" s="557">
        <v>41051</v>
      </c>
      <c r="F578" s="556">
        <v>2450</v>
      </c>
      <c r="G578" s="549">
        <f t="shared" si="24"/>
        <v>1.853812099891106E-2</v>
      </c>
      <c r="H578" s="556">
        <v>1732.77</v>
      </c>
      <c r="I578" s="551">
        <f t="shared" si="25"/>
        <v>1.004584722528072E-2</v>
      </c>
      <c r="L578" s="550">
        <v>14588.05</v>
      </c>
      <c r="M578" s="553">
        <f t="shared" si="26"/>
        <v>1.3427374145829002E-2</v>
      </c>
    </row>
    <row r="579" spans="5:13" ht="15.75" thickBot="1">
      <c r="E579" s="552">
        <v>41047</v>
      </c>
      <c r="F579" s="550">
        <v>2405</v>
      </c>
      <c r="G579" s="549">
        <f t="shared" ref="G579:G642" si="27">+LN(F579/F580)</f>
        <v>1.044941587434114E-2</v>
      </c>
      <c r="H579" s="550">
        <v>1715.45</v>
      </c>
      <c r="I579" s="551">
        <f t="shared" ref="I579:I642" si="28">+LN(H579/H580)</f>
        <v>4.8794124654757054E-3</v>
      </c>
      <c r="L579" s="556">
        <v>14393.48</v>
      </c>
      <c r="M579" s="553">
        <f t="shared" ref="M579:M642" si="29">+LN(L579/L580)</f>
        <v>6.954346694335074E-3</v>
      </c>
    </row>
    <row r="580" spans="5:13" ht="15.75" thickBot="1">
      <c r="E580" s="557">
        <v>41046</v>
      </c>
      <c r="F580" s="556">
        <v>2380</v>
      </c>
      <c r="G580" s="549">
        <f t="shared" si="27"/>
        <v>-2.079076966907378E-2</v>
      </c>
      <c r="H580" s="556">
        <v>1707.1</v>
      </c>
      <c r="I580" s="551">
        <f t="shared" si="28"/>
        <v>-1.751889118929614E-2</v>
      </c>
      <c r="L580" s="550">
        <v>14293.73</v>
      </c>
      <c r="M580" s="553">
        <f t="shared" si="29"/>
        <v>-1.6772265597885156E-2</v>
      </c>
    </row>
    <row r="581" spans="5:13" ht="15.75" thickBot="1">
      <c r="E581" s="552">
        <v>41045</v>
      </c>
      <c r="F581" s="550">
        <v>2430</v>
      </c>
      <c r="G581" s="549">
        <f t="shared" si="27"/>
        <v>2.0790769669073689E-2</v>
      </c>
      <c r="H581" s="550">
        <v>1737.27</v>
      </c>
      <c r="I581" s="551">
        <f t="shared" si="28"/>
        <v>2.0743667657170295E-3</v>
      </c>
      <c r="L581" s="556">
        <v>14535.49</v>
      </c>
      <c r="M581" s="553">
        <f t="shared" si="29"/>
        <v>-3.1377251015632041E-3</v>
      </c>
    </row>
    <row r="582" spans="5:13" ht="15.75" thickBot="1">
      <c r="E582" s="557">
        <v>41044</v>
      </c>
      <c r="F582" s="556">
        <v>2380</v>
      </c>
      <c r="G582" s="549">
        <f t="shared" si="27"/>
        <v>2.10305019677889E-3</v>
      </c>
      <c r="H582" s="556">
        <v>1733.67</v>
      </c>
      <c r="I582" s="551">
        <f t="shared" si="28"/>
        <v>-3.6618056289680102E-3</v>
      </c>
      <c r="L582" s="550">
        <v>14581.17</v>
      </c>
      <c r="M582" s="553">
        <f t="shared" si="29"/>
        <v>-7.160284146118817E-3</v>
      </c>
    </row>
    <row r="583" spans="5:13" ht="15.75" thickBot="1">
      <c r="E583" s="552">
        <v>41043</v>
      </c>
      <c r="F583" s="550">
        <v>2375</v>
      </c>
      <c r="G583" s="549">
        <f t="shared" si="27"/>
        <v>-3.5163912457666896E-2</v>
      </c>
      <c r="H583" s="550">
        <v>1740.03</v>
      </c>
      <c r="I583" s="551">
        <f t="shared" si="28"/>
        <v>-2.0348671158972247E-2</v>
      </c>
      <c r="L583" s="556">
        <v>14685.95</v>
      </c>
      <c r="M583" s="553">
        <f t="shared" si="29"/>
        <v>-2.2328262765013155E-2</v>
      </c>
    </row>
    <row r="584" spans="5:13" ht="15.75" thickBot="1">
      <c r="E584" s="557">
        <v>41040</v>
      </c>
      <c r="F584" s="556">
        <v>2460</v>
      </c>
      <c r="G584" s="549">
        <f t="shared" si="27"/>
        <v>-1.4127379259210565E-2</v>
      </c>
      <c r="H584" s="556">
        <v>1775.8</v>
      </c>
      <c r="I584" s="551">
        <f t="shared" si="28"/>
        <v>-2.0982588780803731E-3</v>
      </c>
      <c r="L584" s="550">
        <v>15017.55</v>
      </c>
      <c r="M584" s="553">
        <f t="shared" si="29"/>
        <v>-2.2581368168555372E-3</v>
      </c>
    </row>
    <row r="585" spans="5:13" ht="15.75" thickBot="1">
      <c r="E585" s="552">
        <v>41039</v>
      </c>
      <c r="F585" s="550">
        <v>2495</v>
      </c>
      <c r="G585" s="549">
        <f t="shared" si="27"/>
        <v>4.0160696548899649E-3</v>
      </c>
      <c r="H585" s="550">
        <v>1779.53</v>
      </c>
      <c r="I585" s="551">
        <f t="shared" si="28"/>
        <v>-7.8922148390857833E-3</v>
      </c>
      <c r="L585" s="556">
        <v>15051.5</v>
      </c>
      <c r="M585" s="553">
        <f t="shared" si="29"/>
        <v>-7.819067239472937E-3</v>
      </c>
    </row>
    <row r="586" spans="5:13" ht="15.75" thickBot="1">
      <c r="E586" s="557">
        <v>41038</v>
      </c>
      <c r="F586" s="556">
        <v>2485</v>
      </c>
      <c r="G586" s="549">
        <f t="shared" si="27"/>
        <v>0</v>
      </c>
      <c r="H586" s="556">
        <v>1793.63</v>
      </c>
      <c r="I586" s="551">
        <f t="shared" si="28"/>
        <v>-1.5709959555144258E-3</v>
      </c>
      <c r="L586" s="550">
        <v>15169.65</v>
      </c>
      <c r="M586" s="553">
        <f t="shared" si="29"/>
        <v>-1.1529543257898156E-3</v>
      </c>
    </row>
    <row r="587" spans="5:13" ht="15.75" thickBot="1">
      <c r="E587" s="552">
        <v>41037</v>
      </c>
      <c r="F587" s="550">
        <v>2485</v>
      </c>
      <c r="G587" s="549">
        <f t="shared" si="27"/>
        <v>-6.0180723255630212E-3</v>
      </c>
      <c r="H587" s="550">
        <v>1796.45</v>
      </c>
      <c r="I587" s="551">
        <f t="shared" si="28"/>
        <v>-3.2733253449690261E-3</v>
      </c>
      <c r="L587" s="556">
        <v>15187.15</v>
      </c>
      <c r="M587" s="553">
        <f t="shared" si="29"/>
        <v>-3.5348964509507646E-3</v>
      </c>
    </row>
    <row r="588" spans="5:13" ht="15.75" thickBot="1">
      <c r="E588" s="557">
        <v>41036</v>
      </c>
      <c r="F588" s="556">
        <v>2500</v>
      </c>
      <c r="G588" s="549">
        <f t="shared" si="27"/>
        <v>4.0080213975388678E-3</v>
      </c>
      <c r="H588" s="556">
        <v>1802.34</v>
      </c>
      <c r="I588" s="551">
        <f t="shared" si="28"/>
        <v>1.715909227962476E-3</v>
      </c>
      <c r="L588" s="550">
        <v>15240.93</v>
      </c>
      <c r="M588" s="553">
        <f t="shared" si="29"/>
        <v>2.1471857892689E-3</v>
      </c>
    </row>
    <row r="589" spans="5:13" ht="15.75" thickBot="1">
      <c r="E589" s="552">
        <v>41033</v>
      </c>
      <c r="F589" s="550">
        <v>2490</v>
      </c>
      <c r="G589" s="549">
        <f t="shared" si="27"/>
        <v>-1.1976191046715649E-2</v>
      </c>
      <c r="H589" s="550">
        <v>1799.25</v>
      </c>
      <c r="I589" s="551">
        <f t="shared" si="28"/>
        <v>-7.1054453507988363E-3</v>
      </c>
      <c r="L589" s="556">
        <v>15208.24</v>
      </c>
      <c r="M589" s="553">
        <f t="shared" si="29"/>
        <v>-1.4071143001193352E-2</v>
      </c>
    </row>
    <row r="590" spans="5:13" ht="15.75" thickBot="1">
      <c r="E590" s="557">
        <v>41032</v>
      </c>
      <c r="F590" s="556">
        <v>2520</v>
      </c>
      <c r="G590" s="549">
        <f t="shared" si="27"/>
        <v>1.197619104671562E-2</v>
      </c>
      <c r="H590" s="556">
        <v>1812.08</v>
      </c>
      <c r="I590" s="551">
        <f t="shared" si="28"/>
        <v>-1.1251448983572541E-3</v>
      </c>
      <c r="L590" s="550">
        <v>15423.75</v>
      </c>
      <c r="M590" s="553">
        <f t="shared" si="29"/>
        <v>-2.4102545218861139E-3</v>
      </c>
    </row>
    <row r="591" spans="5:13" ht="15.75" thickBot="1">
      <c r="E591" s="552">
        <v>41031</v>
      </c>
      <c r="F591" s="550">
        <v>2490</v>
      </c>
      <c r="G591" s="549">
        <f t="shared" si="27"/>
        <v>1.009090298196272E-2</v>
      </c>
      <c r="H591" s="550">
        <v>1814.12</v>
      </c>
      <c r="I591" s="551">
        <f t="shared" si="28"/>
        <v>1.5812406864079882E-2</v>
      </c>
      <c r="L591" s="556">
        <v>15460.97</v>
      </c>
      <c r="M591" s="553">
        <f t="shared" si="29"/>
        <v>1.5985736518756684E-2</v>
      </c>
    </row>
    <row r="592" spans="5:13" ht="15.75" thickBot="1">
      <c r="E592" s="557">
        <v>41029</v>
      </c>
      <c r="F592" s="556">
        <v>2465</v>
      </c>
      <c r="G592" s="549">
        <f t="shared" si="27"/>
        <v>1.0193768189543024E-2</v>
      </c>
      <c r="H592" s="556">
        <v>1785.66</v>
      </c>
      <c r="I592" s="551">
        <f t="shared" si="28"/>
        <v>9.0967253173710686E-3</v>
      </c>
      <c r="L592" s="550">
        <v>15215.78</v>
      </c>
      <c r="M592" s="553">
        <f t="shared" si="29"/>
        <v>5.5867668696691266E-3</v>
      </c>
    </row>
    <row r="593" spans="5:13" ht="15.75" thickBot="1">
      <c r="E593" s="552">
        <v>41026</v>
      </c>
      <c r="F593" s="550">
        <v>2440</v>
      </c>
      <c r="G593" s="549">
        <f t="shared" si="27"/>
        <v>8.2304991365154435E-3</v>
      </c>
      <c r="H593" s="550">
        <v>1769.49</v>
      </c>
      <c r="I593" s="551">
        <f t="shared" si="28"/>
        <v>5.5934928260539182E-3</v>
      </c>
      <c r="L593" s="556">
        <v>15131.01</v>
      </c>
      <c r="M593" s="553">
        <f t="shared" si="29"/>
        <v>2.9791189326278775E-3</v>
      </c>
    </row>
    <row r="594" spans="5:13" ht="15.75" thickBot="1">
      <c r="E594" s="557">
        <v>41025</v>
      </c>
      <c r="F594" s="556">
        <v>2420</v>
      </c>
      <c r="G594" s="549">
        <f t="shared" si="27"/>
        <v>8.2988028146950641E-3</v>
      </c>
      <c r="H594" s="556">
        <v>1759.62</v>
      </c>
      <c r="I594" s="551">
        <f t="shared" si="28"/>
        <v>5.8078560541386919E-3</v>
      </c>
      <c r="L594" s="550">
        <v>15086</v>
      </c>
      <c r="M594" s="553">
        <f t="shared" si="29"/>
        <v>8.5710293121355387E-3</v>
      </c>
    </row>
    <row r="595" spans="5:13" ht="15.75" thickBot="1">
      <c r="E595" s="552">
        <v>41024</v>
      </c>
      <c r="F595" s="550">
        <v>2400</v>
      </c>
      <c r="G595" s="549">
        <f t="shared" si="27"/>
        <v>6.269613013595395E-3</v>
      </c>
      <c r="H595" s="550">
        <v>1749.43</v>
      </c>
      <c r="I595" s="551">
        <f t="shared" si="28"/>
        <v>7.1593190105709919E-3</v>
      </c>
      <c r="L595" s="556">
        <v>14957.25</v>
      </c>
      <c r="M595" s="553">
        <f t="shared" si="29"/>
        <v>8.5318384841204572E-3</v>
      </c>
    </row>
    <row r="596" spans="5:13" ht="15.75" thickBot="1">
      <c r="E596" s="557">
        <v>41023</v>
      </c>
      <c r="F596" s="556">
        <v>2385</v>
      </c>
      <c r="G596" s="549">
        <f t="shared" si="27"/>
        <v>6.3091691932647556E-3</v>
      </c>
      <c r="H596" s="556">
        <v>1736.95</v>
      </c>
      <c r="I596" s="551">
        <f t="shared" si="28"/>
        <v>-5.3628359716030348E-3</v>
      </c>
      <c r="L596" s="550">
        <v>14830.18</v>
      </c>
      <c r="M596" s="553">
        <f t="shared" si="29"/>
        <v>-5.7406697212273134E-3</v>
      </c>
    </row>
    <row r="597" spans="5:13" ht="15.75" thickBot="1">
      <c r="E597" s="552">
        <v>41022</v>
      </c>
      <c r="F597" s="550">
        <v>2370</v>
      </c>
      <c r="G597" s="549">
        <f t="shared" si="27"/>
        <v>-1.2578782206860073E-2</v>
      </c>
      <c r="H597" s="550">
        <v>1746.29</v>
      </c>
      <c r="I597" s="551">
        <f t="shared" si="28"/>
        <v>-4.7245756792250833E-3</v>
      </c>
      <c r="L597" s="556">
        <v>14915.56</v>
      </c>
      <c r="M597" s="553">
        <f t="shared" si="29"/>
        <v>-6.7559540053847749E-3</v>
      </c>
    </row>
    <row r="598" spans="5:13" ht="15.75" thickBot="1">
      <c r="E598" s="557">
        <v>41019</v>
      </c>
      <c r="F598" s="556">
        <v>2400</v>
      </c>
      <c r="G598" s="549">
        <f t="shared" si="27"/>
        <v>2.3183335455657282E-2</v>
      </c>
      <c r="H598" s="556">
        <v>1754.56</v>
      </c>
      <c r="I598" s="551">
        <f t="shared" si="28"/>
        <v>2.2024052767968148E-3</v>
      </c>
      <c r="L598" s="550">
        <v>15016.67</v>
      </c>
      <c r="M598" s="553">
        <f t="shared" si="29"/>
        <v>1.2293899676979268E-3</v>
      </c>
    </row>
    <row r="599" spans="5:13" ht="15.75" thickBot="1">
      <c r="E599" s="552">
        <v>41018</v>
      </c>
      <c r="F599" s="550">
        <v>2345</v>
      </c>
      <c r="G599" s="549">
        <f t="shared" si="27"/>
        <v>1.937627896313868E-2</v>
      </c>
      <c r="H599" s="550">
        <v>1750.7</v>
      </c>
      <c r="I599" s="551">
        <f t="shared" si="28"/>
        <v>-6.9614896225040045E-3</v>
      </c>
      <c r="L599" s="556">
        <v>14998.22</v>
      </c>
      <c r="M599" s="553">
        <f t="shared" si="29"/>
        <v>-8.3163143812974814E-3</v>
      </c>
    </row>
    <row r="600" spans="5:13" ht="15.75" thickBot="1">
      <c r="E600" s="557">
        <v>41017</v>
      </c>
      <c r="F600" s="556">
        <v>2300</v>
      </c>
      <c r="G600" s="549">
        <f t="shared" si="27"/>
        <v>-1.7241806434506103E-2</v>
      </c>
      <c r="H600" s="556">
        <v>1762.93</v>
      </c>
      <c r="I600" s="551">
        <f t="shared" si="28"/>
        <v>-1.4850589950983271E-3</v>
      </c>
      <c r="L600" s="550">
        <v>15123.47</v>
      </c>
      <c r="M600" s="553">
        <f t="shared" si="29"/>
        <v>-3.7744075078064323E-3</v>
      </c>
    </row>
    <row r="601" spans="5:13" ht="15.75" thickBot="1">
      <c r="E601" s="552">
        <v>41016</v>
      </c>
      <c r="F601" s="550">
        <v>2340</v>
      </c>
      <c r="G601" s="549">
        <f t="shared" si="27"/>
        <v>1.2903404835907782E-2</v>
      </c>
      <c r="H601" s="550">
        <v>1765.55</v>
      </c>
      <c r="I601" s="551">
        <f t="shared" si="28"/>
        <v>2.5633914302622351E-3</v>
      </c>
      <c r="L601" s="556">
        <v>15180.66</v>
      </c>
      <c r="M601" s="553">
        <f t="shared" si="29"/>
        <v>2.7757969539495705E-3</v>
      </c>
    </row>
    <row r="602" spans="5:13" ht="15.75" thickBot="1">
      <c r="E602" s="557">
        <v>41015</v>
      </c>
      <c r="F602" s="556">
        <v>2310</v>
      </c>
      <c r="G602" s="549">
        <f t="shared" si="27"/>
        <v>2.1882711249507587E-2</v>
      </c>
      <c r="H602" s="556">
        <v>1761.03</v>
      </c>
      <c r="I602" s="551">
        <f t="shared" si="28"/>
        <v>7.0262104066129592E-3</v>
      </c>
      <c r="L602" s="550">
        <v>15138.58</v>
      </c>
      <c r="M602" s="553">
        <f t="shared" si="29"/>
        <v>4.3400616258688915E-3</v>
      </c>
    </row>
    <row r="603" spans="5:13" ht="15.75" thickBot="1">
      <c r="E603" s="552">
        <v>41012</v>
      </c>
      <c r="F603" s="550">
        <v>2260</v>
      </c>
      <c r="G603" s="549">
        <f t="shared" si="27"/>
        <v>-8.8106296821549197E-3</v>
      </c>
      <c r="H603" s="550">
        <v>1748.7</v>
      </c>
      <c r="I603" s="551">
        <f t="shared" si="28"/>
        <v>-4.3195871979563325E-3</v>
      </c>
      <c r="L603" s="556">
        <v>15073.02</v>
      </c>
      <c r="M603" s="553">
        <f t="shared" si="29"/>
        <v>-2.7799143382780012E-3</v>
      </c>
    </row>
    <row r="604" spans="5:13" ht="15.75" thickBot="1">
      <c r="E604" s="557">
        <v>41011</v>
      </c>
      <c r="F604" s="556">
        <v>2280</v>
      </c>
      <c r="G604" s="549">
        <f t="shared" si="27"/>
        <v>-2.1905813798185863E-3</v>
      </c>
      <c r="H604" s="556">
        <v>1756.27</v>
      </c>
      <c r="I604" s="551">
        <f t="shared" si="28"/>
        <v>4.784007836778099E-4</v>
      </c>
      <c r="L604" s="550">
        <v>15114.98</v>
      </c>
      <c r="M604" s="553">
        <f t="shared" si="29"/>
        <v>5.1605766360348389E-5</v>
      </c>
    </row>
    <row r="605" spans="5:13" ht="15.75" thickBot="1">
      <c r="E605" s="552">
        <v>41010</v>
      </c>
      <c r="F605" s="550">
        <v>2285</v>
      </c>
      <c r="G605" s="549">
        <f t="shared" si="27"/>
        <v>-4.3668191663404025E-3</v>
      </c>
      <c r="H605" s="550">
        <v>1755.43</v>
      </c>
      <c r="I605" s="551">
        <f t="shared" si="28"/>
        <v>9.1276231647621706E-3</v>
      </c>
      <c r="L605" s="556">
        <v>15114.2</v>
      </c>
      <c r="M605" s="553">
        <f t="shared" si="29"/>
        <v>1.6634660965788979E-2</v>
      </c>
    </row>
    <row r="606" spans="5:13" ht="15.75" thickBot="1">
      <c r="E606" s="557">
        <v>41009</v>
      </c>
      <c r="F606" s="556">
        <v>2295</v>
      </c>
      <c r="G606" s="549">
        <f t="shared" si="27"/>
        <v>-6.5146810211936419E-3</v>
      </c>
      <c r="H606" s="556">
        <v>1739.48</v>
      </c>
      <c r="I606" s="551">
        <f t="shared" si="28"/>
        <v>-2.6065753239473363E-3</v>
      </c>
      <c r="L606" s="550">
        <v>14864.86</v>
      </c>
      <c r="M606" s="553">
        <f t="shared" si="29"/>
        <v>-2.383322047653175E-3</v>
      </c>
    </row>
    <row r="607" spans="5:13" ht="15.75" thickBot="1">
      <c r="E607" s="552">
        <v>41008</v>
      </c>
      <c r="F607" s="550">
        <v>2310</v>
      </c>
      <c r="G607" s="549">
        <f t="shared" si="27"/>
        <v>-6.4725145056174788E-3</v>
      </c>
      <c r="H607" s="550">
        <v>1744.02</v>
      </c>
      <c r="I607" s="551">
        <f t="shared" si="28"/>
        <v>6.4240076544143029E-4</v>
      </c>
      <c r="L607" s="556">
        <v>14900.33</v>
      </c>
      <c r="M607" s="553">
        <f t="shared" si="29"/>
        <v>-3.3098791157745769E-3</v>
      </c>
    </row>
    <row r="608" spans="5:13" ht="15.75" thickBot="1">
      <c r="E608" s="557">
        <v>41003</v>
      </c>
      <c r="F608" s="556">
        <v>2325</v>
      </c>
      <c r="G608" s="549">
        <f t="shared" si="27"/>
        <v>8.6393625907078605E-3</v>
      </c>
      <c r="H608" s="556">
        <v>1742.9</v>
      </c>
      <c r="I608" s="551">
        <f t="shared" si="28"/>
        <v>5.9114376558270447E-4</v>
      </c>
      <c r="L608" s="550">
        <v>14949.73</v>
      </c>
      <c r="M608" s="553">
        <f t="shared" si="29"/>
        <v>-3.5922672760590681E-3</v>
      </c>
    </row>
    <row r="609" spans="5:13" ht="15.75" thickBot="1">
      <c r="E609" s="552">
        <v>41002</v>
      </c>
      <c r="F609" s="550">
        <v>2305</v>
      </c>
      <c r="G609" s="549">
        <f t="shared" si="27"/>
        <v>2.1715535135079325E-3</v>
      </c>
      <c r="H609" s="550">
        <v>1741.87</v>
      </c>
      <c r="I609" s="551">
        <f t="shared" si="28"/>
        <v>6.3152516218061361E-5</v>
      </c>
      <c r="L609" s="556">
        <v>15003.53</v>
      </c>
      <c r="M609" s="553">
        <f t="shared" si="29"/>
        <v>-2.3420368175334524E-3</v>
      </c>
    </row>
    <row r="610" spans="5:13" ht="15.75" thickBot="1">
      <c r="E610" s="557">
        <v>41001</v>
      </c>
      <c r="F610" s="556">
        <v>2300</v>
      </c>
      <c r="G610" s="549">
        <f t="shared" si="27"/>
        <v>6.5430985889358868E-3</v>
      </c>
      <c r="H610" s="556">
        <v>1741.76</v>
      </c>
      <c r="I610" s="551">
        <f t="shared" si="28"/>
        <v>-1.0730507515271386E-3</v>
      </c>
      <c r="L610" s="550">
        <v>15038.71</v>
      </c>
      <c r="M610" s="553">
        <f t="shared" si="29"/>
        <v>2.9923226976132487E-5</v>
      </c>
    </row>
    <row r="611" spans="5:13" ht="15.75" thickBot="1">
      <c r="E611" s="552">
        <v>40998</v>
      </c>
      <c r="F611" s="550">
        <v>2285</v>
      </c>
      <c r="G611" s="549">
        <f t="shared" si="27"/>
        <v>-6.5430985889359475E-3</v>
      </c>
      <c r="H611" s="550">
        <v>1743.63</v>
      </c>
      <c r="I611" s="551">
        <f t="shared" si="28"/>
        <v>6.0805148383847613E-3</v>
      </c>
      <c r="L611" s="556">
        <v>15038.26</v>
      </c>
      <c r="M611" s="553">
        <f t="shared" si="29"/>
        <v>-7.7309106235468779E-3</v>
      </c>
    </row>
    <row r="612" spans="5:13" ht="15.75" thickBot="1">
      <c r="E612" s="557">
        <v>40997</v>
      </c>
      <c r="F612" s="556">
        <v>2300</v>
      </c>
      <c r="G612" s="549">
        <f t="shared" si="27"/>
        <v>-4.3384015985981298E-3</v>
      </c>
      <c r="H612" s="556">
        <v>1733.06</v>
      </c>
      <c r="I612" s="551">
        <f t="shared" si="28"/>
        <v>-2.4780874940181154E-3</v>
      </c>
      <c r="L612" s="550">
        <v>15154.97</v>
      </c>
      <c r="M612" s="553">
        <f t="shared" si="29"/>
        <v>9.2888195876992003E-3</v>
      </c>
    </row>
    <row r="613" spans="5:13" ht="15.75" thickBot="1">
      <c r="E613" s="552">
        <v>40996</v>
      </c>
      <c r="F613" s="550">
        <v>2310</v>
      </c>
      <c r="G613" s="549">
        <f t="shared" si="27"/>
        <v>1.9672765598704928E-2</v>
      </c>
      <c r="H613" s="550">
        <v>1737.36</v>
      </c>
      <c r="I613" s="551">
        <f t="shared" si="28"/>
        <v>3.1662239015048095E-4</v>
      </c>
      <c r="L613" s="556">
        <v>15014.85</v>
      </c>
      <c r="M613" s="553">
        <f t="shared" si="29"/>
        <v>3.9271542605359222E-3</v>
      </c>
    </row>
    <row r="614" spans="5:13" ht="15.75" thickBot="1">
      <c r="E614" s="557">
        <v>40995</v>
      </c>
      <c r="F614" s="556">
        <v>2265</v>
      </c>
      <c r="G614" s="549">
        <f t="shared" si="27"/>
        <v>-8.7912654111706578E-3</v>
      </c>
      <c r="H614" s="556">
        <v>1736.81</v>
      </c>
      <c r="I614" s="551">
        <f t="shared" si="28"/>
        <v>-6.3077569305988864E-3</v>
      </c>
      <c r="L614" s="550">
        <v>14956</v>
      </c>
      <c r="M614" s="553">
        <f t="shared" si="29"/>
        <v>-1.021311345767768E-2</v>
      </c>
    </row>
    <row r="615" spans="5:13" ht="15.75" thickBot="1">
      <c r="E615" s="552">
        <v>40994</v>
      </c>
      <c r="F615" s="550">
        <v>2285</v>
      </c>
      <c r="G615" s="549">
        <f t="shared" si="27"/>
        <v>-2.1857932199802082E-3</v>
      </c>
      <c r="H615" s="550">
        <v>1747.8</v>
      </c>
      <c r="I615" s="551">
        <f t="shared" si="28"/>
        <v>8.9482584301919244E-3</v>
      </c>
      <c r="L615" s="556">
        <v>15109.53</v>
      </c>
      <c r="M615" s="553">
        <f t="shared" si="29"/>
        <v>1.0241864873937693E-2</v>
      </c>
    </row>
    <row r="616" spans="5:13" ht="15.75" thickBot="1">
      <c r="E616" s="557">
        <v>40991</v>
      </c>
      <c r="F616" s="556">
        <v>2290</v>
      </c>
      <c r="G616" s="549">
        <f t="shared" si="27"/>
        <v>1.0977058631150994E-2</v>
      </c>
      <c r="H616" s="556">
        <v>1732.23</v>
      </c>
      <c r="I616" s="551">
        <f t="shared" si="28"/>
        <v>1.5211254493382486E-2</v>
      </c>
      <c r="L616" s="550">
        <v>14955.57</v>
      </c>
      <c r="M616" s="553">
        <f t="shared" si="29"/>
        <v>1.899704476811347E-2</v>
      </c>
    </row>
    <row r="617" spans="5:13" ht="15.75" thickBot="1">
      <c r="E617" s="552">
        <v>40990</v>
      </c>
      <c r="F617" s="550">
        <v>2265</v>
      </c>
      <c r="G617" s="549">
        <f t="shared" si="27"/>
        <v>0</v>
      </c>
      <c r="H617" s="550">
        <v>1706.08</v>
      </c>
      <c r="I617" s="551">
        <f t="shared" si="28"/>
        <v>-4.7948261060657997E-3</v>
      </c>
      <c r="L617" s="556">
        <v>14674.14</v>
      </c>
      <c r="M617" s="553">
        <f t="shared" si="29"/>
        <v>-1.0649006019213845E-2</v>
      </c>
    </row>
    <row r="618" spans="5:13" ht="15.75" thickBot="1">
      <c r="E618" s="557">
        <v>40989</v>
      </c>
      <c r="F618" s="556">
        <v>2265</v>
      </c>
      <c r="G618" s="549">
        <f t="shared" si="27"/>
        <v>-4.4052934679163795E-3</v>
      </c>
      <c r="H618" s="556">
        <v>1714.28</v>
      </c>
      <c r="I618" s="551">
        <f t="shared" si="28"/>
        <v>6.0101591000203238E-4</v>
      </c>
      <c r="L618" s="550">
        <v>14831.24</v>
      </c>
      <c r="M618" s="553">
        <f t="shared" si="29"/>
        <v>3.1604905884940349E-3</v>
      </c>
    </row>
    <row r="619" spans="5:13" ht="15.75" thickBot="1">
      <c r="E619" s="552">
        <v>40988</v>
      </c>
      <c r="F619" s="550">
        <v>2275</v>
      </c>
      <c r="G619" s="549">
        <f t="shared" si="27"/>
        <v>0</v>
      </c>
      <c r="H619" s="550">
        <v>1713.25</v>
      </c>
      <c r="I619" s="551">
        <f t="shared" si="28"/>
        <v>4.8270407483159443E-3</v>
      </c>
      <c r="L619" s="556">
        <v>14784.44</v>
      </c>
      <c r="M619" s="553">
        <f t="shared" si="29"/>
        <v>-7.2878259765224388E-3</v>
      </c>
    </row>
    <row r="620" spans="5:13" ht="15.75" thickBot="1">
      <c r="E620" s="557">
        <v>40984</v>
      </c>
      <c r="F620" s="556">
        <v>2275</v>
      </c>
      <c r="G620" s="549">
        <f t="shared" si="27"/>
        <v>-1.9587133275304817E-2</v>
      </c>
      <c r="H620" s="556">
        <v>1705</v>
      </c>
      <c r="I620" s="551">
        <f t="shared" si="28"/>
        <v>-1.9791127028798275E-2</v>
      </c>
      <c r="L620" s="550">
        <v>14892.58</v>
      </c>
      <c r="M620" s="553">
        <f t="shared" si="29"/>
        <v>-2.1378588193032629E-2</v>
      </c>
    </row>
    <row r="621" spans="5:13" ht="15.75" thickBot="1">
      <c r="E621" s="552">
        <v>40983</v>
      </c>
      <c r="F621" s="550">
        <v>2320</v>
      </c>
      <c r="G621" s="549">
        <f t="shared" si="27"/>
        <v>8.6580627431145311E-3</v>
      </c>
      <c r="H621" s="550">
        <v>1739.08</v>
      </c>
      <c r="I621" s="551">
        <f t="shared" si="28"/>
        <v>-8.4491746964534132E-4</v>
      </c>
      <c r="L621" s="556">
        <v>15214.39</v>
      </c>
      <c r="M621" s="553">
        <f t="shared" si="29"/>
        <v>2.9647458140923243E-3</v>
      </c>
    </row>
    <row r="622" spans="5:13" ht="15.75" thickBot="1">
      <c r="E622" s="557">
        <v>40982</v>
      </c>
      <c r="F622" s="556">
        <v>2300</v>
      </c>
      <c r="G622" s="549">
        <f t="shared" si="27"/>
        <v>0</v>
      </c>
      <c r="H622" s="556">
        <v>1740.55</v>
      </c>
      <c r="I622" s="551">
        <f t="shared" si="28"/>
        <v>-3.8305215167869643E-3</v>
      </c>
      <c r="L622" s="550">
        <v>15169.35</v>
      </c>
      <c r="M622" s="553">
        <f t="shared" si="29"/>
        <v>-7.7919163288786824E-3</v>
      </c>
    </row>
    <row r="623" spans="5:13" ht="15.75" thickBot="1">
      <c r="E623" s="552">
        <v>40981</v>
      </c>
      <c r="F623" s="550">
        <v>2300</v>
      </c>
      <c r="G623" s="549">
        <f t="shared" si="27"/>
        <v>8.7336799687546315E-3</v>
      </c>
      <c r="H623" s="550">
        <v>1747.23</v>
      </c>
      <c r="I623" s="551">
        <f t="shared" si="28"/>
        <v>1.6370396365879048E-2</v>
      </c>
      <c r="L623" s="556">
        <v>15288.01</v>
      </c>
      <c r="M623" s="553">
        <f t="shared" si="29"/>
        <v>1.7021322616887952E-2</v>
      </c>
    </row>
    <row r="624" spans="5:13" ht="15.75" thickBot="1">
      <c r="E624" s="557">
        <v>40980</v>
      </c>
      <c r="F624" s="556">
        <v>2280</v>
      </c>
      <c r="G624" s="549">
        <f t="shared" si="27"/>
        <v>-8.7336799687545534E-3</v>
      </c>
      <c r="H624" s="556">
        <v>1718.86</v>
      </c>
      <c r="I624" s="551">
        <f t="shared" si="28"/>
        <v>-3.345455976044721E-3</v>
      </c>
      <c r="L624" s="550">
        <v>15029.99</v>
      </c>
      <c r="M624" s="553">
        <f t="shared" si="29"/>
        <v>-6.8107252928823012E-4</v>
      </c>
    </row>
    <row r="625" spans="5:13" ht="15.75" thickBot="1">
      <c r="E625" s="552">
        <v>40977</v>
      </c>
      <c r="F625" s="550">
        <v>2300</v>
      </c>
      <c r="G625" s="549">
        <f t="shared" si="27"/>
        <v>4.3573053689556262E-3</v>
      </c>
      <c r="H625" s="550">
        <v>1724.62</v>
      </c>
      <c r="I625" s="551">
        <f t="shared" si="28"/>
        <v>-6.9578124665793019E-5</v>
      </c>
      <c r="L625" s="556">
        <v>15040.23</v>
      </c>
      <c r="M625" s="553">
        <f t="shared" si="29"/>
        <v>4.4593280829495346E-3</v>
      </c>
    </row>
    <row r="626" spans="5:13" ht="15.75" thickBot="1">
      <c r="E626" s="557">
        <v>40976</v>
      </c>
      <c r="F626" s="556">
        <v>2290</v>
      </c>
      <c r="G626" s="549">
        <f t="shared" si="27"/>
        <v>8.7719860728370409E-3</v>
      </c>
      <c r="H626" s="556">
        <v>1724.74</v>
      </c>
      <c r="I626" s="551">
        <f t="shared" si="28"/>
        <v>7.0694699677256497E-3</v>
      </c>
      <c r="L626" s="550">
        <v>14973.31</v>
      </c>
      <c r="M626" s="553">
        <f t="shared" si="29"/>
        <v>9.7756018575452693E-3</v>
      </c>
    </row>
    <row r="627" spans="5:13" ht="15.75" thickBot="1">
      <c r="E627" s="552">
        <v>40975</v>
      </c>
      <c r="F627" s="550">
        <v>2270</v>
      </c>
      <c r="G627" s="549">
        <f t="shared" si="27"/>
        <v>4.4150182091166933E-3</v>
      </c>
      <c r="H627" s="550">
        <v>1712.59</v>
      </c>
      <c r="I627" s="551">
        <f t="shared" si="28"/>
        <v>2.7715750220688941E-3</v>
      </c>
      <c r="L627" s="556">
        <v>14827.65</v>
      </c>
      <c r="M627" s="553">
        <f t="shared" si="29"/>
        <v>1.8550138268738313E-3</v>
      </c>
    </row>
    <row r="628" spans="5:13" ht="15.75" thickBot="1">
      <c r="E628" s="557">
        <v>40974</v>
      </c>
      <c r="F628" s="556">
        <v>2260</v>
      </c>
      <c r="G628" s="549">
        <f t="shared" si="27"/>
        <v>-2.1882711249507709E-2</v>
      </c>
      <c r="H628" s="556">
        <v>1707.85</v>
      </c>
      <c r="I628" s="551">
        <f t="shared" si="28"/>
        <v>-1.5916225741808405E-2</v>
      </c>
      <c r="L628" s="550">
        <v>14800.17</v>
      </c>
      <c r="M628" s="553">
        <f t="shared" si="29"/>
        <v>-2.3531487341765044E-2</v>
      </c>
    </row>
    <row r="629" spans="5:13" ht="15.75" thickBot="1">
      <c r="E629" s="552">
        <v>40973</v>
      </c>
      <c r="F629" s="550">
        <v>2310</v>
      </c>
      <c r="G629" s="549">
        <f t="shared" si="27"/>
        <v>0</v>
      </c>
      <c r="H629" s="550">
        <v>1735.25</v>
      </c>
      <c r="I629" s="551">
        <f t="shared" si="28"/>
        <v>-2.6991346357169658E-3</v>
      </c>
      <c r="L629" s="556">
        <v>15152.57</v>
      </c>
      <c r="M629" s="553">
        <f t="shared" si="29"/>
        <v>-3.7540229837966558E-3</v>
      </c>
    </row>
    <row r="630" spans="5:13" ht="15.75" thickBot="1">
      <c r="E630" s="557">
        <v>40970</v>
      </c>
      <c r="F630" s="556">
        <v>2310</v>
      </c>
      <c r="G630" s="549">
        <f t="shared" si="27"/>
        <v>-4.3196611445163961E-3</v>
      </c>
      <c r="H630" s="556">
        <v>1739.94</v>
      </c>
      <c r="I630" s="551">
        <f t="shared" si="28"/>
        <v>-4.0223181736256052E-4</v>
      </c>
      <c r="L630" s="550">
        <v>15209.56</v>
      </c>
      <c r="M630" s="553">
        <f t="shared" si="29"/>
        <v>2.6215233928933612E-3</v>
      </c>
    </row>
    <row r="631" spans="5:13" ht="15.75" thickBot="1">
      <c r="E631" s="552">
        <v>40969</v>
      </c>
      <c r="F631" s="550">
        <v>2320</v>
      </c>
      <c r="G631" s="549">
        <f t="shared" si="27"/>
        <v>1.5201161332050557E-2</v>
      </c>
      <c r="H631" s="550">
        <v>1740.64</v>
      </c>
      <c r="I631" s="551">
        <f t="shared" si="28"/>
        <v>5.8655925712547269E-3</v>
      </c>
      <c r="L631" s="556">
        <v>15169.74</v>
      </c>
      <c r="M631" s="553">
        <f t="shared" si="29"/>
        <v>1.5741848627360406E-2</v>
      </c>
    </row>
    <row r="632" spans="5:13" ht="15.75" thickBot="1">
      <c r="E632" s="557">
        <v>40968</v>
      </c>
      <c r="F632" s="556">
        <v>2285</v>
      </c>
      <c r="G632" s="549">
        <f t="shared" si="27"/>
        <v>-4.3668191663404025E-3</v>
      </c>
      <c r="H632" s="556">
        <v>1730.46</v>
      </c>
      <c r="I632" s="551">
        <f t="shared" si="28"/>
        <v>1.8459263171603763E-2</v>
      </c>
      <c r="L632" s="550">
        <v>14932.81</v>
      </c>
      <c r="M632" s="553">
        <f t="shared" si="29"/>
        <v>1.3878261751869604E-2</v>
      </c>
    </row>
    <row r="633" spans="5:13" ht="15.75" thickBot="1">
      <c r="E633" s="552">
        <v>40967</v>
      </c>
      <c r="F633" s="550">
        <v>2295</v>
      </c>
      <c r="G633" s="549">
        <f t="shared" si="27"/>
        <v>6.5574005461590396E-3</v>
      </c>
      <c r="H633" s="550">
        <v>1698.81</v>
      </c>
      <c r="I633" s="551">
        <f t="shared" si="28"/>
        <v>-4.633675494797357E-3</v>
      </c>
      <c r="L633" s="556">
        <v>14727</v>
      </c>
      <c r="M633" s="553">
        <f t="shared" si="29"/>
        <v>-4.9703123721053146E-3</v>
      </c>
    </row>
    <row r="634" spans="5:13" ht="15.75" thickBot="1">
      <c r="E634" s="557">
        <v>40966</v>
      </c>
      <c r="F634" s="556">
        <v>2280</v>
      </c>
      <c r="G634" s="549">
        <f t="shared" si="27"/>
        <v>-8.7336799687545534E-3</v>
      </c>
      <c r="H634" s="556">
        <v>1706.7</v>
      </c>
      <c r="I634" s="551">
        <f t="shared" si="28"/>
        <v>-6.895954876468928E-3</v>
      </c>
      <c r="L634" s="550">
        <v>14800.38</v>
      </c>
      <c r="M634" s="553">
        <f t="shared" si="29"/>
        <v>-1.034602778236442E-2</v>
      </c>
    </row>
    <row r="635" spans="5:13" ht="15.75" thickBot="1">
      <c r="E635" s="552">
        <v>40963</v>
      </c>
      <c r="F635" s="550">
        <v>2300</v>
      </c>
      <c r="G635" s="549">
        <f t="shared" si="27"/>
        <v>0</v>
      </c>
      <c r="H635" s="550">
        <v>1718.51</v>
      </c>
      <c r="I635" s="551">
        <f t="shared" si="28"/>
        <v>-1.1631221833403546E-3</v>
      </c>
      <c r="L635" s="556">
        <v>14954.3</v>
      </c>
      <c r="M635" s="553">
        <f t="shared" si="29"/>
        <v>2.1656006120570818E-3</v>
      </c>
    </row>
    <row r="636" spans="5:13" ht="15.75" thickBot="1">
      <c r="E636" s="557">
        <v>40962</v>
      </c>
      <c r="F636" s="556">
        <v>2300</v>
      </c>
      <c r="G636" s="549">
        <f t="shared" si="27"/>
        <v>0</v>
      </c>
      <c r="H636" s="556">
        <v>1720.51</v>
      </c>
      <c r="I636" s="551">
        <f t="shared" si="28"/>
        <v>1.0059083591602036E-2</v>
      </c>
      <c r="L636" s="550">
        <v>14921.95</v>
      </c>
      <c r="M636" s="553">
        <f t="shared" si="29"/>
        <v>2.4139804845225873E-2</v>
      </c>
    </row>
    <row r="637" spans="5:13" ht="15.75" thickBot="1">
      <c r="E637" s="552">
        <v>40961</v>
      </c>
      <c r="F637" s="550">
        <v>2300</v>
      </c>
      <c r="G637" s="549">
        <f t="shared" si="27"/>
        <v>1.7544309650909525E-2</v>
      </c>
      <c r="H637" s="550">
        <v>1703.29</v>
      </c>
      <c r="I637" s="551">
        <f t="shared" si="28"/>
        <v>1.8040204568853329E-3</v>
      </c>
      <c r="L637" s="556">
        <v>14566.05</v>
      </c>
      <c r="M637" s="553">
        <f t="shared" si="29"/>
        <v>-3.342832178741239E-4</v>
      </c>
    </row>
    <row r="638" spans="5:13" ht="15.75" thickBot="1">
      <c r="E638" s="557">
        <v>40960</v>
      </c>
      <c r="F638" s="556">
        <v>2260</v>
      </c>
      <c r="G638" s="549">
        <f t="shared" si="27"/>
        <v>-2.6202372394024072E-2</v>
      </c>
      <c r="H638" s="556">
        <v>1700.22</v>
      </c>
      <c r="I638" s="551">
        <f t="shared" si="28"/>
        <v>-8.2238461662896088E-3</v>
      </c>
      <c r="L638" s="550">
        <v>14570.92</v>
      </c>
      <c r="M638" s="553">
        <f t="shared" si="29"/>
        <v>-5.1948026533015761E-3</v>
      </c>
    </row>
    <row r="639" spans="5:13" ht="15.75" thickBot="1">
      <c r="E639" s="552">
        <v>40959</v>
      </c>
      <c r="F639" s="550">
        <v>2320</v>
      </c>
      <c r="G639" s="549">
        <f t="shared" si="27"/>
        <v>1.5201161332050557E-2</v>
      </c>
      <c r="H639" s="550">
        <v>1714.26</v>
      </c>
      <c r="I639" s="551">
        <f t="shared" si="28"/>
        <v>2.0437843973510859E-3</v>
      </c>
      <c r="L639" s="556">
        <v>14646.81</v>
      </c>
      <c r="M639" s="553">
        <f t="shared" si="29"/>
        <v>4.9992267175763584E-3</v>
      </c>
    </row>
    <row r="640" spans="5:13" ht="15.75" thickBot="1">
      <c r="E640" s="557">
        <v>40956</v>
      </c>
      <c r="F640" s="556">
        <v>2285</v>
      </c>
      <c r="G640" s="549">
        <f t="shared" si="27"/>
        <v>-2.1857932199802082E-3</v>
      </c>
      <c r="H640" s="556">
        <v>1710.76</v>
      </c>
      <c r="I640" s="551">
        <f t="shared" si="28"/>
        <v>1.2818840544260688E-2</v>
      </c>
      <c r="L640" s="550">
        <v>14573.77</v>
      </c>
      <c r="M640" s="553">
        <f t="shared" si="29"/>
        <v>3.5882073216705586E-3</v>
      </c>
    </row>
    <row r="641" spans="5:13" ht="15.75" thickBot="1">
      <c r="E641" s="552">
        <v>40955</v>
      </c>
      <c r="F641" s="550">
        <v>2290</v>
      </c>
      <c r="G641" s="549">
        <f t="shared" si="27"/>
        <v>3.1044621681960108E-2</v>
      </c>
      <c r="H641" s="550">
        <v>1688.97</v>
      </c>
      <c r="I641" s="551">
        <f t="shared" si="28"/>
        <v>7.0169889210993149E-3</v>
      </c>
      <c r="L641" s="556">
        <v>14521.57</v>
      </c>
      <c r="M641" s="553">
        <f t="shared" si="29"/>
        <v>1.7077740138816539E-2</v>
      </c>
    </row>
    <row r="642" spans="5:13" ht="15.75" thickBot="1">
      <c r="E642" s="557">
        <v>40954</v>
      </c>
      <c r="F642" s="556">
        <v>2220</v>
      </c>
      <c r="G642" s="549">
        <f t="shared" si="27"/>
        <v>2.9716472328476871E-2</v>
      </c>
      <c r="H642" s="556">
        <v>1677.16</v>
      </c>
      <c r="I642" s="551">
        <f t="shared" si="28"/>
        <v>5.0809776297362037E-3</v>
      </c>
      <c r="L642" s="550">
        <v>14275.68</v>
      </c>
      <c r="M642" s="553">
        <f t="shared" si="29"/>
        <v>3.8692885887757914E-3</v>
      </c>
    </row>
    <row r="643" spans="5:13" ht="15.75" thickBot="1">
      <c r="E643" s="552">
        <v>40953</v>
      </c>
      <c r="F643" s="550">
        <v>2155</v>
      </c>
      <c r="G643" s="549">
        <f t="shared" ref="G643:G706" si="30">+LN(F643/F644)</f>
        <v>-2.3174981403624789E-3</v>
      </c>
      <c r="H643" s="550">
        <v>1668.66</v>
      </c>
      <c r="I643" s="551">
        <f t="shared" ref="I643:I706" si="31">+LN(H643/H644)</f>
        <v>-1.3654331981299902E-3</v>
      </c>
      <c r="L643" s="556">
        <v>14220.55</v>
      </c>
      <c r="M643" s="553">
        <f t="shared" ref="M643:M706" si="32">+LN(L643/L644)</f>
        <v>4.342581106902178E-3</v>
      </c>
    </row>
    <row r="644" spans="5:13" ht="15.75" thickBot="1">
      <c r="E644" s="557">
        <v>40952</v>
      </c>
      <c r="F644" s="556">
        <v>2160</v>
      </c>
      <c r="G644" s="549">
        <f t="shared" si="30"/>
        <v>2.3174981403624824E-3</v>
      </c>
      <c r="H644" s="556">
        <v>1670.94</v>
      </c>
      <c r="I644" s="551">
        <f t="shared" si="31"/>
        <v>8.2086380724792993E-3</v>
      </c>
      <c r="L644" s="550">
        <v>14158.93</v>
      </c>
      <c r="M644" s="553">
        <f t="shared" si="32"/>
        <v>5.2372490380309467E-3</v>
      </c>
    </row>
    <row r="645" spans="5:13" ht="15.75" thickBot="1">
      <c r="E645" s="552">
        <v>40949</v>
      </c>
      <c r="F645" s="550">
        <v>2155</v>
      </c>
      <c r="G645" s="549">
        <f t="shared" si="30"/>
        <v>2.3228814161397287E-3</v>
      </c>
      <c r="H645" s="550">
        <v>1657.28</v>
      </c>
      <c r="I645" s="551">
        <f t="shared" si="31"/>
        <v>-8.3837215966197363E-4</v>
      </c>
      <c r="L645" s="556">
        <v>14084.97</v>
      </c>
      <c r="M645" s="553">
        <f t="shared" si="32"/>
        <v>-1.861954227417679E-3</v>
      </c>
    </row>
    <row r="646" spans="5:13" ht="15.75" thickBot="1">
      <c r="E646" s="557">
        <v>40948</v>
      </c>
      <c r="F646" s="556">
        <v>2150</v>
      </c>
      <c r="G646" s="549">
        <f t="shared" si="30"/>
        <v>-2.3228814161396385E-3</v>
      </c>
      <c r="H646" s="556">
        <v>1658.67</v>
      </c>
      <c r="I646" s="551">
        <f t="shared" si="31"/>
        <v>1.9552825999487487E-3</v>
      </c>
      <c r="L646" s="550">
        <v>14111.22</v>
      </c>
      <c r="M646" s="553">
        <f t="shared" si="32"/>
        <v>4.1357526940993452E-3</v>
      </c>
    </row>
    <row r="647" spans="5:13" ht="15.75" thickBot="1">
      <c r="E647" s="552">
        <v>40947</v>
      </c>
      <c r="F647" s="550">
        <v>2155</v>
      </c>
      <c r="G647" s="549">
        <f t="shared" si="30"/>
        <v>-1.3825104991842318E-2</v>
      </c>
      <c r="H647" s="550">
        <v>1655.43</v>
      </c>
      <c r="I647" s="551">
        <f t="shared" si="31"/>
        <v>3.4612789235439461E-3</v>
      </c>
      <c r="L647" s="556">
        <v>14052.98</v>
      </c>
      <c r="M647" s="553">
        <f t="shared" si="32"/>
        <v>2.4187805969031325E-3</v>
      </c>
    </row>
    <row r="648" spans="5:13" ht="15.75" thickBot="1">
      <c r="E648" s="557">
        <v>40946</v>
      </c>
      <c r="F648" s="556">
        <v>2185</v>
      </c>
      <c r="G648" s="549">
        <f t="shared" si="30"/>
        <v>1.6147986407981939E-2</v>
      </c>
      <c r="H648" s="556">
        <v>1649.71</v>
      </c>
      <c r="I648" s="551">
        <f t="shared" si="31"/>
        <v>4.5931560219188931E-3</v>
      </c>
      <c r="L648" s="550">
        <v>14019.03</v>
      </c>
      <c r="M648" s="553">
        <f t="shared" si="32"/>
        <v>5.6432440134765293E-3</v>
      </c>
    </row>
    <row r="649" spans="5:13" ht="15.75" thickBot="1">
      <c r="E649" s="552">
        <v>40945</v>
      </c>
      <c r="F649" s="550">
        <v>2150</v>
      </c>
      <c r="G649" s="549">
        <f t="shared" si="30"/>
        <v>0</v>
      </c>
      <c r="H649" s="550">
        <v>1642.15</v>
      </c>
      <c r="I649" s="551">
        <f t="shared" si="31"/>
        <v>-7.7916231822485675E-4</v>
      </c>
      <c r="L649" s="556">
        <v>13940.14</v>
      </c>
      <c r="M649" s="553">
        <f t="shared" si="32"/>
        <v>-1.0353214722959741E-3</v>
      </c>
    </row>
    <row r="650" spans="5:13" ht="15.75" thickBot="1">
      <c r="E650" s="557">
        <v>40942</v>
      </c>
      <c r="F650" s="556">
        <v>2150</v>
      </c>
      <c r="G650" s="549">
        <f t="shared" si="30"/>
        <v>-4.6403795565022254E-3</v>
      </c>
      <c r="H650" s="556">
        <v>1643.43</v>
      </c>
      <c r="I650" s="551">
        <f t="shared" si="31"/>
        <v>4.2602917118309301E-4</v>
      </c>
      <c r="L650" s="550">
        <v>13954.58</v>
      </c>
      <c r="M650" s="553">
        <f t="shared" si="32"/>
        <v>2.6082781468940832E-3</v>
      </c>
    </row>
    <row r="651" spans="5:13" ht="15.75" thickBot="1">
      <c r="E651" s="552">
        <v>40941</v>
      </c>
      <c r="F651" s="550">
        <v>2160</v>
      </c>
      <c r="G651" s="549">
        <f t="shared" si="30"/>
        <v>2.3174981403624824E-3</v>
      </c>
      <c r="H651" s="550">
        <v>1642.73</v>
      </c>
      <c r="I651" s="551">
        <f t="shared" si="31"/>
        <v>5.3284955768705166E-3</v>
      </c>
      <c r="L651" s="556">
        <v>13918.23</v>
      </c>
      <c r="M651" s="553">
        <f t="shared" si="32"/>
        <v>3.4279994258398644E-3</v>
      </c>
    </row>
    <row r="652" spans="5:13" ht="15.75" thickBot="1">
      <c r="E652" s="557">
        <v>40940</v>
      </c>
      <c r="F652" s="556">
        <v>2155</v>
      </c>
      <c r="G652" s="549">
        <f t="shared" si="30"/>
        <v>3.3021868304946349E-2</v>
      </c>
      <c r="H652" s="556">
        <v>1634</v>
      </c>
      <c r="I652" s="551">
        <f t="shared" si="31"/>
        <v>2.3258518537238522E-4</v>
      </c>
      <c r="L652" s="550">
        <v>13870.6</v>
      </c>
      <c r="M652" s="553">
        <f t="shared" si="32"/>
        <v>5.2426757884773941E-4</v>
      </c>
    </row>
    <row r="653" spans="5:13" ht="15.75" thickBot="1">
      <c r="E653" s="552">
        <v>40939</v>
      </c>
      <c r="F653" s="550">
        <v>2085</v>
      </c>
      <c r="G653" s="549">
        <f t="shared" si="30"/>
        <v>1.2062872449275163E-2</v>
      </c>
      <c r="H653" s="550">
        <v>1633.62</v>
      </c>
      <c r="I653" s="551">
        <f t="shared" si="31"/>
        <v>1.3446844344164998E-2</v>
      </c>
      <c r="L653" s="556">
        <v>13863.33</v>
      </c>
      <c r="M653" s="553">
        <f t="shared" si="32"/>
        <v>6.979337956806695E-3</v>
      </c>
    </row>
    <row r="654" spans="5:13" ht="15.75" thickBot="1">
      <c r="E654" s="557">
        <v>40938</v>
      </c>
      <c r="F654" s="556">
        <v>2060</v>
      </c>
      <c r="G654" s="549">
        <f t="shared" si="30"/>
        <v>0</v>
      </c>
      <c r="H654" s="556">
        <v>1611.8</v>
      </c>
      <c r="I654" s="551">
        <f t="shared" si="31"/>
        <v>9.9951885412295285E-3</v>
      </c>
      <c r="L654" s="550">
        <v>13766.91</v>
      </c>
      <c r="M654" s="553">
        <f t="shared" si="32"/>
        <v>1.2560659664462119E-2</v>
      </c>
    </row>
    <row r="655" spans="5:13" ht="15.75" thickBot="1">
      <c r="E655" s="552">
        <v>40935</v>
      </c>
      <c r="F655" s="550">
        <v>2060</v>
      </c>
      <c r="G655" s="549">
        <f t="shared" si="30"/>
        <v>-2.4242436115063915E-3</v>
      </c>
      <c r="H655" s="550">
        <v>1595.77</v>
      </c>
      <c r="I655" s="551">
        <f t="shared" si="31"/>
        <v>-3.4406860257586991E-3</v>
      </c>
      <c r="L655" s="556">
        <v>13595.07</v>
      </c>
      <c r="M655" s="553">
        <f t="shared" si="32"/>
        <v>9.4048877021262378E-4</v>
      </c>
    </row>
    <row r="656" spans="5:13" ht="15.75" thickBot="1">
      <c r="E656" s="557">
        <v>40934</v>
      </c>
      <c r="F656" s="556">
        <v>2065</v>
      </c>
      <c r="G656" s="549">
        <f t="shared" si="30"/>
        <v>2.4242436115064756E-3</v>
      </c>
      <c r="H656" s="556">
        <v>1601.27</v>
      </c>
      <c r="I656" s="551">
        <f t="shared" si="31"/>
        <v>-9.1136086208099736E-4</v>
      </c>
      <c r="L656" s="550">
        <v>13582.29</v>
      </c>
      <c r="M656" s="553">
        <f t="shared" si="32"/>
        <v>-5.2818931080045803E-3</v>
      </c>
    </row>
    <row r="657" spans="5:13" ht="15.75" thickBot="1">
      <c r="E657" s="552">
        <v>40933</v>
      </c>
      <c r="F657" s="550">
        <v>2060</v>
      </c>
      <c r="G657" s="549">
        <f t="shared" si="30"/>
        <v>0</v>
      </c>
      <c r="H657" s="550">
        <v>1602.73</v>
      </c>
      <c r="I657" s="551">
        <f t="shared" si="31"/>
        <v>-1.5960003637173353E-3</v>
      </c>
      <c r="L657" s="556">
        <v>13654.22</v>
      </c>
      <c r="M657" s="553">
        <f t="shared" si="32"/>
        <v>8.1677469163596861E-3</v>
      </c>
    </row>
    <row r="658" spans="5:13" ht="15.75" thickBot="1">
      <c r="E658" s="557">
        <v>40932</v>
      </c>
      <c r="F658" s="556">
        <v>2060</v>
      </c>
      <c r="G658" s="549">
        <f t="shared" si="30"/>
        <v>0</v>
      </c>
      <c r="H658" s="556">
        <v>1605.29</v>
      </c>
      <c r="I658" s="551">
        <f t="shared" si="31"/>
        <v>-2.8800627022153714E-3</v>
      </c>
      <c r="L658" s="550">
        <v>13543.15</v>
      </c>
      <c r="M658" s="553">
        <f t="shared" si="32"/>
        <v>-2.7003008711161164E-3</v>
      </c>
    </row>
    <row r="659" spans="5:13" ht="15.75" thickBot="1">
      <c r="E659" s="552">
        <v>40931</v>
      </c>
      <c r="F659" s="550">
        <v>2060</v>
      </c>
      <c r="G659" s="549">
        <f t="shared" si="30"/>
        <v>2.4301348532918907E-3</v>
      </c>
      <c r="H659" s="550">
        <v>1609.92</v>
      </c>
      <c r="I659" s="551">
        <f t="shared" si="31"/>
        <v>1.6536224930780348E-3</v>
      </c>
      <c r="L659" s="556">
        <v>13579.77</v>
      </c>
      <c r="M659" s="553">
        <f t="shared" si="32"/>
        <v>5.9226114662353172E-3</v>
      </c>
    </row>
    <row r="660" spans="5:13" ht="15.75" thickBot="1">
      <c r="E660" s="557">
        <v>40928</v>
      </c>
      <c r="F660" s="556">
        <v>2055</v>
      </c>
      <c r="G660" s="549">
        <f t="shared" si="30"/>
        <v>-1.6888218028521741E-2</v>
      </c>
      <c r="H660" s="556">
        <v>1607.26</v>
      </c>
      <c r="I660" s="551">
        <f t="shared" si="31"/>
        <v>4.7919098544339323E-4</v>
      </c>
      <c r="L660" s="550">
        <v>13499.58</v>
      </c>
      <c r="M660" s="553">
        <f t="shared" si="32"/>
        <v>1.704467725840863E-3</v>
      </c>
    </row>
    <row r="661" spans="5:13" ht="15.75" thickBot="1">
      <c r="E661" s="552">
        <v>40927</v>
      </c>
      <c r="F661" s="550">
        <v>2090</v>
      </c>
      <c r="G661" s="549">
        <f t="shared" si="30"/>
        <v>-4.7732787526576599E-3</v>
      </c>
      <c r="H661" s="550">
        <v>1606.49</v>
      </c>
      <c r="I661" s="551">
        <f t="shared" si="31"/>
        <v>-4.4594131339259291E-3</v>
      </c>
      <c r="L661" s="556">
        <v>13476.59</v>
      </c>
      <c r="M661" s="553">
        <f t="shared" si="32"/>
        <v>6.420598390215823E-4</v>
      </c>
    </row>
    <row r="662" spans="5:13" ht="15.75" thickBot="1">
      <c r="E662" s="557">
        <v>40926</v>
      </c>
      <c r="F662" s="556">
        <v>2100</v>
      </c>
      <c r="G662" s="549">
        <f t="shared" si="30"/>
        <v>9.5694510161506725E-3</v>
      </c>
      <c r="H662" s="556">
        <v>1613.67</v>
      </c>
      <c r="I662" s="551">
        <f t="shared" si="31"/>
        <v>9.7895302330420139E-3</v>
      </c>
      <c r="L662" s="550">
        <v>13467.94</v>
      </c>
      <c r="M662" s="553">
        <f t="shared" si="32"/>
        <v>1.3170008968620542E-2</v>
      </c>
    </row>
    <row r="663" spans="5:13" ht="15.75" thickBot="1">
      <c r="E663" s="552">
        <v>40925</v>
      </c>
      <c r="F663" s="550">
        <v>2080</v>
      </c>
      <c r="G663" s="549">
        <f t="shared" si="30"/>
        <v>7.2376673002306031E-3</v>
      </c>
      <c r="H663" s="550">
        <v>1597.95</v>
      </c>
      <c r="I663" s="551">
        <f t="shared" si="31"/>
        <v>1.24239280536178E-2</v>
      </c>
      <c r="L663" s="556">
        <v>13291.73</v>
      </c>
      <c r="M663" s="553">
        <f t="shared" si="32"/>
        <v>1.6003411414389601E-2</v>
      </c>
    </row>
    <row r="664" spans="5:13" ht="15.75" thickBot="1">
      <c r="E664" s="557">
        <v>40924</v>
      </c>
      <c r="F664" s="556">
        <v>2065</v>
      </c>
      <c r="G664" s="549">
        <f t="shared" si="30"/>
        <v>-2.4183808642816379E-3</v>
      </c>
      <c r="H664" s="556">
        <v>1578.22</v>
      </c>
      <c r="I664" s="551">
        <f t="shared" si="31"/>
        <v>-9.2084005037249422E-3</v>
      </c>
      <c r="L664" s="550">
        <v>13080.71</v>
      </c>
      <c r="M664" s="553">
        <f t="shared" si="32"/>
        <v>-3.2933216610908484E-3</v>
      </c>
    </row>
    <row r="665" spans="5:13" ht="15.75" thickBot="1">
      <c r="E665" s="552">
        <v>40921</v>
      </c>
      <c r="F665" s="550">
        <v>2070</v>
      </c>
      <c r="G665" s="549">
        <f t="shared" si="30"/>
        <v>2.4183808642816527E-3</v>
      </c>
      <c r="H665" s="550">
        <v>1592.82</v>
      </c>
      <c r="I665" s="551">
        <f t="shared" si="31"/>
        <v>4.4107123915642322E-3</v>
      </c>
      <c r="L665" s="556">
        <v>13123.86</v>
      </c>
      <c r="M665" s="553">
        <f t="shared" si="32"/>
        <v>3.3804766915967693E-3</v>
      </c>
    </row>
    <row r="666" spans="5:13" ht="15.75" thickBot="1">
      <c r="E666" s="557">
        <v>40920</v>
      </c>
      <c r="F666" s="556">
        <v>2065</v>
      </c>
      <c r="G666" s="549">
        <f t="shared" si="30"/>
        <v>2.4242436115064756E-3</v>
      </c>
      <c r="H666" s="556">
        <v>1585.81</v>
      </c>
      <c r="I666" s="551">
        <f t="shared" si="31"/>
        <v>-1.5101593419469209E-2</v>
      </c>
      <c r="L666" s="550">
        <v>13079.57</v>
      </c>
      <c r="M666" s="553">
        <f t="shared" si="32"/>
        <v>-1.4769324104387761E-2</v>
      </c>
    </row>
    <row r="667" spans="5:13" ht="15.75" thickBot="1">
      <c r="E667" s="552">
        <v>40919</v>
      </c>
      <c r="F667" s="550">
        <v>2060</v>
      </c>
      <c r="G667" s="549">
        <f t="shared" si="30"/>
        <v>-7.2551708811719098E-3</v>
      </c>
      <c r="H667" s="550">
        <v>1609.94</v>
      </c>
      <c r="I667" s="551">
        <f t="shared" si="31"/>
        <v>-5.5376409002428741E-3</v>
      </c>
      <c r="L667" s="556">
        <v>13274.18</v>
      </c>
      <c r="M667" s="553">
        <f t="shared" si="32"/>
        <v>-2.543060324354353E-3</v>
      </c>
    </row>
    <row r="668" spans="5:13" ht="15.75" thickBot="1">
      <c r="E668" s="557">
        <v>40918</v>
      </c>
      <c r="F668" s="556">
        <v>2075</v>
      </c>
      <c r="G668" s="549">
        <f t="shared" si="30"/>
        <v>9.6853057344636791E-3</v>
      </c>
      <c r="H668" s="556">
        <v>1618.88</v>
      </c>
      <c r="I668" s="551">
        <f t="shared" si="31"/>
        <v>1.1924691647654657E-2</v>
      </c>
      <c r="L668" s="550">
        <v>13307.98</v>
      </c>
      <c r="M668" s="553">
        <f t="shared" si="32"/>
        <v>2.8615692940712065E-2</v>
      </c>
    </row>
    <row r="669" spans="5:13" ht="15.75" thickBot="1">
      <c r="E669" s="552">
        <v>40914</v>
      </c>
      <c r="F669" s="550">
        <v>2055</v>
      </c>
      <c r="G669" s="549">
        <f t="shared" si="30"/>
        <v>-7.2727593290798087E-3</v>
      </c>
      <c r="H669" s="550">
        <v>1599.69</v>
      </c>
      <c r="I669" s="551">
        <f t="shared" si="31"/>
        <v>-3.9927933311768894E-3</v>
      </c>
      <c r="L669" s="550">
        <v>12932.56</v>
      </c>
      <c r="M669" s="553">
        <f t="shared" si="32"/>
        <v>-3.0473387568841909E-3</v>
      </c>
    </row>
    <row r="670" spans="5:13" ht="15.75" thickBot="1">
      <c r="E670" s="557">
        <v>40913</v>
      </c>
      <c r="F670" s="556">
        <v>2070</v>
      </c>
      <c r="G670" s="549">
        <f t="shared" si="30"/>
        <v>0</v>
      </c>
      <c r="H670" s="556">
        <v>1606.09</v>
      </c>
      <c r="I670" s="551">
        <f t="shared" si="31"/>
        <v>-2.4279626711076147E-4</v>
      </c>
      <c r="L670" s="556">
        <v>12972.03</v>
      </c>
      <c r="M670" s="553">
        <f t="shared" si="32"/>
        <v>2.8957947864203517E-3</v>
      </c>
    </row>
    <row r="671" spans="5:13" ht="15.75" thickBot="1">
      <c r="E671" s="552">
        <v>40912</v>
      </c>
      <c r="F671" s="550">
        <v>2070</v>
      </c>
      <c r="G671" s="549">
        <f t="shared" si="30"/>
        <v>-4.8192864359488828E-3</v>
      </c>
      <c r="H671" s="550">
        <v>1606.48</v>
      </c>
      <c r="I671" s="551">
        <f t="shared" si="31"/>
        <v>2.8737532829172471E-3</v>
      </c>
      <c r="L671" s="550">
        <v>12934.52</v>
      </c>
      <c r="M671" s="553">
        <f t="shared" si="32"/>
        <v>-1.3458775459856997E-3</v>
      </c>
    </row>
    <row r="672" spans="5:13" ht="15.75" thickBot="1">
      <c r="E672" s="557">
        <v>40911</v>
      </c>
      <c r="F672" s="556">
        <v>2080</v>
      </c>
      <c r="G672" s="549">
        <f t="shared" si="30"/>
        <v>0</v>
      </c>
      <c r="H672" s="556">
        <v>1601.87</v>
      </c>
      <c r="I672" s="551">
        <f t="shared" si="31"/>
        <v>1.5197268187343438E-2</v>
      </c>
      <c r="L672" s="556">
        <v>12951.94</v>
      </c>
      <c r="M672" s="553">
        <f t="shared" si="32"/>
        <v>1.6831013981678536E-2</v>
      </c>
    </row>
    <row r="673" spans="5:13" ht="15.75" thickBot="1">
      <c r="E673" s="552">
        <v>40910</v>
      </c>
      <c r="F673" s="550">
        <v>2080</v>
      </c>
      <c r="G673" s="549">
        <f t="shared" si="30"/>
        <v>0</v>
      </c>
      <c r="H673" s="550">
        <v>1577.71</v>
      </c>
      <c r="I673" s="551">
        <f t="shared" si="31"/>
        <v>3.9120351168597488E-3</v>
      </c>
      <c r="L673" s="550">
        <v>12735.77</v>
      </c>
      <c r="M673" s="553">
        <f t="shared" si="32"/>
        <v>5.5162280035038385E-3</v>
      </c>
    </row>
    <row r="674" spans="5:13" ht="15.75" thickBot="1">
      <c r="E674" s="557">
        <v>40906</v>
      </c>
      <c r="F674" s="556">
        <v>2080</v>
      </c>
      <c r="G674" s="549">
        <f t="shared" si="30"/>
        <v>-2.1403908663153493E-2</v>
      </c>
      <c r="H674" s="556">
        <v>1571.55</v>
      </c>
      <c r="I674" s="551">
        <f t="shared" si="31"/>
        <v>-1.1281609595032544E-2</v>
      </c>
      <c r="L674" s="550">
        <v>12665.71</v>
      </c>
      <c r="M674" s="553">
        <f t="shared" si="32"/>
        <v>-2.1538941861980374E-3</v>
      </c>
    </row>
    <row r="675" spans="5:13" ht="15.75" thickBot="1">
      <c r="E675" s="552">
        <v>40905</v>
      </c>
      <c r="F675" s="550">
        <v>2125</v>
      </c>
      <c r="G675" s="549">
        <f t="shared" si="30"/>
        <v>0</v>
      </c>
      <c r="H675" s="550">
        <v>1589.38</v>
      </c>
      <c r="I675" s="551">
        <f t="shared" si="31"/>
        <v>2.8163796972978344E-3</v>
      </c>
      <c r="L675" s="556">
        <v>12693.02</v>
      </c>
      <c r="M675" s="553">
        <f t="shared" si="32"/>
        <v>0</v>
      </c>
    </row>
    <row r="676" spans="5:13" ht="15.75" thickBot="1">
      <c r="E676" s="557">
        <v>40904</v>
      </c>
      <c r="F676" s="556">
        <v>2125</v>
      </c>
      <c r="G676" s="549">
        <f t="shared" si="30"/>
        <v>-9.3677500036001594E-3</v>
      </c>
      <c r="H676" s="556">
        <v>1584.91</v>
      </c>
      <c r="I676" s="551">
        <f t="shared" si="31"/>
        <v>-4.5325571299142838E-3</v>
      </c>
      <c r="L676" s="550">
        <v>12693.02</v>
      </c>
      <c r="M676" s="553">
        <f t="shared" si="32"/>
        <v>2.0473128686968266E-3</v>
      </c>
    </row>
    <row r="677" spans="5:13" ht="15.75" thickBot="1">
      <c r="E677" s="552">
        <v>40903</v>
      </c>
      <c r="F677" s="550">
        <v>2145</v>
      </c>
      <c r="G677" s="549">
        <f t="shared" si="30"/>
        <v>7.0175726586465398E-3</v>
      </c>
      <c r="H677" s="550">
        <v>1592.11</v>
      </c>
      <c r="I677" s="551">
        <f t="shared" si="31"/>
        <v>-5.1934174883474125E-3</v>
      </c>
      <c r="L677" s="556">
        <v>12667.06</v>
      </c>
      <c r="M677" s="553">
        <f t="shared" si="32"/>
        <v>-8.7951452785569439E-3</v>
      </c>
    </row>
    <row r="678" spans="5:13" ht="15.75" thickBot="1">
      <c r="E678" s="557">
        <v>40900</v>
      </c>
      <c r="F678" s="556">
        <v>2130</v>
      </c>
      <c r="G678" s="549">
        <f t="shared" si="30"/>
        <v>1.4184634991956381E-2</v>
      </c>
      <c r="H678" s="556">
        <v>1600.4</v>
      </c>
      <c r="I678" s="551">
        <f t="shared" si="31"/>
        <v>4.1248195976295078E-4</v>
      </c>
      <c r="L678" s="550">
        <v>12778.96</v>
      </c>
      <c r="M678" s="553">
        <f t="shared" si="32"/>
        <v>-1.5044675506602344E-3</v>
      </c>
    </row>
    <row r="679" spans="5:13" ht="15.75" thickBot="1">
      <c r="E679" s="552">
        <v>40899</v>
      </c>
      <c r="F679" s="550">
        <v>2100</v>
      </c>
      <c r="G679" s="549">
        <f t="shared" si="30"/>
        <v>-4.7506027585978647E-3</v>
      </c>
      <c r="H679" s="550">
        <v>1599.74</v>
      </c>
      <c r="I679" s="551">
        <f t="shared" si="31"/>
        <v>8.3675142571645912E-3</v>
      </c>
      <c r="L679" s="556">
        <v>12798.2</v>
      </c>
      <c r="M679" s="553">
        <f t="shared" si="32"/>
        <v>1.1857619654502466E-2</v>
      </c>
    </row>
    <row r="680" spans="5:13" ht="15.75" thickBot="1">
      <c r="E680" s="557">
        <v>40898</v>
      </c>
      <c r="F680" s="556">
        <v>2110</v>
      </c>
      <c r="G680" s="549">
        <f t="shared" si="30"/>
        <v>1.6726793805313583E-2</v>
      </c>
      <c r="H680" s="556">
        <v>1586.41</v>
      </c>
      <c r="I680" s="551">
        <f t="shared" si="31"/>
        <v>4.384254056715259E-3</v>
      </c>
      <c r="L680" s="550">
        <v>12647.34</v>
      </c>
      <c r="M680" s="553">
        <f t="shared" si="32"/>
        <v>-3.2846196037305746E-3</v>
      </c>
    </row>
    <row r="681" spans="5:13" ht="15.75" thickBot="1">
      <c r="E681" s="552">
        <v>40897</v>
      </c>
      <c r="F681" s="550">
        <v>2075</v>
      </c>
      <c r="G681" s="549">
        <f t="shared" si="30"/>
        <v>0</v>
      </c>
      <c r="H681" s="550">
        <v>1579.47</v>
      </c>
      <c r="I681" s="551">
        <f t="shared" si="31"/>
        <v>1.1724270033260369E-2</v>
      </c>
      <c r="L681" s="556">
        <v>12688.95</v>
      </c>
      <c r="M681" s="553">
        <f t="shared" si="32"/>
        <v>1.5872869999343266E-2</v>
      </c>
    </row>
    <row r="682" spans="5:13" ht="15.75" thickBot="1">
      <c r="E682" s="557">
        <v>40896</v>
      </c>
      <c r="F682" s="556">
        <v>2075</v>
      </c>
      <c r="G682" s="549">
        <f t="shared" si="30"/>
        <v>-2.4067400305649764E-3</v>
      </c>
      <c r="H682" s="556">
        <v>1561.06</v>
      </c>
      <c r="I682" s="551">
        <f t="shared" si="31"/>
        <v>-6.9136393099343673E-3</v>
      </c>
      <c r="L682" s="550">
        <v>12489.13</v>
      </c>
      <c r="M682" s="553">
        <f t="shared" si="32"/>
        <v>-8.0688044827293293E-3</v>
      </c>
    </row>
    <row r="683" spans="5:13" ht="15.75" thickBot="1">
      <c r="E683" s="552">
        <v>40893</v>
      </c>
      <c r="F683" s="550">
        <v>2080</v>
      </c>
      <c r="G683" s="549">
        <f t="shared" si="30"/>
        <v>2.4067400305650593E-3</v>
      </c>
      <c r="H683" s="550">
        <v>1571.89</v>
      </c>
      <c r="I683" s="551">
        <f t="shared" si="31"/>
        <v>1.9263294808804194E-2</v>
      </c>
      <c r="L683" s="556">
        <v>12590.31</v>
      </c>
      <c r="M683" s="553">
        <f t="shared" si="32"/>
        <v>2.2175214507245817E-2</v>
      </c>
    </row>
    <row r="684" spans="5:13" ht="15.75" thickBot="1">
      <c r="E684" s="557">
        <v>40892</v>
      </c>
      <c r="F684" s="556">
        <v>2075</v>
      </c>
      <c r="G684" s="549">
        <f t="shared" si="30"/>
        <v>2.4125464053839259E-3</v>
      </c>
      <c r="H684" s="556">
        <v>1541.9</v>
      </c>
      <c r="I684" s="551">
        <f t="shared" si="31"/>
        <v>-2.8948266320997346E-3</v>
      </c>
      <c r="L684" s="550">
        <v>12314.19</v>
      </c>
      <c r="M684" s="553">
        <f t="shared" si="32"/>
        <v>-7.5827224378793631E-3</v>
      </c>
    </row>
    <row r="685" spans="5:13" ht="15.75" thickBot="1">
      <c r="E685" s="552">
        <v>40891</v>
      </c>
      <c r="F685" s="550">
        <v>2070</v>
      </c>
      <c r="G685" s="549">
        <f t="shared" si="30"/>
        <v>-1.4388737452099556E-2</v>
      </c>
      <c r="H685" s="550">
        <v>1546.37</v>
      </c>
      <c r="I685" s="551">
        <f t="shared" si="31"/>
        <v>-1.3948069412930239E-2</v>
      </c>
      <c r="L685" s="556">
        <v>12407.92</v>
      </c>
      <c r="M685" s="553">
        <f t="shared" si="32"/>
        <v>-2.8766040897560616E-2</v>
      </c>
    </row>
    <row r="686" spans="5:13" ht="15.75" thickBot="1">
      <c r="E686" s="557">
        <v>40890</v>
      </c>
      <c r="F686" s="556">
        <v>2100</v>
      </c>
      <c r="G686" s="549">
        <f t="shared" si="30"/>
        <v>2.3837913552761975E-3</v>
      </c>
      <c r="H686" s="556">
        <v>1568.09</v>
      </c>
      <c r="I686" s="551">
        <f t="shared" si="31"/>
        <v>-2.528542977368963E-3</v>
      </c>
      <c r="L686" s="550">
        <v>12770.03</v>
      </c>
      <c r="M686" s="553">
        <f t="shared" si="32"/>
        <v>0</v>
      </c>
    </row>
    <row r="687" spans="5:13" ht="15.75" thickBot="1">
      <c r="E687" s="552">
        <v>40889</v>
      </c>
      <c r="F687" s="550">
        <v>2095</v>
      </c>
      <c r="G687" s="549">
        <f t="shared" si="30"/>
        <v>-9.5012591241402516E-3</v>
      </c>
      <c r="H687" s="550">
        <v>1572.06</v>
      </c>
      <c r="I687" s="551">
        <f t="shared" si="31"/>
        <v>-3.6826373716648121E-3</v>
      </c>
      <c r="L687" s="556">
        <v>12770.03</v>
      </c>
      <c r="M687" s="553">
        <f t="shared" si="32"/>
        <v>-3.8640896865106472E-3</v>
      </c>
    </row>
    <row r="688" spans="5:13" ht="15.75" thickBot="1">
      <c r="E688" s="557">
        <v>40886</v>
      </c>
      <c r="F688" s="556">
        <v>2115</v>
      </c>
      <c r="G688" s="549">
        <f t="shared" si="30"/>
        <v>2.3668650102662441E-3</v>
      </c>
      <c r="H688" s="556">
        <v>1577.86</v>
      </c>
      <c r="I688" s="551">
        <f t="shared" si="31"/>
        <v>1.2769252178047969E-2</v>
      </c>
      <c r="L688" s="550">
        <v>12819.47</v>
      </c>
      <c r="M688" s="553">
        <f t="shared" si="32"/>
        <v>-5.063810179574647E-3</v>
      </c>
    </row>
    <row r="689" spans="5:13" ht="15.75" thickBot="1">
      <c r="E689" s="552">
        <v>40884</v>
      </c>
      <c r="F689" s="550">
        <v>2110</v>
      </c>
      <c r="G689" s="549">
        <f t="shared" si="30"/>
        <v>-4.728141195946012E-3</v>
      </c>
      <c r="H689" s="550">
        <v>1557.84</v>
      </c>
      <c r="I689" s="551">
        <f t="shared" si="31"/>
        <v>8.7877936944777742E-3</v>
      </c>
      <c r="L689" s="556">
        <v>12884.55</v>
      </c>
      <c r="M689" s="553">
        <f t="shared" si="32"/>
        <v>1.7161369546964372E-2</v>
      </c>
    </row>
    <row r="690" spans="5:13" ht="15.75" thickBot="1">
      <c r="E690" s="557">
        <v>40883</v>
      </c>
      <c r="F690" s="556">
        <v>2120</v>
      </c>
      <c r="G690" s="549">
        <f t="shared" si="30"/>
        <v>-2.3557136924590365E-3</v>
      </c>
      <c r="H690" s="556">
        <v>1544.21</v>
      </c>
      <c r="I690" s="551">
        <f t="shared" si="31"/>
        <v>-1.9622177363276233E-2</v>
      </c>
      <c r="L690" s="550">
        <v>12665.32</v>
      </c>
      <c r="M690" s="553">
        <f t="shared" si="32"/>
        <v>-1.8384567644629812E-2</v>
      </c>
    </row>
    <row r="691" spans="5:13" ht="15.75" thickBot="1">
      <c r="E691" s="552">
        <v>40882</v>
      </c>
      <c r="F691" s="550">
        <v>2125</v>
      </c>
      <c r="G691" s="549">
        <f t="shared" si="30"/>
        <v>1.6607736399660546E-2</v>
      </c>
      <c r="H691" s="550">
        <v>1574.81</v>
      </c>
      <c r="I691" s="551">
        <f t="shared" si="31"/>
        <v>-7.6162890387719883E-3</v>
      </c>
      <c r="L691" s="556">
        <v>12900.32</v>
      </c>
      <c r="M691" s="553">
        <f t="shared" si="32"/>
        <v>-8.561482020073289E-3</v>
      </c>
    </row>
    <row r="692" spans="5:13" ht="15.75" thickBot="1">
      <c r="E692" s="557">
        <v>40879</v>
      </c>
      <c r="F692" s="556">
        <v>2090</v>
      </c>
      <c r="G692" s="549">
        <f t="shared" si="30"/>
        <v>7.2029122940580163E-3</v>
      </c>
      <c r="H692" s="556">
        <v>1586.85</v>
      </c>
      <c r="I692" s="551">
        <f t="shared" si="31"/>
        <v>7.1401544805015996E-3</v>
      </c>
      <c r="L692" s="550">
        <v>13011.24</v>
      </c>
      <c r="M692" s="553">
        <f t="shared" si="32"/>
        <v>6.6873169074506801E-3</v>
      </c>
    </row>
    <row r="693" spans="5:13" ht="15.75" thickBot="1">
      <c r="E693" s="552">
        <v>40878</v>
      </c>
      <c r="F693" s="550">
        <v>2075</v>
      </c>
      <c r="G693" s="549">
        <f t="shared" si="30"/>
        <v>9.6853057344636791E-3</v>
      </c>
      <c r="H693" s="550">
        <v>1575.56</v>
      </c>
      <c r="I693" s="551">
        <f t="shared" si="31"/>
        <v>9.2392810610516813E-3</v>
      </c>
      <c r="L693" s="556">
        <v>12924.52</v>
      </c>
      <c r="M693" s="553">
        <f t="shared" si="32"/>
        <v>1.4700847426738452E-5</v>
      </c>
    </row>
    <row r="694" spans="5:13" ht="15.75" thickBot="1">
      <c r="E694" s="557">
        <v>40877</v>
      </c>
      <c r="F694" s="556">
        <v>2055</v>
      </c>
      <c r="G694" s="549">
        <f t="shared" si="30"/>
        <v>9.7800290536396994E-3</v>
      </c>
      <c r="H694" s="556">
        <v>1561.07</v>
      </c>
      <c r="I694" s="551">
        <f t="shared" si="31"/>
        <v>2.3344287170060176E-2</v>
      </c>
      <c r="L694" s="550">
        <v>12924.33</v>
      </c>
      <c r="M694" s="553">
        <f t="shared" si="32"/>
        <v>3.102412141315386E-2</v>
      </c>
    </row>
    <row r="695" spans="5:13" ht="15.75" thickBot="1">
      <c r="E695" s="552">
        <v>40876</v>
      </c>
      <c r="F695" s="550">
        <v>2035</v>
      </c>
      <c r="G695" s="549">
        <f t="shared" si="30"/>
        <v>2.2361180158157325E-2</v>
      </c>
      <c r="H695" s="550">
        <v>1525.05</v>
      </c>
      <c r="I695" s="551">
        <f t="shared" si="31"/>
        <v>7.9658090736212817E-3</v>
      </c>
      <c r="L695" s="556">
        <v>12529.52</v>
      </c>
      <c r="M695" s="553">
        <f t="shared" si="32"/>
        <v>2.2132264039458039E-3</v>
      </c>
    </row>
    <row r="696" spans="5:13" ht="15.75" thickBot="1">
      <c r="E696" s="557">
        <v>40875</v>
      </c>
      <c r="F696" s="556">
        <v>1990</v>
      </c>
      <c r="G696" s="549">
        <f t="shared" si="30"/>
        <v>0</v>
      </c>
      <c r="H696" s="556">
        <v>1512.95</v>
      </c>
      <c r="I696" s="551">
        <f t="shared" si="31"/>
        <v>2.0270829023380735E-2</v>
      </c>
      <c r="L696" s="550">
        <v>12501.82</v>
      </c>
      <c r="M696" s="553">
        <f t="shared" si="32"/>
        <v>2.7475677073304765E-2</v>
      </c>
    </row>
    <row r="697" spans="5:13" ht="15.75" thickBot="1">
      <c r="E697" s="552">
        <v>40872</v>
      </c>
      <c r="F697" s="550">
        <v>1990</v>
      </c>
      <c r="G697" s="549">
        <f t="shared" si="30"/>
        <v>2.5157245972473705E-3</v>
      </c>
      <c r="H697" s="550">
        <v>1482.59</v>
      </c>
      <c r="I697" s="551">
        <f t="shared" si="31"/>
        <v>-6.5279956451446764E-3</v>
      </c>
      <c r="L697" s="556">
        <v>12163</v>
      </c>
      <c r="M697" s="553">
        <f t="shared" si="32"/>
        <v>-4.2496929476122625E-4</v>
      </c>
    </row>
    <row r="698" spans="5:13" ht="15.75" thickBot="1">
      <c r="E698" s="557">
        <v>40871</v>
      </c>
      <c r="F698" s="556">
        <v>1985</v>
      </c>
      <c r="G698" s="549">
        <f t="shared" si="30"/>
        <v>-7.5282664207915245E-3</v>
      </c>
      <c r="H698" s="556">
        <v>1492.3</v>
      </c>
      <c r="I698" s="551">
        <f t="shared" si="31"/>
        <v>-2.9107232113028858E-3</v>
      </c>
      <c r="L698" s="550">
        <v>12168.17</v>
      </c>
      <c r="M698" s="553">
        <f t="shared" si="32"/>
        <v>1.4054712059975044E-3</v>
      </c>
    </row>
    <row r="699" spans="5:13" ht="15.75" thickBot="1">
      <c r="E699" s="552">
        <v>40870</v>
      </c>
      <c r="F699" s="550">
        <v>2000</v>
      </c>
      <c r="G699" s="549">
        <f t="shared" si="30"/>
        <v>-1.9802627296179754E-2</v>
      </c>
      <c r="H699" s="550">
        <v>1496.65</v>
      </c>
      <c r="I699" s="551">
        <f t="shared" si="31"/>
        <v>-2.6434012377917749E-2</v>
      </c>
      <c r="L699" s="556">
        <v>12151.08</v>
      </c>
      <c r="M699" s="553">
        <f t="shared" si="32"/>
        <v>-2.550906898643077E-2</v>
      </c>
    </row>
    <row r="700" spans="5:13" ht="15.75" thickBot="1">
      <c r="E700" s="557">
        <v>40869</v>
      </c>
      <c r="F700" s="556">
        <v>2040</v>
      </c>
      <c r="G700" s="549">
        <f t="shared" si="30"/>
        <v>-4.8899852941917919E-3</v>
      </c>
      <c r="H700" s="556">
        <v>1536.74</v>
      </c>
      <c r="I700" s="551">
        <f t="shared" si="31"/>
        <v>-5.5677190999709157E-3</v>
      </c>
      <c r="L700" s="550">
        <v>12465.03</v>
      </c>
      <c r="M700" s="553">
        <f t="shared" si="32"/>
        <v>-1.2074507422461921E-3</v>
      </c>
    </row>
    <row r="701" spans="5:13" ht="15.75" thickBot="1">
      <c r="E701" s="552">
        <v>40868</v>
      </c>
      <c r="F701" s="550">
        <v>2050</v>
      </c>
      <c r="G701" s="549">
        <f t="shared" si="30"/>
        <v>-1.4528100562909744E-2</v>
      </c>
      <c r="H701" s="550">
        <v>1545.32</v>
      </c>
      <c r="I701" s="551">
        <f t="shared" si="31"/>
        <v>-1.1088093471953683E-2</v>
      </c>
      <c r="L701" s="556">
        <v>12480.09</v>
      </c>
      <c r="M701" s="553">
        <f t="shared" si="32"/>
        <v>-1.4992705889361437E-2</v>
      </c>
    </row>
    <row r="702" spans="5:13" ht="15.75" thickBot="1">
      <c r="E702" s="557">
        <v>40865</v>
      </c>
      <c r="F702" s="556">
        <v>2080</v>
      </c>
      <c r="G702" s="549">
        <f t="shared" si="30"/>
        <v>7.2376673002306031E-3</v>
      </c>
      <c r="H702" s="556">
        <v>1562.55</v>
      </c>
      <c r="I702" s="551">
        <f t="shared" si="31"/>
        <v>-4.8520540812712698E-3</v>
      </c>
      <c r="L702" s="550">
        <v>12668.61</v>
      </c>
      <c r="M702" s="553">
        <f t="shared" si="32"/>
        <v>-3.0745331934117106E-3</v>
      </c>
    </row>
    <row r="703" spans="5:13" ht="15.75" thickBot="1">
      <c r="E703" s="552">
        <v>40864</v>
      </c>
      <c r="F703" s="550">
        <v>2065</v>
      </c>
      <c r="G703" s="549">
        <f t="shared" si="30"/>
        <v>1.2180418556871013E-2</v>
      </c>
      <c r="H703" s="550">
        <v>1570.15</v>
      </c>
      <c r="I703" s="551">
        <f t="shared" si="31"/>
        <v>-1.152092192955334E-3</v>
      </c>
      <c r="L703" s="556">
        <v>12707.62</v>
      </c>
      <c r="M703" s="553">
        <f t="shared" si="32"/>
        <v>-1.2268569938491973E-3</v>
      </c>
    </row>
    <row r="704" spans="5:13" ht="15.75" thickBot="1">
      <c r="E704" s="557">
        <v>40863</v>
      </c>
      <c r="F704" s="556">
        <v>2040</v>
      </c>
      <c r="G704" s="549">
        <f t="shared" si="30"/>
        <v>-2.4214258120594627E-2</v>
      </c>
      <c r="H704" s="556">
        <v>1571.96</v>
      </c>
      <c r="I704" s="551">
        <f t="shared" si="31"/>
        <v>-4.7154481523443851E-3</v>
      </c>
      <c r="L704" s="550">
        <v>12723.22</v>
      </c>
      <c r="M704" s="553">
        <f t="shared" si="32"/>
        <v>-7.6877593136968929E-3</v>
      </c>
    </row>
    <row r="705" spans="5:13" ht="15.75" thickBot="1">
      <c r="E705" s="552">
        <v>40862</v>
      </c>
      <c r="F705" s="550">
        <v>2090</v>
      </c>
      <c r="G705" s="549">
        <f t="shared" si="30"/>
        <v>-9.5238815112554786E-3</v>
      </c>
      <c r="H705" s="550">
        <v>1579.39</v>
      </c>
      <c r="I705" s="551">
        <f t="shared" si="31"/>
        <v>-1.7396644621796508E-3</v>
      </c>
      <c r="L705" s="556">
        <v>12821.41</v>
      </c>
      <c r="M705" s="553">
        <f t="shared" si="32"/>
        <v>-5.5277658082048837E-3</v>
      </c>
    </row>
    <row r="706" spans="5:13" ht="15.75" thickBot="1">
      <c r="E706" s="557">
        <v>40858</v>
      </c>
      <c r="F706" s="556">
        <v>2110</v>
      </c>
      <c r="G706" s="549">
        <f t="shared" si="30"/>
        <v>-2.3668650102661678E-3</v>
      </c>
      <c r="H706" s="556">
        <v>1582.14</v>
      </c>
      <c r="I706" s="551">
        <f t="shared" si="31"/>
        <v>5.4759234828564386E-3</v>
      </c>
      <c r="L706" s="550">
        <v>12892.48</v>
      </c>
      <c r="M706" s="553">
        <f t="shared" si="32"/>
        <v>1.3925503093661527E-2</v>
      </c>
    </row>
    <row r="707" spans="5:13" ht="15.75" thickBot="1">
      <c r="E707" s="552">
        <v>40857</v>
      </c>
      <c r="F707" s="550">
        <v>2115</v>
      </c>
      <c r="G707" s="549">
        <f t="shared" ref="G707:G770" si="33">+LN(F707/F708)</f>
        <v>-1.8735911057469818E-2</v>
      </c>
      <c r="H707" s="550">
        <v>1573.5</v>
      </c>
      <c r="I707" s="551">
        <f t="shared" ref="I707:I770" si="34">+LN(H707/H708)</f>
        <v>-4.9891224199825899E-3</v>
      </c>
      <c r="L707" s="556">
        <v>12714.19</v>
      </c>
      <c r="M707" s="553">
        <f t="shared" ref="M707:M770" si="35">+LN(L707/L708)</f>
        <v>-5.2988973579257814E-3</v>
      </c>
    </row>
    <row r="708" spans="5:13" ht="15.75" thickBot="1">
      <c r="E708" s="557">
        <v>40856</v>
      </c>
      <c r="F708" s="556">
        <v>2155</v>
      </c>
      <c r="G708" s="549">
        <f t="shared" si="33"/>
        <v>-1.1534153245286519E-2</v>
      </c>
      <c r="H708" s="556">
        <v>1581.37</v>
      </c>
      <c r="I708" s="551">
        <f t="shared" si="34"/>
        <v>-1.6021520266510804E-2</v>
      </c>
      <c r="L708" s="550">
        <v>12781.74</v>
      </c>
      <c r="M708" s="553">
        <f t="shared" si="35"/>
        <v>-2.1211825783324006E-2</v>
      </c>
    </row>
    <row r="709" spans="5:13" ht="15.75" thickBot="1">
      <c r="E709" s="552">
        <v>40855</v>
      </c>
      <c r="F709" s="550">
        <v>2180</v>
      </c>
      <c r="G709" s="549">
        <f t="shared" si="33"/>
        <v>2.296212260350157E-3</v>
      </c>
      <c r="H709" s="550">
        <v>1606.91</v>
      </c>
      <c r="I709" s="551">
        <f t="shared" si="34"/>
        <v>4.2219547909841072E-3</v>
      </c>
      <c r="L709" s="556">
        <v>13055.76</v>
      </c>
      <c r="M709" s="553">
        <f t="shared" si="35"/>
        <v>2.9232867614488625E-3</v>
      </c>
    </row>
    <row r="710" spans="5:13" ht="15.75" thickBot="1">
      <c r="E710" s="557">
        <v>40851</v>
      </c>
      <c r="F710" s="556">
        <v>2175</v>
      </c>
      <c r="G710" s="549">
        <f t="shared" si="33"/>
        <v>-1.1428695823622744E-2</v>
      </c>
      <c r="H710" s="556">
        <v>1600.14</v>
      </c>
      <c r="I710" s="551">
        <f t="shared" si="34"/>
        <v>-5.9629131306190132E-3</v>
      </c>
      <c r="L710" s="550">
        <v>13017.65</v>
      </c>
      <c r="M710" s="553">
        <f t="shared" si="35"/>
        <v>-1.8213551312314988E-2</v>
      </c>
    </row>
    <row r="711" spans="5:13" ht="15.75" thickBot="1">
      <c r="E711" s="552">
        <v>40850</v>
      </c>
      <c r="F711" s="550">
        <v>2200</v>
      </c>
      <c r="G711" s="549">
        <f t="shared" si="33"/>
        <v>6.8415318167167841E-3</v>
      </c>
      <c r="H711" s="550">
        <v>1609.71</v>
      </c>
      <c r="I711" s="551">
        <f t="shared" si="34"/>
        <v>9.0549183230160361E-3</v>
      </c>
      <c r="L711" s="556">
        <v>13256.92</v>
      </c>
      <c r="M711" s="553">
        <f t="shared" si="35"/>
        <v>1.7685945497640767E-2</v>
      </c>
    </row>
    <row r="712" spans="5:13" ht="15.75" thickBot="1">
      <c r="E712" s="557">
        <v>40849</v>
      </c>
      <c r="F712" s="556">
        <v>2185</v>
      </c>
      <c r="G712" s="549">
        <f t="shared" si="33"/>
        <v>0</v>
      </c>
      <c r="H712" s="556">
        <v>1595.2</v>
      </c>
      <c r="I712" s="551">
        <f t="shared" si="34"/>
        <v>-1.2341929350695368E-3</v>
      </c>
      <c r="L712" s="550">
        <v>13024.52</v>
      </c>
      <c r="M712" s="553">
        <f t="shared" si="35"/>
        <v>-4.073225513469737E-3</v>
      </c>
    </row>
    <row r="713" spans="5:13" ht="15.75" thickBot="1">
      <c r="E713" s="552">
        <v>40848</v>
      </c>
      <c r="F713" s="550">
        <v>2185</v>
      </c>
      <c r="G713" s="549">
        <f t="shared" si="33"/>
        <v>-6.8415318167167121E-3</v>
      </c>
      <c r="H713" s="550">
        <v>1597.17</v>
      </c>
      <c r="I713" s="551">
        <f t="shared" si="34"/>
        <v>-1.5568432726619287E-2</v>
      </c>
      <c r="L713" s="556">
        <v>13077.68</v>
      </c>
      <c r="M713" s="553">
        <f t="shared" si="35"/>
        <v>-1.8514347542552038E-2</v>
      </c>
    </row>
    <row r="714" spans="5:13" ht="15.75" thickBot="1">
      <c r="E714" s="557">
        <v>40847</v>
      </c>
      <c r="F714" s="556">
        <v>2200</v>
      </c>
      <c r="G714" s="549">
        <f t="shared" si="33"/>
        <v>-4.5351551653912622E-3</v>
      </c>
      <c r="H714" s="556">
        <v>1622.23</v>
      </c>
      <c r="I714" s="551">
        <f t="shared" si="34"/>
        <v>-8.7580690719724786E-3</v>
      </c>
      <c r="L714" s="550">
        <v>13322.06</v>
      </c>
      <c r="M714" s="553">
        <f t="shared" si="35"/>
        <v>-1.5298907306466056E-2</v>
      </c>
    </row>
    <row r="715" spans="5:13" ht="15.75" thickBot="1">
      <c r="E715" s="552">
        <v>40844</v>
      </c>
      <c r="F715" s="550">
        <v>2210</v>
      </c>
      <c r="G715" s="549">
        <f t="shared" si="33"/>
        <v>4.5351551653913628E-3</v>
      </c>
      <c r="H715" s="550">
        <v>1636.5</v>
      </c>
      <c r="I715" s="551">
        <f t="shared" si="34"/>
        <v>0</v>
      </c>
      <c r="L715" s="556">
        <v>13527.44</v>
      </c>
      <c r="M715" s="553">
        <f t="shared" si="35"/>
        <v>1.0115719500286023E-2</v>
      </c>
    </row>
    <row r="716" spans="5:13" ht="15.75" thickBot="1">
      <c r="E716" s="557">
        <v>40843</v>
      </c>
      <c r="F716" s="556">
        <v>2200</v>
      </c>
      <c r="G716" s="549">
        <f t="shared" si="33"/>
        <v>0</v>
      </c>
      <c r="H716" s="550">
        <v>1636.5</v>
      </c>
      <c r="I716" s="551">
        <f t="shared" si="34"/>
        <v>0</v>
      </c>
      <c r="L716" s="550">
        <v>13391.29</v>
      </c>
      <c r="M716" s="553">
        <f t="shared" si="35"/>
        <v>0</v>
      </c>
    </row>
    <row r="717" spans="5:13" ht="15.75" thickBot="1">
      <c r="E717" s="552">
        <v>40842</v>
      </c>
      <c r="F717" s="550">
        <v>2200</v>
      </c>
      <c r="G717" s="549">
        <f t="shared" si="33"/>
        <v>6.8415318167167841E-3</v>
      </c>
      <c r="H717" s="550">
        <v>1636.5</v>
      </c>
      <c r="I717" s="551">
        <f t="shared" si="34"/>
        <v>9.5289103445976645E-3</v>
      </c>
      <c r="L717" s="556">
        <v>13391.29</v>
      </c>
      <c r="M717" s="553">
        <f t="shared" si="35"/>
        <v>3.6821752884992447E-4</v>
      </c>
    </row>
    <row r="718" spans="5:13" ht="15.75" thickBot="1">
      <c r="E718" s="557">
        <v>40841</v>
      </c>
      <c r="F718" s="556">
        <v>2185</v>
      </c>
      <c r="G718" s="549">
        <f t="shared" si="33"/>
        <v>-2.2857152808559511E-3</v>
      </c>
      <c r="H718" s="556">
        <v>1620.98</v>
      </c>
      <c r="I718" s="551">
        <f t="shared" si="34"/>
        <v>-9.2355584302062452E-3</v>
      </c>
      <c r="L718" s="550">
        <v>13386.36</v>
      </c>
      <c r="M718" s="553">
        <f t="shared" si="35"/>
        <v>-1.6079072739016664E-2</v>
      </c>
    </row>
    <row r="719" spans="5:13" ht="15.75" thickBot="1">
      <c r="E719" s="552">
        <v>40840</v>
      </c>
      <c r="F719" s="550">
        <v>2190</v>
      </c>
      <c r="G719" s="549">
        <f t="shared" si="33"/>
        <v>-9.0909717012519625E-3</v>
      </c>
      <c r="H719" s="550">
        <v>1636.02</v>
      </c>
      <c r="I719" s="551">
        <f t="shared" si="34"/>
        <v>5.3626989754259943E-3</v>
      </c>
      <c r="L719" s="556">
        <v>13603.34</v>
      </c>
      <c r="M719" s="553">
        <f t="shared" si="35"/>
        <v>7.036949819191834E-3</v>
      </c>
    </row>
    <row r="720" spans="5:13" ht="15.75" thickBot="1">
      <c r="E720" s="557">
        <v>40837</v>
      </c>
      <c r="F720" s="556">
        <v>2210</v>
      </c>
      <c r="G720" s="549">
        <f t="shared" si="33"/>
        <v>0</v>
      </c>
      <c r="H720" s="556">
        <v>1627.27</v>
      </c>
      <c r="I720" s="551">
        <f t="shared" si="34"/>
        <v>5.0024438816914244E-3</v>
      </c>
      <c r="L720" s="550">
        <v>13507.95</v>
      </c>
      <c r="M720" s="553">
        <f t="shared" si="35"/>
        <v>1.0749046241236775E-2</v>
      </c>
    </row>
    <row r="721" spans="5:13" ht="15.75" thickBot="1">
      <c r="E721" s="552">
        <v>40836</v>
      </c>
      <c r="F721" s="550">
        <v>2210</v>
      </c>
      <c r="G721" s="549">
        <f t="shared" si="33"/>
        <v>2.2650066308520615E-3</v>
      </c>
      <c r="H721" s="550">
        <v>1619.15</v>
      </c>
      <c r="I721" s="551">
        <f t="shared" si="34"/>
        <v>2.201105150528159E-3</v>
      </c>
      <c r="L721" s="556">
        <v>13363.53</v>
      </c>
      <c r="M721" s="553">
        <f t="shared" si="35"/>
        <v>4.1165261890904059E-4</v>
      </c>
    </row>
    <row r="722" spans="5:13" ht="15.75" thickBot="1">
      <c r="E722" s="557">
        <v>40835</v>
      </c>
      <c r="F722" s="556">
        <v>2205</v>
      </c>
      <c r="G722" s="549">
        <f t="shared" si="33"/>
        <v>-2.2650066308521248E-3</v>
      </c>
      <c r="H722" s="556">
        <v>1615.59</v>
      </c>
      <c r="I722" s="551">
        <f t="shared" si="34"/>
        <v>-7.4616167211196465E-3</v>
      </c>
      <c r="L722" s="550">
        <v>13358.03</v>
      </c>
      <c r="M722" s="553">
        <f t="shared" si="35"/>
        <v>-7.8401069717419433E-3</v>
      </c>
    </row>
    <row r="723" spans="5:13" ht="15.75" thickBot="1">
      <c r="E723" s="552">
        <v>40834</v>
      </c>
      <c r="F723" s="550">
        <v>2210</v>
      </c>
      <c r="G723" s="549">
        <f t="shared" si="33"/>
        <v>-1.3483350337286988E-2</v>
      </c>
      <c r="H723" s="550">
        <v>1627.69</v>
      </c>
      <c r="I723" s="551">
        <f t="shared" si="34"/>
        <v>5.7114670788097699E-3</v>
      </c>
      <c r="L723" s="556">
        <v>13463.17</v>
      </c>
      <c r="M723" s="553">
        <f t="shared" si="35"/>
        <v>8.0310216069019776E-3</v>
      </c>
    </row>
    <row r="724" spans="5:13" ht="15.75" thickBot="1">
      <c r="E724" s="557">
        <v>40830</v>
      </c>
      <c r="F724" s="556">
        <v>2240</v>
      </c>
      <c r="G724" s="549">
        <f t="shared" si="33"/>
        <v>1.1223462369849576E-2</v>
      </c>
      <c r="H724" s="556">
        <v>1618.42</v>
      </c>
      <c r="I724" s="551">
        <f t="shared" si="34"/>
        <v>3.7638247208888293E-3</v>
      </c>
      <c r="L724" s="550">
        <v>13355.48</v>
      </c>
      <c r="M724" s="553">
        <f t="shared" si="35"/>
        <v>3.6283086575154056E-3</v>
      </c>
    </row>
    <row r="725" spans="5:13" ht="15.75" thickBot="1">
      <c r="E725" s="552">
        <v>40829</v>
      </c>
      <c r="F725" s="550">
        <v>2215</v>
      </c>
      <c r="G725" s="549">
        <f t="shared" si="33"/>
        <v>-2.2547923870890937E-3</v>
      </c>
      <c r="H725" s="550">
        <v>1612.34</v>
      </c>
      <c r="I725" s="551">
        <f t="shared" si="34"/>
        <v>8.8109559381845093E-4</v>
      </c>
      <c r="L725" s="556">
        <v>13307.11</v>
      </c>
      <c r="M725" s="553">
        <f t="shared" si="35"/>
        <v>1.4258182256592137E-3</v>
      </c>
    </row>
    <row r="726" spans="5:13" ht="15.75" thickBot="1">
      <c r="E726" s="557">
        <v>40828</v>
      </c>
      <c r="F726" s="556">
        <v>2220</v>
      </c>
      <c r="G726" s="549">
        <f t="shared" si="33"/>
        <v>6.7796869853787691E-3</v>
      </c>
      <c r="H726" s="556">
        <v>1610.92</v>
      </c>
      <c r="I726" s="551">
        <f t="shared" si="34"/>
        <v>8.8664450011451523E-3</v>
      </c>
      <c r="L726" s="550">
        <v>13288.15</v>
      </c>
      <c r="M726" s="553">
        <f t="shared" si="35"/>
        <v>1.7056702760854529E-2</v>
      </c>
    </row>
    <row r="727" spans="5:13" ht="15.75" thickBot="1">
      <c r="E727" s="552">
        <v>40827</v>
      </c>
      <c r="F727" s="550">
        <v>2205</v>
      </c>
      <c r="G727" s="549">
        <f t="shared" si="33"/>
        <v>-6.7796869853788038E-3</v>
      </c>
      <c r="H727" s="550">
        <v>1596.7</v>
      </c>
      <c r="I727" s="551">
        <f t="shared" si="34"/>
        <v>-3.4698920386805375E-3</v>
      </c>
      <c r="L727" s="556">
        <v>13063.42</v>
      </c>
      <c r="M727" s="553">
        <f t="shared" si="35"/>
        <v>-2.5725832014988352E-3</v>
      </c>
    </row>
    <row r="728" spans="5:13" ht="15.75" thickBot="1">
      <c r="E728" s="557">
        <v>40826</v>
      </c>
      <c r="F728" s="556">
        <v>2220</v>
      </c>
      <c r="G728" s="549">
        <f t="shared" si="33"/>
        <v>4.514680354526613E-3</v>
      </c>
      <c r="H728" s="556">
        <v>1602.25</v>
      </c>
      <c r="I728" s="551">
        <f t="shared" si="34"/>
        <v>1.1543985754430457E-2</v>
      </c>
      <c r="L728" s="550">
        <v>13097.07</v>
      </c>
      <c r="M728" s="553">
        <f t="shared" si="35"/>
        <v>1.7345007758179851E-2</v>
      </c>
    </row>
    <row r="729" spans="5:13" ht="15.75" thickBot="1">
      <c r="E729" s="552">
        <v>40823</v>
      </c>
      <c r="F729" s="550">
        <v>2210</v>
      </c>
      <c r="G729" s="549">
        <f t="shared" si="33"/>
        <v>-4.5146803545265827E-3</v>
      </c>
      <c r="H729" s="550">
        <v>1583.86</v>
      </c>
      <c r="I729" s="551">
        <f t="shared" si="34"/>
        <v>-3.6678324676552342E-3</v>
      </c>
      <c r="L729" s="556">
        <v>12871.86</v>
      </c>
      <c r="M729" s="553">
        <f t="shared" si="35"/>
        <v>-7.2106569874577963E-3</v>
      </c>
    </row>
    <row r="730" spans="5:13" ht="15.75" thickBot="1">
      <c r="E730" s="557">
        <v>40822</v>
      </c>
      <c r="F730" s="556">
        <v>2220</v>
      </c>
      <c r="G730" s="549">
        <f t="shared" si="33"/>
        <v>6.7796869853787691E-3</v>
      </c>
      <c r="H730" s="556">
        <v>1589.68</v>
      </c>
      <c r="I730" s="551">
        <f t="shared" si="34"/>
        <v>6.9310145598797711E-3</v>
      </c>
      <c r="L730" s="550">
        <v>12965.01</v>
      </c>
      <c r="M730" s="553">
        <f t="shared" si="35"/>
        <v>2.1125537187479535E-2</v>
      </c>
    </row>
    <row r="731" spans="5:13" ht="15.75" thickBot="1">
      <c r="E731" s="552">
        <v>40821</v>
      </c>
      <c r="F731" s="550">
        <v>2205</v>
      </c>
      <c r="G731" s="549">
        <f t="shared" si="33"/>
        <v>1.140263209781177E-2</v>
      </c>
      <c r="H731" s="550">
        <v>1578.7</v>
      </c>
      <c r="I731" s="551">
        <f t="shared" si="34"/>
        <v>6.998525254988776E-3</v>
      </c>
      <c r="L731" s="556">
        <v>12693.99</v>
      </c>
      <c r="M731" s="553">
        <f t="shared" si="35"/>
        <v>9.0816119783153296E-3</v>
      </c>
    </row>
    <row r="732" spans="5:13" ht="15.75" thickBot="1">
      <c r="E732" s="557">
        <v>40820</v>
      </c>
      <c r="F732" s="556">
        <v>2180</v>
      </c>
      <c r="G732" s="549">
        <f t="shared" si="33"/>
        <v>-4.5766670274118666E-3</v>
      </c>
      <c r="H732" s="556">
        <v>1567.69</v>
      </c>
      <c r="I732" s="551">
        <f t="shared" si="34"/>
        <v>1.0735551892065093E-2</v>
      </c>
      <c r="L732" s="550">
        <v>12579.23</v>
      </c>
      <c r="M732" s="553">
        <f t="shared" si="35"/>
        <v>4.8171242973894021E-3</v>
      </c>
    </row>
    <row r="733" spans="5:13" ht="15.75" thickBot="1">
      <c r="E733" s="552">
        <v>40819</v>
      </c>
      <c r="F733" s="550">
        <v>2190</v>
      </c>
      <c r="G733" s="549">
        <f t="shared" si="33"/>
        <v>-9.0909717012519625E-3</v>
      </c>
      <c r="H733" s="550">
        <v>1550.95</v>
      </c>
      <c r="I733" s="551">
        <f t="shared" si="34"/>
        <v>-2.1559019773648616E-2</v>
      </c>
      <c r="L733" s="556">
        <v>12518.78</v>
      </c>
      <c r="M733" s="553">
        <f t="shared" si="35"/>
        <v>-3.1221451271451591E-2</v>
      </c>
    </row>
    <row r="734" spans="5:13" ht="15.75" thickBot="1">
      <c r="E734" s="557">
        <v>40816</v>
      </c>
      <c r="F734" s="556">
        <v>2210</v>
      </c>
      <c r="G734" s="549">
        <f t="shared" si="33"/>
        <v>-1.3483350337286988E-2</v>
      </c>
      <c r="H734" s="556">
        <v>1584.75</v>
      </c>
      <c r="I734" s="551">
        <f t="shared" si="34"/>
        <v>-1.1431492360606484E-2</v>
      </c>
      <c r="L734" s="550">
        <v>12915.8</v>
      </c>
      <c r="M734" s="553">
        <f t="shared" si="35"/>
        <v>-1.3625176726365499E-3</v>
      </c>
    </row>
    <row r="735" spans="5:13" ht="15.75" thickBot="1">
      <c r="E735" s="552">
        <v>40815</v>
      </c>
      <c r="F735" s="550">
        <v>2240</v>
      </c>
      <c r="G735" s="549">
        <f t="shared" si="33"/>
        <v>8.9686699827603161E-3</v>
      </c>
      <c r="H735" s="550">
        <v>1602.97</v>
      </c>
      <c r="I735" s="551">
        <f t="shared" si="34"/>
        <v>1.0296311082710645E-2</v>
      </c>
      <c r="L735" s="556">
        <v>12933.41</v>
      </c>
      <c r="M735" s="553">
        <f t="shared" si="35"/>
        <v>4.2701613911591456E-3</v>
      </c>
    </row>
    <row r="736" spans="5:13" ht="15.75" thickBot="1">
      <c r="E736" s="557">
        <v>40814</v>
      </c>
      <c r="F736" s="556">
        <v>2220</v>
      </c>
      <c r="G736" s="549">
        <f t="shared" si="33"/>
        <v>-1.5642777070453577E-2</v>
      </c>
      <c r="H736" s="556">
        <v>1586.55</v>
      </c>
      <c r="I736" s="551">
        <f t="shared" si="34"/>
        <v>-4.4651353979695933E-3</v>
      </c>
      <c r="L736" s="550">
        <v>12878.3</v>
      </c>
      <c r="M736" s="553">
        <f t="shared" si="35"/>
        <v>-6.9742180403103296E-3</v>
      </c>
    </row>
    <row r="737" spans="5:13" ht="15.75" thickBot="1">
      <c r="E737" s="552">
        <v>40813</v>
      </c>
      <c r="F737" s="550">
        <v>2255</v>
      </c>
      <c r="G737" s="549">
        <f t="shared" si="33"/>
        <v>6.6741070876932176E-3</v>
      </c>
      <c r="H737" s="550">
        <v>1593.65</v>
      </c>
      <c r="I737" s="551">
        <f t="shared" si="34"/>
        <v>5.8843134591440522E-3</v>
      </c>
      <c r="L737" s="556">
        <v>12968.43</v>
      </c>
      <c r="M737" s="553">
        <f t="shared" si="35"/>
        <v>8.8862347894480241E-3</v>
      </c>
    </row>
    <row r="738" spans="5:13" ht="15.75" thickBot="1">
      <c r="E738" s="557">
        <v>40812</v>
      </c>
      <c r="F738" s="556">
        <v>2240</v>
      </c>
      <c r="G738" s="549">
        <f t="shared" si="33"/>
        <v>1.5748356968139112E-2</v>
      </c>
      <c r="H738" s="556">
        <v>1584.3</v>
      </c>
      <c r="I738" s="551">
        <f t="shared" si="34"/>
        <v>-4.6034131377133223E-3</v>
      </c>
      <c r="L738" s="550">
        <v>12853.7</v>
      </c>
      <c r="M738" s="553">
        <f t="shared" si="35"/>
        <v>-9.1437501531272513E-3</v>
      </c>
    </row>
    <row r="739" spans="5:13" ht="15.75" thickBot="1">
      <c r="E739" s="552">
        <v>40809</v>
      </c>
      <c r="F739" s="550">
        <v>2205</v>
      </c>
      <c r="G739" s="549">
        <f t="shared" si="33"/>
        <v>-2.4637304385385177E-2</v>
      </c>
      <c r="H739" s="550">
        <v>1591.61</v>
      </c>
      <c r="I739" s="551">
        <f t="shared" si="34"/>
        <v>-1.0189116504560353E-2</v>
      </c>
      <c r="L739" s="556">
        <v>12971.77</v>
      </c>
      <c r="M739" s="553">
        <f t="shared" si="35"/>
        <v>-1.6462862914155819E-2</v>
      </c>
    </row>
    <row r="740" spans="5:13" ht="15.75" thickBot="1">
      <c r="E740" s="557">
        <v>40808</v>
      </c>
      <c r="F740" s="556">
        <v>2260</v>
      </c>
      <c r="G740" s="549">
        <f t="shared" si="33"/>
        <v>-1.1001211061973456E-2</v>
      </c>
      <c r="H740" s="556">
        <v>1607.91</v>
      </c>
      <c r="I740" s="551">
        <f t="shared" si="34"/>
        <v>-2.9669112431555393E-2</v>
      </c>
      <c r="L740" s="550">
        <v>13187.09</v>
      </c>
      <c r="M740" s="553">
        <f t="shared" si="35"/>
        <v>-3.3784460611916277E-2</v>
      </c>
    </row>
    <row r="741" spans="5:13" ht="15.75" thickBot="1">
      <c r="E741" s="552">
        <v>40807</v>
      </c>
      <c r="F741" s="550">
        <v>2285</v>
      </c>
      <c r="G741" s="549">
        <f t="shared" si="33"/>
        <v>-1.0881500187534173E-2</v>
      </c>
      <c r="H741" s="550">
        <v>1656.33</v>
      </c>
      <c r="I741" s="551">
        <f t="shared" si="34"/>
        <v>-1.210994024130262E-2</v>
      </c>
      <c r="L741" s="556">
        <v>13640.22</v>
      </c>
      <c r="M741" s="553">
        <f t="shared" si="35"/>
        <v>-1.7395913937337772E-2</v>
      </c>
    </row>
    <row r="742" spans="5:13" ht="15.75" thickBot="1">
      <c r="E742" s="557">
        <v>40806</v>
      </c>
      <c r="F742" s="556">
        <v>2310</v>
      </c>
      <c r="G742" s="549">
        <f t="shared" si="33"/>
        <v>8.695706967553913E-3</v>
      </c>
      <c r="H742" s="556">
        <v>1676.51</v>
      </c>
      <c r="I742" s="551">
        <f t="shared" si="34"/>
        <v>-2.2997555475648157E-3</v>
      </c>
      <c r="L742" s="550">
        <v>13879.58</v>
      </c>
      <c r="M742" s="553">
        <f t="shared" si="35"/>
        <v>2.9287246068715779E-3</v>
      </c>
    </row>
    <row r="743" spans="5:13" ht="15.75" thickBot="1">
      <c r="E743" s="552">
        <v>40805</v>
      </c>
      <c r="F743" s="550">
        <v>2290</v>
      </c>
      <c r="G743" s="549">
        <f t="shared" si="33"/>
        <v>-2.1810259463602259E-3</v>
      </c>
      <c r="H743" s="550">
        <v>1680.37</v>
      </c>
      <c r="I743" s="551">
        <f t="shared" si="34"/>
        <v>-2.3775993891510649E-3</v>
      </c>
      <c r="L743" s="556">
        <v>13838.99</v>
      </c>
      <c r="M743" s="553">
        <f t="shared" si="35"/>
        <v>-3.2593715866071457E-3</v>
      </c>
    </row>
    <row r="744" spans="5:13" ht="15.75" thickBot="1">
      <c r="E744" s="557">
        <v>40802</v>
      </c>
      <c r="F744" s="556">
        <v>2295</v>
      </c>
      <c r="G744" s="549">
        <f t="shared" si="33"/>
        <v>0</v>
      </c>
      <c r="H744" s="556">
        <v>1684.37</v>
      </c>
      <c r="I744" s="551">
        <f t="shared" si="34"/>
        <v>1.5158512423258949E-2</v>
      </c>
      <c r="L744" s="550">
        <v>13884.17</v>
      </c>
      <c r="M744" s="553">
        <f t="shared" si="35"/>
        <v>1.4503075007408845E-2</v>
      </c>
    </row>
    <row r="745" spans="5:13" ht="15.75" thickBot="1">
      <c r="E745" s="552">
        <v>40801</v>
      </c>
      <c r="F745" s="550">
        <v>2295</v>
      </c>
      <c r="G745" s="549">
        <f t="shared" si="33"/>
        <v>2.1810259463601461E-3</v>
      </c>
      <c r="H745" s="550">
        <v>1659.03</v>
      </c>
      <c r="I745" s="551">
        <f t="shared" si="34"/>
        <v>1.1311268081297978E-2</v>
      </c>
      <c r="L745" s="556">
        <v>13684.26</v>
      </c>
      <c r="M745" s="553">
        <f t="shared" si="35"/>
        <v>9.4907842765384193E-3</v>
      </c>
    </row>
    <row r="746" spans="5:13" ht="15.75" thickBot="1">
      <c r="E746" s="557">
        <v>40800</v>
      </c>
      <c r="F746" s="556">
        <v>2290</v>
      </c>
      <c r="G746" s="549">
        <f t="shared" si="33"/>
        <v>-2.1810259463602259E-3</v>
      </c>
      <c r="H746" s="556">
        <v>1640.37</v>
      </c>
      <c r="I746" s="551">
        <f t="shared" si="34"/>
        <v>3.7929152854668099E-3</v>
      </c>
      <c r="L746" s="550">
        <v>13555</v>
      </c>
      <c r="M746" s="553">
        <f t="shared" si="35"/>
        <v>5.0581415686385515E-3</v>
      </c>
    </row>
    <row r="747" spans="5:13" ht="15.75" thickBot="1">
      <c r="E747" s="552">
        <v>40799</v>
      </c>
      <c r="F747" s="550">
        <v>2295</v>
      </c>
      <c r="G747" s="549">
        <f t="shared" si="33"/>
        <v>8.7527911095947077E-3</v>
      </c>
      <c r="H747" s="550">
        <v>1634.16</v>
      </c>
      <c r="I747" s="551">
        <f t="shared" si="34"/>
        <v>2.610247617233735E-3</v>
      </c>
      <c r="L747" s="556">
        <v>13486.61</v>
      </c>
      <c r="M747" s="553">
        <f t="shared" si="35"/>
        <v>5.1129218699213826E-3</v>
      </c>
    </row>
    <row r="748" spans="5:13" ht="15.75" thickBot="1">
      <c r="E748" s="557">
        <v>40798</v>
      </c>
      <c r="F748" s="556">
        <v>2275</v>
      </c>
      <c r="G748" s="549">
        <f t="shared" si="33"/>
        <v>0</v>
      </c>
      <c r="H748" s="556">
        <v>1629.9</v>
      </c>
      <c r="I748" s="551">
        <f t="shared" si="34"/>
        <v>-1.207933262943651E-3</v>
      </c>
      <c r="L748" s="550">
        <v>13417.83</v>
      </c>
      <c r="M748" s="553">
        <f t="shared" si="35"/>
        <v>3.2648461339947562E-4</v>
      </c>
    </row>
    <row r="749" spans="5:13" ht="15.75" thickBot="1">
      <c r="E749" s="552">
        <v>40795</v>
      </c>
      <c r="F749" s="550">
        <v>2275</v>
      </c>
      <c r="G749" s="549">
        <f t="shared" si="33"/>
        <v>-2.1953905634356152E-3</v>
      </c>
      <c r="H749" s="550">
        <v>1631.87</v>
      </c>
      <c r="I749" s="551">
        <f t="shared" si="34"/>
        <v>-8.0502612099090792E-3</v>
      </c>
      <c r="L749" s="556">
        <v>13413.45</v>
      </c>
      <c r="M749" s="553">
        <f t="shared" si="35"/>
        <v>-7.5792400758563734E-3</v>
      </c>
    </row>
    <row r="750" spans="5:13" ht="15.75" thickBot="1">
      <c r="E750" s="557">
        <v>40794</v>
      </c>
      <c r="F750" s="556">
        <v>2280</v>
      </c>
      <c r="G750" s="549">
        <f t="shared" si="33"/>
        <v>-1.0905233482262468E-2</v>
      </c>
      <c r="H750" s="556">
        <v>1645.06</v>
      </c>
      <c r="I750" s="551">
        <f t="shared" si="34"/>
        <v>-1.105731079809472E-3</v>
      </c>
      <c r="L750" s="550">
        <v>13515.5</v>
      </c>
      <c r="M750" s="553">
        <f t="shared" si="35"/>
        <v>-2.0547851184304989E-3</v>
      </c>
    </row>
    <row r="751" spans="5:13" ht="15.75" thickBot="1">
      <c r="E751" s="552">
        <v>40793</v>
      </c>
      <c r="F751" s="550">
        <v>2305</v>
      </c>
      <c r="G751" s="549">
        <f t="shared" si="33"/>
        <v>4.3478329361034225E-3</v>
      </c>
      <c r="H751" s="550">
        <v>1646.88</v>
      </c>
      <c r="I751" s="551">
        <f t="shared" si="34"/>
        <v>7.6496543648174563E-3</v>
      </c>
      <c r="L751" s="556">
        <v>13543.3</v>
      </c>
      <c r="M751" s="553">
        <f t="shared" si="35"/>
        <v>8.4433927518829614E-3</v>
      </c>
    </row>
    <row r="752" spans="5:13" ht="15.75" thickBot="1">
      <c r="E752" s="557">
        <v>40792</v>
      </c>
      <c r="F752" s="556">
        <v>2295</v>
      </c>
      <c r="G752" s="549">
        <f t="shared" si="33"/>
        <v>8.7527911095947077E-3</v>
      </c>
      <c r="H752" s="556">
        <v>1634.33</v>
      </c>
      <c r="I752" s="551">
        <f t="shared" si="34"/>
        <v>1.4390244962806199E-2</v>
      </c>
      <c r="L752" s="550">
        <v>13429.43</v>
      </c>
      <c r="M752" s="553">
        <f t="shared" si="35"/>
        <v>1.6414647415568914E-2</v>
      </c>
    </row>
    <row r="753" spans="5:13" ht="15.75" thickBot="1">
      <c r="E753" s="552">
        <v>40791</v>
      </c>
      <c r="F753" s="550">
        <v>2275</v>
      </c>
      <c r="G753" s="549">
        <f t="shared" si="33"/>
        <v>-1.0929070532190317E-2</v>
      </c>
      <c r="H753" s="550">
        <v>1610.98</v>
      </c>
      <c r="I753" s="551">
        <f t="shared" si="34"/>
        <v>-1.9401134731850882E-2</v>
      </c>
      <c r="L753" s="556">
        <v>13210.79</v>
      </c>
      <c r="M753" s="553">
        <f t="shared" si="35"/>
        <v>-1.8580671890824969E-2</v>
      </c>
    </row>
    <row r="754" spans="5:13" ht="15.75" thickBot="1">
      <c r="E754" s="557">
        <v>40788</v>
      </c>
      <c r="F754" s="556">
        <v>2300</v>
      </c>
      <c r="G754" s="549">
        <f t="shared" si="33"/>
        <v>8.7336799687546315E-3</v>
      </c>
      <c r="H754" s="556">
        <v>1642.54</v>
      </c>
      <c r="I754" s="551">
        <f t="shared" si="34"/>
        <v>-2.1914872981457058E-4</v>
      </c>
      <c r="L754" s="550">
        <v>13458.55</v>
      </c>
      <c r="M754" s="553">
        <f t="shared" si="35"/>
        <v>-8.7786667709601547E-4</v>
      </c>
    </row>
    <row r="755" spans="5:13" ht="15.75" thickBot="1">
      <c r="E755" s="552">
        <v>40787</v>
      </c>
      <c r="F755" s="550">
        <v>2280</v>
      </c>
      <c r="G755" s="549">
        <f t="shared" si="33"/>
        <v>-6.5574005461590517E-3</v>
      </c>
      <c r="H755" s="550">
        <v>1642.9</v>
      </c>
      <c r="I755" s="551">
        <f t="shared" si="34"/>
        <v>2.2523688014314551E-4</v>
      </c>
      <c r="L755" s="556">
        <v>13470.37</v>
      </c>
      <c r="M755" s="553">
        <f t="shared" si="35"/>
        <v>3.671814077756741E-3</v>
      </c>
    </row>
    <row r="756" spans="5:13" ht="15.75" thickBot="1">
      <c r="E756" s="557">
        <v>40786</v>
      </c>
      <c r="F756" s="556">
        <v>2295</v>
      </c>
      <c r="G756" s="549">
        <f t="shared" si="33"/>
        <v>2.1810259463601461E-3</v>
      </c>
      <c r="H756" s="556">
        <v>1642.53</v>
      </c>
      <c r="I756" s="551">
        <f t="shared" si="34"/>
        <v>9.5020564481550825E-4</v>
      </c>
      <c r="L756" s="550">
        <v>13421</v>
      </c>
      <c r="M756" s="553">
        <f t="shared" si="35"/>
        <v>-5.8408924844002138E-3</v>
      </c>
    </row>
    <row r="757" spans="5:13" ht="15.75" thickBot="1">
      <c r="E757" s="552">
        <v>40785</v>
      </c>
      <c r="F757" s="550">
        <v>2290</v>
      </c>
      <c r="G757" s="549">
        <f t="shared" si="33"/>
        <v>-4.3573053689557007E-3</v>
      </c>
      <c r="H757" s="550">
        <v>1640.97</v>
      </c>
      <c r="I757" s="551">
        <f t="shared" si="34"/>
        <v>4.446270448464254E-3</v>
      </c>
      <c r="L757" s="556">
        <v>13499.62</v>
      </c>
      <c r="M757" s="553">
        <f t="shared" si="35"/>
        <v>1.7497272369471145E-3</v>
      </c>
    </row>
    <row r="758" spans="5:13" ht="15.75" thickBot="1">
      <c r="E758" s="557">
        <v>40784</v>
      </c>
      <c r="F758" s="556">
        <v>2300</v>
      </c>
      <c r="G758" s="549">
        <f t="shared" si="33"/>
        <v>4.4451762570833796E-2</v>
      </c>
      <c r="H758" s="556">
        <v>1633.69</v>
      </c>
      <c r="I758" s="551">
        <f t="shared" si="34"/>
        <v>1.8241004863729763E-2</v>
      </c>
      <c r="L758" s="550">
        <v>13476.02</v>
      </c>
      <c r="M758" s="553">
        <f t="shared" si="35"/>
        <v>2.0068661097964319E-2</v>
      </c>
    </row>
    <row r="759" spans="5:13" ht="15.75" thickBot="1">
      <c r="E759" s="552">
        <v>40781</v>
      </c>
      <c r="F759" s="550">
        <v>2200</v>
      </c>
      <c r="G759" s="549">
        <f t="shared" si="33"/>
        <v>-4.5351551653912622E-3</v>
      </c>
      <c r="H759" s="550">
        <v>1604.16</v>
      </c>
      <c r="I759" s="551">
        <f t="shared" si="34"/>
        <v>3.6346644229382479E-3</v>
      </c>
      <c r="L759" s="556">
        <v>13208.27</v>
      </c>
      <c r="M759" s="553">
        <f t="shared" si="35"/>
        <v>5.9828906264388694E-4</v>
      </c>
    </row>
    <row r="760" spans="5:13" ht="15.75" thickBot="1">
      <c r="E760" s="557">
        <v>40780</v>
      </c>
      <c r="F760" s="556">
        <v>2210</v>
      </c>
      <c r="G760" s="549">
        <f t="shared" si="33"/>
        <v>-6.7644000885420368E-3</v>
      </c>
      <c r="H760" s="556">
        <v>1598.34</v>
      </c>
      <c r="I760" s="551">
        <f t="shared" si="34"/>
        <v>-7.1567808338474257E-3</v>
      </c>
      <c r="L760" s="550">
        <v>13200.37</v>
      </c>
      <c r="M760" s="553">
        <f t="shared" si="35"/>
        <v>-1.0806248579970805E-2</v>
      </c>
    </row>
    <row r="761" spans="5:13" ht="15.75" thickBot="1">
      <c r="E761" s="552">
        <v>40779</v>
      </c>
      <c r="F761" s="550">
        <v>2225</v>
      </c>
      <c r="G761" s="549">
        <f t="shared" si="33"/>
        <v>6.7644000885420628E-3</v>
      </c>
      <c r="H761" s="550">
        <v>1609.82</v>
      </c>
      <c r="I761" s="551">
        <f t="shared" si="34"/>
        <v>2.7182803875536329E-3</v>
      </c>
      <c r="L761" s="556">
        <v>13343.79</v>
      </c>
      <c r="M761" s="553">
        <f t="shared" si="35"/>
        <v>5.0216590867846848E-3</v>
      </c>
    </row>
    <row r="762" spans="5:13" ht="15.75" thickBot="1">
      <c r="E762" s="557">
        <v>40778</v>
      </c>
      <c r="F762" s="556">
        <v>2210</v>
      </c>
      <c r="G762" s="549">
        <f t="shared" si="33"/>
        <v>0</v>
      </c>
      <c r="H762" s="556">
        <v>1605.45</v>
      </c>
      <c r="I762" s="551">
        <f t="shared" si="34"/>
        <v>2.0489399555367771E-2</v>
      </c>
      <c r="L762" s="550">
        <v>13276.95</v>
      </c>
      <c r="M762" s="553">
        <f t="shared" si="35"/>
        <v>1.7196871770178337E-2</v>
      </c>
    </row>
    <row r="763" spans="5:13" ht="15.75" thickBot="1">
      <c r="E763" s="552">
        <v>40777</v>
      </c>
      <c r="F763" s="550">
        <v>2210</v>
      </c>
      <c r="G763" s="549">
        <f t="shared" si="33"/>
        <v>9.0909717012521048E-3</v>
      </c>
      <c r="H763" s="550">
        <v>1572.89</v>
      </c>
      <c r="I763" s="551">
        <f t="shared" si="34"/>
        <v>-1.3350328533257984E-4</v>
      </c>
      <c r="L763" s="556">
        <v>13050.58</v>
      </c>
      <c r="M763" s="553">
        <f t="shared" si="35"/>
        <v>7.8479921740067845E-3</v>
      </c>
    </row>
    <row r="764" spans="5:13" ht="15.75" thickBot="1">
      <c r="E764" s="557">
        <v>40774</v>
      </c>
      <c r="F764" s="556">
        <v>2190</v>
      </c>
      <c r="G764" s="549">
        <f t="shared" si="33"/>
        <v>-1.810004164361799E-2</v>
      </c>
      <c r="H764" s="556">
        <v>1573.1</v>
      </c>
      <c r="I764" s="551">
        <f t="shared" si="34"/>
        <v>-5.1990987008117984E-3</v>
      </c>
      <c r="L764" s="550">
        <v>12948.56</v>
      </c>
      <c r="M764" s="553">
        <f t="shared" si="35"/>
        <v>-7.7568043296664183E-3</v>
      </c>
    </row>
    <row r="765" spans="5:13" ht="15.75" thickBot="1">
      <c r="E765" s="552">
        <v>40773</v>
      </c>
      <c r="F765" s="550">
        <v>2230</v>
      </c>
      <c r="G765" s="549">
        <f t="shared" si="33"/>
        <v>-1.7778246021283944E-2</v>
      </c>
      <c r="H765" s="550">
        <v>1581.3</v>
      </c>
      <c r="I765" s="551">
        <f t="shared" si="34"/>
        <v>-2.6731151373303189E-2</v>
      </c>
      <c r="L765" s="556">
        <v>13049.39</v>
      </c>
      <c r="M765" s="553">
        <f t="shared" si="35"/>
        <v>-3.1970786523877207E-2</v>
      </c>
    </row>
    <row r="766" spans="5:13" ht="15.75" thickBot="1">
      <c r="E766" s="557">
        <v>40772</v>
      </c>
      <c r="F766" s="556">
        <v>2270</v>
      </c>
      <c r="G766" s="549">
        <f t="shared" si="33"/>
        <v>-1.9629856044886092E-2</v>
      </c>
      <c r="H766" s="556">
        <v>1624.14</v>
      </c>
      <c r="I766" s="551">
        <f t="shared" si="34"/>
        <v>2.1634823849405707E-3</v>
      </c>
      <c r="L766" s="550">
        <v>13473.33</v>
      </c>
      <c r="M766" s="553">
        <f t="shared" si="35"/>
        <v>-1.1720000184368383E-3</v>
      </c>
    </row>
    <row r="767" spans="5:13" ht="15.75" thickBot="1">
      <c r="E767" s="552">
        <v>40771</v>
      </c>
      <c r="F767" s="550">
        <v>2315</v>
      </c>
      <c r="G767" s="549">
        <f t="shared" si="33"/>
        <v>1.3043663192029398E-2</v>
      </c>
      <c r="H767" s="550">
        <v>1620.63</v>
      </c>
      <c r="I767" s="551">
        <f t="shared" si="34"/>
        <v>5.87916637598311E-3</v>
      </c>
      <c r="L767" s="556">
        <v>13489.13</v>
      </c>
      <c r="M767" s="553">
        <f t="shared" si="35"/>
        <v>5.5971661536757681E-3</v>
      </c>
    </row>
    <row r="768" spans="5:13" ht="15.75" thickBot="1">
      <c r="E768" s="557">
        <v>40767</v>
      </c>
      <c r="F768" s="556">
        <v>2285</v>
      </c>
      <c r="G768" s="549">
        <f t="shared" si="33"/>
        <v>4.3859719432542679E-3</v>
      </c>
      <c r="H768" s="556">
        <v>1611.13</v>
      </c>
      <c r="I768" s="551">
        <f t="shared" si="34"/>
        <v>6.7321869111114123E-3</v>
      </c>
      <c r="L768" s="550">
        <v>13413.84</v>
      </c>
      <c r="M768" s="553">
        <f t="shared" si="35"/>
        <v>1.1382698756116241E-2</v>
      </c>
    </row>
    <row r="769" spans="5:13" ht="15.75" thickBot="1">
      <c r="E769" s="552">
        <v>40766</v>
      </c>
      <c r="F769" s="550">
        <v>2275</v>
      </c>
      <c r="G769" s="549">
        <f t="shared" si="33"/>
        <v>-1.0929070532190317E-2</v>
      </c>
      <c r="H769" s="550">
        <v>1600.32</v>
      </c>
      <c r="I769" s="551">
        <f t="shared" si="34"/>
        <v>1.1387325643242812E-2</v>
      </c>
      <c r="L769" s="556">
        <v>13262.02</v>
      </c>
      <c r="M769" s="553">
        <f t="shared" si="35"/>
        <v>1.4463138137022311E-2</v>
      </c>
    </row>
    <row r="770" spans="5:13" ht="15.75" thickBot="1">
      <c r="E770" s="557">
        <v>40765</v>
      </c>
      <c r="F770" s="556">
        <v>2300</v>
      </c>
      <c r="G770" s="549">
        <f t="shared" si="33"/>
        <v>3.5401927050916E-2</v>
      </c>
      <c r="H770" s="556">
        <v>1582.2</v>
      </c>
      <c r="I770" s="551">
        <f t="shared" si="34"/>
        <v>2.6200390906372449E-3</v>
      </c>
      <c r="L770" s="550">
        <v>13071.59</v>
      </c>
      <c r="M770" s="553">
        <f t="shared" si="35"/>
        <v>-1.1170669631681222E-3</v>
      </c>
    </row>
    <row r="771" spans="5:13" ht="15.75" thickBot="1">
      <c r="E771" s="552">
        <v>40764</v>
      </c>
      <c r="F771" s="550">
        <v>2220</v>
      </c>
      <c r="G771" s="549">
        <f t="shared" ref="G771:G834" si="36">+LN(F771/F772)</f>
        <v>1.5891367336634661E-2</v>
      </c>
      <c r="H771" s="550">
        <v>1578.06</v>
      </c>
      <c r="I771" s="551">
        <f t="shared" ref="I771:I834" si="37">+LN(H771/H772)</f>
        <v>2.7353208773874749E-2</v>
      </c>
      <c r="L771" s="556">
        <v>13086.2</v>
      </c>
      <c r="M771" s="553">
        <f t="shared" ref="M771:M834" si="38">+LN(L771/L772)</f>
        <v>2.9783820296652302E-2</v>
      </c>
    </row>
    <row r="772" spans="5:13" ht="15.75" thickBot="1">
      <c r="E772" s="557">
        <v>40763</v>
      </c>
      <c r="F772" s="556">
        <v>2185</v>
      </c>
      <c r="G772" s="549">
        <f t="shared" si="36"/>
        <v>-2.4860037319394977E-2</v>
      </c>
      <c r="H772" s="556">
        <v>1535.48</v>
      </c>
      <c r="I772" s="551">
        <f t="shared" si="37"/>
        <v>-3.3695297393816874E-2</v>
      </c>
      <c r="L772" s="550">
        <v>12702.19</v>
      </c>
      <c r="M772" s="553">
        <f t="shared" si="38"/>
        <v>-4.2006505653464046E-2</v>
      </c>
    </row>
    <row r="773" spans="5:13" ht="15.75" thickBot="1">
      <c r="E773" s="552">
        <v>40760</v>
      </c>
      <c r="F773" s="550">
        <v>2240</v>
      </c>
      <c r="G773" s="549">
        <f t="shared" si="36"/>
        <v>-1.5504186535965199E-2</v>
      </c>
      <c r="H773" s="550">
        <v>1588.1</v>
      </c>
      <c r="I773" s="551">
        <f t="shared" si="37"/>
        <v>-8.3461580384665678E-3</v>
      </c>
      <c r="L773" s="556">
        <v>13247.13</v>
      </c>
      <c r="M773" s="553">
        <f t="shared" si="38"/>
        <v>-1.3018111057679041E-2</v>
      </c>
    </row>
    <row r="774" spans="5:13" ht="15.75" thickBot="1">
      <c r="E774" s="557">
        <v>40759</v>
      </c>
      <c r="F774" s="556">
        <v>2275</v>
      </c>
      <c r="G774" s="549">
        <f t="shared" si="36"/>
        <v>-2.6031838717946867E-2</v>
      </c>
      <c r="H774" s="556">
        <v>1601.41</v>
      </c>
      <c r="I774" s="551">
        <f t="shared" si="37"/>
        <v>-3.0841859487488639E-2</v>
      </c>
      <c r="L774" s="550">
        <v>13420.71</v>
      </c>
      <c r="M774" s="553">
        <f t="shared" si="38"/>
        <v>-3.2852050179490895E-2</v>
      </c>
    </row>
    <row r="775" spans="5:13" ht="15.75" thickBot="1">
      <c r="E775" s="552">
        <v>40758</v>
      </c>
      <c r="F775" s="550">
        <v>2335</v>
      </c>
      <c r="G775" s="549">
        <f t="shared" si="36"/>
        <v>-8.5288363475204357E-3</v>
      </c>
      <c r="H775" s="550">
        <v>1651.57</v>
      </c>
      <c r="I775" s="551">
        <f t="shared" si="37"/>
        <v>-4.4766050201273527E-3</v>
      </c>
      <c r="L775" s="556">
        <v>13868.93</v>
      </c>
      <c r="M775" s="553">
        <f t="shared" si="38"/>
        <v>-6.4003012900638251E-3</v>
      </c>
    </row>
    <row r="776" spans="5:13" ht="15.75" thickBot="1">
      <c r="E776" s="557">
        <v>40757</v>
      </c>
      <c r="F776" s="556">
        <v>2355</v>
      </c>
      <c r="G776" s="549">
        <f t="shared" si="36"/>
        <v>4.255325570138491E-3</v>
      </c>
      <c r="H776" s="556">
        <v>1658.98</v>
      </c>
      <c r="I776" s="551">
        <f t="shared" si="37"/>
        <v>-6.3990893145370485E-3</v>
      </c>
      <c r="L776" s="550">
        <v>13957.98</v>
      </c>
      <c r="M776" s="553">
        <f t="shared" si="38"/>
        <v>-1.0160288412822609E-2</v>
      </c>
    </row>
    <row r="777" spans="5:13" ht="15.75" thickBot="1">
      <c r="E777" s="552">
        <v>40756</v>
      </c>
      <c r="F777" s="550">
        <v>2345</v>
      </c>
      <c r="G777" s="549">
        <f t="shared" si="36"/>
        <v>1.0718216220024107E-2</v>
      </c>
      <c r="H777" s="550">
        <v>1669.63</v>
      </c>
      <c r="I777" s="551">
        <f t="shared" si="37"/>
        <v>6.1519800397507882E-3</v>
      </c>
      <c r="L777" s="556">
        <v>14100.52</v>
      </c>
      <c r="M777" s="553">
        <f t="shared" si="38"/>
        <v>4.3504240458671533E-3</v>
      </c>
    </row>
    <row r="778" spans="5:13" ht="15.75" thickBot="1">
      <c r="E778" s="557">
        <v>40753</v>
      </c>
      <c r="F778" s="556">
        <v>2320</v>
      </c>
      <c r="G778" s="549">
        <f t="shared" si="36"/>
        <v>8.6580627431145311E-3</v>
      </c>
      <c r="H778" s="556">
        <v>1659.39</v>
      </c>
      <c r="I778" s="551">
        <f t="shared" si="37"/>
        <v>-7.1636684182925662E-3</v>
      </c>
      <c r="L778" s="550">
        <v>14039.31</v>
      </c>
      <c r="M778" s="553">
        <f t="shared" si="38"/>
        <v>-2.1395526771909724E-3</v>
      </c>
    </row>
    <row r="779" spans="5:13" ht="15.75" thickBot="1">
      <c r="E779" s="552">
        <v>40752</v>
      </c>
      <c r="F779" s="550">
        <v>2300</v>
      </c>
      <c r="G779" s="549">
        <f t="shared" si="36"/>
        <v>2.1762794225954484E-3</v>
      </c>
      <c r="H779" s="550">
        <v>1671.32</v>
      </c>
      <c r="I779" s="551">
        <f t="shared" si="37"/>
        <v>1.1269979178025732E-2</v>
      </c>
      <c r="L779" s="556">
        <v>14069.38</v>
      </c>
      <c r="M779" s="553">
        <f t="shared" si="38"/>
        <v>8.8145294534042601E-3</v>
      </c>
    </row>
    <row r="780" spans="5:13" ht="15.75" thickBot="1">
      <c r="E780" s="557">
        <v>40751</v>
      </c>
      <c r="F780" s="556">
        <v>2295</v>
      </c>
      <c r="G780" s="549">
        <f t="shared" si="36"/>
        <v>-2.1762794225955173E-3</v>
      </c>
      <c r="H780" s="556">
        <v>1652.59</v>
      </c>
      <c r="I780" s="551">
        <f t="shared" si="37"/>
        <v>-7.0308173030764363E-3</v>
      </c>
      <c r="L780" s="550">
        <v>13945.91</v>
      </c>
      <c r="M780" s="553">
        <f t="shared" si="38"/>
        <v>-7.6204451132970748E-3</v>
      </c>
    </row>
    <row r="781" spans="5:13" ht="15.75" thickBot="1">
      <c r="E781" s="552">
        <v>40750</v>
      </c>
      <c r="F781" s="550">
        <v>2300</v>
      </c>
      <c r="G781" s="549">
        <f t="shared" si="36"/>
        <v>4.3573053689556262E-3</v>
      </c>
      <c r="H781" s="550">
        <v>1664.25</v>
      </c>
      <c r="I781" s="551">
        <f t="shared" si="37"/>
        <v>5.1627709232032765E-3</v>
      </c>
      <c r="L781" s="556">
        <v>14052.59</v>
      </c>
      <c r="M781" s="553">
        <f t="shared" si="38"/>
        <v>1.2440621807713288E-2</v>
      </c>
    </row>
    <row r="782" spans="5:13" ht="15.75" thickBot="1">
      <c r="E782" s="557">
        <v>40749</v>
      </c>
      <c r="F782" s="556">
        <v>2290</v>
      </c>
      <c r="G782" s="549">
        <f t="shared" si="36"/>
        <v>-4.3573053689557007E-3</v>
      </c>
      <c r="H782" s="556">
        <v>1655.68</v>
      </c>
      <c r="I782" s="551">
        <f t="shared" si="37"/>
        <v>6.0398985330982974E-3</v>
      </c>
      <c r="L782" s="550">
        <v>13878.85</v>
      </c>
      <c r="M782" s="553">
        <f t="shared" si="38"/>
        <v>4.0394614837800848E-3</v>
      </c>
    </row>
    <row r="783" spans="5:13" ht="15.75" thickBot="1">
      <c r="E783" s="552">
        <v>40746</v>
      </c>
      <c r="F783" s="550">
        <v>2300</v>
      </c>
      <c r="G783" s="549">
        <f t="shared" si="36"/>
        <v>8.7336799687546315E-3</v>
      </c>
      <c r="H783" s="550">
        <v>1645.71</v>
      </c>
      <c r="I783" s="551">
        <f t="shared" si="37"/>
        <v>-9.7782293406482152E-4</v>
      </c>
      <c r="L783" s="556">
        <v>13822.9</v>
      </c>
      <c r="M783" s="553">
        <f t="shared" si="38"/>
        <v>-4.187157338658291E-3</v>
      </c>
    </row>
    <row r="784" spans="5:13" ht="15.75" thickBot="1">
      <c r="E784" s="557">
        <v>40745</v>
      </c>
      <c r="F784" s="556">
        <v>2280</v>
      </c>
      <c r="G784" s="549">
        <f t="shared" si="36"/>
        <v>-1.0905233482262468E-2</v>
      </c>
      <c r="H784" s="556">
        <v>1647.32</v>
      </c>
      <c r="I784" s="551">
        <f t="shared" si="37"/>
        <v>1.167461481869893E-2</v>
      </c>
      <c r="L784" s="550">
        <v>13880.9</v>
      </c>
      <c r="M784" s="553">
        <f t="shared" si="38"/>
        <v>2.1104513940907729E-2</v>
      </c>
    </row>
    <row r="785" spans="5:13" ht="15.75" thickBot="1">
      <c r="E785" s="552">
        <v>40743</v>
      </c>
      <c r="F785" s="550">
        <v>2305</v>
      </c>
      <c r="G785" s="549">
        <f t="shared" si="36"/>
        <v>3.5323760830408259E-2</v>
      </c>
      <c r="H785" s="550">
        <v>1628.2</v>
      </c>
      <c r="I785" s="551">
        <f t="shared" si="37"/>
        <v>2.418144243710359E-2</v>
      </c>
      <c r="L785" s="556">
        <v>13591.02</v>
      </c>
      <c r="M785" s="553">
        <f t="shared" si="38"/>
        <v>3.0016275040255797E-2</v>
      </c>
    </row>
    <row r="786" spans="5:13" ht="15.75" thickBot="1">
      <c r="E786" s="557">
        <v>40742</v>
      </c>
      <c r="F786" s="556">
        <v>2225</v>
      </c>
      <c r="G786" s="549">
        <f t="shared" si="36"/>
        <v>-6.7189502487449808E-3</v>
      </c>
      <c r="H786" s="556">
        <v>1589.3</v>
      </c>
      <c r="I786" s="551">
        <f t="shared" si="37"/>
        <v>3.2961833856449611E-3</v>
      </c>
      <c r="L786" s="550">
        <v>13189.13</v>
      </c>
      <c r="M786" s="553">
        <f t="shared" si="38"/>
        <v>4.1788197994165202E-3</v>
      </c>
    </row>
    <row r="787" spans="5:13" ht="15.75" thickBot="1">
      <c r="E787" s="552">
        <v>40739</v>
      </c>
      <c r="F787" s="550">
        <v>2240</v>
      </c>
      <c r="G787" s="549">
        <f t="shared" si="36"/>
        <v>2.02938193398139E-2</v>
      </c>
      <c r="H787" s="550">
        <v>1584.07</v>
      </c>
      <c r="I787" s="551">
        <f t="shared" si="37"/>
        <v>-6.8786427174970699E-4</v>
      </c>
      <c r="L787" s="556">
        <v>13134.13</v>
      </c>
      <c r="M787" s="553">
        <f t="shared" si="38"/>
        <v>0</v>
      </c>
    </row>
    <row r="788" spans="5:13" ht="15.75" thickBot="1">
      <c r="E788" s="557">
        <v>40738</v>
      </c>
      <c r="F788" s="556">
        <v>2195</v>
      </c>
      <c r="G788" s="549">
        <f t="shared" si="36"/>
        <v>-2.2753138371355394E-3</v>
      </c>
      <c r="H788" s="556">
        <v>1585.16</v>
      </c>
      <c r="I788" s="551">
        <f t="shared" si="37"/>
        <v>-1.6070433461527363E-2</v>
      </c>
      <c r="L788" s="550">
        <v>13134.13</v>
      </c>
      <c r="M788" s="553">
        <f t="shared" si="38"/>
        <v>-1.5830927071806992E-2</v>
      </c>
    </row>
    <row r="789" spans="5:13" ht="15.75" thickBot="1">
      <c r="E789" s="552">
        <v>40737</v>
      </c>
      <c r="F789" s="550">
        <v>2200</v>
      </c>
      <c r="G789" s="549">
        <f t="shared" si="36"/>
        <v>-2.0248160829947424E-2</v>
      </c>
      <c r="H789" s="550">
        <v>1610.84</v>
      </c>
      <c r="I789" s="551">
        <f t="shared" si="37"/>
        <v>8.0717731385515877E-3</v>
      </c>
      <c r="L789" s="556">
        <v>13343.71</v>
      </c>
      <c r="M789" s="553">
        <f t="shared" si="38"/>
        <v>5.41116411195582E-3</v>
      </c>
    </row>
    <row r="790" spans="5:13" ht="15.75" thickBot="1">
      <c r="E790" s="557">
        <v>40736</v>
      </c>
      <c r="F790" s="556">
        <v>2245</v>
      </c>
      <c r="G790" s="549">
        <f t="shared" si="36"/>
        <v>-2.4203601740886364E-2</v>
      </c>
      <c r="H790" s="556">
        <v>1597.89</v>
      </c>
      <c r="I790" s="551">
        <f t="shared" si="37"/>
        <v>-9.2071815576945711E-3</v>
      </c>
      <c r="L790" s="550">
        <v>13271.7</v>
      </c>
      <c r="M790" s="553">
        <f t="shared" si="38"/>
        <v>-7.5581848984612818E-3</v>
      </c>
    </row>
    <row r="791" spans="5:13" ht="15.75" thickBot="1">
      <c r="E791" s="552">
        <v>40735</v>
      </c>
      <c r="F791" s="550">
        <v>2300</v>
      </c>
      <c r="G791" s="549">
        <f t="shared" si="36"/>
        <v>-1.510276818575663E-2</v>
      </c>
      <c r="H791" s="550">
        <v>1612.67</v>
      </c>
      <c r="I791" s="551">
        <f t="shared" si="37"/>
        <v>-2.6731233153938137E-2</v>
      </c>
      <c r="L791" s="556">
        <v>13372.39</v>
      </c>
      <c r="M791" s="553">
        <f t="shared" si="38"/>
        <v>-2.7165003718607545E-2</v>
      </c>
    </row>
    <row r="792" spans="5:13" ht="15.75" thickBot="1">
      <c r="E792" s="557">
        <v>40732</v>
      </c>
      <c r="F792" s="556">
        <v>2335</v>
      </c>
      <c r="G792" s="549">
        <f t="shared" si="36"/>
        <v>-4.2735107773820497E-3</v>
      </c>
      <c r="H792" s="556">
        <v>1656.36</v>
      </c>
      <c r="I792" s="551">
        <f t="shared" si="37"/>
        <v>-1.0509912909465251E-2</v>
      </c>
      <c r="L792" s="550">
        <v>13740.63</v>
      </c>
      <c r="M792" s="553">
        <f t="shared" si="38"/>
        <v>-7.6869110446528399E-3</v>
      </c>
    </row>
    <row r="793" spans="5:13" ht="15.75" thickBot="1">
      <c r="E793" s="552">
        <v>40731</v>
      </c>
      <c r="F793" s="550">
        <v>2345</v>
      </c>
      <c r="G793" s="549">
        <f t="shared" si="36"/>
        <v>-2.1299262578248533E-3</v>
      </c>
      <c r="H793" s="550">
        <v>1673.86</v>
      </c>
      <c r="I793" s="551">
        <f t="shared" si="37"/>
        <v>-2.1126390173588747E-3</v>
      </c>
      <c r="L793" s="556">
        <v>13846.66</v>
      </c>
      <c r="M793" s="553">
        <f t="shared" si="38"/>
        <v>-1.3950310154288079E-3</v>
      </c>
    </row>
    <row r="794" spans="5:13" ht="15.75" thickBot="1">
      <c r="E794" s="557">
        <v>40730</v>
      </c>
      <c r="F794" s="556">
        <v>2350</v>
      </c>
      <c r="G794" s="549">
        <f t="shared" si="36"/>
        <v>-1.2685159527315687E-2</v>
      </c>
      <c r="H794" s="556">
        <v>1677.4</v>
      </c>
      <c r="I794" s="551">
        <f t="shared" si="37"/>
        <v>-2.2762680441332263E-2</v>
      </c>
      <c r="L794" s="550">
        <v>13865.99</v>
      </c>
      <c r="M794" s="553">
        <f t="shared" si="38"/>
        <v>-2.0926216417228184E-2</v>
      </c>
    </row>
    <row r="795" spans="5:13" ht="15.75" thickBot="1">
      <c r="E795" s="552">
        <v>40729</v>
      </c>
      <c r="F795" s="550">
        <v>2380</v>
      </c>
      <c r="G795" s="549">
        <f t="shared" si="36"/>
        <v>0</v>
      </c>
      <c r="H795" s="550">
        <v>1716.02</v>
      </c>
      <c r="I795" s="551">
        <f t="shared" si="37"/>
        <v>5.2526376591930674E-3</v>
      </c>
      <c r="L795" s="556">
        <v>14159.21</v>
      </c>
      <c r="M795" s="553">
        <f t="shared" si="38"/>
        <v>1.0195727757119265E-2</v>
      </c>
    </row>
    <row r="796" spans="5:13" ht="15.75" thickBot="1">
      <c r="E796" s="557">
        <v>40725</v>
      </c>
      <c r="F796" s="556">
        <v>2380</v>
      </c>
      <c r="G796" s="549">
        <f t="shared" si="36"/>
        <v>4.2105325363434578E-3</v>
      </c>
      <c r="H796" s="556">
        <v>1707.03</v>
      </c>
      <c r="I796" s="551">
        <f t="shared" si="37"/>
        <v>2.2696692332835767E-3</v>
      </c>
      <c r="L796" s="550">
        <v>14015.58</v>
      </c>
      <c r="M796" s="553">
        <f t="shared" si="38"/>
        <v>-3.7139539423264338E-3</v>
      </c>
    </row>
    <row r="797" spans="5:13" ht="15.75" thickBot="1">
      <c r="E797" s="552">
        <v>40724</v>
      </c>
      <c r="F797" s="550">
        <v>2370</v>
      </c>
      <c r="G797" s="549">
        <f t="shared" si="36"/>
        <v>-1.6736792355523864E-2</v>
      </c>
      <c r="H797" s="550">
        <v>1703.16</v>
      </c>
      <c r="I797" s="551">
        <f t="shared" si="37"/>
        <v>-9.2050198921158708E-3</v>
      </c>
      <c r="L797" s="556">
        <v>14067.73</v>
      </c>
      <c r="M797" s="553">
        <f t="shared" si="38"/>
        <v>-9.6640297795804846E-3</v>
      </c>
    </row>
    <row r="798" spans="5:13" ht="15.75" thickBot="1">
      <c r="E798" s="557">
        <v>40723</v>
      </c>
      <c r="F798" s="556">
        <v>2410</v>
      </c>
      <c r="G798" s="549">
        <f t="shared" si="36"/>
        <v>2.0768439448390691E-3</v>
      </c>
      <c r="H798" s="556">
        <v>1718.91</v>
      </c>
      <c r="I798" s="551">
        <f t="shared" si="37"/>
        <v>4.3669337369426431E-3</v>
      </c>
      <c r="L798" s="550">
        <v>14204.34</v>
      </c>
      <c r="M798" s="553">
        <f t="shared" si="38"/>
        <v>4.7032709274760299E-3</v>
      </c>
    </row>
    <row r="799" spans="5:13" ht="15.75" thickBot="1">
      <c r="E799" s="552">
        <v>40722</v>
      </c>
      <c r="F799" s="550">
        <v>2405</v>
      </c>
      <c r="G799" s="549">
        <f t="shared" si="36"/>
        <v>1.044941587434114E-2</v>
      </c>
      <c r="H799" s="550">
        <v>1711.42</v>
      </c>
      <c r="I799" s="551">
        <f t="shared" si="37"/>
        <v>7.4234930650130828E-4</v>
      </c>
      <c r="L799" s="556">
        <v>14137.69</v>
      </c>
      <c r="M799" s="553">
        <f t="shared" si="38"/>
        <v>4.2236467536827552E-4</v>
      </c>
    </row>
    <row r="800" spans="5:13" ht="15.75" thickBot="1">
      <c r="E800" s="557">
        <v>40718</v>
      </c>
      <c r="F800" s="556">
        <v>2380</v>
      </c>
      <c r="G800" s="549">
        <f t="shared" si="36"/>
        <v>-1.2526259819180256E-2</v>
      </c>
      <c r="H800" s="556">
        <v>1710.15</v>
      </c>
      <c r="I800" s="551">
        <f t="shared" si="37"/>
        <v>-1.6534578848890669E-3</v>
      </c>
      <c r="L800" s="550">
        <v>14131.72</v>
      </c>
      <c r="M800" s="553">
        <f t="shared" si="38"/>
        <v>-5.8744220268078023E-3</v>
      </c>
    </row>
    <row r="801" spans="5:13" ht="15.75" thickBot="1">
      <c r="E801" s="552">
        <v>40717</v>
      </c>
      <c r="F801" s="550">
        <v>2410</v>
      </c>
      <c r="G801" s="549">
        <f t="shared" si="36"/>
        <v>6.2435166396850204E-3</v>
      </c>
      <c r="H801" s="550">
        <v>1712.98</v>
      </c>
      <c r="I801" s="551">
        <f t="shared" si="37"/>
        <v>-5.0253556680539607E-3</v>
      </c>
      <c r="L801" s="556">
        <v>14214.98</v>
      </c>
      <c r="M801" s="553">
        <f t="shared" si="38"/>
        <v>-4.1503681315470664E-3</v>
      </c>
    </row>
    <row r="802" spans="5:13" ht="15.75" thickBot="1">
      <c r="E802" s="557">
        <v>40716</v>
      </c>
      <c r="F802" s="556">
        <v>2395</v>
      </c>
      <c r="G802" s="549">
        <f t="shared" si="36"/>
        <v>4.1841065225740907E-3</v>
      </c>
      <c r="H802" s="556">
        <v>1721.61</v>
      </c>
      <c r="I802" s="551">
        <f t="shared" si="37"/>
        <v>7.1935207368677544E-3</v>
      </c>
      <c r="L802" s="550">
        <v>14274.1</v>
      </c>
      <c r="M802" s="553">
        <f t="shared" si="38"/>
        <v>5.3540485822026014E-3</v>
      </c>
    </row>
    <row r="803" spans="5:13" ht="15.75" thickBot="1">
      <c r="E803" s="552">
        <v>40715</v>
      </c>
      <c r="F803" s="550">
        <v>2385</v>
      </c>
      <c r="G803" s="549">
        <f t="shared" si="36"/>
        <v>0</v>
      </c>
      <c r="H803" s="550">
        <v>1709.27</v>
      </c>
      <c r="I803" s="551">
        <f t="shared" si="37"/>
        <v>7.2043925296874731E-3</v>
      </c>
      <c r="L803" s="556">
        <v>14197.88</v>
      </c>
      <c r="M803" s="553">
        <f t="shared" si="38"/>
        <v>9.8690192021689445E-3</v>
      </c>
    </row>
    <row r="804" spans="5:13" ht="15.75" thickBot="1">
      <c r="E804" s="557">
        <v>40714</v>
      </c>
      <c r="F804" s="556">
        <v>2385</v>
      </c>
      <c r="G804" s="549">
        <f t="shared" si="36"/>
        <v>-2.0942416031147371E-3</v>
      </c>
      <c r="H804" s="556">
        <v>1697</v>
      </c>
      <c r="I804" s="551">
        <f t="shared" si="37"/>
        <v>-3.2005298776681427E-3</v>
      </c>
      <c r="L804" s="550">
        <v>14058.45</v>
      </c>
      <c r="M804" s="553">
        <f t="shared" si="38"/>
        <v>1.9430678166157216E-3</v>
      </c>
    </row>
    <row r="805" spans="5:13" ht="15.75" thickBot="1">
      <c r="E805" s="552">
        <v>40711</v>
      </c>
      <c r="F805" s="550">
        <v>2390</v>
      </c>
      <c r="G805" s="549">
        <f t="shared" si="36"/>
        <v>0</v>
      </c>
      <c r="H805" s="550">
        <v>1702.44</v>
      </c>
      <c r="I805" s="551">
        <f t="shared" si="37"/>
        <v>5.8168743873325405E-4</v>
      </c>
      <c r="L805" s="556">
        <v>14031.16</v>
      </c>
      <c r="M805" s="553">
        <f t="shared" si="38"/>
        <v>3.5926505022638538E-4</v>
      </c>
    </row>
    <row r="806" spans="5:13" ht="15.75" thickBot="1">
      <c r="E806" s="557">
        <v>40710</v>
      </c>
      <c r="F806" s="556">
        <v>2390</v>
      </c>
      <c r="G806" s="549">
        <f t="shared" si="36"/>
        <v>-4.1753714104806215E-3</v>
      </c>
      <c r="H806" s="556">
        <v>1701.45</v>
      </c>
      <c r="I806" s="551">
        <f t="shared" si="37"/>
        <v>-3.1145050979994662E-4</v>
      </c>
      <c r="L806" s="550">
        <v>14026.12</v>
      </c>
      <c r="M806" s="553">
        <f t="shared" si="38"/>
        <v>-3.1008757905749077E-4</v>
      </c>
    </row>
    <row r="807" spans="5:13" ht="15.75" thickBot="1">
      <c r="E807" s="552">
        <v>40709</v>
      </c>
      <c r="F807" s="550">
        <v>2400</v>
      </c>
      <c r="G807" s="549">
        <f t="shared" si="36"/>
        <v>-6.2305497506360864E-3</v>
      </c>
      <c r="H807" s="550">
        <v>1701.98</v>
      </c>
      <c r="I807" s="551">
        <f t="shared" si="37"/>
        <v>-1.6149922500837518E-2</v>
      </c>
      <c r="L807" s="556">
        <v>14030.47</v>
      </c>
      <c r="M807" s="553">
        <f t="shared" si="38"/>
        <v>-1.7131241190648121E-2</v>
      </c>
    </row>
    <row r="808" spans="5:13" ht="15.75" thickBot="1">
      <c r="E808" s="557">
        <v>40708</v>
      </c>
      <c r="F808" s="556">
        <v>2415</v>
      </c>
      <c r="G808" s="549">
        <f t="shared" si="36"/>
        <v>2.0725396019723751E-3</v>
      </c>
      <c r="H808" s="556">
        <v>1729.69</v>
      </c>
      <c r="I808" s="551">
        <f t="shared" si="37"/>
        <v>-1.7920680802587061E-4</v>
      </c>
      <c r="L808" s="550">
        <v>14272.9</v>
      </c>
      <c r="M808" s="553">
        <f t="shared" si="38"/>
        <v>1.7271385516528447E-3</v>
      </c>
    </row>
    <row r="809" spans="5:13" ht="15.75" thickBot="1">
      <c r="E809" s="552">
        <v>40707</v>
      </c>
      <c r="F809" s="550">
        <v>2410</v>
      </c>
      <c r="G809" s="549">
        <f t="shared" si="36"/>
        <v>-4.1407926660313879E-3</v>
      </c>
      <c r="H809" s="550">
        <v>1730</v>
      </c>
      <c r="I809" s="551">
        <f t="shared" si="37"/>
        <v>-1.2505296847917746E-2</v>
      </c>
      <c r="L809" s="556">
        <v>14248.27</v>
      </c>
      <c r="M809" s="553">
        <f t="shared" si="38"/>
        <v>-1.1048856695685973E-2</v>
      </c>
    </row>
    <row r="810" spans="5:13" ht="15.75" thickBot="1">
      <c r="E810" s="557">
        <v>40704</v>
      </c>
      <c r="F810" s="556">
        <v>2420</v>
      </c>
      <c r="G810" s="549">
        <f t="shared" si="36"/>
        <v>0</v>
      </c>
      <c r="H810" s="556">
        <v>1751.77</v>
      </c>
      <c r="I810" s="551">
        <f t="shared" si="37"/>
        <v>-8.1598420491177099E-4</v>
      </c>
      <c r="L810" s="550">
        <v>14406.57</v>
      </c>
      <c r="M810" s="553">
        <f t="shared" si="38"/>
        <v>-1.2167595189571168E-3</v>
      </c>
    </row>
    <row r="811" spans="5:13" ht="15.75" thickBot="1">
      <c r="E811" s="552">
        <v>40703</v>
      </c>
      <c r="F811" s="550">
        <v>2420</v>
      </c>
      <c r="G811" s="549">
        <f t="shared" si="36"/>
        <v>-8.23049913651548E-3</v>
      </c>
      <c r="H811" s="550">
        <v>1753.2</v>
      </c>
      <c r="I811" s="551">
        <f t="shared" si="37"/>
        <v>-1.5103805894904887E-3</v>
      </c>
      <c r="L811" s="556">
        <v>14424.11</v>
      </c>
      <c r="M811" s="553">
        <f t="shared" si="38"/>
        <v>-1.0102970772170423E-3</v>
      </c>
    </row>
    <row r="812" spans="5:13" ht="15.75" thickBot="1">
      <c r="E812" s="557">
        <v>40702</v>
      </c>
      <c r="F812" s="556">
        <v>2440</v>
      </c>
      <c r="G812" s="549">
        <f t="shared" si="36"/>
        <v>-4.0899852515251661E-3</v>
      </c>
      <c r="H812" s="556">
        <v>1755.85</v>
      </c>
      <c r="I812" s="551">
        <f t="shared" si="37"/>
        <v>3.2515716041300684E-3</v>
      </c>
      <c r="L812" s="550">
        <v>14438.69</v>
      </c>
      <c r="M812" s="553">
        <f t="shared" si="38"/>
        <v>1.5623032104575033E-3</v>
      </c>
    </row>
    <row r="813" spans="5:13" ht="15.75" thickBot="1">
      <c r="E813" s="552">
        <v>40701</v>
      </c>
      <c r="F813" s="550">
        <v>2450</v>
      </c>
      <c r="G813" s="549">
        <f t="shared" si="36"/>
        <v>-4.0733253876357864E-3</v>
      </c>
      <c r="H813" s="550">
        <v>1750.15</v>
      </c>
      <c r="I813" s="551">
        <f t="shared" si="37"/>
        <v>-1.8039314602883874E-3</v>
      </c>
      <c r="L813" s="556">
        <v>14416.15</v>
      </c>
      <c r="M813" s="553">
        <f t="shared" si="38"/>
        <v>-1.9313821549543908E-3</v>
      </c>
    </row>
    <row r="814" spans="5:13" ht="15.75" thickBot="1">
      <c r="E814" s="557">
        <v>40697</v>
      </c>
      <c r="F814" s="556">
        <v>2460</v>
      </c>
      <c r="G814" s="549">
        <f t="shared" si="36"/>
        <v>0</v>
      </c>
      <c r="H814" s="556">
        <v>1753.31</v>
      </c>
      <c r="I814" s="551">
        <f t="shared" si="37"/>
        <v>3.251522397124774E-4</v>
      </c>
      <c r="L814" s="550">
        <v>14444.02</v>
      </c>
      <c r="M814" s="553">
        <f t="shared" si="38"/>
        <v>6.8542824579741329E-5</v>
      </c>
    </row>
    <row r="815" spans="5:13" ht="15.75" thickBot="1">
      <c r="E815" s="552">
        <v>40696</v>
      </c>
      <c r="F815" s="550">
        <v>2460</v>
      </c>
      <c r="G815" s="549">
        <f t="shared" si="36"/>
        <v>-1.4127379259210565E-2</v>
      </c>
      <c r="H815" s="550">
        <v>1752.74</v>
      </c>
      <c r="I815" s="551">
        <f t="shared" si="37"/>
        <v>-5.1334996193498465E-4</v>
      </c>
      <c r="L815" s="556">
        <v>14443.03</v>
      </c>
      <c r="M815" s="553">
        <f t="shared" si="38"/>
        <v>-1.3658160693474151E-3</v>
      </c>
    </row>
    <row r="816" spans="5:13" ht="15.75" thickBot="1">
      <c r="E816" s="557">
        <v>40695</v>
      </c>
      <c r="F816" s="556">
        <v>2495</v>
      </c>
      <c r="G816" s="549">
        <f t="shared" si="36"/>
        <v>0</v>
      </c>
      <c r="H816" s="556">
        <v>1753.64</v>
      </c>
      <c r="I816" s="551">
        <f t="shared" si="37"/>
        <v>-3.8474282244109308E-3</v>
      </c>
      <c r="L816" s="550">
        <v>14462.77</v>
      </c>
      <c r="M816" s="553">
        <f t="shared" si="38"/>
        <v>-6.048970493489958E-3</v>
      </c>
    </row>
    <row r="817" spans="5:13" ht="15.75" thickBot="1">
      <c r="E817" s="552">
        <v>40694</v>
      </c>
      <c r="F817" s="550">
        <v>2495</v>
      </c>
      <c r="G817" s="549">
        <f t="shared" si="36"/>
        <v>3.8819991849582021E-2</v>
      </c>
      <c r="H817" s="550">
        <v>1760.4</v>
      </c>
      <c r="I817" s="551">
        <f t="shared" si="37"/>
        <v>1.2880830528257697E-2</v>
      </c>
      <c r="L817" s="556">
        <v>14550.52</v>
      </c>
      <c r="M817" s="553">
        <f t="shared" si="38"/>
        <v>1.1200235401169824E-2</v>
      </c>
    </row>
    <row r="818" spans="5:13" ht="15.75" thickBot="1">
      <c r="E818" s="557">
        <v>40693</v>
      </c>
      <c r="F818" s="556">
        <v>2400</v>
      </c>
      <c r="G818" s="549">
        <f t="shared" si="36"/>
        <v>-4.158010148663677E-3</v>
      </c>
      <c r="H818" s="556">
        <v>1737.87</v>
      </c>
      <c r="I818" s="551">
        <f t="shared" si="37"/>
        <v>3.3718680088574158E-3</v>
      </c>
      <c r="L818" s="550">
        <v>14388.46</v>
      </c>
      <c r="M818" s="553">
        <f t="shared" si="38"/>
        <v>3.506166529543817E-3</v>
      </c>
    </row>
    <row r="819" spans="5:13" ht="15.75" thickBot="1">
      <c r="E819" s="552">
        <v>40690</v>
      </c>
      <c r="F819" s="550">
        <v>2410</v>
      </c>
      <c r="G819" s="549">
        <f t="shared" si="36"/>
        <v>-8.2645098498934245E-3</v>
      </c>
      <c r="H819" s="550">
        <v>1732.02</v>
      </c>
      <c r="I819" s="551">
        <f t="shared" si="37"/>
        <v>-6.8105346593313922E-4</v>
      </c>
      <c r="L819" s="556">
        <v>14338.1</v>
      </c>
      <c r="M819" s="553">
        <f t="shared" si="38"/>
        <v>-4.0582916265154194E-4</v>
      </c>
    </row>
    <row r="820" spans="5:13" ht="15.75" thickBot="1">
      <c r="E820" s="557">
        <v>40689</v>
      </c>
      <c r="F820" s="556">
        <v>2430</v>
      </c>
      <c r="G820" s="549">
        <f t="shared" si="36"/>
        <v>1.0341353794732531E-2</v>
      </c>
      <c r="H820" s="556">
        <v>1733.2</v>
      </c>
      <c r="I820" s="551">
        <f t="shared" si="37"/>
        <v>8.8551541799289923E-3</v>
      </c>
      <c r="L820" s="550">
        <v>14343.92</v>
      </c>
      <c r="M820" s="553">
        <f t="shared" si="38"/>
        <v>1.1491522284841038E-2</v>
      </c>
    </row>
    <row r="821" spans="5:13" ht="15.75" thickBot="1">
      <c r="E821" s="552">
        <v>40688</v>
      </c>
      <c r="F821" s="550">
        <v>2405</v>
      </c>
      <c r="G821" s="549">
        <f t="shared" si="36"/>
        <v>6.2565376143051375E-3</v>
      </c>
      <c r="H821" s="550">
        <v>1717.92</v>
      </c>
      <c r="I821" s="551">
        <f t="shared" si="37"/>
        <v>-2.046893159773622E-3</v>
      </c>
      <c r="L821" s="556">
        <v>14180.03</v>
      </c>
      <c r="M821" s="553">
        <f t="shared" si="38"/>
        <v>2.2514700717469142E-3</v>
      </c>
    </row>
    <row r="822" spans="5:13" ht="15.75" thickBot="1">
      <c r="E822" s="557">
        <v>40687</v>
      </c>
      <c r="F822" s="556">
        <v>2390</v>
      </c>
      <c r="G822" s="549">
        <f t="shared" si="36"/>
        <v>6.2959284568148309E-3</v>
      </c>
      <c r="H822" s="556">
        <v>1721.44</v>
      </c>
      <c r="I822" s="551">
        <f t="shared" si="37"/>
        <v>7.2117869433187117E-3</v>
      </c>
      <c r="L822" s="550">
        <v>14148.14</v>
      </c>
      <c r="M822" s="553">
        <f t="shared" si="38"/>
        <v>1.408243228559646E-3</v>
      </c>
    </row>
    <row r="823" spans="5:13" ht="15.75" thickBot="1">
      <c r="E823" s="552">
        <v>40686</v>
      </c>
      <c r="F823" s="550">
        <v>2375</v>
      </c>
      <c r="G823" s="549">
        <f t="shared" si="36"/>
        <v>-4.2016868536999697E-3</v>
      </c>
      <c r="H823" s="550">
        <v>1709.07</v>
      </c>
      <c r="I823" s="551">
        <f t="shared" si="37"/>
        <v>-8.363625153791069E-4</v>
      </c>
      <c r="L823" s="556">
        <v>14128.23</v>
      </c>
      <c r="M823" s="553">
        <f t="shared" si="38"/>
        <v>-8.4932722718110095E-5</v>
      </c>
    </row>
    <row r="824" spans="5:13" ht="15.75" thickBot="1">
      <c r="E824" s="557">
        <v>40683</v>
      </c>
      <c r="F824" s="556">
        <v>2385</v>
      </c>
      <c r="G824" s="549">
        <f t="shared" si="36"/>
        <v>6.3091691932647556E-3</v>
      </c>
      <c r="H824" s="556">
        <v>1710.5</v>
      </c>
      <c r="I824" s="551">
        <f t="shared" si="37"/>
        <v>2.5580776279663883E-3</v>
      </c>
      <c r="L824" s="550">
        <v>14129.43</v>
      </c>
      <c r="M824" s="553">
        <f t="shared" si="38"/>
        <v>1.0090421647932894E-3</v>
      </c>
    </row>
    <row r="825" spans="5:13" ht="15.75" thickBot="1">
      <c r="E825" s="552">
        <v>40682</v>
      </c>
      <c r="F825" s="550">
        <v>2370</v>
      </c>
      <c r="G825" s="549">
        <f t="shared" si="36"/>
        <v>-1.0493275715838768E-2</v>
      </c>
      <c r="H825" s="550">
        <v>1706.13</v>
      </c>
      <c r="I825" s="551">
        <f t="shared" si="37"/>
        <v>-2.6574588338929696E-3</v>
      </c>
      <c r="L825" s="556">
        <v>14115.18</v>
      </c>
      <c r="M825" s="553">
        <f t="shared" si="38"/>
        <v>-6.6331979565993132E-3</v>
      </c>
    </row>
    <row r="826" spans="5:13" ht="15.75" thickBot="1">
      <c r="E826" s="557">
        <v>40681</v>
      </c>
      <c r="F826" s="556">
        <v>2395</v>
      </c>
      <c r="G826" s="549">
        <f t="shared" si="36"/>
        <v>2.0898649194592365E-3</v>
      </c>
      <c r="H826" s="556">
        <v>1710.67</v>
      </c>
      <c r="I826" s="551">
        <f t="shared" si="37"/>
        <v>-1.4486745411397539E-3</v>
      </c>
      <c r="L826" s="550">
        <v>14209.12</v>
      </c>
      <c r="M826" s="553">
        <f t="shared" si="38"/>
        <v>-2.5331879262107948E-3</v>
      </c>
    </row>
    <row r="827" spans="5:13" ht="15.75" thickBot="1">
      <c r="E827" s="552">
        <v>40680</v>
      </c>
      <c r="F827" s="550">
        <v>2390</v>
      </c>
      <c r="G827" s="549">
        <f t="shared" si="36"/>
        <v>2.0942416031146851E-3</v>
      </c>
      <c r="H827" s="550">
        <v>1713.15</v>
      </c>
      <c r="I827" s="551">
        <f t="shared" si="37"/>
        <v>7.6878832173024169E-3</v>
      </c>
      <c r="L827" s="556">
        <v>14245.16</v>
      </c>
      <c r="M827" s="553">
        <f t="shared" si="38"/>
        <v>5.7214318462739449E-3</v>
      </c>
    </row>
    <row r="828" spans="5:13" ht="15.75" thickBot="1">
      <c r="E828" s="557">
        <v>40679</v>
      </c>
      <c r="F828" s="556">
        <v>2385</v>
      </c>
      <c r="G828" s="549">
        <f t="shared" si="36"/>
        <v>-1.2500162764231494E-2</v>
      </c>
      <c r="H828" s="556">
        <v>1700.03</v>
      </c>
      <c r="I828" s="551">
        <f t="shared" si="37"/>
        <v>-3.9509384227134955E-3</v>
      </c>
      <c r="L828" s="550">
        <v>14163.89</v>
      </c>
      <c r="M828" s="553">
        <f t="shared" si="38"/>
        <v>-6.9421539637028098E-3</v>
      </c>
    </row>
    <row r="829" spans="5:13" ht="15.75" thickBot="1">
      <c r="E829" s="552">
        <v>40676</v>
      </c>
      <c r="F829" s="550">
        <v>2415</v>
      </c>
      <c r="G829" s="549">
        <f t="shared" si="36"/>
        <v>0</v>
      </c>
      <c r="H829" s="550">
        <v>1706.76</v>
      </c>
      <c r="I829" s="551">
        <f t="shared" si="37"/>
        <v>2.1878188907937684E-3</v>
      </c>
      <c r="L829" s="556">
        <v>14262.56</v>
      </c>
      <c r="M829" s="553">
        <f t="shared" si="38"/>
        <v>-9.8321086158750966E-4</v>
      </c>
    </row>
    <row r="830" spans="5:13" ht="15.75" thickBot="1">
      <c r="E830" s="557">
        <v>40675</v>
      </c>
      <c r="F830" s="556">
        <v>2415</v>
      </c>
      <c r="G830" s="549">
        <f t="shared" si="36"/>
        <v>-2.0682530640590683E-3</v>
      </c>
      <c r="H830" s="556">
        <v>1703.03</v>
      </c>
      <c r="I830" s="551">
        <f t="shared" si="37"/>
        <v>3.2229823992830416E-3</v>
      </c>
      <c r="L830" s="550">
        <v>14276.59</v>
      </c>
      <c r="M830" s="553">
        <f t="shared" si="38"/>
        <v>5.3010023107801993E-3</v>
      </c>
    </row>
    <row r="831" spans="5:13" ht="15.75" thickBot="1">
      <c r="E831" s="552">
        <v>40674</v>
      </c>
      <c r="F831" s="550">
        <v>2420</v>
      </c>
      <c r="G831" s="549">
        <f t="shared" si="36"/>
        <v>8.2988028146950641E-3</v>
      </c>
      <c r="H831" s="550">
        <v>1697.55</v>
      </c>
      <c r="I831" s="551">
        <f t="shared" si="37"/>
        <v>2.8197946903208955E-3</v>
      </c>
      <c r="L831" s="556">
        <v>14201.11</v>
      </c>
      <c r="M831" s="553">
        <f t="shared" si="38"/>
        <v>1.9715064933572292E-3</v>
      </c>
    </row>
    <row r="832" spans="5:13" ht="15.75" thickBot="1">
      <c r="E832" s="557">
        <v>40673</v>
      </c>
      <c r="F832" s="556">
        <v>2400</v>
      </c>
      <c r="G832" s="549">
        <f t="shared" si="36"/>
        <v>1.0471299867295437E-2</v>
      </c>
      <c r="H832" s="556">
        <v>1692.77</v>
      </c>
      <c r="I832" s="551">
        <f t="shared" si="37"/>
        <v>1.3291148593021001E-2</v>
      </c>
      <c r="L832" s="550">
        <v>14173.14</v>
      </c>
      <c r="M832" s="553">
        <f t="shared" si="38"/>
        <v>1.3891860394472178E-2</v>
      </c>
    </row>
    <row r="833" spans="5:13" ht="15.75" thickBot="1">
      <c r="E833" s="552">
        <v>40672</v>
      </c>
      <c r="F833" s="550">
        <v>2375</v>
      </c>
      <c r="G833" s="549">
        <f t="shared" si="36"/>
        <v>1.2712035588361944E-2</v>
      </c>
      <c r="H833" s="550">
        <v>1670.42</v>
      </c>
      <c r="I833" s="551">
        <f t="shared" si="37"/>
        <v>1.0555870892165774E-2</v>
      </c>
      <c r="L833" s="556">
        <v>13977.61</v>
      </c>
      <c r="M833" s="553">
        <f t="shared" si="38"/>
        <v>9.7753233993097873E-3</v>
      </c>
    </row>
    <row r="834" spans="5:13" ht="15.75" thickBot="1">
      <c r="E834" s="557">
        <v>40669</v>
      </c>
      <c r="F834" s="556">
        <v>2345</v>
      </c>
      <c r="G834" s="549">
        <f t="shared" si="36"/>
        <v>1.0718216220024107E-2</v>
      </c>
      <c r="H834" s="556">
        <v>1652.88</v>
      </c>
      <c r="I834" s="551">
        <f t="shared" si="37"/>
        <v>5.8128057173084027E-3</v>
      </c>
      <c r="L834" s="550">
        <v>13841.64</v>
      </c>
      <c r="M834" s="553">
        <f t="shared" si="38"/>
        <v>5.3982997403356865E-3</v>
      </c>
    </row>
    <row r="835" spans="5:13" ht="15.75" thickBot="1">
      <c r="E835" s="552">
        <v>40668</v>
      </c>
      <c r="F835" s="550">
        <v>2320</v>
      </c>
      <c r="G835" s="549">
        <f t="shared" ref="G835:G898" si="39">+LN(F835/F836)</f>
        <v>-1.4973541790162481E-2</v>
      </c>
      <c r="H835" s="550">
        <v>1643.3</v>
      </c>
      <c r="I835" s="551">
        <f t="shared" ref="I835:I898" si="40">+LN(H835/H836)</f>
        <v>-1.9333590013439421E-2</v>
      </c>
      <c r="L835" s="556">
        <v>13767.12</v>
      </c>
      <c r="M835" s="553">
        <f t="shared" ref="M835:M898" si="41">+LN(L835/L836)</f>
        <v>-2.1810059199338209E-2</v>
      </c>
    </row>
    <row r="836" spans="5:13" ht="15.75" thickBot="1">
      <c r="E836" s="557">
        <v>40667</v>
      </c>
      <c r="F836" s="556">
        <v>2355</v>
      </c>
      <c r="G836" s="549">
        <f t="shared" si="39"/>
        <v>1.4973541790162583E-2</v>
      </c>
      <c r="H836" s="556">
        <v>1675.38</v>
      </c>
      <c r="I836" s="551">
        <f t="shared" si="40"/>
        <v>2.0493953093994816E-3</v>
      </c>
      <c r="L836" s="550">
        <v>14070.68</v>
      </c>
      <c r="M836" s="553">
        <f t="shared" si="41"/>
        <v>-3.0470888561310258E-3</v>
      </c>
    </row>
    <row r="837" spans="5:13" ht="15.75" thickBot="1">
      <c r="E837" s="552">
        <v>40666</v>
      </c>
      <c r="F837" s="550">
        <v>2320</v>
      </c>
      <c r="G837" s="549">
        <f t="shared" si="39"/>
        <v>-4.3010818993905854E-3</v>
      </c>
      <c r="H837" s="550">
        <v>1671.95</v>
      </c>
      <c r="I837" s="551">
        <f t="shared" si="40"/>
        <v>-1.2003390168712685E-2</v>
      </c>
      <c r="L837" s="556">
        <v>14113.62</v>
      </c>
      <c r="M837" s="553">
        <f t="shared" si="41"/>
        <v>-1.4264746184897922E-2</v>
      </c>
    </row>
    <row r="838" spans="5:13" ht="15.75" thickBot="1">
      <c r="E838" s="557">
        <v>40665</v>
      </c>
      <c r="F838" s="556">
        <v>2330</v>
      </c>
      <c r="G838" s="549">
        <f t="shared" si="39"/>
        <v>-8.5470605784584083E-3</v>
      </c>
      <c r="H838" s="556">
        <v>1692.14</v>
      </c>
      <c r="I838" s="551">
        <f t="shared" si="40"/>
        <v>-5.034171005637589E-3</v>
      </c>
      <c r="L838" s="550">
        <v>14316.39</v>
      </c>
      <c r="M838" s="553">
        <f t="shared" si="41"/>
        <v>-4.7253471915999525E-3</v>
      </c>
    </row>
    <row r="839" spans="5:13" ht="15.75" thickBot="1">
      <c r="E839" s="552">
        <v>40662</v>
      </c>
      <c r="F839" s="550">
        <v>2350</v>
      </c>
      <c r="G839" s="549">
        <f t="shared" si="39"/>
        <v>-8.4746269909722321E-3</v>
      </c>
      <c r="H839" s="550">
        <v>1700.68</v>
      </c>
      <c r="I839" s="551">
        <f t="shared" si="40"/>
        <v>1.9363939106735518E-3</v>
      </c>
      <c r="L839" s="556">
        <v>14384.2</v>
      </c>
      <c r="M839" s="553">
        <f t="shared" si="41"/>
        <v>5.8239926556133016E-3</v>
      </c>
    </row>
    <row r="840" spans="5:13" ht="15.75" thickBot="1">
      <c r="E840" s="557">
        <v>40661</v>
      </c>
      <c r="F840" s="556">
        <v>2370</v>
      </c>
      <c r="G840" s="549">
        <f t="shared" si="39"/>
        <v>4.2283361095211049E-3</v>
      </c>
      <c r="H840" s="556">
        <v>1697.39</v>
      </c>
      <c r="I840" s="551">
        <f t="shared" si="40"/>
        <v>4.0141967373699449E-3</v>
      </c>
      <c r="L840" s="550">
        <v>14300.67</v>
      </c>
      <c r="M840" s="553">
        <f t="shared" si="41"/>
        <v>4.8450583385091436E-3</v>
      </c>
    </row>
    <row r="841" spans="5:13" ht="15.75" thickBot="1">
      <c r="E841" s="552">
        <v>40660</v>
      </c>
      <c r="F841" s="550">
        <v>2360</v>
      </c>
      <c r="G841" s="549">
        <f t="shared" si="39"/>
        <v>-1.8888284520205745E-2</v>
      </c>
      <c r="H841" s="550">
        <v>1690.59</v>
      </c>
      <c r="I841" s="551">
        <f t="shared" si="40"/>
        <v>-4.0141967373698642E-3</v>
      </c>
      <c r="L841" s="556">
        <v>14231.55</v>
      </c>
      <c r="M841" s="553">
        <f t="shared" si="41"/>
        <v>-4.5114518924045978E-3</v>
      </c>
    </row>
    <row r="842" spans="5:13" ht="15.75" thickBot="1">
      <c r="E842" s="557">
        <v>40659</v>
      </c>
      <c r="F842" s="556">
        <v>2405</v>
      </c>
      <c r="G842" s="549">
        <f t="shared" si="39"/>
        <v>1.044941587434114E-2</v>
      </c>
      <c r="H842" s="556">
        <v>1697.39</v>
      </c>
      <c r="I842" s="551">
        <f t="shared" si="40"/>
        <v>4.890014173594171E-3</v>
      </c>
      <c r="L842" s="550">
        <v>14295.9</v>
      </c>
      <c r="M842" s="553">
        <f t="shared" si="41"/>
        <v>4.1440260505066183E-3</v>
      </c>
    </row>
    <row r="843" spans="5:13" ht="15.75" thickBot="1">
      <c r="E843" s="552">
        <v>40658</v>
      </c>
      <c r="F843" s="550">
        <v>2380</v>
      </c>
      <c r="G843" s="549">
        <f t="shared" si="39"/>
        <v>-1.044941587434112E-2</v>
      </c>
      <c r="H843" s="550">
        <v>1689.11</v>
      </c>
      <c r="I843" s="551">
        <f t="shared" si="40"/>
        <v>-1.5499109833565969E-3</v>
      </c>
      <c r="L843" s="556">
        <v>14236.78</v>
      </c>
      <c r="M843" s="553">
        <f t="shared" si="41"/>
        <v>-7.4095562694023029E-3</v>
      </c>
    </row>
    <row r="844" spans="5:13" ht="15.75" thickBot="1">
      <c r="E844" s="557">
        <v>40653</v>
      </c>
      <c r="F844" s="556">
        <v>2405</v>
      </c>
      <c r="G844" s="549">
        <f t="shared" si="39"/>
        <v>2.9538012436863874E-2</v>
      </c>
      <c r="H844" s="556">
        <v>1691.73</v>
      </c>
      <c r="I844" s="551">
        <f t="shared" si="40"/>
        <v>1.81933821369024E-2</v>
      </c>
      <c r="L844" s="550">
        <v>14342.66</v>
      </c>
      <c r="M844" s="553">
        <f t="shared" si="41"/>
        <v>2.0427322993558407E-2</v>
      </c>
    </row>
    <row r="845" spans="5:13" ht="15.75" thickBot="1">
      <c r="E845" s="552">
        <v>40652</v>
      </c>
      <c r="F845" s="550">
        <v>2335</v>
      </c>
      <c r="G845" s="549">
        <f t="shared" si="39"/>
        <v>2.1436235432513691E-3</v>
      </c>
      <c r="H845" s="550">
        <v>1661.23</v>
      </c>
      <c r="I845" s="551">
        <f t="shared" si="40"/>
        <v>4.5068085537480727E-3</v>
      </c>
      <c r="L845" s="556">
        <v>14052.65</v>
      </c>
      <c r="M845" s="553">
        <f t="shared" si="41"/>
        <v>8.186327390112793E-3</v>
      </c>
    </row>
    <row r="846" spans="5:13" ht="15.75" thickBot="1">
      <c r="E846" s="557">
        <v>40651</v>
      </c>
      <c r="F846" s="556">
        <v>2330</v>
      </c>
      <c r="G846" s="549">
        <f t="shared" si="39"/>
        <v>-1.279335145990947E-2</v>
      </c>
      <c r="H846" s="556">
        <v>1653.76</v>
      </c>
      <c r="I846" s="551">
        <f t="shared" si="40"/>
        <v>-9.8799217595411694E-3</v>
      </c>
      <c r="L846" s="550">
        <v>13938.08</v>
      </c>
      <c r="M846" s="553">
        <f t="shared" si="41"/>
        <v>-1.174515112391232E-2</v>
      </c>
    </row>
    <row r="847" spans="5:13" ht="15.75" thickBot="1">
      <c r="E847" s="552">
        <v>40648</v>
      </c>
      <c r="F847" s="550">
        <v>2360</v>
      </c>
      <c r="G847" s="549">
        <f t="shared" si="39"/>
        <v>8.5106896679086105E-3</v>
      </c>
      <c r="H847" s="550">
        <v>1670.18</v>
      </c>
      <c r="I847" s="551">
        <f t="shared" si="40"/>
        <v>3.5924916927528388E-5</v>
      </c>
      <c r="L847" s="556">
        <v>14102.75</v>
      </c>
      <c r="M847" s="553">
        <f t="shared" si="41"/>
        <v>2.2268664880499998E-3</v>
      </c>
    </row>
    <row r="848" spans="5:13" ht="15.75" thickBot="1">
      <c r="E848" s="557">
        <v>40647</v>
      </c>
      <c r="F848" s="556">
        <v>2340</v>
      </c>
      <c r="G848" s="549">
        <f t="shared" si="39"/>
        <v>-2.1344725286326811E-3</v>
      </c>
      <c r="H848" s="556">
        <v>1670.12</v>
      </c>
      <c r="I848" s="551">
        <f t="shared" si="40"/>
        <v>-7.4090762652124741E-3</v>
      </c>
      <c r="L848" s="550">
        <v>14071.38</v>
      </c>
      <c r="M848" s="553">
        <f t="shared" si="41"/>
        <v>-1.3316168908053434E-2</v>
      </c>
    </row>
    <row r="849" spans="5:13" ht="15.75" thickBot="1">
      <c r="E849" s="552">
        <v>40646</v>
      </c>
      <c r="F849" s="550">
        <v>2345</v>
      </c>
      <c r="G849" s="549">
        <f t="shared" si="39"/>
        <v>-1.691372244206181E-2</v>
      </c>
      <c r="H849" s="550">
        <v>1682.54</v>
      </c>
      <c r="I849" s="551">
        <f t="shared" si="40"/>
        <v>3.548552153025603E-3</v>
      </c>
      <c r="L849" s="556">
        <v>14260.01</v>
      </c>
      <c r="M849" s="553">
        <f t="shared" si="41"/>
        <v>4.4883151630294854E-3</v>
      </c>
    </row>
    <row r="850" spans="5:13" ht="15.75" thickBot="1">
      <c r="E850" s="557">
        <v>40645</v>
      </c>
      <c r="F850" s="556">
        <v>2385</v>
      </c>
      <c r="G850" s="549">
        <f t="shared" si="39"/>
        <v>-2.0942416031147371E-3</v>
      </c>
      <c r="H850" s="556">
        <v>1676.58</v>
      </c>
      <c r="I850" s="551">
        <f t="shared" si="40"/>
        <v>-1.5694115615916888E-2</v>
      </c>
      <c r="L850" s="550">
        <v>14196.15</v>
      </c>
      <c r="M850" s="553">
        <f t="shared" si="41"/>
        <v>-1.9936388393604086E-2</v>
      </c>
    </row>
    <row r="851" spans="5:13" ht="15.75" thickBot="1">
      <c r="E851" s="552">
        <v>40644</v>
      </c>
      <c r="F851" s="550">
        <v>2390</v>
      </c>
      <c r="G851" s="549">
        <f t="shared" si="39"/>
        <v>-8.3333815591442994E-3</v>
      </c>
      <c r="H851" s="550">
        <v>1703.1</v>
      </c>
      <c r="I851" s="551">
        <f t="shared" si="40"/>
        <v>-3.2593177257836062E-3</v>
      </c>
      <c r="L851" s="556">
        <v>14482.01</v>
      </c>
      <c r="M851" s="553">
        <f t="shared" si="41"/>
        <v>-5.1008992730645283E-3</v>
      </c>
    </row>
    <row r="852" spans="5:13" ht="15.75" thickBot="1">
      <c r="E852" s="557">
        <v>40641</v>
      </c>
      <c r="F852" s="556">
        <v>2410</v>
      </c>
      <c r="G852" s="549">
        <f t="shared" si="39"/>
        <v>2.0768439448390691E-3</v>
      </c>
      <c r="H852" s="556">
        <v>1708.66</v>
      </c>
      <c r="I852" s="551">
        <f t="shared" si="40"/>
        <v>-8.9029312632109073E-3</v>
      </c>
      <c r="L852" s="550">
        <v>14556.07</v>
      </c>
      <c r="M852" s="553">
        <f t="shared" si="41"/>
        <v>-7.7140187470489535E-3</v>
      </c>
    </row>
    <row r="853" spans="5:13" ht="15.75" thickBot="1">
      <c r="E853" s="552">
        <v>40640</v>
      </c>
      <c r="F853" s="550">
        <v>2405</v>
      </c>
      <c r="G853" s="549">
        <f t="shared" si="39"/>
        <v>-6.2176366108705619E-3</v>
      </c>
      <c r="H853" s="550">
        <v>1723.94</v>
      </c>
      <c r="I853" s="551">
        <f t="shared" si="40"/>
        <v>2.5381092814954595E-3</v>
      </c>
      <c r="L853" s="556">
        <v>14668.79</v>
      </c>
      <c r="M853" s="553">
        <f t="shared" si="41"/>
        <v>2.4476391080738655E-3</v>
      </c>
    </row>
    <row r="854" spans="5:13" ht="15.75" thickBot="1">
      <c r="E854" s="557">
        <v>40639</v>
      </c>
      <c r="F854" s="556">
        <v>2420</v>
      </c>
      <c r="G854" s="549">
        <f t="shared" si="39"/>
        <v>-6.1792163659581201E-3</v>
      </c>
      <c r="H854" s="556">
        <v>1719.57</v>
      </c>
      <c r="I854" s="551">
        <f t="shared" si="40"/>
        <v>-1.5166705892718391E-3</v>
      </c>
      <c r="L854" s="550">
        <v>14632.93</v>
      </c>
      <c r="M854" s="553">
        <f t="shared" si="41"/>
        <v>1.7674411116466297E-3</v>
      </c>
    </row>
    <row r="855" spans="5:13" ht="15.75" thickBot="1">
      <c r="E855" s="552">
        <v>40638</v>
      </c>
      <c r="F855" s="550">
        <v>2435</v>
      </c>
      <c r="G855" s="549">
        <f t="shared" si="39"/>
        <v>4.1152321451065794E-3</v>
      </c>
      <c r="H855" s="550">
        <v>1722.18</v>
      </c>
      <c r="I855" s="551">
        <f t="shared" si="40"/>
        <v>7.9575784778657104E-3</v>
      </c>
      <c r="L855" s="556">
        <v>14607.09</v>
      </c>
      <c r="M855" s="553">
        <f t="shared" si="41"/>
        <v>1.6511867647272912E-2</v>
      </c>
    </row>
    <row r="856" spans="5:13" ht="15.75" thickBot="1">
      <c r="E856" s="557">
        <v>40637</v>
      </c>
      <c r="F856" s="556">
        <v>2425</v>
      </c>
      <c r="G856" s="549">
        <f t="shared" si="39"/>
        <v>-6.1665149156640148E-3</v>
      </c>
      <c r="H856" s="556">
        <v>1708.53</v>
      </c>
      <c r="I856" s="551">
        <f t="shared" si="40"/>
        <v>-3.5117291758085176E-5</v>
      </c>
      <c r="L856" s="550">
        <v>14367.88</v>
      </c>
      <c r="M856" s="553">
        <f t="shared" si="41"/>
        <v>2.5128645221433247E-4</v>
      </c>
    </row>
    <row r="857" spans="5:13" ht="15.75" thickBot="1">
      <c r="E857" s="552">
        <v>40634</v>
      </c>
      <c r="F857" s="550">
        <v>2440</v>
      </c>
      <c r="G857" s="549">
        <f t="shared" si="39"/>
        <v>8.2304991365154435E-3</v>
      </c>
      <c r="H857" s="550">
        <v>1708.59</v>
      </c>
      <c r="I857" s="551">
        <f t="shared" si="40"/>
        <v>-5.754252770051922E-3</v>
      </c>
      <c r="L857" s="556">
        <v>14364.27</v>
      </c>
      <c r="M857" s="553">
        <f t="shared" si="41"/>
        <v>-7.3101702975624126E-3</v>
      </c>
    </row>
    <row r="858" spans="5:13" ht="15.75" thickBot="1">
      <c r="E858" s="557">
        <v>40633</v>
      </c>
      <c r="F858" s="556">
        <v>2420</v>
      </c>
      <c r="G858" s="549">
        <f t="shared" si="39"/>
        <v>8.2988028146950641E-3</v>
      </c>
      <c r="H858" s="556">
        <v>1718.45</v>
      </c>
      <c r="I858" s="551">
        <f t="shared" si="40"/>
        <v>8.4853739922494623E-3</v>
      </c>
      <c r="L858" s="550">
        <v>14469.66</v>
      </c>
      <c r="M858" s="553">
        <f t="shared" si="41"/>
        <v>1.1533001945040047E-2</v>
      </c>
    </row>
    <row r="859" spans="5:13" ht="15.75" thickBot="1">
      <c r="E859" s="552">
        <v>40632</v>
      </c>
      <c r="F859" s="550">
        <v>2400</v>
      </c>
      <c r="G859" s="549">
        <f t="shared" si="39"/>
        <v>-1.2422519998557209E-2</v>
      </c>
      <c r="H859" s="550">
        <v>1703.93</v>
      </c>
      <c r="I859" s="551">
        <f t="shared" si="40"/>
        <v>-2.8306135189422404E-3</v>
      </c>
      <c r="L859" s="556">
        <v>14303.74</v>
      </c>
      <c r="M859" s="553">
        <f t="shared" si="41"/>
        <v>-4.0264919206364196E-3</v>
      </c>
    </row>
    <row r="860" spans="5:13" ht="15.75" thickBot="1">
      <c r="E860" s="557">
        <v>40631</v>
      </c>
      <c r="F860" s="556">
        <v>2430</v>
      </c>
      <c r="G860" s="549">
        <f t="shared" si="39"/>
        <v>-8.196767204178515E-3</v>
      </c>
      <c r="H860" s="556">
        <v>1708.76</v>
      </c>
      <c r="I860" s="551">
        <f t="shared" si="40"/>
        <v>-7.5442135302283501E-3</v>
      </c>
      <c r="L860" s="550">
        <v>14361.45</v>
      </c>
      <c r="M860" s="553">
        <f t="shared" si="41"/>
        <v>-8.1973725660965738E-3</v>
      </c>
    </row>
    <row r="861" spans="5:13" ht="15.75" thickBot="1">
      <c r="E861" s="552">
        <v>40630</v>
      </c>
      <c r="F861" s="550">
        <v>2450</v>
      </c>
      <c r="G861" s="549">
        <f t="shared" si="39"/>
        <v>-4.0733253876357864E-3</v>
      </c>
      <c r="H861" s="550">
        <v>1721.7</v>
      </c>
      <c r="I861" s="551">
        <f t="shared" si="40"/>
        <v>-3.5309604186978521E-3</v>
      </c>
      <c r="L861" s="556">
        <v>14479.66</v>
      </c>
      <c r="M861" s="553">
        <f t="shared" si="41"/>
        <v>-5.3160802275326047E-3</v>
      </c>
    </row>
    <row r="862" spans="5:13" ht="15.75" thickBot="1">
      <c r="E862" s="557">
        <v>40627</v>
      </c>
      <c r="F862" s="556">
        <v>2460</v>
      </c>
      <c r="G862" s="549">
        <f t="shared" si="39"/>
        <v>-1.0111309604320566E-2</v>
      </c>
      <c r="H862" s="556">
        <v>1727.79</v>
      </c>
      <c r="I862" s="551">
        <f t="shared" si="40"/>
        <v>-8.2194454400537024E-3</v>
      </c>
      <c r="L862" s="550">
        <v>14556.84</v>
      </c>
      <c r="M862" s="553">
        <f t="shared" si="41"/>
        <v>-7.5581763111695986E-3</v>
      </c>
    </row>
    <row r="863" spans="5:13" ht="15.75" thickBot="1">
      <c r="E863" s="552">
        <v>40626</v>
      </c>
      <c r="F863" s="550">
        <v>2485</v>
      </c>
      <c r="G863" s="549">
        <f t="shared" si="39"/>
        <v>-2.0100509280242228E-3</v>
      </c>
      <c r="H863" s="550">
        <v>1742.05</v>
      </c>
      <c r="I863" s="551">
        <f t="shared" si="40"/>
        <v>-5.5666028231732929E-4</v>
      </c>
      <c r="L863" s="556">
        <v>14667.28</v>
      </c>
      <c r="M863" s="553">
        <f t="shared" si="41"/>
        <v>1.4095704372846325E-3</v>
      </c>
    </row>
    <row r="864" spans="5:13" ht="15.75" thickBot="1">
      <c r="E864" s="557">
        <v>40625</v>
      </c>
      <c r="F864" s="556">
        <v>2490</v>
      </c>
      <c r="G864" s="549">
        <f t="shared" si="39"/>
        <v>-1.5936592262812639E-2</v>
      </c>
      <c r="H864" s="556">
        <v>1743.02</v>
      </c>
      <c r="I864" s="551">
        <f t="shared" si="40"/>
        <v>1.1710678720653431E-3</v>
      </c>
      <c r="L864" s="550">
        <v>14646.62</v>
      </c>
      <c r="M864" s="553">
        <f t="shared" si="41"/>
        <v>2.5978266711120428E-3</v>
      </c>
    </row>
    <row r="865" spans="5:13" ht="15.75" thickBot="1">
      <c r="E865" s="552">
        <v>40624</v>
      </c>
      <c r="F865" s="550">
        <v>2530</v>
      </c>
      <c r="G865" s="549">
        <f t="shared" si="39"/>
        <v>-7.874056430905883E-3</v>
      </c>
      <c r="H865" s="550">
        <v>1740.98</v>
      </c>
      <c r="I865" s="551">
        <f t="shared" si="40"/>
        <v>1.0459350290047379E-3</v>
      </c>
      <c r="L865" s="556">
        <v>14608.62</v>
      </c>
      <c r="M865" s="553">
        <f t="shared" si="41"/>
        <v>-2.7842004288611256E-3</v>
      </c>
    </row>
    <row r="866" spans="5:13" ht="15.75" thickBot="1">
      <c r="E866" s="557">
        <v>40620</v>
      </c>
      <c r="F866" s="556">
        <v>2550</v>
      </c>
      <c r="G866" s="549">
        <f t="shared" si="39"/>
        <v>5.2325819001739687E-2</v>
      </c>
      <c r="H866" s="556">
        <v>1739.16</v>
      </c>
      <c r="I866" s="551">
        <f t="shared" si="40"/>
        <v>1.75055367254584E-2</v>
      </c>
      <c r="L866" s="550">
        <v>14649.35</v>
      </c>
      <c r="M866" s="553">
        <f t="shared" si="41"/>
        <v>1.6652614228353384E-2</v>
      </c>
    </row>
    <row r="867" spans="5:13" ht="15.75" thickBot="1">
      <c r="E867" s="552">
        <v>40619</v>
      </c>
      <c r="F867" s="550">
        <v>2420</v>
      </c>
      <c r="G867" s="549">
        <f t="shared" si="39"/>
        <v>5.9592097202245599E-2</v>
      </c>
      <c r="H867" s="550">
        <v>1708.98</v>
      </c>
      <c r="I867" s="551">
        <f t="shared" si="40"/>
        <v>4.2066688205056706E-2</v>
      </c>
      <c r="L867" s="556">
        <v>14407.42</v>
      </c>
      <c r="M867" s="553">
        <f t="shared" si="41"/>
        <v>3.7483895792921461E-2</v>
      </c>
    </row>
    <row r="868" spans="5:13" ht="15.75" thickBot="1">
      <c r="E868" s="557">
        <v>40618</v>
      </c>
      <c r="F868" s="556">
        <v>2280</v>
      </c>
      <c r="G868" s="549">
        <f t="shared" si="39"/>
        <v>-1.9544596072970283E-2</v>
      </c>
      <c r="H868" s="556">
        <v>1638.58</v>
      </c>
      <c r="I868" s="551">
        <f t="shared" si="40"/>
        <v>-4.4937875132490925E-3</v>
      </c>
      <c r="L868" s="550">
        <v>13877.37</v>
      </c>
      <c r="M868" s="553">
        <f t="shared" si="41"/>
        <v>-4.6528665014438728E-3</v>
      </c>
    </row>
    <row r="869" spans="5:13" ht="15.75" thickBot="1">
      <c r="E869" s="552">
        <v>40617</v>
      </c>
      <c r="F869" s="550">
        <v>2325</v>
      </c>
      <c r="G869" s="549">
        <f t="shared" si="39"/>
        <v>-1.0695289116747919E-2</v>
      </c>
      <c r="H869" s="550">
        <v>1645.96</v>
      </c>
      <c r="I869" s="551">
        <f t="shared" si="40"/>
        <v>-2.3762186617677965E-2</v>
      </c>
      <c r="L869" s="556">
        <v>13942.09</v>
      </c>
      <c r="M869" s="553">
        <f t="shared" si="41"/>
        <v>-2.4644170627092395E-2</v>
      </c>
    </row>
    <row r="870" spans="5:13" ht="15.75" thickBot="1">
      <c r="E870" s="557">
        <v>40616</v>
      </c>
      <c r="F870" s="556">
        <v>2350</v>
      </c>
      <c r="G870" s="549">
        <f t="shared" si="39"/>
        <v>2.129926257824849E-3</v>
      </c>
      <c r="H870" s="556">
        <v>1685.54</v>
      </c>
      <c r="I870" s="551">
        <f t="shared" si="40"/>
        <v>-5.9388779513551808E-3</v>
      </c>
      <c r="L870" s="550">
        <v>14289.95</v>
      </c>
      <c r="M870" s="553">
        <f t="shared" si="41"/>
        <v>-1.7238307465827059E-2</v>
      </c>
    </row>
    <row r="871" spans="5:13" ht="15.75" thickBot="1">
      <c r="E871" s="552">
        <v>40613</v>
      </c>
      <c r="F871" s="550">
        <v>2345</v>
      </c>
      <c r="G871" s="549">
        <f t="shared" si="39"/>
        <v>-1.9007964045176632E-2</v>
      </c>
      <c r="H871" s="550">
        <v>1695.58</v>
      </c>
      <c r="I871" s="551">
        <f t="shared" si="40"/>
        <v>-1.9252256371853474E-2</v>
      </c>
      <c r="L871" s="556">
        <v>14538.42</v>
      </c>
      <c r="M871" s="553">
        <f t="shared" si="41"/>
        <v>-2.2072701759723808E-2</v>
      </c>
    </row>
    <row r="872" spans="5:13" ht="15.75" thickBot="1">
      <c r="E872" s="557">
        <v>40612</v>
      </c>
      <c r="F872" s="556">
        <v>2390</v>
      </c>
      <c r="G872" s="549">
        <f t="shared" si="39"/>
        <v>-6.2565376143051488E-3</v>
      </c>
      <c r="H872" s="556">
        <v>1728.54</v>
      </c>
      <c r="I872" s="551">
        <f t="shared" si="40"/>
        <v>-2.1253100189642344E-2</v>
      </c>
      <c r="L872" s="550">
        <v>14862.89</v>
      </c>
      <c r="M872" s="553">
        <f t="shared" si="41"/>
        <v>-2.1637481743910576E-2</v>
      </c>
    </row>
    <row r="873" spans="5:13" ht="15.75" thickBot="1">
      <c r="E873" s="552">
        <v>40611</v>
      </c>
      <c r="F873" s="550">
        <v>2405</v>
      </c>
      <c r="G873" s="549">
        <f t="shared" si="39"/>
        <v>-8.2816208317219864E-3</v>
      </c>
      <c r="H873" s="550">
        <v>1765.67</v>
      </c>
      <c r="I873" s="551">
        <f t="shared" si="40"/>
        <v>4.3647991195573119E-3</v>
      </c>
      <c r="L873" s="556">
        <v>15187.99</v>
      </c>
      <c r="M873" s="553">
        <f t="shared" si="41"/>
        <v>4.7955233451020228E-3</v>
      </c>
    </row>
    <row r="874" spans="5:13" ht="15.75" thickBot="1">
      <c r="E874" s="557">
        <v>40610</v>
      </c>
      <c r="F874" s="556">
        <v>2425</v>
      </c>
      <c r="G874" s="549">
        <f t="shared" si="39"/>
        <v>-1.025650016718911E-2</v>
      </c>
      <c r="H874" s="556">
        <v>1757.98</v>
      </c>
      <c r="I874" s="551">
        <f t="shared" si="40"/>
        <v>-1.1841015954809563E-2</v>
      </c>
      <c r="L874" s="550">
        <v>15115.33</v>
      </c>
      <c r="M874" s="553">
        <f t="shared" si="41"/>
        <v>-1.1065008790788693E-2</v>
      </c>
    </row>
    <row r="875" spans="5:13" ht="15.75" thickBot="1">
      <c r="E875" s="552">
        <v>40609</v>
      </c>
      <c r="F875" s="550">
        <v>2450</v>
      </c>
      <c r="G875" s="549">
        <f t="shared" si="39"/>
        <v>-1.0152371464017962E-2</v>
      </c>
      <c r="H875" s="550">
        <v>1778.92</v>
      </c>
      <c r="I875" s="551">
        <f t="shared" si="40"/>
        <v>-5.16953487353771E-3</v>
      </c>
      <c r="L875" s="556">
        <v>15283.51</v>
      </c>
      <c r="M875" s="553">
        <f t="shared" si="41"/>
        <v>-6.3682643134205345E-3</v>
      </c>
    </row>
    <row r="876" spans="5:13" ht="15.75" thickBot="1">
      <c r="E876" s="557">
        <v>40606</v>
      </c>
      <c r="F876" s="556">
        <v>2475</v>
      </c>
      <c r="G876" s="549">
        <f t="shared" si="39"/>
        <v>6.0790460763821925E-3</v>
      </c>
      <c r="H876" s="556">
        <v>1788.14</v>
      </c>
      <c r="I876" s="551">
        <f t="shared" si="40"/>
        <v>3.4059749468767016E-3</v>
      </c>
      <c r="L876" s="550">
        <v>15381.15</v>
      </c>
      <c r="M876" s="553">
        <f t="shared" si="41"/>
        <v>3.03167272943632E-3</v>
      </c>
    </row>
    <row r="877" spans="5:13" ht="15.75" thickBot="1">
      <c r="E877" s="552">
        <v>40605</v>
      </c>
      <c r="F877" s="550">
        <v>2460</v>
      </c>
      <c r="G877" s="549">
        <f t="shared" si="39"/>
        <v>8.1633106391608354E-3</v>
      </c>
      <c r="H877" s="550">
        <v>1782.06</v>
      </c>
      <c r="I877" s="551">
        <f t="shared" si="40"/>
        <v>1.2382328556824612E-2</v>
      </c>
      <c r="L877" s="556">
        <v>15334.59</v>
      </c>
      <c r="M877" s="553">
        <f t="shared" si="41"/>
        <v>1.2742411793282078E-2</v>
      </c>
    </row>
    <row r="878" spans="5:13" ht="15.75" thickBot="1">
      <c r="E878" s="557">
        <v>40604</v>
      </c>
      <c r="F878" s="556">
        <v>2440</v>
      </c>
      <c r="G878" s="549">
        <f t="shared" si="39"/>
        <v>-1.6260520871780291E-2</v>
      </c>
      <c r="H878" s="556">
        <v>1760.13</v>
      </c>
      <c r="I878" s="551">
        <f t="shared" si="40"/>
        <v>-1.0732082287265329E-3</v>
      </c>
      <c r="L878" s="550">
        <v>15140.43</v>
      </c>
      <c r="M878" s="553">
        <f t="shared" si="41"/>
        <v>4.1024421997267092E-4</v>
      </c>
    </row>
    <row r="879" spans="5:13" ht="15.75" thickBot="1">
      <c r="E879" s="552">
        <v>40603</v>
      </c>
      <c r="F879" s="550">
        <v>2480</v>
      </c>
      <c r="G879" s="549">
        <f t="shared" si="39"/>
        <v>1.6260520871780326E-2</v>
      </c>
      <c r="H879" s="550">
        <v>1762.02</v>
      </c>
      <c r="I879" s="551">
        <f t="shared" si="40"/>
        <v>6.2909580972433056E-3</v>
      </c>
      <c r="L879" s="556">
        <v>15134.22</v>
      </c>
      <c r="M879" s="553">
        <f t="shared" si="41"/>
        <v>8.3510257882140702E-3</v>
      </c>
    </row>
    <row r="880" spans="5:13" ht="15.75" thickBot="1">
      <c r="E880" s="557">
        <v>40602</v>
      </c>
      <c r="F880" s="556">
        <v>2440</v>
      </c>
      <c r="G880" s="549">
        <f t="shared" si="39"/>
        <v>1.6529301951210506E-2</v>
      </c>
      <c r="H880" s="556">
        <v>1750.97</v>
      </c>
      <c r="I880" s="551">
        <f t="shared" si="40"/>
        <v>2.1690219542316608E-2</v>
      </c>
      <c r="L880" s="550">
        <v>15008.36</v>
      </c>
      <c r="M880" s="553">
        <f t="shared" si="41"/>
        <v>1.7627381848574878E-2</v>
      </c>
    </row>
    <row r="881" spans="5:13" ht="15.75" thickBot="1">
      <c r="E881" s="552">
        <v>40599</v>
      </c>
      <c r="F881" s="550">
        <v>2400</v>
      </c>
      <c r="G881" s="549">
        <f t="shared" si="39"/>
        <v>6.269613013595395E-3</v>
      </c>
      <c r="H881" s="550">
        <v>1713.4</v>
      </c>
      <c r="I881" s="551">
        <f t="shared" si="40"/>
        <v>8.3398040054132906E-3</v>
      </c>
      <c r="L881" s="556">
        <v>14746.12</v>
      </c>
      <c r="M881" s="553">
        <f t="shared" si="41"/>
        <v>1.1571412550728554E-2</v>
      </c>
    </row>
    <row r="882" spans="5:13" ht="15.75" thickBot="1">
      <c r="E882" s="557">
        <v>40598</v>
      </c>
      <c r="F882" s="556">
        <v>2385</v>
      </c>
      <c r="G882" s="549">
        <f t="shared" si="39"/>
        <v>-6.2696130135953742E-3</v>
      </c>
      <c r="H882" s="556">
        <v>1699.17</v>
      </c>
      <c r="I882" s="551">
        <f t="shared" si="40"/>
        <v>3.1785273091193431E-4</v>
      </c>
      <c r="L882" s="550">
        <v>14576.47</v>
      </c>
      <c r="M882" s="553">
        <f t="shared" si="41"/>
        <v>-1.8122391384745801E-3</v>
      </c>
    </row>
    <row r="883" spans="5:13" ht="15.75" thickBot="1">
      <c r="E883" s="552">
        <v>40597</v>
      </c>
      <c r="F883" s="550">
        <v>2400</v>
      </c>
      <c r="G883" s="549">
        <f t="shared" si="39"/>
        <v>1.4690715410003592E-2</v>
      </c>
      <c r="H883" s="550">
        <v>1698.63</v>
      </c>
      <c r="I883" s="551">
        <f t="shared" si="40"/>
        <v>2.2143366491363243E-2</v>
      </c>
      <c r="L883" s="556">
        <v>14602.91</v>
      </c>
      <c r="M883" s="553">
        <f t="shared" si="41"/>
        <v>2.1699321174562081E-2</v>
      </c>
    </row>
    <row r="884" spans="5:13" ht="15.75" thickBot="1">
      <c r="E884" s="557">
        <v>40596</v>
      </c>
      <c r="F884" s="556">
        <v>2365</v>
      </c>
      <c r="G884" s="549">
        <f t="shared" si="39"/>
        <v>6.3626937878286504E-3</v>
      </c>
      <c r="H884" s="556">
        <v>1661.43</v>
      </c>
      <c r="I884" s="551">
        <f t="shared" si="40"/>
        <v>1.8676054299430712E-3</v>
      </c>
      <c r="L884" s="550">
        <v>14289.45</v>
      </c>
      <c r="M884" s="553">
        <f t="shared" si="41"/>
        <v>1.8162739027334394E-3</v>
      </c>
    </row>
    <row r="885" spans="5:13" ht="15.75" thickBot="1">
      <c r="E885" s="552">
        <v>40595</v>
      </c>
      <c r="F885" s="550">
        <v>2350</v>
      </c>
      <c r="G885" s="549">
        <f t="shared" si="39"/>
        <v>2.129926257824849E-3</v>
      </c>
      <c r="H885" s="550">
        <v>1658.33</v>
      </c>
      <c r="I885" s="551">
        <f t="shared" si="40"/>
        <v>8.2773959656179761E-3</v>
      </c>
      <c r="L885" s="556">
        <v>14263.52</v>
      </c>
      <c r="M885" s="553">
        <f t="shared" si="41"/>
        <v>9.5642804965778705E-3</v>
      </c>
    </row>
    <row r="886" spans="5:13" ht="15.75" thickBot="1">
      <c r="E886" s="557">
        <v>40592</v>
      </c>
      <c r="F886" s="556">
        <v>2345</v>
      </c>
      <c r="G886" s="549">
        <f t="shared" si="39"/>
        <v>-1.691372244206181E-2</v>
      </c>
      <c r="H886" s="556">
        <v>1644.66</v>
      </c>
      <c r="I886" s="551">
        <f t="shared" si="40"/>
        <v>-1.3449935360748465E-2</v>
      </c>
      <c r="L886" s="550">
        <v>14127.75</v>
      </c>
      <c r="M886" s="553">
        <f t="shared" si="41"/>
        <v>-1.4196149572817994E-2</v>
      </c>
    </row>
    <row r="887" spans="5:13" ht="15.75" thickBot="1">
      <c r="E887" s="552">
        <v>40591</v>
      </c>
      <c r="F887" s="550">
        <v>2385</v>
      </c>
      <c r="G887" s="549">
        <f t="shared" si="39"/>
        <v>-6.2696130135953742E-3</v>
      </c>
      <c r="H887" s="550">
        <v>1666.93</v>
      </c>
      <c r="I887" s="551">
        <f t="shared" si="40"/>
        <v>-1.3715331413191893E-2</v>
      </c>
      <c r="L887" s="556">
        <v>14329.74</v>
      </c>
      <c r="M887" s="553">
        <f t="shared" si="41"/>
        <v>-1.0927712759129033E-2</v>
      </c>
    </row>
    <row r="888" spans="5:13" ht="15.75" thickBot="1">
      <c r="E888" s="557">
        <v>40590</v>
      </c>
      <c r="F888" s="556">
        <v>2400</v>
      </c>
      <c r="G888" s="549">
        <f t="shared" si="39"/>
        <v>1.6807118316381191E-2</v>
      </c>
      <c r="H888" s="556">
        <v>1689.95</v>
      </c>
      <c r="I888" s="551">
        <f t="shared" si="40"/>
        <v>-1.4664233140069913E-3</v>
      </c>
      <c r="L888" s="550">
        <v>14487.19</v>
      </c>
      <c r="M888" s="553">
        <f t="shared" si="41"/>
        <v>-7.5279567775419121E-4</v>
      </c>
    </row>
    <row r="889" spans="5:13" ht="15.75" thickBot="1">
      <c r="E889" s="552">
        <v>40589</v>
      </c>
      <c r="F889" s="550">
        <v>2360</v>
      </c>
      <c r="G889" s="549">
        <f t="shared" si="39"/>
        <v>-4.2283361095210642E-3</v>
      </c>
      <c r="H889" s="550">
        <v>1692.43</v>
      </c>
      <c r="I889" s="551">
        <f t="shared" si="40"/>
        <v>-5.4330025687556373E-3</v>
      </c>
      <c r="L889" s="556">
        <v>14498.1</v>
      </c>
      <c r="M889" s="553">
        <f t="shared" si="41"/>
        <v>-3.2014968109759069E-3</v>
      </c>
    </row>
    <row r="890" spans="5:13" ht="15.75" thickBot="1">
      <c r="E890" s="557">
        <v>40588</v>
      </c>
      <c r="F890" s="556">
        <v>2370</v>
      </c>
      <c r="G890" s="549">
        <f t="shared" si="39"/>
        <v>8.4746269909722356E-3</v>
      </c>
      <c r="H890" s="556">
        <v>1701.65</v>
      </c>
      <c r="I890" s="551">
        <f t="shared" si="40"/>
        <v>4.204755087850091E-3</v>
      </c>
      <c r="L890" s="550">
        <v>14544.59</v>
      </c>
      <c r="M890" s="553">
        <f t="shared" si="41"/>
        <v>6.9690779943139226E-3</v>
      </c>
    </row>
    <row r="891" spans="5:13" ht="15.75" thickBot="1">
      <c r="E891" s="552">
        <v>40585</v>
      </c>
      <c r="F891" s="550">
        <v>2350</v>
      </c>
      <c r="G891" s="549">
        <f t="shared" si="39"/>
        <v>0</v>
      </c>
      <c r="H891" s="550">
        <v>1694.51</v>
      </c>
      <c r="I891" s="551">
        <f t="shared" si="40"/>
        <v>3.8966118076742026E-3</v>
      </c>
      <c r="L891" s="556">
        <v>14443.58</v>
      </c>
      <c r="M891" s="553">
        <f t="shared" si="41"/>
        <v>1.1243144373715799E-3</v>
      </c>
    </row>
    <row r="892" spans="5:13" ht="15.75" thickBot="1">
      <c r="E892" s="557">
        <v>40584</v>
      </c>
      <c r="F892" s="556">
        <v>2350</v>
      </c>
      <c r="G892" s="549">
        <f t="shared" si="39"/>
        <v>-6.3626937878286573E-3</v>
      </c>
      <c r="H892" s="556">
        <v>1687.92</v>
      </c>
      <c r="I892" s="551">
        <f t="shared" si="40"/>
        <v>-5.2765893808872279E-3</v>
      </c>
      <c r="L892" s="550">
        <v>14427.35</v>
      </c>
      <c r="M892" s="553">
        <f t="shared" si="41"/>
        <v>-5.3201359010794994E-3</v>
      </c>
    </row>
    <row r="893" spans="5:13" ht="15.75" thickBot="1">
      <c r="E893" s="552">
        <v>40583</v>
      </c>
      <c r="F893" s="550">
        <v>2365</v>
      </c>
      <c r="G893" s="549">
        <f t="shared" si="39"/>
        <v>-1.0515343999523008E-2</v>
      </c>
      <c r="H893" s="550">
        <v>1696.85</v>
      </c>
      <c r="I893" s="551">
        <f t="shared" si="40"/>
        <v>-8.0355190706287213E-3</v>
      </c>
      <c r="L893" s="556">
        <v>14504.31</v>
      </c>
      <c r="M893" s="553">
        <f t="shared" si="41"/>
        <v>-3.0324258497091694E-3</v>
      </c>
    </row>
    <row r="894" spans="5:13" ht="15.75" thickBot="1">
      <c r="E894" s="557">
        <v>40582</v>
      </c>
      <c r="F894" s="556">
        <v>2390</v>
      </c>
      <c r="G894" s="549">
        <f t="shared" si="39"/>
        <v>-4.1753714104806215E-3</v>
      </c>
      <c r="H894" s="556">
        <v>1710.54</v>
      </c>
      <c r="I894" s="551">
        <f t="shared" si="40"/>
        <v>1.0974684056261268E-2</v>
      </c>
      <c r="L894" s="550">
        <v>14548.36</v>
      </c>
      <c r="M894" s="553">
        <f t="shared" si="41"/>
        <v>9.0209604546842032E-3</v>
      </c>
    </row>
    <row r="895" spans="5:13" ht="15.75" thickBot="1">
      <c r="E895" s="552">
        <v>40581</v>
      </c>
      <c r="F895" s="550">
        <v>2400</v>
      </c>
      <c r="G895" s="549">
        <f t="shared" si="39"/>
        <v>-2.0811662038245117E-3</v>
      </c>
      <c r="H895" s="550">
        <v>1691.87</v>
      </c>
      <c r="I895" s="551">
        <f t="shared" si="40"/>
        <v>-1.0109085686622186E-2</v>
      </c>
      <c r="L895" s="556">
        <v>14417.71</v>
      </c>
      <c r="M895" s="553">
        <f t="shared" si="41"/>
        <v>-1.3907150158377228E-2</v>
      </c>
    </row>
    <row r="896" spans="5:13" ht="15.75" thickBot="1">
      <c r="E896" s="557">
        <v>40578</v>
      </c>
      <c r="F896" s="556">
        <v>2405</v>
      </c>
      <c r="G896" s="549">
        <f t="shared" si="39"/>
        <v>-8.2816208317219864E-3</v>
      </c>
      <c r="H896" s="556">
        <v>1709.06</v>
      </c>
      <c r="I896" s="551">
        <f t="shared" si="40"/>
        <v>-1.5617062730432792E-2</v>
      </c>
      <c r="L896" s="550">
        <v>14619.62</v>
      </c>
      <c r="M896" s="553">
        <f t="shared" si="41"/>
        <v>-1.5676479654356822E-2</v>
      </c>
    </row>
    <row r="897" spans="5:13" ht="15.75" thickBot="1">
      <c r="E897" s="552">
        <v>40577</v>
      </c>
      <c r="F897" s="550">
        <v>2425</v>
      </c>
      <c r="G897" s="549">
        <f t="shared" si="39"/>
        <v>-4.1152321451065439E-3</v>
      </c>
      <c r="H897" s="550">
        <v>1735.96</v>
      </c>
      <c r="I897" s="551">
        <f t="shared" si="40"/>
        <v>-5.33150751578084E-3</v>
      </c>
      <c r="L897" s="556">
        <v>14850.61</v>
      </c>
      <c r="M897" s="553">
        <f t="shared" si="41"/>
        <v>-6.2026901225643695E-3</v>
      </c>
    </row>
    <row r="898" spans="5:13" ht="15.75" thickBot="1">
      <c r="E898" s="557">
        <v>40576</v>
      </c>
      <c r="F898" s="556">
        <v>2435</v>
      </c>
      <c r="G898" s="549">
        <f t="shared" si="39"/>
        <v>-2.0512827705573607E-3</v>
      </c>
      <c r="H898" s="556">
        <v>1745.24</v>
      </c>
      <c r="I898" s="551">
        <f t="shared" si="40"/>
        <v>-8.2001115722503091E-3</v>
      </c>
      <c r="L898" s="550">
        <v>14943.01</v>
      </c>
      <c r="M898" s="553">
        <f t="shared" si="41"/>
        <v>-5.618260362780683E-3</v>
      </c>
    </row>
    <row r="899" spans="5:13" ht="15.75" thickBot="1">
      <c r="E899" s="552">
        <v>40575</v>
      </c>
      <c r="F899" s="550">
        <v>2440</v>
      </c>
      <c r="G899" s="549">
        <f t="shared" ref="G899:G962" si="42">+LN(F899/F900)</f>
        <v>6.1665149156639584E-3</v>
      </c>
      <c r="H899" s="550">
        <v>1759.61</v>
      </c>
      <c r="I899" s="551">
        <f t="shared" ref="I899:I962" si="43">+LN(H899/H900)</f>
        <v>-1.6013450174398999E-3</v>
      </c>
      <c r="L899" s="556">
        <v>15027.2</v>
      </c>
      <c r="M899" s="553">
        <f t="shared" ref="M899:M962" si="44">+LN(L899/L900)</f>
        <v>-3.3701929217234165E-3</v>
      </c>
    </row>
    <row r="900" spans="5:13" ht="15.75" thickBot="1">
      <c r="E900" s="557">
        <v>40574</v>
      </c>
      <c r="F900" s="556">
        <v>2425</v>
      </c>
      <c r="G900" s="549">
        <f t="shared" si="42"/>
        <v>-4.1152321451065439E-3</v>
      </c>
      <c r="H900" s="556">
        <v>1762.43</v>
      </c>
      <c r="I900" s="551">
        <f t="shared" si="43"/>
        <v>-3.2289523205453925E-3</v>
      </c>
      <c r="L900" s="550">
        <v>15077.93</v>
      </c>
      <c r="M900" s="553">
        <f t="shared" si="44"/>
        <v>7.8622589432695677E-4</v>
      </c>
    </row>
    <row r="901" spans="5:13" ht="15.75" thickBot="1">
      <c r="E901" s="552">
        <v>40571</v>
      </c>
      <c r="F901" s="550">
        <v>2435</v>
      </c>
      <c r="G901" s="549">
        <f t="shared" si="42"/>
        <v>4.1152321451065794E-3</v>
      </c>
      <c r="H901" s="550">
        <v>1768.13</v>
      </c>
      <c r="I901" s="551">
        <f t="shared" si="43"/>
        <v>-2.7730965452194964E-3</v>
      </c>
      <c r="L901" s="556">
        <v>15066.08</v>
      </c>
      <c r="M901" s="553">
        <f t="shared" si="44"/>
        <v>-1.6009925061268209E-3</v>
      </c>
    </row>
    <row r="902" spans="5:13" ht="15.75" thickBot="1">
      <c r="E902" s="557">
        <v>40570</v>
      </c>
      <c r="F902" s="556">
        <v>2425</v>
      </c>
      <c r="G902" s="549">
        <f t="shared" si="42"/>
        <v>-1.025650016718911E-2</v>
      </c>
      <c r="H902" s="556">
        <v>1773.04</v>
      </c>
      <c r="I902" s="551">
        <f t="shared" si="43"/>
        <v>8.4071787584000647E-4</v>
      </c>
      <c r="L902" s="550">
        <v>15090.22</v>
      </c>
      <c r="M902" s="553">
        <f t="shared" si="44"/>
        <v>-5.2404322733905196E-4</v>
      </c>
    </row>
    <row r="903" spans="5:13" ht="15.75" thickBot="1">
      <c r="E903" s="552">
        <v>40569</v>
      </c>
      <c r="F903" s="550">
        <v>2450</v>
      </c>
      <c r="G903" s="549">
        <f t="shared" si="42"/>
        <v>2.042901629800331E-3</v>
      </c>
      <c r="H903" s="550">
        <v>1771.55</v>
      </c>
      <c r="I903" s="551">
        <f t="shared" si="43"/>
        <v>9.4315977601804445E-3</v>
      </c>
      <c r="L903" s="556">
        <v>15098.13</v>
      </c>
      <c r="M903" s="553">
        <f t="shared" si="44"/>
        <v>1.2612545026542819E-2</v>
      </c>
    </row>
    <row r="904" spans="5:13" ht="15.75" thickBot="1">
      <c r="E904" s="557">
        <v>40568</v>
      </c>
      <c r="F904" s="556">
        <v>2445</v>
      </c>
      <c r="G904" s="549">
        <f t="shared" si="42"/>
        <v>-4.0816383196485067E-3</v>
      </c>
      <c r="H904" s="556">
        <v>1754.92</v>
      </c>
      <c r="I904" s="551">
        <f t="shared" si="43"/>
        <v>-2.8848553824760204E-3</v>
      </c>
      <c r="L904" s="550">
        <v>14908.9</v>
      </c>
      <c r="M904" s="553">
        <f t="shared" si="44"/>
        <v>-3.1254556328114175E-3</v>
      </c>
    </row>
    <row r="905" spans="5:13" ht="15.75" thickBot="1">
      <c r="E905" s="552">
        <v>40567</v>
      </c>
      <c r="F905" s="550">
        <v>2455</v>
      </c>
      <c r="G905" s="549">
        <f t="shared" si="42"/>
        <v>6.1287219413733258E-3</v>
      </c>
      <c r="H905" s="550">
        <v>1759.99</v>
      </c>
      <c r="I905" s="551">
        <f t="shared" si="43"/>
        <v>1.9963208363496872E-3</v>
      </c>
      <c r="L905" s="556">
        <v>14955.57</v>
      </c>
      <c r="M905" s="553">
        <f t="shared" si="44"/>
        <v>2.5144295620743392E-4</v>
      </c>
    </row>
    <row r="906" spans="5:13" ht="15.75" thickBot="1">
      <c r="E906" s="557">
        <v>40564</v>
      </c>
      <c r="F906" s="556">
        <v>2440</v>
      </c>
      <c r="G906" s="549">
        <f t="shared" si="42"/>
        <v>2.0512827705573612E-3</v>
      </c>
      <c r="H906" s="556">
        <v>1756.48</v>
      </c>
      <c r="I906" s="551">
        <f t="shared" si="43"/>
        <v>8.5018336110933117E-3</v>
      </c>
      <c r="L906" s="550">
        <v>14951.81</v>
      </c>
      <c r="M906" s="553">
        <f t="shared" si="44"/>
        <v>1.0292347933334712E-2</v>
      </c>
    </row>
    <row r="907" spans="5:13" ht="15.75" thickBot="1">
      <c r="E907" s="552">
        <v>40563</v>
      </c>
      <c r="F907" s="550">
        <v>2435</v>
      </c>
      <c r="G907" s="549">
        <f t="shared" si="42"/>
        <v>-1.6293639486100502E-2</v>
      </c>
      <c r="H907" s="550">
        <v>1741.61</v>
      </c>
      <c r="I907" s="551">
        <f t="shared" si="43"/>
        <v>-1.4026035141189981E-2</v>
      </c>
      <c r="L907" s="556">
        <v>14798.71</v>
      </c>
      <c r="M907" s="553">
        <f t="shared" si="44"/>
        <v>-1.0241516675042712E-2</v>
      </c>
    </row>
    <row r="908" spans="5:13" ht="15.75" thickBot="1">
      <c r="E908" s="557">
        <v>40562</v>
      </c>
      <c r="F908" s="556">
        <v>2475</v>
      </c>
      <c r="G908" s="549">
        <f t="shared" si="42"/>
        <v>-1.0050335853501451E-2</v>
      </c>
      <c r="H908" s="556">
        <v>1766.21</v>
      </c>
      <c r="I908" s="551">
        <f t="shared" si="43"/>
        <v>-1.3608635994498904E-2</v>
      </c>
      <c r="L908" s="550">
        <v>14951.05</v>
      </c>
      <c r="M908" s="553">
        <f t="shared" si="44"/>
        <v>-1.3178735634249964E-2</v>
      </c>
    </row>
    <row r="909" spans="5:13" ht="15.75" thickBot="1">
      <c r="E909" s="552">
        <v>40561</v>
      </c>
      <c r="F909" s="550">
        <v>2500</v>
      </c>
      <c r="G909" s="549">
        <f t="shared" si="42"/>
        <v>-1.7839918128331005E-2</v>
      </c>
      <c r="H909" s="550">
        <v>1790.41</v>
      </c>
      <c r="I909" s="551">
        <f t="shared" si="43"/>
        <v>-6.2638182347121152E-3</v>
      </c>
      <c r="L909" s="556">
        <v>15149.39</v>
      </c>
      <c r="M909" s="553">
        <f t="shared" si="44"/>
        <v>-3.8928999053029663E-3</v>
      </c>
    </row>
    <row r="910" spans="5:13" ht="15.75" thickBot="1">
      <c r="E910" s="557">
        <v>40560</v>
      </c>
      <c r="F910" s="556">
        <v>2545</v>
      </c>
      <c r="G910" s="549">
        <f t="shared" si="42"/>
        <v>5.9113472630571645E-3</v>
      </c>
      <c r="H910" s="556">
        <v>1801.66</v>
      </c>
      <c r="I910" s="551">
        <f t="shared" si="43"/>
        <v>3.1186530025503613E-3</v>
      </c>
      <c r="L910" s="550">
        <v>15208.48</v>
      </c>
      <c r="M910" s="553">
        <f t="shared" si="44"/>
        <v>2.1471595257500373E-3</v>
      </c>
    </row>
    <row r="911" spans="5:13" ht="15.75" thickBot="1">
      <c r="E911" s="552">
        <v>40557</v>
      </c>
      <c r="F911" s="550">
        <v>2530</v>
      </c>
      <c r="G911" s="549">
        <f t="shared" si="42"/>
        <v>1.9782400121057205E-3</v>
      </c>
      <c r="H911" s="550">
        <v>1796.05</v>
      </c>
      <c r="I911" s="551">
        <f t="shared" si="43"/>
        <v>-3.2296555779240572E-3</v>
      </c>
      <c r="L911" s="556">
        <v>15175.86</v>
      </c>
      <c r="M911" s="553">
        <f t="shared" si="44"/>
        <v>-3.4134137612314422E-3</v>
      </c>
    </row>
    <row r="912" spans="5:13" ht="15.75" thickBot="1">
      <c r="E912" s="557">
        <v>40556</v>
      </c>
      <c r="F912" s="556">
        <v>2525</v>
      </c>
      <c r="G912" s="549">
        <f t="shared" si="42"/>
        <v>5.9583095836306249E-3</v>
      </c>
      <c r="H912" s="556">
        <v>1801.86</v>
      </c>
      <c r="I912" s="551">
        <f t="shared" si="43"/>
        <v>9.9053783155480298E-3</v>
      </c>
      <c r="L912" s="550">
        <v>15227.75</v>
      </c>
      <c r="M912" s="553">
        <f t="shared" si="44"/>
        <v>3.9024677283943489E-3</v>
      </c>
    </row>
    <row r="913" spans="5:13" ht="15.75" thickBot="1">
      <c r="E913" s="552">
        <v>40555</v>
      </c>
      <c r="F913" s="550">
        <v>2510</v>
      </c>
      <c r="G913" s="549">
        <f t="shared" si="42"/>
        <v>-7.9365495957363034E-3</v>
      </c>
      <c r="H913" s="550">
        <v>1784.1</v>
      </c>
      <c r="I913" s="551">
        <f t="shared" si="43"/>
        <v>1.1851806814343365E-2</v>
      </c>
      <c r="L913" s="556">
        <v>15168.44</v>
      </c>
      <c r="M913" s="553">
        <f t="shared" si="44"/>
        <v>1.1105420976016502E-2</v>
      </c>
    </row>
    <row r="914" spans="5:13" ht="15.75" thickBot="1">
      <c r="E914" s="557">
        <v>40554</v>
      </c>
      <c r="F914" s="556">
        <v>2530</v>
      </c>
      <c r="G914" s="549">
        <f t="shared" si="42"/>
        <v>1.9960742562538152E-2</v>
      </c>
      <c r="H914" s="556">
        <v>1763.08</v>
      </c>
      <c r="I914" s="551">
        <f t="shared" si="43"/>
        <v>-1.051129772502264E-2</v>
      </c>
      <c r="L914" s="550">
        <v>15000.92</v>
      </c>
      <c r="M914" s="553">
        <f t="shared" si="44"/>
        <v>2.5404018097047757E-3</v>
      </c>
    </row>
    <row r="915" spans="5:13" ht="15.75" thickBot="1">
      <c r="E915" s="552">
        <v>40550</v>
      </c>
      <c r="F915" s="550">
        <v>2480</v>
      </c>
      <c r="G915" s="549">
        <f t="shared" si="42"/>
        <v>8.0972102326193028E-3</v>
      </c>
      <c r="H915" s="550">
        <v>1781.71</v>
      </c>
      <c r="I915" s="551">
        <f t="shared" si="43"/>
        <v>8.4205565637020582E-3</v>
      </c>
      <c r="L915" s="556">
        <v>14962.86</v>
      </c>
      <c r="M915" s="553">
        <f t="shared" si="44"/>
        <v>-5.1428526700630049E-3</v>
      </c>
    </row>
    <row r="916" spans="5:13" ht="15.75" thickBot="1">
      <c r="E916" s="557">
        <v>40549</v>
      </c>
      <c r="F916" s="556">
        <v>2460</v>
      </c>
      <c r="G916" s="549">
        <f t="shared" si="42"/>
        <v>-1.8127384592556715E-2</v>
      </c>
      <c r="H916" s="556">
        <v>1766.77</v>
      </c>
      <c r="I916" s="551">
        <f t="shared" si="43"/>
        <v>-1.3380984171451765E-2</v>
      </c>
      <c r="L916" s="550">
        <v>15040.01</v>
      </c>
      <c r="M916" s="553">
        <f t="shared" si="44"/>
        <v>-1.4230698853923272E-2</v>
      </c>
    </row>
    <row r="917" spans="5:13" ht="15.75" thickBot="1">
      <c r="E917" s="552">
        <v>40548</v>
      </c>
      <c r="F917" s="550">
        <v>2505</v>
      </c>
      <c r="G917" s="549">
        <f t="shared" si="42"/>
        <v>-1.9940186068643953E-3</v>
      </c>
      <c r="H917" s="550">
        <v>1790.57</v>
      </c>
      <c r="I917" s="551">
        <f t="shared" si="43"/>
        <v>-1.0942000506575436E-2</v>
      </c>
      <c r="L917" s="556">
        <v>15255.57</v>
      </c>
      <c r="M917" s="553">
        <f t="shared" si="44"/>
        <v>-1.0011001143361801E-3</v>
      </c>
    </row>
    <row r="918" spans="5:13" ht="15.75" thickBot="1">
      <c r="E918" s="557">
        <v>40547</v>
      </c>
      <c r="F918" s="556">
        <v>2510</v>
      </c>
      <c r="G918" s="549">
        <f t="shared" si="42"/>
        <v>0</v>
      </c>
      <c r="H918" s="556">
        <v>1810.27</v>
      </c>
      <c r="I918" s="551">
        <f t="shared" si="43"/>
        <v>4.0240612023446556E-3</v>
      </c>
      <c r="L918" s="550">
        <v>15270.85</v>
      </c>
      <c r="M918" s="553">
        <f t="shared" si="44"/>
        <v>-2.320685944444365E-3</v>
      </c>
    </row>
    <row r="919" spans="5:13" ht="15.75" thickBot="1">
      <c r="E919" s="552">
        <v>40546</v>
      </c>
      <c r="F919" s="550">
        <v>2510</v>
      </c>
      <c r="G919" s="549">
        <f t="shared" si="42"/>
        <v>-3.5228691883743828E-2</v>
      </c>
      <c r="H919" s="550">
        <v>1803</v>
      </c>
      <c r="I919" s="551">
        <f t="shared" si="43"/>
        <v>-1.1415460219469221E-2</v>
      </c>
      <c r="L919" s="556">
        <v>15306.33</v>
      </c>
      <c r="M919" s="553">
        <f t="shared" si="44"/>
        <v>-1.2365146785025335E-2</v>
      </c>
    </row>
    <row r="920" spans="5:13" ht="15.75" thickBot="1">
      <c r="E920" s="557">
        <v>40542</v>
      </c>
      <c r="F920" s="556">
        <v>2600</v>
      </c>
      <c r="G920" s="549">
        <f t="shared" si="42"/>
        <v>0</v>
      </c>
      <c r="H920" s="556">
        <v>1823.7</v>
      </c>
      <c r="I920" s="551">
        <f t="shared" si="43"/>
        <v>-8.7459816875766969E-3</v>
      </c>
      <c r="L920" s="550">
        <v>15496.77</v>
      </c>
      <c r="M920" s="553">
        <f t="shared" si="44"/>
        <v>-2.963963620345966E-3</v>
      </c>
    </row>
    <row r="921" spans="5:13" ht="15.75" thickBot="1">
      <c r="E921" s="552">
        <v>40541</v>
      </c>
      <c r="F921" s="550">
        <v>2600</v>
      </c>
      <c r="G921" s="549">
        <f t="shared" si="42"/>
        <v>-5.752652489449811E-3</v>
      </c>
      <c r="H921" s="550">
        <v>1839.72</v>
      </c>
      <c r="I921" s="551">
        <f t="shared" si="43"/>
        <v>-5.3073530142491417E-3</v>
      </c>
      <c r="L921" s="556">
        <v>15542.77</v>
      </c>
      <c r="M921" s="553">
        <f t="shared" si="44"/>
        <v>-7.5709429093395288E-3</v>
      </c>
    </row>
    <row r="922" spans="5:13" ht="15.75" thickBot="1">
      <c r="E922" s="557">
        <v>40540</v>
      </c>
      <c r="F922" s="556">
        <v>2615</v>
      </c>
      <c r="G922" s="549">
        <f t="shared" si="42"/>
        <v>-3.1987675493397129E-2</v>
      </c>
      <c r="H922" s="556">
        <v>1849.51</v>
      </c>
      <c r="I922" s="551">
        <f t="shared" si="43"/>
        <v>-8.9406698966341316E-3</v>
      </c>
      <c r="L922" s="550">
        <v>15660.89</v>
      </c>
      <c r="M922" s="553">
        <f t="shared" si="44"/>
        <v>-9.162987575909446E-3</v>
      </c>
    </row>
    <row r="923" spans="5:13" ht="15.75" thickBot="1">
      <c r="E923" s="552">
        <v>40539</v>
      </c>
      <c r="F923" s="550">
        <v>2700</v>
      </c>
      <c r="G923" s="549">
        <f t="shared" si="42"/>
        <v>-1.1049836186584935E-2</v>
      </c>
      <c r="H923" s="550">
        <v>1866.12</v>
      </c>
      <c r="I923" s="551">
        <f t="shared" si="43"/>
        <v>6.9259504250511091E-3</v>
      </c>
      <c r="L923" s="556">
        <v>15805.05</v>
      </c>
      <c r="M923" s="553">
        <f t="shared" si="44"/>
        <v>8.7416443658461084E-3</v>
      </c>
    </row>
    <row r="924" spans="5:13" ht="15.75" thickBot="1">
      <c r="E924" s="557">
        <v>40536</v>
      </c>
      <c r="F924" s="556">
        <v>2730</v>
      </c>
      <c r="G924" s="549">
        <f t="shared" si="42"/>
        <v>2.9741969198737516E-2</v>
      </c>
      <c r="H924" s="556">
        <v>1853.24</v>
      </c>
      <c r="I924" s="551">
        <f t="shared" si="43"/>
        <v>3.6435033035773223E-3</v>
      </c>
      <c r="L924" s="550">
        <v>15667.49</v>
      </c>
      <c r="M924" s="553">
        <f t="shared" si="44"/>
        <v>3.1772157263015178E-3</v>
      </c>
    </row>
    <row r="925" spans="5:13" ht="15.75" thickBot="1">
      <c r="E925" s="552">
        <v>40535</v>
      </c>
      <c r="F925" s="550">
        <v>2650</v>
      </c>
      <c r="G925" s="549">
        <f t="shared" si="42"/>
        <v>1.8885746878681546E-3</v>
      </c>
      <c r="H925" s="550">
        <v>1846.5</v>
      </c>
      <c r="I925" s="551">
        <f t="shared" si="43"/>
        <v>3.7492346059640603E-3</v>
      </c>
      <c r="L925" s="556">
        <v>15617.79</v>
      </c>
      <c r="M925" s="553">
        <f t="shared" si="44"/>
        <v>6.0472699670277791E-3</v>
      </c>
    </row>
    <row r="926" spans="5:13" ht="15.75" thickBot="1">
      <c r="E926" s="557">
        <v>40534</v>
      </c>
      <c r="F926" s="556">
        <v>2645</v>
      </c>
      <c r="G926" s="549">
        <f t="shared" si="42"/>
        <v>1.1406967793376381E-2</v>
      </c>
      <c r="H926" s="556">
        <v>1839.59</v>
      </c>
      <c r="I926" s="551">
        <f t="shared" si="43"/>
        <v>8.0613686713200006E-3</v>
      </c>
      <c r="L926" s="550">
        <v>15523.63</v>
      </c>
      <c r="M926" s="553">
        <f t="shared" si="44"/>
        <v>9.2915139189989216E-3</v>
      </c>
    </row>
    <row r="927" spans="5:13" ht="15.75" thickBot="1">
      <c r="E927" s="552">
        <v>40533</v>
      </c>
      <c r="F927" s="550">
        <v>2615</v>
      </c>
      <c r="G927" s="549">
        <f t="shared" si="42"/>
        <v>7.677580899034332E-3</v>
      </c>
      <c r="H927" s="550">
        <v>1824.82</v>
      </c>
      <c r="I927" s="551">
        <f t="shared" si="43"/>
        <v>5.0928999177611367E-3</v>
      </c>
      <c r="L927" s="556">
        <v>15380.06</v>
      </c>
      <c r="M927" s="553">
        <f t="shared" si="44"/>
        <v>4.6466516658956493E-3</v>
      </c>
    </row>
    <row r="928" spans="5:13" ht="15.75" thickBot="1">
      <c r="E928" s="557">
        <v>40532</v>
      </c>
      <c r="F928" s="556">
        <v>2595</v>
      </c>
      <c r="G928" s="549">
        <f t="shared" si="42"/>
        <v>-1.9249284095843938E-3</v>
      </c>
      <c r="H928" s="556">
        <v>1815.55</v>
      </c>
      <c r="I928" s="551">
        <f t="shared" si="43"/>
        <v>-4.1498967118466772E-3</v>
      </c>
      <c r="L928" s="550">
        <v>15308.76</v>
      </c>
      <c r="M928" s="553">
        <f t="shared" si="44"/>
        <v>-4.580980064840731E-3</v>
      </c>
    </row>
    <row r="929" spans="5:13" ht="15.75" thickBot="1">
      <c r="E929" s="552">
        <v>40529</v>
      </c>
      <c r="F929" s="550">
        <v>2600</v>
      </c>
      <c r="G929" s="549">
        <f t="shared" si="42"/>
        <v>-5.752652489449811E-3</v>
      </c>
      <c r="H929" s="550">
        <v>1823.1</v>
      </c>
      <c r="I929" s="551">
        <f t="shared" si="43"/>
        <v>-1.9946086441052944E-3</v>
      </c>
      <c r="L929" s="556">
        <v>15379.05</v>
      </c>
      <c r="M929" s="553">
        <f t="shared" si="44"/>
        <v>-3.5236540266394515E-4</v>
      </c>
    </row>
    <row r="930" spans="5:13" ht="15.75" thickBot="1">
      <c r="E930" s="557">
        <v>40528</v>
      </c>
      <c r="F930" s="556">
        <v>2615</v>
      </c>
      <c r="G930" s="549">
        <f t="shared" si="42"/>
        <v>9.6062218054399334E-3</v>
      </c>
      <c r="H930" s="556">
        <v>1826.74</v>
      </c>
      <c r="I930" s="551">
        <f t="shared" si="43"/>
        <v>1.714904470576381E-3</v>
      </c>
      <c r="L930" s="550">
        <v>15384.47</v>
      </c>
      <c r="M930" s="553">
        <f t="shared" si="44"/>
        <v>1.9838352291483299E-3</v>
      </c>
    </row>
    <row r="931" spans="5:13" ht="15.75" thickBot="1">
      <c r="E931" s="552">
        <v>40527</v>
      </c>
      <c r="F931" s="550">
        <v>2590</v>
      </c>
      <c r="G931" s="549">
        <f t="shared" si="42"/>
        <v>-1.928640906405597E-3</v>
      </c>
      <c r="H931" s="550">
        <v>1823.61</v>
      </c>
      <c r="I931" s="551">
        <f t="shared" si="43"/>
        <v>-1.2045974314211422E-2</v>
      </c>
      <c r="L931" s="556">
        <v>15353.98</v>
      </c>
      <c r="M931" s="553">
        <f t="shared" si="44"/>
        <v>-1.2035542594670174E-2</v>
      </c>
    </row>
    <row r="932" spans="5:13" ht="15.75" thickBot="1">
      <c r="E932" s="557">
        <v>40526</v>
      </c>
      <c r="F932" s="556">
        <v>2595</v>
      </c>
      <c r="G932" s="549">
        <f t="shared" si="42"/>
        <v>0</v>
      </c>
      <c r="H932" s="556">
        <v>1845.71</v>
      </c>
      <c r="I932" s="551">
        <f t="shared" si="43"/>
        <v>2.4247696280754539E-3</v>
      </c>
      <c r="L932" s="550">
        <v>15539.89</v>
      </c>
      <c r="M932" s="553">
        <f t="shared" si="44"/>
        <v>2.0987407533558764E-3</v>
      </c>
    </row>
    <row r="933" spans="5:13" ht="15.75" thickBot="1">
      <c r="E933" s="552">
        <v>40525</v>
      </c>
      <c r="F933" s="550">
        <v>2595</v>
      </c>
      <c r="G933" s="549">
        <f t="shared" si="42"/>
        <v>-1.9249284095843938E-3</v>
      </c>
      <c r="H933" s="550">
        <v>1841.24</v>
      </c>
      <c r="I933" s="551">
        <f t="shared" si="43"/>
        <v>5.6534558681613058E-3</v>
      </c>
      <c r="L933" s="556">
        <v>15507.31</v>
      </c>
      <c r="M933" s="553">
        <f t="shared" si="44"/>
        <v>6.955055256399602E-3</v>
      </c>
    </row>
    <row r="934" spans="5:13" ht="15.75" thickBot="1">
      <c r="E934" s="557">
        <v>40522</v>
      </c>
      <c r="F934" s="556">
        <v>2600</v>
      </c>
      <c r="G934" s="549">
        <f t="shared" si="42"/>
        <v>9.6619109117368901E-3</v>
      </c>
      <c r="H934" s="556">
        <v>1830.86</v>
      </c>
      <c r="I934" s="551">
        <f t="shared" si="43"/>
        <v>2.2747415182847782E-3</v>
      </c>
      <c r="L934" s="550">
        <v>15399.83</v>
      </c>
      <c r="M934" s="553">
        <f t="shared" si="44"/>
        <v>2.2811965333462709E-3</v>
      </c>
    </row>
    <row r="935" spans="5:13" ht="15.75" thickBot="1">
      <c r="E935" s="552">
        <v>40521</v>
      </c>
      <c r="F935" s="550">
        <v>2575</v>
      </c>
      <c r="G935" s="549">
        <f t="shared" si="42"/>
        <v>-1.9398648178265917E-3</v>
      </c>
      <c r="H935" s="550">
        <v>1826.7</v>
      </c>
      <c r="I935" s="551">
        <f t="shared" si="43"/>
        <v>-5.7207269786768997E-3</v>
      </c>
      <c r="L935" s="556">
        <v>15364.74</v>
      </c>
      <c r="M935" s="553">
        <f t="shared" si="44"/>
        <v>-5.409449912440396E-3</v>
      </c>
    </row>
    <row r="936" spans="5:13" ht="15.75" thickBot="1">
      <c r="E936" s="557">
        <v>40519</v>
      </c>
      <c r="F936" s="556">
        <v>2580</v>
      </c>
      <c r="G936" s="549">
        <f t="shared" si="42"/>
        <v>1.5625317903080815E-2</v>
      </c>
      <c r="H936" s="556">
        <v>1837.18</v>
      </c>
      <c r="I936" s="551">
        <f t="shared" si="43"/>
        <v>-2.5387140133162583E-3</v>
      </c>
      <c r="L936" s="550">
        <v>15448.08</v>
      </c>
      <c r="M936" s="553">
        <f t="shared" si="44"/>
        <v>-9.9768444570323797E-4</v>
      </c>
    </row>
    <row r="937" spans="5:13" ht="15.75" thickBot="1">
      <c r="E937" s="552">
        <v>40518</v>
      </c>
      <c r="F937" s="550">
        <v>2540</v>
      </c>
      <c r="G937" s="549">
        <f t="shared" si="42"/>
        <v>5.9230183031220712E-3</v>
      </c>
      <c r="H937" s="550">
        <v>1841.85</v>
      </c>
      <c r="I937" s="551">
        <f t="shared" si="43"/>
        <v>6.3124680283429511E-3</v>
      </c>
      <c r="L937" s="556">
        <v>15463.5</v>
      </c>
      <c r="M937" s="553">
        <f t="shared" si="44"/>
        <v>5.5679019527713402E-3</v>
      </c>
    </row>
    <row r="938" spans="5:13" ht="15.75" thickBot="1">
      <c r="E938" s="557">
        <v>40515</v>
      </c>
      <c r="F938" s="556">
        <v>2525</v>
      </c>
      <c r="G938" s="549">
        <f t="shared" si="42"/>
        <v>9.950330853168092E-3</v>
      </c>
      <c r="H938" s="556">
        <v>1830.26</v>
      </c>
      <c r="I938" s="551">
        <f t="shared" si="43"/>
        <v>2.5767217694581865E-3</v>
      </c>
      <c r="L938" s="550">
        <v>15377.64</v>
      </c>
      <c r="M938" s="553">
        <f t="shared" si="44"/>
        <v>2.5661016032319153E-3</v>
      </c>
    </row>
    <row r="939" spans="5:13" ht="15.75" thickBot="1">
      <c r="E939" s="552">
        <v>40514</v>
      </c>
      <c r="F939" s="550">
        <v>2500</v>
      </c>
      <c r="G939" s="549">
        <f t="shared" si="42"/>
        <v>2.0020026706729687E-3</v>
      </c>
      <c r="H939" s="550">
        <v>1825.55</v>
      </c>
      <c r="I939" s="551">
        <f t="shared" si="43"/>
        <v>1.7684415443131426E-2</v>
      </c>
      <c r="L939" s="556">
        <v>15338.23</v>
      </c>
      <c r="M939" s="553">
        <f t="shared" si="44"/>
        <v>1.6861011917154643E-2</v>
      </c>
    </row>
    <row r="940" spans="5:13" ht="15.75" thickBot="1">
      <c r="E940" s="557">
        <v>40513</v>
      </c>
      <c r="F940" s="556">
        <v>2495</v>
      </c>
      <c r="G940" s="549">
        <f t="shared" si="42"/>
        <v>2.006018726865766E-3</v>
      </c>
      <c r="H940" s="556">
        <v>1793.55</v>
      </c>
      <c r="I940" s="551">
        <f t="shared" si="43"/>
        <v>7.6172401808592702E-3</v>
      </c>
      <c r="L940" s="550">
        <v>15081.78</v>
      </c>
      <c r="M940" s="553">
        <f t="shared" si="44"/>
        <v>9.7411068837818873E-3</v>
      </c>
    </row>
    <row r="941" spans="5:13" ht="15.75" thickBot="1">
      <c r="E941" s="552">
        <v>40512</v>
      </c>
      <c r="F941" s="550">
        <v>2490</v>
      </c>
      <c r="G941" s="549">
        <f t="shared" si="42"/>
        <v>3.2655962974052717E-2</v>
      </c>
      <c r="H941" s="550">
        <v>1779.94</v>
      </c>
      <c r="I941" s="551">
        <f t="shared" si="43"/>
        <v>1.0067701247438467E-2</v>
      </c>
      <c r="L941" s="556">
        <v>14935.58</v>
      </c>
      <c r="M941" s="553">
        <f t="shared" si="44"/>
        <v>7.6134823576238572E-3</v>
      </c>
    </row>
    <row r="942" spans="5:13" ht="15.75" thickBot="1">
      <c r="E942" s="557">
        <v>40511</v>
      </c>
      <c r="F942" s="556">
        <v>2410</v>
      </c>
      <c r="G942" s="549">
        <f t="shared" si="42"/>
        <v>-8.2645098498934245E-3</v>
      </c>
      <c r="H942" s="556">
        <v>1762.11</v>
      </c>
      <c r="I942" s="551">
        <f t="shared" si="43"/>
        <v>-4.8008697525941894E-3</v>
      </c>
      <c r="L942" s="550">
        <v>14822.3</v>
      </c>
      <c r="M942" s="553">
        <f t="shared" si="44"/>
        <v>-6.252046422246145E-3</v>
      </c>
    </row>
    <row r="943" spans="5:13" ht="15.75" thickBot="1">
      <c r="E943" s="552">
        <v>40508</v>
      </c>
      <c r="F943" s="550">
        <v>2430</v>
      </c>
      <c r="G943" s="549">
        <f t="shared" si="42"/>
        <v>-6.1538655743782235E-3</v>
      </c>
      <c r="H943" s="550">
        <v>1770.59</v>
      </c>
      <c r="I943" s="551">
        <f t="shared" si="43"/>
        <v>-7.9935397603275605E-3</v>
      </c>
      <c r="L943" s="556">
        <v>14915.26</v>
      </c>
      <c r="M943" s="553">
        <f t="shared" si="44"/>
        <v>-8.045183789397373E-3</v>
      </c>
    </row>
    <row r="944" spans="5:13" ht="15.75" thickBot="1">
      <c r="E944" s="557">
        <v>40507</v>
      </c>
      <c r="F944" s="556">
        <v>2445</v>
      </c>
      <c r="G944" s="549">
        <f t="shared" si="42"/>
        <v>-2.0429016298002933E-3</v>
      </c>
      <c r="H944" s="556">
        <v>1784.8</v>
      </c>
      <c r="I944" s="551">
        <f t="shared" si="43"/>
        <v>-2.9930510882293006E-3</v>
      </c>
      <c r="L944" s="550">
        <v>15035.74</v>
      </c>
      <c r="M944" s="553">
        <f t="shared" si="44"/>
        <v>-1.7509572439008973E-3</v>
      </c>
    </row>
    <row r="945" spans="5:13" ht="15.75" thickBot="1">
      <c r="E945" s="552">
        <v>40506</v>
      </c>
      <c r="F945" s="550">
        <v>2450</v>
      </c>
      <c r="G945" s="549">
        <f t="shared" si="42"/>
        <v>0</v>
      </c>
      <c r="H945" s="550">
        <v>1790.15</v>
      </c>
      <c r="I945" s="551">
        <f t="shared" si="43"/>
        <v>2.2477934159560408E-2</v>
      </c>
      <c r="L945" s="556">
        <v>15062.09</v>
      </c>
      <c r="M945" s="553">
        <f t="shared" si="44"/>
        <v>2.3789427524367138E-2</v>
      </c>
    </row>
    <row r="946" spans="5:13" ht="15.75" thickBot="1">
      <c r="E946" s="557">
        <v>40505</v>
      </c>
      <c r="F946" s="556">
        <v>2450</v>
      </c>
      <c r="G946" s="549">
        <f t="shared" si="42"/>
        <v>2.042901629800331E-3</v>
      </c>
      <c r="H946" s="556">
        <v>1750.36</v>
      </c>
      <c r="I946" s="551">
        <f t="shared" si="43"/>
        <v>-1.4232430858234698E-2</v>
      </c>
      <c r="L946" s="550">
        <v>14708</v>
      </c>
      <c r="M946" s="553">
        <f t="shared" si="44"/>
        <v>-1.4697685798637665E-2</v>
      </c>
    </row>
    <row r="947" spans="5:13" ht="15.75" thickBot="1">
      <c r="E947" s="552">
        <v>40504</v>
      </c>
      <c r="F947" s="550">
        <v>2445</v>
      </c>
      <c r="G947" s="549">
        <f t="shared" si="42"/>
        <v>-4.0816383196485067E-3</v>
      </c>
      <c r="H947" s="550">
        <v>1775.45</v>
      </c>
      <c r="I947" s="551">
        <f t="shared" si="43"/>
        <v>-1.9019328915484315E-3</v>
      </c>
      <c r="L947" s="556">
        <v>14925.77</v>
      </c>
      <c r="M947" s="553">
        <f t="shared" si="44"/>
        <v>-1.9698162085187284E-3</v>
      </c>
    </row>
    <row r="948" spans="5:13" ht="15.75" thickBot="1">
      <c r="E948" s="557">
        <v>40501</v>
      </c>
      <c r="F948" s="556">
        <v>2455</v>
      </c>
      <c r="G948" s="549">
        <f t="shared" si="42"/>
        <v>-1.816397062767118E-2</v>
      </c>
      <c r="H948" s="556">
        <v>1778.83</v>
      </c>
      <c r="I948" s="551">
        <f t="shared" si="43"/>
        <v>-1.9650169139612966E-2</v>
      </c>
      <c r="L948" s="550">
        <v>14955.2</v>
      </c>
      <c r="M948" s="553">
        <f t="shared" si="44"/>
        <v>-2.061688546885837E-2</v>
      </c>
    </row>
    <row r="949" spans="5:13" ht="15.75" thickBot="1">
      <c r="E949" s="552">
        <v>40500</v>
      </c>
      <c r="F949" s="550">
        <v>2500</v>
      </c>
      <c r="G949" s="549">
        <f t="shared" si="42"/>
        <v>2.0202707317519469E-2</v>
      </c>
      <c r="H949" s="550">
        <v>1814.13</v>
      </c>
      <c r="I949" s="551">
        <f t="shared" si="43"/>
        <v>1.5129335351498695E-2</v>
      </c>
      <c r="L949" s="556">
        <v>15266.73</v>
      </c>
      <c r="M949" s="553">
        <f t="shared" si="44"/>
        <v>1.3154427755618588E-2</v>
      </c>
    </row>
    <row r="950" spans="5:13" ht="15.75" thickBot="1">
      <c r="E950" s="557">
        <v>40499</v>
      </c>
      <c r="F950" s="556">
        <v>2450</v>
      </c>
      <c r="G950" s="549">
        <f t="shared" si="42"/>
        <v>1.4388737452099671E-2</v>
      </c>
      <c r="H950" s="556">
        <v>1786.89</v>
      </c>
      <c r="I950" s="551">
        <f t="shared" si="43"/>
        <v>3.2840937143163766E-2</v>
      </c>
      <c r="L950" s="550">
        <v>15067.22</v>
      </c>
      <c r="M950" s="553">
        <f t="shared" si="44"/>
        <v>3.3208988189973691E-2</v>
      </c>
    </row>
    <row r="951" spans="5:13" ht="15.75" thickBot="1">
      <c r="E951" s="552">
        <v>40498</v>
      </c>
      <c r="F951" s="550">
        <v>2415</v>
      </c>
      <c r="G951" s="549">
        <f t="shared" si="42"/>
        <v>-3.8583466039156473E-2</v>
      </c>
      <c r="H951" s="550">
        <v>1729.16</v>
      </c>
      <c r="I951" s="551">
        <f t="shared" si="43"/>
        <v>-3.7419418499488509E-2</v>
      </c>
      <c r="L951" s="556">
        <v>14575.07</v>
      </c>
      <c r="M951" s="553">
        <f t="shared" si="44"/>
        <v>-4.0040217636888011E-2</v>
      </c>
    </row>
    <row r="952" spans="5:13" ht="15.75" thickBot="1">
      <c r="E952" s="557">
        <v>40494</v>
      </c>
      <c r="F952" s="556">
        <v>2510</v>
      </c>
      <c r="G952" s="549">
        <f t="shared" si="42"/>
        <v>-7.9365495957363034E-3</v>
      </c>
      <c r="H952" s="556">
        <v>1795.09</v>
      </c>
      <c r="I952" s="551">
        <f t="shared" si="43"/>
        <v>-2.5628468379628313E-2</v>
      </c>
      <c r="L952" s="550">
        <v>15170.5</v>
      </c>
      <c r="M952" s="553">
        <f t="shared" si="44"/>
        <v>-1.8914933434708219E-2</v>
      </c>
    </row>
    <row r="953" spans="5:13" ht="15.75" thickBot="1">
      <c r="E953" s="552">
        <v>40493</v>
      </c>
      <c r="F953" s="550">
        <v>2530</v>
      </c>
      <c r="G953" s="549">
        <f t="shared" si="42"/>
        <v>-1.178795575204224E-2</v>
      </c>
      <c r="H953" s="550">
        <v>1841.69</v>
      </c>
      <c r="I953" s="551">
        <f t="shared" si="43"/>
        <v>-2.5692122316878025E-2</v>
      </c>
      <c r="L953" s="556">
        <v>15460.18</v>
      </c>
      <c r="M953" s="553">
        <f t="shared" si="44"/>
        <v>-2.3678984912142102E-2</v>
      </c>
    </row>
    <row r="954" spans="5:13" ht="15.75" thickBot="1">
      <c r="E954" s="557">
        <v>40492</v>
      </c>
      <c r="F954" s="556">
        <v>2560</v>
      </c>
      <c r="G954" s="549">
        <f t="shared" si="42"/>
        <v>-2.3167059281534418E-2</v>
      </c>
      <c r="H954" s="556">
        <v>1889.62</v>
      </c>
      <c r="I954" s="551">
        <f t="shared" si="43"/>
        <v>-2.553356883215295E-2</v>
      </c>
      <c r="L954" s="550">
        <v>15830.63</v>
      </c>
      <c r="M954" s="553">
        <f t="shared" si="44"/>
        <v>-2.5719685323514693E-2</v>
      </c>
    </row>
    <row r="955" spans="5:13" ht="15.75" thickBot="1">
      <c r="E955" s="552">
        <v>40491</v>
      </c>
      <c r="F955" s="550">
        <v>2620</v>
      </c>
      <c r="G955" s="549">
        <f t="shared" si="42"/>
        <v>-3.8095284166677302E-3</v>
      </c>
      <c r="H955" s="550">
        <v>1938.49</v>
      </c>
      <c r="I955" s="551">
        <f t="shared" si="43"/>
        <v>-7.5803481823441229E-4</v>
      </c>
      <c r="L955" s="556">
        <v>16243.07</v>
      </c>
      <c r="M955" s="553">
        <f t="shared" si="44"/>
        <v>-1.2625106809266752E-3</v>
      </c>
    </row>
    <row r="956" spans="5:13" ht="15.75" thickBot="1">
      <c r="E956" s="557">
        <v>40490</v>
      </c>
      <c r="F956" s="556">
        <v>2630</v>
      </c>
      <c r="G956" s="549">
        <f t="shared" si="42"/>
        <v>1.9029501460860636E-3</v>
      </c>
      <c r="H956" s="556">
        <v>1939.96</v>
      </c>
      <c r="I956" s="551">
        <f t="shared" si="43"/>
        <v>-2.1647587667076581E-4</v>
      </c>
      <c r="L956" s="550">
        <v>16263.59</v>
      </c>
      <c r="M956" s="553">
        <f t="shared" si="44"/>
        <v>-9.3969518141198347E-4</v>
      </c>
    </row>
    <row r="957" spans="5:13" ht="15.75" thickBot="1">
      <c r="E957" s="552">
        <v>40487</v>
      </c>
      <c r="F957" s="550">
        <v>2625</v>
      </c>
      <c r="G957" s="549">
        <f t="shared" si="42"/>
        <v>-1.9029501460860756E-3</v>
      </c>
      <c r="H957" s="550">
        <v>1940.38</v>
      </c>
      <c r="I957" s="551">
        <f t="shared" si="43"/>
        <v>-1.0250467705849036E-3</v>
      </c>
      <c r="L957" s="556">
        <v>16278.88</v>
      </c>
      <c r="M957" s="553">
        <f t="shared" si="44"/>
        <v>9.9933938836302676E-4</v>
      </c>
    </row>
    <row r="958" spans="5:13" ht="15.75" thickBot="1">
      <c r="E958" s="557">
        <v>40486</v>
      </c>
      <c r="F958" s="556">
        <v>2630</v>
      </c>
      <c r="G958" s="549">
        <f t="shared" si="42"/>
        <v>9.5511709843429868E-3</v>
      </c>
      <c r="H958" s="556">
        <v>1942.37</v>
      </c>
      <c r="I958" s="551">
        <f t="shared" si="43"/>
        <v>9.8768151218494721E-3</v>
      </c>
      <c r="L958" s="550">
        <v>16262.62</v>
      </c>
      <c r="M958" s="553">
        <f t="shared" si="44"/>
        <v>1.0236924760547918E-2</v>
      </c>
    </row>
    <row r="959" spans="5:13" ht="15.75" thickBot="1">
      <c r="E959" s="552">
        <v>40485</v>
      </c>
      <c r="F959" s="550">
        <v>2605</v>
      </c>
      <c r="G959" s="549">
        <f t="shared" si="42"/>
        <v>3.8461585874783148E-3</v>
      </c>
      <c r="H959" s="550">
        <v>1923.28</v>
      </c>
      <c r="I959" s="551">
        <f t="shared" si="43"/>
        <v>4.8994666908504809E-3</v>
      </c>
      <c r="L959" s="556">
        <v>16096.99</v>
      </c>
      <c r="M959" s="553">
        <f t="shared" si="44"/>
        <v>5.7954815282646212E-3</v>
      </c>
    </row>
    <row r="960" spans="5:13" ht="15.75" thickBot="1">
      <c r="E960" s="557">
        <v>40484</v>
      </c>
      <c r="F960" s="556">
        <v>2595</v>
      </c>
      <c r="G960" s="549">
        <f t="shared" si="42"/>
        <v>7.7369825021524011E-3</v>
      </c>
      <c r="H960" s="556">
        <v>1913.88</v>
      </c>
      <c r="I960" s="551">
        <f t="shared" si="43"/>
        <v>6.3160146123426219E-3</v>
      </c>
      <c r="L960" s="550">
        <v>16003.97</v>
      </c>
      <c r="M960" s="553">
        <f t="shared" si="44"/>
        <v>6.5447516265320135E-3</v>
      </c>
    </row>
    <row r="961" spans="5:13" ht="15.75" thickBot="1">
      <c r="E961" s="552">
        <v>40480</v>
      </c>
      <c r="F961" s="550">
        <v>2575</v>
      </c>
      <c r="G961" s="549">
        <f t="shared" si="42"/>
        <v>0</v>
      </c>
      <c r="H961" s="550">
        <v>1901.83</v>
      </c>
      <c r="I961" s="551">
        <f t="shared" si="43"/>
        <v>1.6231300090458471E-2</v>
      </c>
      <c r="L961" s="556">
        <v>15899.57</v>
      </c>
      <c r="M961" s="553">
        <f t="shared" si="44"/>
        <v>1.5031683200580806E-2</v>
      </c>
    </row>
    <row r="962" spans="5:13" ht="15.75" thickBot="1">
      <c r="E962" s="557">
        <v>40479</v>
      </c>
      <c r="F962" s="556">
        <v>2575</v>
      </c>
      <c r="G962" s="549">
        <f t="shared" si="42"/>
        <v>3.8910554929667217E-3</v>
      </c>
      <c r="H962" s="556">
        <v>1871.21</v>
      </c>
      <c r="I962" s="551">
        <f t="shared" si="43"/>
        <v>4.4830754908619557E-3</v>
      </c>
      <c r="L962" s="550">
        <v>15662.36</v>
      </c>
      <c r="M962" s="553">
        <f t="shared" si="44"/>
        <v>6.3531561277097651E-3</v>
      </c>
    </row>
    <row r="963" spans="5:13" ht="15.75" thickBot="1">
      <c r="E963" s="552">
        <v>40478</v>
      </c>
      <c r="F963" s="550">
        <v>2565</v>
      </c>
      <c r="G963" s="549">
        <f t="shared" ref="G963:G1026" si="45">+LN(F963/F964)</f>
        <v>1.9512201312617493E-3</v>
      </c>
      <c r="H963" s="550">
        <v>1862.84</v>
      </c>
      <c r="I963" s="551">
        <f t="shared" ref="I963:I1026" si="46">+LN(H963/H964)</f>
        <v>-4.2372150314678439E-3</v>
      </c>
      <c r="L963" s="556">
        <v>15563.17</v>
      </c>
      <c r="M963" s="553">
        <f t="shared" ref="M963:M1026" si="47">+LN(L963/L964)</f>
        <v>-4.0494465471889512E-3</v>
      </c>
    </row>
    <row r="964" spans="5:13" ht="15.75" thickBot="1">
      <c r="E964" s="557">
        <v>40477</v>
      </c>
      <c r="F964" s="556">
        <v>2560</v>
      </c>
      <c r="G964" s="549">
        <f t="shared" si="45"/>
        <v>-1.5504186535965199E-2</v>
      </c>
      <c r="H964" s="556">
        <v>1870.75</v>
      </c>
      <c r="I964" s="551">
        <f t="shared" si="46"/>
        <v>-1.556709638801832E-2</v>
      </c>
      <c r="L964" s="550">
        <v>15626.32</v>
      </c>
      <c r="M964" s="553">
        <f t="shared" si="47"/>
        <v>-1.5221782825580295E-2</v>
      </c>
    </row>
    <row r="965" spans="5:13" ht="15.75" thickBot="1">
      <c r="E965" s="552">
        <v>40476</v>
      </c>
      <c r="F965" s="550">
        <v>2600</v>
      </c>
      <c r="G965" s="549">
        <f t="shared" si="45"/>
        <v>-2.6567027384721751E-2</v>
      </c>
      <c r="H965" s="550">
        <v>1900.1</v>
      </c>
      <c r="I965" s="551">
        <f t="shared" si="46"/>
        <v>-3.4465038476384213E-3</v>
      </c>
      <c r="L965" s="556">
        <v>15866</v>
      </c>
      <c r="M965" s="553">
        <f t="shared" si="47"/>
        <v>-3.1376414662397283E-3</v>
      </c>
    </row>
    <row r="966" spans="5:13" ht="15.75" thickBot="1">
      <c r="E966" s="557">
        <v>40473</v>
      </c>
      <c r="F966" s="556">
        <v>2670</v>
      </c>
      <c r="G966" s="549">
        <f t="shared" si="45"/>
        <v>0</v>
      </c>
      <c r="H966" s="556">
        <v>1906.66</v>
      </c>
      <c r="I966" s="551">
        <f t="shared" si="46"/>
        <v>1.5156289111887201E-2</v>
      </c>
      <c r="L966" s="550">
        <v>15915.86</v>
      </c>
      <c r="M966" s="553">
        <f t="shared" si="47"/>
        <v>1.2639976126010727E-2</v>
      </c>
    </row>
    <row r="967" spans="5:13" ht="15.75" thickBot="1">
      <c r="E967" s="552">
        <v>40472</v>
      </c>
      <c r="F967" s="550">
        <v>2670</v>
      </c>
      <c r="G967" s="549">
        <f t="shared" si="45"/>
        <v>1.874414794350352E-3</v>
      </c>
      <c r="H967" s="550">
        <v>1877.98</v>
      </c>
      <c r="I967" s="551">
        <f t="shared" si="46"/>
        <v>9.3407125568977685E-3</v>
      </c>
      <c r="L967" s="556">
        <v>15715.95</v>
      </c>
      <c r="M967" s="553">
        <f t="shared" si="47"/>
        <v>8.9011961950130544E-3</v>
      </c>
    </row>
    <row r="968" spans="5:13" ht="15.75" thickBot="1">
      <c r="E968" s="557">
        <v>40471</v>
      </c>
      <c r="F968" s="556">
        <v>2665</v>
      </c>
      <c r="G968" s="549">
        <f t="shared" si="45"/>
        <v>0</v>
      </c>
      <c r="H968" s="556">
        <v>1860.52</v>
      </c>
      <c r="I968" s="551">
        <f t="shared" si="46"/>
        <v>1.4899404897610654E-3</v>
      </c>
      <c r="L968" s="550">
        <v>15576.68</v>
      </c>
      <c r="M968" s="553">
        <f t="shared" si="47"/>
        <v>2.8911834604831519E-3</v>
      </c>
    </row>
    <row r="969" spans="5:13" ht="15.75" thickBot="1">
      <c r="E969" s="552">
        <v>40470</v>
      </c>
      <c r="F969" s="550">
        <v>2665</v>
      </c>
      <c r="G969" s="549">
        <f t="shared" si="45"/>
        <v>1.3220211428134737E-2</v>
      </c>
      <c r="H969" s="550">
        <v>1857.75</v>
      </c>
      <c r="I969" s="551">
        <f t="shared" si="46"/>
        <v>1.3090284284211414E-2</v>
      </c>
      <c r="L969" s="556">
        <v>15531.71</v>
      </c>
      <c r="M969" s="553">
        <f t="shared" si="47"/>
        <v>1.3910624889665879E-2</v>
      </c>
    </row>
    <row r="970" spans="5:13" ht="15.75" thickBot="1">
      <c r="E970" s="557">
        <v>40466</v>
      </c>
      <c r="F970" s="556">
        <v>2630</v>
      </c>
      <c r="G970" s="549">
        <f t="shared" si="45"/>
        <v>-1.5094626222485016E-2</v>
      </c>
      <c r="H970" s="556">
        <v>1833.59</v>
      </c>
      <c r="I970" s="551">
        <f t="shared" si="46"/>
        <v>-1.1840681355244232E-2</v>
      </c>
      <c r="L970" s="550">
        <v>15317.15</v>
      </c>
      <c r="M970" s="553">
        <f t="shared" si="47"/>
        <v>-9.5616725899738079E-3</v>
      </c>
    </row>
    <row r="971" spans="5:13" ht="15.75" thickBot="1">
      <c r="E971" s="552">
        <v>40465</v>
      </c>
      <c r="F971" s="550">
        <v>2670</v>
      </c>
      <c r="G971" s="549">
        <f t="shared" si="45"/>
        <v>-1.6713480973740556E-2</v>
      </c>
      <c r="H971" s="550">
        <v>1855.43</v>
      </c>
      <c r="I971" s="551">
        <f t="shared" si="46"/>
        <v>-9.6918641251307648E-3</v>
      </c>
      <c r="L971" s="556">
        <v>15464.31</v>
      </c>
      <c r="M971" s="553">
        <f t="shared" si="47"/>
        <v>-6.6531889519137535E-3</v>
      </c>
    </row>
    <row r="972" spans="5:13" ht="15.75" thickBot="1">
      <c r="E972" s="557">
        <v>40464</v>
      </c>
      <c r="F972" s="556">
        <v>2715</v>
      </c>
      <c r="G972" s="549">
        <f t="shared" si="45"/>
        <v>9.2507597721509967E-3</v>
      </c>
      <c r="H972" s="556">
        <v>1873.5</v>
      </c>
      <c r="I972" s="551">
        <f t="shared" si="46"/>
        <v>1.6663284772251118E-2</v>
      </c>
      <c r="L972" s="550">
        <v>15567.54</v>
      </c>
      <c r="M972" s="553">
        <f t="shared" si="47"/>
        <v>9.8261570931438991E-3</v>
      </c>
    </row>
    <row r="973" spans="5:13" ht="15.75" thickBot="1">
      <c r="E973" s="552">
        <v>40463</v>
      </c>
      <c r="F973" s="550">
        <v>2690</v>
      </c>
      <c r="G973" s="549">
        <f t="shared" si="45"/>
        <v>-3.7105793965356015E-3</v>
      </c>
      <c r="H973" s="550">
        <v>1842.54</v>
      </c>
      <c r="I973" s="551">
        <f t="shared" si="46"/>
        <v>-1.8273263499501305E-3</v>
      </c>
      <c r="L973" s="556">
        <v>15415.32</v>
      </c>
      <c r="M973" s="553">
        <f t="shared" si="47"/>
        <v>6.4437193975035655E-4</v>
      </c>
    </row>
    <row r="974" spans="5:13" ht="15.75" thickBot="1">
      <c r="E974" s="557">
        <v>40462</v>
      </c>
      <c r="F974" s="556">
        <v>2700</v>
      </c>
      <c r="G974" s="549">
        <f t="shared" si="45"/>
        <v>2.6267926820610105E-2</v>
      </c>
      <c r="H974" s="556">
        <v>1845.91</v>
      </c>
      <c r="I974" s="551">
        <f t="shared" si="46"/>
        <v>1.0636515159535637E-2</v>
      </c>
      <c r="L974" s="550">
        <v>15405.39</v>
      </c>
      <c r="M974" s="553">
        <f t="shared" si="47"/>
        <v>1.1199491978543512E-2</v>
      </c>
    </row>
    <row r="975" spans="5:13" ht="15.75" thickBot="1">
      <c r="E975" s="552">
        <v>40459</v>
      </c>
      <c r="F975" s="550">
        <v>2630</v>
      </c>
      <c r="G975" s="549">
        <f t="shared" si="45"/>
        <v>1.5325970478226772E-2</v>
      </c>
      <c r="H975" s="550">
        <v>1826.38</v>
      </c>
      <c r="I975" s="551">
        <f t="shared" si="46"/>
        <v>9.6224681811678259E-3</v>
      </c>
      <c r="L975" s="556">
        <v>15233.82</v>
      </c>
      <c r="M975" s="553">
        <f t="shared" si="47"/>
        <v>1.1501630583240932E-2</v>
      </c>
    </row>
    <row r="976" spans="5:13" ht="15.75" thickBot="1">
      <c r="E976" s="557">
        <v>40458</v>
      </c>
      <c r="F976" s="556">
        <v>2590</v>
      </c>
      <c r="G976" s="549">
        <f t="shared" si="45"/>
        <v>1.1650617219975274E-2</v>
      </c>
      <c r="H976" s="556">
        <v>1808.89</v>
      </c>
      <c r="I976" s="551">
        <f t="shared" si="46"/>
        <v>-8.8939864308301524E-3</v>
      </c>
      <c r="L976" s="550">
        <v>15059.61</v>
      </c>
      <c r="M976" s="553">
        <f t="shared" si="47"/>
        <v>-7.2421606514660938E-3</v>
      </c>
    </row>
    <row r="977" spans="5:13" ht="15.75" thickBot="1">
      <c r="E977" s="552">
        <v>40457</v>
      </c>
      <c r="F977" s="550">
        <v>2560</v>
      </c>
      <c r="G977" s="549">
        <f t="shared" si="45"/>
        <v>2.7724548014854768E-2</v>
      </c>
      <c r="H977" s="550">
        <v>1825.05</v>
      </c>
      <c r="I977" s="551">
        <f t="shared" si="46"/>
        <v>1.6752791120382492E-2</v>
      </c>
      <c r="L977" s="556">
        <v>15169.07</v>
      </c>
      <c r="M977" s="553">
        <f t="shared" si="47"/>
        <v>1.6024531354264498E-2</v>
      </c>
    </row>
    <row r="978" spans="5:13" ht="15.75" thickBot="1">
      <c r="E978" s="557">
        <v>40456</v>
      </c>
      <c r="F978" s="556">
        <v>2490</v>
      </c>
      <c r="G978" s="549">
        <f t="shared" si="45"/>
        <v>4.024150299725548E-3</v>
      </c>
      <c r="H978" s="556">
        <v>1794.73</v>
      </c>
      <c r="I978" s="551">
        <f t="shared" si="46"/>
        <v>1.5899693298739546E-2</v>
      </c>
      <c r="L978" s="550">
        <v>14927.93</v>
      </c>
      <c r="M978" s="553">
        <f t="shared" si="47"/>
        <v>1.6179973160919896E-2</v>
      </c>
    </row>
    <row r="979" spans="5:13" ht="15.75" thickBot="1">
      <c r="E979" s="552">
        <v>40455</v>
      </c>
      <c r="F979" s="550">
        <v>2480</v>
      </c>
      <c r="G979" s="549">
        <f t="shared" si="45"/>
        <v>8.0972102326193028E-3</v>
      </c>
      <c r="H979" s="550">
        <v>1766.42</v>
      </c>
      <c r="I979" s="551">
        <f t="shared" si="46"/>
        <v>-2.0944127371568005E-4</v>
      </c>
      <c r="L979" s="556">
        <v>14688.34</v>
      </c>
      <c r="M979" s="553">
        <f t="shared" si="47"/>
        <v>-6.2683146922299521E-4</v>
      </c>
    </row>
    <row r="980" spans="5:13" ht="15.75" thickBot="1">
      <c r="E980" s="557">
        <v>40452</v>
      </c>
      <c r="F980" s="556">
        <v>2460</v>
      </c>
      <c r="G980" s="549">
        <f t="shared" si="45"/>
        <v>-6.0790460763822263E-3</v>
      </c>
      <c r="H980" s="556">
        <v>1766.79</v>
      </c>
      <c r="I980" s="551">
        <f t="shared" si="46"/>
        <v>-1.5326800293567185E-3</v>
      </c>
      <c r="L980" s="550">
        <v>14697.55</v>
      </c>
      <c r="M980" s="553">
        <f t="shared" si="47"/>
        <v>-9.1266074807680052E-4</v>
      </c>
    </row>
    <row r="981" spans="5:13" ht="15.75" thickBot="1">
      <c r="E981" s="552">
        <v>40451</v>
      </c>
      <c r="F981" s="550">
        <v>2475</v>
      </c>
      <c r="G981" s="549">
        <f t="shared" si="45"/>
        <v>6.0790460763821925E-3</v>
      </c>
      <c r="H981" s="550">
        <v>1769.5</v>
      </c>
      <c r="I981" s="551">
        <f t="shared" si="46"/>
        <v>1.8553510690342159E-3</v>
      </c>
      <c r="L981" s="556">
        <v>14710.97</v>
      </c>
      <c r="M981" s="553">
        <f t="shared" si="47"/>
        <v>6.4054357274269435E-4</v>
      </c>
    </row>
    <row r="982" spans="5:13" ht="15.75" thickBot="1">
      <c r="E982" s="557">
        <v>40450</v>
      </c>
      <c r="F982" s="556">
        <v>2460</v>
      </c>
      <c r="G982" s="549">
        <f t="shared" si="45"/>
        <v>3.5163912457666972E-2</v>
      </c>
      <c r="H982" s="556">
        <v>1766.22</v>
      </c>
      <c r="I982" s="551">
        <f t="shared" si="46"/>
        <v>1.2178808828204017E-2</v>
      </c>
      <c r="L982" s="550">
        <v>14701.55</v>
      </c>
      <c r="M982" s="553">
        <f t="shared" si="47"/>
        <v>1.2393552384139639E-2</v>
      </c>
    </row>
    <row r="983" spans="5:13" ht="15.75" thickBot="1">
      <c r="E983" s="552">
        <v>40449</v>
      </c>
      <c r="F983" s="550">
        <v>2375</v>
      </c>
      <c r="G983" s="549">
        <f t="shared" si="45"/>
        <v>8.4567100182234584E-3</v>
      </c>
      <c r="H983" s="550">
        <v>1744.84</v>
      </c>
      <c r="I983" s="551">
        <f t="shared" si="46"/>
        <v>1.9316053502868136E-2</v>
      </c>
      <c r="L983" s="556">
        <v>14520.47</v>
      </c>
      <c r="M983" s="553">
        <f t="shared" si="47"/>
        <v>1.865371043974795E-2</v>
      </c>
    </row>
    <row r="984" spans="5:13" ht="15.75" thickBot="1">
      <c r="E984" s="557">
        <v>40448</v>
      </c>
      <c r="F984" s="556">
        <v>2355</v>
      </c>
      <c r="G984" s="549">
        <f t="shared" si="45"/>
        <v>4.255325570138491E-3</v>
      </c>
      <c r="H984" s="556">
        <v>1711.46</v>
      </c>
      <c r="I984" s="551">
        <f t="shared" si="46"/>
        <v>8.331621337082486E-3</v>
      </c>
      <c r="L984" s="550">
        <v>14252.12</v>
      </c>
      <c r="M984" s="553">
        <f t="shared" si="47"/>
        <v>8.9523109255762023E-3</v>
      </c>
    </row>
    <row r="985" spans="5:13" ht="15.75" thickBot="1">
      <c r="E985" s="552">
        <v>40445</v>
      </c>
      <c r="F985" s="550">
        <v>2345</v>
      </c>
      <c r="G985" s="549">
        <f t="shared" si="45"/>
        <v>0</v>
      </c>
      <c r="H985" s="550">
        <v>1697.26</v>
      </c>
      <c r="I985" s="551">
        <f t="shared" si="46"/>
        <v>2.2355077392627897E-3</v>
      </c>
      <c r="L985" s="556">
        <v>14125.1</v>
      </c>
      <c r="M985" s="553">
        <f t="shared" si="47"/>
        <v>4.3321715736158121E-3</v>
      </c>
    </row>
    <row r="986" spans="5:13" ht="15.75" thickBot="1">
      <c r="E986" s="557">
        <v>40444</v>
      </c>
      <c r="F986" s="556">
        <v>2345</v>
      </c>
      <c r="G986" s="549">
        <f t="shared" si="45"/>
        <v>-2.1299262578248533E-3</v>
      </c>
      <c r="H986" s="556">
        <v>1693.47</v>
      </c>
      <c r="I986" s="551">
        <f t="shared" si="46"/>
        <v>-8.1569254993879101E-3</v>
      </c>
      <c r="L986" s="550">
        <v>14064.04</v>
      </c>
      <c r="M986" s="553">
        <f t="shared" si="47"/>
        <v>-7.5312740868951822E-3</v>
      </c>
    </row>
    <row r="987" spans="5:13" ht="15.75" thickBot="1">
      <c r="E987" s="552">
        <v>40443</v>
      </c>
      <c r="F987" s="550">
        <v>2350</v>
      </c>
      <c r="G987" s="549">
        <f t="shared" si="45"/>
        <v>-8.4746269909722321E-3</v>
      </c>
      <c r="H987" s="550">
        <v>1707.34</v>
      </c>
      <c r="I987" s="551">
        <f t="shared" si="46"/>
        <v>-5.1468060066083253E-3</v>
      </c>
      <c r="L987" s="556">
        <v>14170.36</v>
      </c>
      <c r="M987" s="553">
        <f t="shared" si="47"/>
        <v>-5.3258122414784562E-3</v>
      </c>
    </row>
    <row r="988" spans="5:13" ht="15.75" thickBot="1">
      <c r="E988" s="557">
        <v>40442</v>
      </c>
      <c r="F988" s="556">
        <v>2370</v>
      </c>
      <c r="G988" s="549">
        <f t="shared" si="45"/>
        <v>2.7809278698427923E-2</v>
      </c>
      <c r="H988" s="556">
        <v>1716.15</v>
      </c>
      <c r="I988" s="551">
        <f t="shared" si="46"/>
        <v>3.9058786640368613E-3</v>
      </c>
      <c r="L988" s="550">
        <v>14246.03</v>
      </c>
      <c r="M988" s="553">
        <f t="shared" si="47"/>
        <v>2.922975612658551E-3</v>
      </c>
    </row>
    <row r="989" spans="5:13" ht="15.75" thickBot="1">
      <c r="E989" s="552">
        <v>40441</v>
      </c>
      <c r="F989" s="550">
        <v>2305</v>
      </c>
      <c r="G989" s="549">
        <f t="shared" si="45"/>
        <v>4.3478329361034225E-3</v>
      </c>
      <c r="H989" s="550">
        <v>1709.46</v>
      </c>
      <c r="I989" s="551">
        <f t="shared" si="46"/>
        <v>1.0715543469909298E-2</v>
      </c>
      <c r="L989" s="556">
        <v>14204.45</v>
      </c>
      <c r="M989" s="553">
        <f t="shared" si="47"/>
        <v>1.1395640515636215E-2</v>
      </c>
    </row>
    <row r="990" spans="5:13" ht="15.75" thickBot="1">
      <c r="E990" s="557">
        <v>40438</v>
      </c>
      <c r="F990" s="556">
        <v>2295</v>
      </c>
      <c r="G990" s="549">
        <f t="shared" si="45"/>
        <v>-2.1762794225955173E-3</v>
      </c>
      <c r="H990" s="556">
        <v>1691.24</v>
      </c>
      <c r="I990" s="551">
        <f t="shared" si="46"/>
        <v>-4.7301452163386858E-5</v>
      </c>
      <c r="L990" s="550">
        <v>14043.5</v>
      </c>
      <c r="M990" s="553">
        <f t="shared" si="47"/>
        <v>-3.0707246511877044E-3</v>
      </c>
    </row>
    <row r="991" spans="5:13" ht="15.75" thickBot="1">
      <c r="E991" s="552">
        <v>40437</v>
      </c>
      <c r="F991" s="550">
        <v>2300</v>
      </c>
      <c r="G991" s="549">
        <f t="shared" si="45"/>
        <v>-2.1715535135077954E-3</v>
      </c>
      <c r="H991" s="550">
        <v>1691.32</v>
      </c>
      <c r="I991" s="551">
        <f t="shared" si="46"/>
        <v>-1.2526739132015538E-3</v>
      </c>
      <c r="L991" s="556">
        <v>14086.69</v>
      </c>
      <c r="M991" s="553">
        <f t="shared" si="47"/>
        <v>-6.3798752943283396E-4</v>
      </c>
    </row>
    <row r="992" spans="5:13" ht="15.75" thickBot="1">
      <c r="E992" s="557">
        <v>40436</v>
      </c>
      <c r="F992" s="556">
        <v>2305</v>
      </c>
      <c r="G992" s="549">
        <f t="shared" si="45"/>
        <v>-2.166848085090314E-3</v>
      </c>
      <c r="H992" s="556">
        <v>1693.44</v>
      </c>
      <c r="I992" s="551">
        <f t="shared" si="46"/>
        <v>-5.6940284268928894E-3</v>
      </c>
      <c r="L992" s="550">
        <v>14095.68</v>
      </c>
      <c r="M992" s="553">
        <f t="shared" si="47"/>
        <v>-6.9023593710244293E-3</v>
      </c>
    </row>
    <row r="993" spans="5:13" ht="15.75" thickBot="1">
      <c r="E993" s="552">
        <v>40435</v>
      </c>
      <c r="F993" s="550">
        <v>2310</v>
      </c>
      <c r="G993" s="549">
        <f t="shared" si="45"/>
        <v>8.695706967553913E-3</v>
      </c>
      <c r="H993" s="550">
        <v>1703.11</v>
      </c>
      <c r="I993" s="551">
        <f t="shared" si="46"/>
        <v>4.4960029598259278E-3</v>
      </c>
      <c r="L993" s="556">
        <v>14193.31</v>
      </c>
      <c r="M993" s="553">
        <f t="shared" si="47"/>
        <v>4.5915565668172426E-3</v>
      </c>
    </row>
    <row r="994" spans="5:13" ht="15.75" thickBot="1">
      <c r="E994" s="557">
        <v>40434</v>
      </c>
      <c r="F994" s="556">
        <v>2290</v>
      </c>
      <c r="G994" s="549">
        <f t="shared" si="45"/>
        <v>-6.5288588824635556E-3</v>
      </c>
      <c r="H994" s="556">
        <v>1695.47</v>
      </c>
      <c r="I994" s="551">
        <f t="shared" si="46"/>
        <v>-2.6153199528548402E-3</v>
      </c>
      <c r="L994" s="550">
        <v>14128.29</v>
      </c>
      <c r="M994" s="553">
        <f t="shared" si="47"/>
        <v>-1.3474502872119682E-3</v>
      </c>
    </row>
    <row r="995" spans="5:13" ht="15.75" thickBot="1">
      <c r="E995" s="552">
        <v>40431</v>
      </c>
      <c r="F995" s="550">
        <v>2305</v>
      </c>
      <c r="G995" s="549">
        <f t="shared" si="45"/>
        <v>-1.7204725449630833E-2</v>
      </c>
      <c r="H995" s="550">
        <v>1699.91</v>
      </c>
      <c r="I995" s="551">
        <f t="shared" si="46"/>
        <v>-1.7632801469054722E-2</v>
      </c>
      <c r="L995" s="556">
        <v>14147.34</v>
      </c>
      <c r="M995" s="553">
        <f t="shared" si="47"/>
        <v>-1.5929182917824816E-2</v>
      </c>
    </row>
    <row r="996" spans="5:13" ht="15.75" thickBot="1">
      <c r="E996" s="557">
        <v>40430</v>
      </c>
      <c r="F996" s="556">
        <v>2345</v>
      </c>
      <c r="G996" s="549">
        <f t="shared" si="45"/>
        <v>6.417134320633509E-3</v>
      </c>
      <c r="H996" s="556">
        <v>1730.15</v>
      </c>
      <c r="I996" s="551">
        <f t="shared" si="46"/>
        <v>-3.1911574964087193E-3</v>
      </c>
      <c r="L996" s="550">
        <v>14374.5</v>
      </c>
      <c r="M996" s="553">
        <f t="shared" si="47"/>
        <v>-2.5491846725703184E-3</v>
      </c>
    </row>
    <row r="997" spans="5:13" ht="15.75" thickBot="1">
      <c r="E997" s="552">
        <v>40429</v>
      </c>
      <c r="F997" s="550">
        <v>2330</v>
      </c>
      <c r="G997" s="549">
        <f t="shared" si="45"/>
        <v>1.0787591128997385E-2</v>
      </c>
      <c r="H997" s="550">
        <v>1735.68</v>
      </c>
      <c r="I997" s="551">
        <f t="shared" si="46"/>
        <v>1.1828764820989006E-2</v>
      </c>
      <c r="L997" s="556">
        <v>14411.19</v>
      </c>
      <c r="M997" s="553">
        <f t="shared" si="47"/>
        <v>1.4138570659107745E-2</v>
      </c>
    </row>
    <row r="998" spans="5:13" ht="15.75" thickBot="1">
      <c r="E998" s="557">
        <v>40428</v>
      </c>
      <c r="F998" s="556">
        <v>2305</v>
      </c>
      <c r="G998" s="549">
        <f t="shared" si="45"/>
        <v>2.1715535135079325E-3</v>
      </c>
      <c r="H998" s="556">
        <v>1715.27</v>
      </c>
      <c r="I998" s="551">
        <f t="shared" si="46"/>
        <v>-2.5328335553838829E-3</v>
      </c>
      <c r="L998" s="550">
        <v>14208.87</v>
      </c>
      <c r="M998" s="553">
        <f t="shared" si="47"/>
        <v>-3.4980239430609833E-3</v>
      </c>
    </row>
    <row r="999" spans="5:13" ht="15.75" thickBot="1">
      <c r="E999" s="552">
        <v>40427</v>
      </c>
      <c r="F999" s="550">
        <v>2300</v>
      </c>
      <c r="G999" s="549">
        <f t="shared" si="45"/>
        <v>0</v>
      </c>
      <c r="H999" s="550">
        <v>1719.62</v>
      </c>
      <c r="I999" s="551">
        <f t="shared" si="46"/>
        <v>1.9009278364280222E-2</v>
      </c>
      <c r="L999" s="556">
        <v>14258.66</v>
      </c>
      <c r="M999" s="553">
        <f t="shared" si="47"/>
        <v>1.3564802925713413E-2</v>
      </c>
    </row>
    <row r="1000" spans="5:13" ht="15.75" thickBot="1">
      <c r="E1000" s="557">
        <v>40424</v>
      </c>
      <c r="F1000" s="556">
        <v>2300</v>
      </c>
      <c r="G1000" s="549">
        <f t="shared" si="45"/>
        <v>2.1762794225954484E-3</v>
      </c>
      <c r="H1000" s="556">
        <v>1687.24</v>
      </c>
      <c r="I1000" s="551">
        <f t="shared" si="46"/>
        <v>3.687357032684494E-3</v>
      </c>
      <c r="L1000" s="550">
        <v>14066.55</v>
      </c>
      <c r="M1000" s="553">
        <f t="shared" si="47"/>
        <v>5.7671195387280477E-3</v>
      </c>
    </row>
    <row r="1001" spans="5:13" ht="15.75" thickBot="1">
      <c r="E1001" s="552">
        <v>40423</v>
      </c>
      <c r="F1001" s="550">
        <v>2295</v>
      </c>
      <c r="G1001" s="549">
        <f t="shared" si="45"/>
        <v>-8.6768440256889713E-3</v>
      </c>
      <c r="H1001" s="550">
        <v>1681.03</v>
      </c>
      <c r="I1001" s="551">
        <f t="shared" si="46"/>
        <v>-1.9312261435277513E-2</v>
      </c>
      <c r="L1001" s="556">
        <v>13985.66</v>
      </c>
      <c r="M1001" s="553">
        <f t="shared" si="47"/>
        <v>-3.4357343325600108E-2</v>
      </c>
    </row>
    <row r="1002" spans="5:13" ht="15.75" thickBot="1">
      <c r="E1002" s="557">
        <v>40422</v>
      </c>
      <c r="F1002" s="556">
        <v>2315</v>
      </c>
      <c r="G1002" s="549">
        <f t="shared" si="45"/>
        <v>1.3043663192029398E-2</v>
      </c>
      <c r="H1002" s="556">
        <v>1713.81</v>
      </c>
      <c r="I1002" s="551">
        <f t="shared" si="46"/>
        <v>2.9386452596782832E-2</v>
      </c>
      <c r="L1002" s="550">
        <v>14474.52</v>
      </c>
      <c r="M1002" s="553">
        <f t="shared" si="47"/>
        <v>2.5827196871469088E-2</v>
      </c>
    </row>
    <row r="1003" spans="5:13" ht="15.75" thickBot="1">
      <c r="E1003" s="552">
        <v>40421</v>
      </c>
      <c r="F1003" s="550">
        <v>2285</v>
      </c>
      <c r="G1003" s="549">
        <f t="shared" si="45"/>
        <v>0</v>
      </c>
      <c r="H1003" s="550">
        <v>1664.18</v>
      </c>
      <c r="I1003" s="551">
        <f t="shared" si="46"/>
        <v>1.286344991628911E-2</v>
      </c>
      <c r="L1003" s="556">
        <v>14105.47</v>
      </c>
      <c r="M1003" s="553">
        <f t="shared" si="47"/>
        <v>1.4083352160911267E-2</v>
      </c>
    </row>
    <row r="1004" spans="5:13" ht="15.75" thickBot="1">
      <c r="E1004" s="557">
        <v>40420</v>
      </c>
      <c r="F1004" s="556">
        <v>2285</v>
      </c>
      <c r="G1004" s="549">
        <f t="shared" si="45"/>
        <v>0</v>
      </c>
      <c r="H1004" s="556">
        <v>1642.91</v>
      </c>
      <c r="I1004" s="551">
        <f t="shared" si="46"/>
        <v>1.8398932934956976E-3</v>
      </c>
      <c r="L1004" s="550">
        <v>13908.21</v>
      </c>
      <c r="M1004" s="553">
        <f t="shared" si="47"/>
        <v>2.897989010080129E-4</v>
      </c>
    </row>
    <row r="1005" spans="5:13" ht="15.75" thickBot="1">
      <c r="E1005" s="552">
        <v>40417</v>
      </c>
      <c r="F1005" s="550">
        <v>2285</v>
      </c>
      <c r="G1005" s="549">
        <f t="shared" si="45"/>
        <v>2.4364438874140592E-2</v>
      </c>
      <c r="H1005" s="550">
        <v>1639.89</v>
      </c>
      <c r="I1005" s="551">
        <f t="shared" si="46"/>
        <v>1.4099876801230803E-2</v>
      </c>
      <c r="L1005" s="556">
        <v>13904.18</v>
      </c>
      <c r="M1005" s="553">
        <f t="shared" si="47"/>
        <v>1.5055029537035311E-2</v>
      </c>
    </row>
    <row r="1006" spans="5:13" ht="15.75" thickBot="1">
      <c r="E1006" s="557">
        <v>40416</v>
      </c>
      <c r="F1006" s="556">
        <v>2230</v>
      </c>
      <c r="G1006" s="549">
        <f t="shared" si="45"/>
        <v>9.0090699423659108E-3</v>
      </c>
      <c r="H1006" s="550">
        <v>1616.93</v>
      </c>
      <c r="I1006" s="551">
        <f t="shared" si="46"/>
        <v>8.6836079895960174E-3</v>
      </c>
      <c r="L1006" s="550">
        <v>13696.42</v>
      </c>
      <c r="M1006" s="553">
        <f t="shared" si="47"/>
        <v>7.9393391732029035E-3</v>
      </c>
    </row>
    <row r="1007" spans="5:13" ht="15.75" thickBot="1">
      <c r="E1007" s="552">
        <v>40415</v>
      </c>
      <c r="F1007" s="550">
        <v>2210</v>
      </c>
      <c r="G1007" s="549">
        <f t="shared" si="45"/>
        <v>1.596385098901399E-2</v>
      </c>
      <c r="H1007" s="556">
        <v>1602.95</v>
      </c>
      <c r="I1007" s="551">
        <f t="shared" si="46"/>
        <v>-1.6393803947759359E-3</v>
      </c>
      <c r="L1007" s="556">
        <v>13588.11</v>
      </c>
      <c r="M1007" s="553">
        <f t="shared" si="47"/>
        <v>-9.290573826007838E-4</v>
      </c>
    </row>
    <row r="1008" spans="5:13" ht="15.75" thickBot="1">
      <c r="E1008" s="557">
        <v>40414</v>
      </c>
      <c r="F1008" s="556">
        <v>2175</v>
      </c>
      <c r="G1008" s="549">
        <f t="shared" si="45"/>
        <v>-9.1533819864872482E-3</v>
      </c>
      <c r="H1008" s="550">
        <v>1605.58</v>
      </c>
      <c r="I1008" s="551">
        <f t="shared" si="46"/>
        <v>-7.7200850553252689E-4</v>
      </c>
      <c r="L1008" s="550">
        <v>13600.74</v>
      </c>
      <c r="M1008" s="553">
        <f t="shared" si="47"/>
        <v>-9.5578466685461921E-5</v>
      </c>
    </row>
    <row r="1009" spans="5:13" ht="15.75" thickBot="1">
      <c r="E1009" s="552">
        <v>40413</v>
      </c>
      <c r="F1009" s="550">
        <v>2195</v>
      </c>
      <c r="G1009" s="549">
        <f t="shared" si="45"/>
        <v>6.8571697261370452E-3</v>
      </c>
      <c r="H1009" s="556">
        <v>1606.82</v>
      </c>
      <c r="I1009" s="551">
        <f t="shared" si="46"/>
        <v>1.3294185931764927E-2</v>
      </c>
      <c r="L1009" s="556">
        <v>13602.04</v>
      </c>
      <c r="M1009" s="553">
        <f t="shared" si="47"/>
        <v>1.0999068946751584E-2</v>
      </c>
    </row>
    <row r="1010" spans="5:13" ht="15.75" thickBot="1">
      <c r="E1010" s="557">
        <v>40410</v>
      </c>
      <c r="F1010" s="556">
        <v>2180</v>
      </c>
      <c r="G1010" s="549">
        <f t="shared" si="45"/>
        <v>1.1534153245286545E-2</v>
      </c>
      <c r="H1010" s="550">
        <v>1585.6</v>
      </c>
      <c r="I1010" s="551">
        <f t="shared" si="46"/>
        <v>-7.1241015139812246E-4</v>
      </c>
      <c r="L1010" s="550">
        <v>13453.25</v>
      </c>
      <c r="M1010" s="553">
        <f t="shared" si="47"/>
        <v>1.1103852645274071E-3</v>
      </c>
    </row>
    <row r="1011" spans="5:13" ht="15.75" thickBot="1">
      <c r="E1011" s="552">
        <v>40409</v>
      </c>
      <c r="F1011" s="550">
        <v>2155</v>
      </c>
      <c r="G1011" s="549">
        <f t="shared" si="45"/>
        <v>-9.2379409849363617E-3</v>
      </c>
      <c r="H1011" s="556">
        <v>1586.73</v>
      </c>
      <c r="I1011" s="551">
        <f t="shared" si="46"/>
        <v>3.31417728332327E-3</v>
      </c>
      <c r="L1011" s="556">
        <v>13438.32</v>
      </c>
      <c r="M1011" s="553">
        <f t="shared" si="47"/>
        <v>3.1661162850627521E-3</v>
      </c>
    </row>
    <row r="1012" spans="5:13" ht="15.75" thickBot="1">
      <c r="E1012" s="557">
        <v>40408</v>
      </c>
      <c r="F1012" s="556">
        <v>2175</v>
      </c>
      <c r="G1012" s="549">
        <f t="shared" si="45"/>
        <v>-6.8728792877620643E-3</v>
      </c>
      <c r="H1012" s="550">
        <v>1581.48</v>
      </c>
      <c r="I1012" s="551">
        <f t="shared" si="46"/>
        <v>4.093146851990569E-3</v>
      </c>
      <c r="L1012" s="550">
        <v>13395.84</v>
      </c>
      <c r="M1012" s="553">
        <f t="shared" si="47"/>
        <v>4.2086552628226824E-3</v>
      </c>
    </row>
    <row r="1013" spans="5:13" ht="15.75" thickBot="1">
      <c r="E1013" s="552">
        <v>40407</v>
      </c>
      <c r="F1013" s="550">
        <v>2190</v>
      </c>
      <c r="G1013" s="549">
        <f t="shared" si="45"/>
        <v>-4.5558165358606907E-3</v>
      </c>
      <c r="H1013" s="556">
        <v>1575.02</v>
      </c>
      <c r="I1013" s="551">
        <f t="shared" si="46"/>
        <v>4.607364647728371E-3</v>
      </c>
      <c r="L1013" s="556">
        <v>13339.58</v>
      </c>
      <c r="M1013" s="553">
        <f t="shared" si="47"/>
        <v>2.8752845355846201E-3</v>
      </c>
    </row>
    <row r="1014" spans="5:13" ht="15.75" thickBot="1">
      <c r="E1014" s="557">
        <v>40403</v>
      </c>
      <c r="F1014" s="556">
        <v>2200</v>
      </c>
      <c r="G1014" s="549">
        <f t="shared" si="45"/>
        <v>-2.2701485345391855E-3</v>
      </c>
      <c r="H1014" s="550">
        <v>1567.78</v>
      </c>
      <c r="I1014" s="551">
        <f t="shared" si="46"/>
        <v>6.6299999676365474E-3</v>
      </c>
      <c r="L1014" s="550">
        <v>13301.28</v>
      </c>
      <c r="M1014" s="553">
        <f t="shared" si="47"/>
        <v>7.6638963607087145E-3</v>
      </c>
    </row>
    <row r="1015" spans="5:13" ht="15.75" thickBot="1">
      <c r="E1015" s="552">
        <v>40402</v>
      </c>
      <c r="F1015" s="550">
        <v>2205</v>
      </c>
      <c r="G1015" s="549">
        <f t="shared" si="45"/>
        <v>2.2701485345390775E-3</v>
      </c>
      <c r="H1015" s="556">
        <v>1557.42</v>
      </c>
      <c r="I1015" s="551">
        <f t="shared" si="46"/>
        <v>-4.4936031107211169E-4</v>
      </c>
      <c r="L1015" s="556">
        <v>13199.73</v>
      </c>
      <c r="M1015" s="553">
        <f t="shared" si="47"/>
        <v>-1.8384980815998155E-3</v>
      </c>
    </row>
    <row r="1016" spans="5:13" ht="15.75" thickBot="1">
      <c r="E1016" s="557">
        <v>40401</v>
      </c>
      <c r="F1016" s="556">
        <v>2200</v>
      </c>
      <c r="G1016" s="549">
        <f t="shared" si="45"/>
        <v>-4.5351551653912622E-3</v>
      </c>
      <c r="H1016" s="550">
        <v>1558.12</v>
      </c>
      <c r="I1016" s="551">
        <f t="shared" si="46"/>
        <v>-1.225991767640887E-2</v>
      </c>
      <c r="L1016" s="550">
        <v>13224.02</v>
      </c>
      <c r="M1016" s="553">
        <f t="shared" si="47"/>
        <v>-1.1794938759295765E-2</v>
      </c>
    </row>
    <row r="1017" spans="5:13" ht="15.75" thickBot="1">
      <c r="E1017" s="552">
        <v>40400</v>
      </c>
      <c r="F1017" s="550">
        <v>2210</v>
      </c>
      <c r="G1017" s="549">
        <f t="shared" si="45"/>
        <v>2.2650066308520615E-3</v>
      </c>
      <c r="H1017" s="556">
        <v>1577.34</v>
      </c>
      <c r="I1017" s="551">
        <f t="shared" si="46"/>
        <v>-3.272310149765614E-3</v>
      </c>
      <c r="L1017" s="556">
        <v>13380.92</v>
      </c>
      <c r="M1017" s="553">
        <f t="shared" si="47"/>
        <v>-2.1559712606974389E-3</v>
      </c>
    </row>
    <row r="1018" spans="5:13" ht="15.75" thickBot="1">
      <c r="E1018" s="557">
        <v>40399</v>
      </c>
      <c r="F1018" s="556">
        <v>2205</v>
      </c>
      <c r="G1018" s="549">
        <f t="shared" si="45"/>
        <v>-6.7796869853788038E-3</v>
      </c>
      <c r="H1018" s="550">
        <v>1582.51</v>
      </c>
      <c r="I1018" s="551">
        <f t="shared" si="46"/>
        <v>1.3278870844501548E-3</v>
      </c>
      <c r="L1018" s="550">
        <v>13409.8</v>
      </c>
      <c r="M1018" s="553">
        <f t="shared" si="47"/>
        <v>9.2437824616917565E-4</v>
      </c>
    </row>
    <row r="1019" spans="5:13" ht="15.75" thickBot="1">
      <c r="E1019" s="552">
        <v>40396</v>
      </c>
      <c r="F1019" s="550">
        <v>2220</v>
      </c>
      <c r="G1019" s="549">
        <f t="shared" si="45"/>
        <v>-4.4943895878393264E-3</v>
      </c>
      <c r="H1019" s="556">
        <v>1580.41</v>
      </c>
      <c r="I1019" s="551">
        <f t="shared" si="46"/>
        <v>-1.295037304415836E-2</v>
      </c>
      <c r="L1019" s="556">
        <v>13397.41</v>
      </c>
      <c r="M1019" s="553">
        <f t="shared" si="47"/>
        <v>-1.3135311406185157E-2</v>
      </c>
    </row>
    <row r="1020" spans="5:13" ht="15.75" thickBot="1">
      <c r="E1020" s="557">
        <v>40395</v>
      </c>
      <c r="F1020" s="556">
        <v>2230</v>
      </c>
      <c r="G1020" s="549">
        <f t="shared" si="45"/>
        <v>-2.2396425935047983E-3</v>
      </c>
      <c r="H1020" s="550">
        <v>1601.01</v>
      </c>
      <c r="I1020" s="551">
        <f t="shared" si="46"/>
        <v>3.5039235954535636E-3</v>
      </c>
      <c r="L1020" s="550">
        <v>13574.55</v>
      </c>
      <c r="M1020" s="553">
        <f t="shared" si="47"/>
        <v>6.5067895065340515E-3</v>
      </c>
    </row>
    <row r="1021" spans="5:13" ht="15.75" thickBot="1">
      <c r="E1021" s="552">
        <v>40394</v>
      </c>
      <c r="F1021" s="550">
        <v>2235</v>
      </c>
      <c r="G1021" s="549">
        <f t="shared" si="45"/>
        <v>-6.688988150796652E-3</v>
      </c>
      <c r="H1021" s="556">
        <v>1595.41</v>
      </c>
      <c r="I1021" s="551">
        <f t="shared" si="46"/>
        <v>5.3357257999604663E-3</v>
      </c>
      <c r="L1021" s="556">
        <v>13486.51</v>
      </c>
      <c r="M1021" s="553">
        <f t="shared" si="47"/>
        <v>4.3180594169901255E-3</v>
      </c>
    </row>
    <row r="1022" spans="5:13" ht="15.75" thickBot="1">
      <c r="E1022" s="557">
        <v>40393</v>
      </c>
      <c r="F1022" s="556">
        <v>2250</v>
      </c>
      <c r="G1022" s="549">
        <f t="shared" si="45"/>
        <v>-4.4345970678657531E-3</v>
      </c>
      <c r="H1022" s="550">
        <v>1586.92</v>
      </c>
      <c r="I1022" s="551">
        <f t="shared" si="46"/>
        <v>7.53340923205732E-3</v>
      </c>
      <c r="L1022" s="550">
        <v>13428.4</v>
      </c>
      <c r="M1022" s="553">
        <f t="shared" si="47"/>
        <v>6.5688453266221506E-3</v>
      </c>
    </row>
    <row r="1023" spans="5:13" ht="15.75" thickBot="1">
      <c r="E1023" s="552">
        <v>40392</v>
      </c>
      <c r="F1023" s="550">
        <v>2260</v>
      </c>
      <c r="G1023" s="549">
        <f t="shared" si="45"/>
        <v>2.2148403295528213E-3</v>
      </c>
      <c r="H1023" s="556">
        <v>1575.01</v>
      </c>
      <c r="I1023" s="551">
        <f t="shared" si="46"/>
        <v>2.154686958146241E-3</v>
      </c>
      <c r="L1023" s="556">
        <v>13340.48</v>
      </c>
      <c r="M1023" s="553">
        <f t="shared" si="47"/>
        <v>4.2969203455437734E-3</v>
      </c>
    </row>
    <row r="1024" spans="5:13" ht="15.75" thickBot="1">
      <c r="E1024" s="557">
        <v>40389</v>
      </c>
      <c r="F1024" s="556">
        <v>2255</v>
      </c>
      <c r="G1024" s="549">
        <f t="shared" si="45"/>
        <v>4.4444517604239758E-3</v>
      </c>
      <c r="H1024" s="550">
        <v>1571.62</v>
      </c>
      <c r="I1024" s="551">
        <f t="shared" si="46"/>
        <v>6.1078733571880072E-3</v>
      </c>
      <c r="L1024" s="550">
        <v>13283.28</v>
      </c>
      <c r="M1024" s="553">
        <f t="shared" si="47"/>
        <v>6.6037152827967465E-3</v>
      </c>
    </row>
    <row r="1025" spans="5:13" ht="15.75" thickBot="1">
      <c r="E1025" s="552">
        <v>40388</v>
      </c>
      <c r="F1025" s="550">
        <v>2245</v>
      </c>
      <c r="G1025" s="549">
        <f t="shared" si="45"/>
        <v>-8.8692377407797729E-3</v>
      </c>
      <c r="H1025" s="556">
        <v>1562.05</v>
      </c>
      <c r="I1025" s="551">
        <f t="shared" si="46"/>
        <v>-1.8571083418365636E-2</v>
      </c>
      <c r="L1025" s="556">
        <v>13195.85</v>
      </c>
      <c r="M1025" s="553">
        <f t="shared" si="47"/>
        <v>-1.683182274794072E-2</v>
      </c>
    </row>
    <row r="1026" spans="5:13" ht="15.75" thickBot="1">
      <c r="E1026" s="557">
        <v>40387</v>
      </c>
      <c r="F1026" s="556">
        <v>2265</v>
      </c>
      <c r="G1026" s="549">
        <f t="shared" si="45"/>
        <v>0</v>
      </c>
      <c r="H1026" s="550">
        <v>1591.33</v>
      </c>
      <c r="I1026" s="551">
        <f t="shared" si="46"/>
        <v>-7.063405635771655E-3</v>
      </c>
      <c r="L1026" s="550">
        <v>13419.84</v>
      </c>
      <c r="M1026" s="553">
        <f t="shared" si="47"/>
        <v>-7.3071551389025007E-3</v>
      </c>
    </row>
    <row r="1027" spans="5:13" ht="15.75" thickBot="1">
      <c r="E1027" s="552">
        <v>40386</v>
      </c>
      <c r="F1027" s="550">
        <v>2265</v>
      </c>
      <c r="G1027" s="549">
        <f t="shared" ref="G1027:G1090" si="48">+LN(F1027/F1028)</f>
        <v>0</v>
      </c>
      <c r="H1027" s="556">
        <v>1602.61</v>
      </c>
      <c r="I1027" s="551">
        <f t="shared" ref="I1027:I1090" si="49">+LN(H1027/H1028)</f>
        <v>3.8260807513574831E-3</v>
      </c>
      <c r="L1027" s="556">
        <v>13518.26</v>
      </c>
      <c r="M1027" s="553">
        <f t="shared" ref="M1027:M1090" si="50">+LN(L1027/L1028)</f>
        <v>2.7674952735649411E-3</v>
      </c>
    </row>
    <row r="1028" spans="5:13" ht="15.75" thickBot="1">
      <c r="E1028" s="557">
        <v>40385</v>
      </c>
      <c r="F1028" s="556">
        <v>2265</v>
      </c>
      <c r="G1028" s="549">
        <f t="shared" si="48"/>
        <v>0</v>
      </c>
      <c r="H1028" s="550">
        <v>1596.49</v>
      </c>
      <c r="I1028" s="551">
        <f t="shared" si="49"/>
        <v>1.6821026041597256E-2</v>
      </c>
      <c r="L1028" s="550">
        <v>13480.9</v>
      </c>
      <c r="M1028" s="553">
        <f t="shared" si="50"/>
        <v>1.5781585013003054E-2</v>
      </c>
    </row>
    <row r="1029" spans="5:13" ht="15.75" thickBot="1">
      <c r="E1029" s="552">
        <v>40382</v>
      </c>
      <c r="F1029" s="550">
        <v>2265</v>
      </c>
      <c r="G1029" s="549">
        <f t="shared" si="48"/>
        <v>-2.2050725583139812E-3</v>
      </c>
      <c r="H1029" s="556">
        <v>1569.86</v>
      </c>
      <c r="I1029" s="551">
        <f t="shared" si="49"/>
        <v>2.2511400716973863E-3</v>
      </c>
      <c r="L1029" s="556">
        <v>13269.82</v>
      </c>
      <c r="M1029" s="553">
        <f t="shared" si="50"/>
        <v>3.6842965493799435E-3</v>
      </c>
    </row>
    <row r="1030" spans="5:13" ht="15.75" thickBot="1">
      <c r="E1030" s="557">
        <v>40381</v>
      </c>
      <c r="F1030" s="556">
        <v>2270</v>
      </c>
      <c r="G1030" s="549">
        <f t="shared" si="48"/>
        <v>0</v>
      </c>
      <c r="H1030" s="550">
        <v>1566.33</v>
      </c>
      <c r="I1030" s="551">
        <f t="shared" si="49"/>
        <v>5.30041553616829E-4</v>
      </c>
      <c r="L1030" s="550">
        <v>13221.02</v>
      </c>
      <c r="M1030" s="553">
        <f t="shared" si="50"/>
        <v>1.3055923964067433E-3</v>
      </c>
    </row>
    <row r="1031" spans="5:13" ht="15.75" thickBot="1">
      <c r="E1031" s="552">
        <v>40380</v>
      </c>
      <c r="F1031" s="550">
        <v>2270</v>
      </c>
      <c r="G1031" s="549">
        <f t="shared" si="48"/>
        <v>-2.2002209096024235E-3</v>
      </c>
      <c r="H1031" s="556">
        <v>1565.5</v>
      </c>
      <c r="I1031" s="551">
        <f t="shared" si="49"/>
        <v>2.3754853765078219E-2</v>
      </c>
      <c r="L1031" s="556">
        <v>13203.77</v>
      </c>
      <c r="M1031" s="553">
        <f t="shared" si="50"/>
        <v>2.0141239440644221E-2</v>
      </c>
    </row>
    <row r="1032" spans="5:13" ht="15.75" thickBot="1">
      <c r="E1032" s="557">
        <v>40378</v>
      </c>
      <c r="F1032" s="556">
        <v>2275</v>
      </c>
      <c r="G1032" s="549">
        <f t="shared" si="48"/>
        <v>1.1049836186584935E-2</v>
      </c>
      <c r="H1032" s="550">
        <v>1528.75</v>
      </c>
      <c r="I1032" s="551">
        <f t="shared" si="49"/>
        <v>1.3615151575312326E-3</v>
      </c>
      <c r="L1032" s="550">
        <v>12940.49</v>
      </c>
      <c r="M1032" s="553">
        <f t="shared" si="50"/>
        <v>1.6837331954908227E-3</v>
      </c>
    </row>
    <row r="1033" spans="5:13" ht="15.75" thickBot="1">
      <c r="E1033" s="552">
        <v>40375</v>
      </c>
      <c r="F1033" s="550">
        <v>2250</v>
      </c>
      <c r="G1033" s="549">
        <f t="shared" si="48"/>
        <v>-1.324522675002068E-2</v>
      </c>
      <c r="H1033" s="556">
        <v>1526.67</v>
      </c>
      <c r="I1033" s="551">
        <f t="shared" si="49"/>
        <v>-3.7788690068558959E-3</v>
      </c>
      <c r="L1033" s="556">
        <v>12918.72</v>
      </c>
      <c r="M1033" s="553">
        <f t="shared" si="50"/>
        <v>-3.004294602748413E-3</v>
      </c>
    </row>
    <row r="1034" spans="5:13" ht="15.75" thickBot="1">
      <c r="E1034" s="557">
        <v>40374</v>
      </c>
      <c r="F1034" s="556">
        <v>2280</v>
      </c>
      <c r="G1034" s="549">
        <f t="shared" si="48"/>
        <v>0</v>
      </c>
      <c r="H1034" s="550">
        <v>1532.45</v>
      </c>
      <c r="I1034" s="551">
        <f t="shared" si="49"/>
        <v>7.3879862637485404E-3</v>
      </c>
      <c r="L1034" s="550">
        <v>12957.59</v>
      </c>
      <c r="M1034" s="553">
        <f t="shared" si="50"/>
        <v>6.713544555672548E-3</v>
      </c>
    </row>
    <row r="1035" spans="5:13" ht="15.75" thickBot="1">
      <c r="E1035" s="552">
        <v>40373</v>
      </c>
      <c r="F1035" s="550">
        <v>2280</v>
      </c>
      <c r="G1035" s="549">
        <f t="shared" si="48"/>
        <v>0</v>
      </c>
      <c r="H1035" s="556">
        <v>1521.17</v>
      </c>
      <c r="I1035" s="551">
        <f t="shared" si="49"/>
        <v>9.2526903951641072E-3</v>
      </c>
      <c r="L1035" s="556">
        <v>12870.89</v>
      </c>
      <c r="M1035" s="553">
        <f t="shared" si="50"/>
        <v>7.32540596637385E-3</v>
      </c>
    </row>
    <row r="1036" spans="5:13" ht="15.75" thickBot="1">
      <c r="E1036" s="557">
        <v>40372</v>
      </c>
      <c r="F1036" s="556">
        <v>2280</v>
      </c>
      <c r="G1036" s="549">
        <f t="shared" si="48"/>
        <v>0</v>
      </c>
      <c r="H1036" s="550">
        <v>1507.16</v>
      </c>
      <c r="I1036" s="551">
        <f t="shared" si="49"/>
        <v>6.9042701735263102E-3</v>
      </c>
      <c r="L1036" s="550">
        <v>12776.95</v>
      </c>
      <c r="M1036" s="553">
        <f t="shared" si="50"/>
        <v>5.732159064118024E-3</v>
      </c>
    </row>
    <row r="1037" spans="5:13" ht="15.75" thickBot="1">
      <c r="E1037" s="557">
        <v>40371</v>
      </c>
      <c r="F1037" s="556">
        <v>2280</v>
      </c>
      <c r="G1037" s="549">
        <f t="shared" si="48"/>
        <v>1.1025470011707641E-2</v>
      </c>
      <c r="H1037" s="556">
        <v>1496.79</v>
      </c>
      <c r="I1037" s="551">
        <f t="shared" si="49"/>
        <v>1.2301518360378056E-2</v>
      </c>
      <c r="L1037" s="556">
        <v>12703.92</v>
      </c>
      <c r="M1037" s="553">
        <f t="shared" si="50"/>
        <v>1.2311861460452486E-2</v>
      </c>
    </row>
    <row r="1038" spans="5:13" ht="15.75" thickBot="1">
      <c r="E1038" s="552">
        <v>40368</v>
      </c>
      <c r="F1038" s="550">
        <v>2255</v>
      </c>
      <c r="G1038" s="549">
        <f t="shared" si="48"/>
        <v>8.9087448891094299E-3</v>
      </c>
      <c r="H1038" s="550">
        <v>1478.49</v>
      </c>
      <c r="I1038" s="551">
        <f t="shared" si="49"/>
        <v>2.6413116254019485E-3</v>
      </c>
      <c r="L1038" s="550">
        <v>12548.47</v>
      </c>
      <c r="M1038" s="553">
        <f t="shared" si="50"/>
        <v>2.9657105718037661E-3</v>
      </c>
    </row>
    <row r="1039" spans="5:13" ht="15.75" thickBot="1">
      <c r="E1039" s="557">
        <v>40367</v>
      </c>
      <c r="F1039" s="556">
        <v>2235</v>
      </c>
      <c r="G1039" s="549">
        <f t="shared" si="48"/>
        <v>0</v>
      </c>
      <c r="H1039" s="556">
        <v>1474.59</v>
      </c>
      <c r="I1039" s="551">
        <f t="shared" si="49"/>
        <v>8.362607896014276E-3</v>
      </c>
      <c r="L1039" s="556">
        <v>12511.31</v>
      </c>
      <c r="M1039" s="553">
        <f t="shared" si="50"/>
        <v>8.2351957245277857E-3</v>
      </c>
    </row>
    <row r="1040" spans="5:13" ht="15.75" thickBot="1">
      <c r="E1040" s="552">
        <v>40366</v>
      </c>
      <c r="F1040" s="550">
        <v>2235</v>
      </c>
      <c r="G1040" s="549">
        <f t="shared" si="48"/>
        <v>0</v>
      </c>
      <c r="H1040" s="550">
        <v>1462.31</v>
      </c>
      <c r="I1040" s="551">
        <f t="shared" si="49"/>
        <v>-1.0320800060395932E-3</v>
      </c>
      <c r="L1040" s="550">
        <v>12408.7</v>
      </c>
      <c r="M1040" s="553">
        <f t="shared" si="50"/>
        <v>1.3830507945487886E-3</v>
      </c>
    </row>
    <row r="1041" spans="5:13" ht="15.75" thickBot="1">
      <c r="E1041" s="557">
        <v>40365</v>
      </c>
      <c r="F1041" s="556">
        <v>2235</v>
      </c>
      <c r="G1041" s="549">
        <f t="shared" si="48"/>
        <v>0</v>
      </c>
      <c r="H1041" s="556">
        <v>1463.82</v>
      </c>
      <c r="I1041" s="551">
        <f t="shared" si="49"/>
        <v>6.0160655058674028E-3</v>
      </c>
      <c r="L1041" s="556">
        <v>12391.55</v>
      </c>
      <c r="M1041" s="553">
        <f t="shared" si="50"/>
        <v>3.7628558630331379E-3</v>
      </c>
    </row>
    <row r="1042" spans="5:13" ht="15.75" thickBot="1">
      <c r="E1042" s="552">
        <v>40361</v>
      </c>
      <c r="F1042" s="550">
        <v>2235</v>
      </c>
      <c r="G1042" s="549">
        <f t="shared" si="48"/>
        <v>-1.1123585218662316E-2</v>
      </c>
      <c r="H1042" s="550">
        <v>1455.04</v>
      </c>
      <c r="I1042" s="551">
        <f t="shared" si="49"/>
        <v>-2.7247318722469199E-3</v>
      </c>
      <c r="L1042" s="550">
        <v>12345.01</v>
      </c>
      <c r="M1042" s="553">
        <f t="shared" si="50"/>
        <v>-3.5174972952774011E-3</v>
      </c>
    </row>
    <row r="1043" spans="5:13" ht="15.75" thickBot="1">
      <c r="E1043" s="557">
        <v>40360</v>
      </c>
      <c r="F1043" s="556">
        <v>2260</v>
      </c>
      <c r="G1043" s="549">
        <f t="shared" si="48"/>
        <v>-2.209945650802844E-3</v>
      </c>
      <c r="H1043" s="556">
        <v>1459.01</v>
      </c>
      <c r="I1043" s="551">
        <f t="shared" si="49"/>
        <v>-5.3113984712395441E-3</v>
      </c>
      <c r="L1043" s="556">
        <v>12388.51</v>
      </c>
      <c r="M1043" s="553">
        <f t="shared" si="50"/>
        <v>-4.943160613300265E-3</v>
      </c>
    </row>
    <row r="1044" spans="5:13" ht="15.75" thickBot="1">
      <c r="E1044" s="552">
        <v>40359</v>
      </c>
      <c r="F1044" s="550">
        <v>2265</v>
      </c>
      <c r="G1044" s="549">
        <f t="shared" si="48"/>
        <v>2.2099456508028917E-3</v>
      </c>
      <c r="H1044" s="550">
        <v>1466.78</v>
      </c>
      <c r="I1044" s="551">
        <f t="shared" si="49"/>
        <v>9.0262838981707959E-3</v>
      </c>
      <c r="L1044" s="550">
        <v>12449.9</v>
      </c>
      <c r="M1044" s="553">
        <f t="shared" si="50"/>
        <v>8.3877566152763192E-3</v>
      </c>
    </row>
    <row r="1045" spans="5:13" ht="15.75" thickBot="1">
      <c r="E1045" s="557">
        <v>40358</v>
      </c>
      <c r="F1045" s="556">
        <v>2260</v>
      </c>
      <c r="G1045" s="549">
        <f t="shared" si="48"/>
        <v>0</v>
      </c>
      <c r="H1045" s="556">
        <v>1453.6</v>
      </c>
      <c r="I1045" s="551">
        <f t="shared" si="49"/>
        <v>-1.2592369071080054E-2</v>
      </c>
      <c r="L1045" s="556">
        <v>12345.91</v>
      </c>
      <c r="M1045" s="553">
        <f t="shared" si="50"/>
        <v>-1.322507284506051E-2</v>
      </c>
    </row>
    <row r="1046" spans="5:13" ht="15.75" thickBot="1">
      <c r="E1046" s="557">
        <v>40357</v>
      </c>
      <c r="F1046" s="556">
        <v>2260</v>
      </c>
      <c r="G1046" s="549">
        <f t="shared" si="48"/>
        <v>-8.8106296821549197E-3</v>
      </c>
      <c r="H1046" s="550">
        <v>1472.02</v>
      </c>
      <c r="I1046" s="551">
        <f t="shared" si="49"/>
        <v>-2.0495008972428019E-3</v>
      </c>
      <c r="L1046" s="550">
        <v>12510.27</v>
      </c>
      <c r="M1046" s="553">
        <f t="shared" si="50"/>
        <v>-9.3958612394118215E-4</v>
      </c>
    </row>
    <row r="1047" spans="5:13" ht="15.75" thickBot="1">
      <c r="E1047" s="552">
        <v>40354</v>
      </c>
      <c r="F1047" s="550">
        <v>2280</v>
      </c>
      <c r="G1047" s="549">
        <f t="shared" si="48"/>
        <v>-2.1905813798185863E-3</v>
      </c>
      <c r="H1047" s="556">
        <v>1475.04</v>
      </c>
      <c r="I1047" s="551">
        <f t="shared" si="49"/>
        <v>4.2870262718042009E-3</v>
      </c>
      <c r="L1047" s="556">
        <v>12522.03</v>
      </c>
      <c r="M1047" s="553">
        <f t="shared" si="50"/>
        <v>1.9936758975408154E-3</v>
      </c>
    </row>
    <row r="1048" spans="5:13" ht="15.75" thickBot="1">
      <c r="E1048" s="557">
        <v>40353</v>
      </c>
      <c r="F1048" s="556">
        <v>2285</v>
      </c>
      <c r="G1048" s="549">
        <f t="shared" si="48"/>
        <v>6.5861928528566554E-3</v>
      </c>
      <c r="H1048" s="550">
        <v>1468.73</v>
      </c>
      <c r="I1048" s="551">
        <f t="shared" si="49"/>
        <v>-2.1899705421322435E-3</v>
      </c>
      <c r="L1048" s="550">
        <v>12497.09</v>
      </c>
      <c r="M1048" s="553">
        <f t="shared" si="50"/>
        <v>-5.263840100807049E-4</v>
      </c>
    </row>
    <row r="1049" spans="5:13" ht="15.75" thickBot="1">
      <c r="E1049" s="552">
        <v>40352</v>
      </c>
      <c r="F1049" s="550">
        <v>2270</v>
      </c>
      <c r="G1049" s="549">
        <f t="shared" si="48"/>
        <v>0</v>
      </c>
      <c r="H1049" s="556">
        <v>1471.95</v>
      </c>
      <c r="I1049" s="551">
        <f t="shared" si="49"/>
        <v>2.9119430568054325E-3</v>
      </c>
      <c r="L1049" s="556">
        <v>12503.67</v>
      </c>
      <c r="M1049" s="553">
        <f t="shared" si="50"/>
        <v>1.4350081155866973E-3</v>
      </c>
    </row>
    <row r="1050" spans="5:13" ht="15.75" thickBot="1">
      <c r="E1050" s="557">
        <v>40351</v>
      </c>
      <c r="F1050" s="556">
        <v>2270</v>
      </c>
      <c r="G1050" s="549">
        <f t="shared" si="48"/>
        <v>-2.2002209096024235E-3</v>
      </c>
      <c r="H1050" s="550">
        <v>1467.67</v>
      </c>
      <c r="I1050" s="551">
        <f t="shared" si="49"/>
        <v>6.0658728367457581E-4</v>
      </c>
      <c r="L1050" s="550">
        <v>12485.74</v>
      </c>
      <c r="M1050" s="553">
        <f t="shared" si="50"/>
        <v>1.0802148658367193E-3</v>
      </c>
    </row>
    <row r="1051" spans="5:13" ht="15.75" thickBot="1">
      <c r="E1051" s="552">
        <v>40350</v>
      </c>
      <c r="F1051" s="550">
        <v>2275</v>
      </c>
      <c r="G1051" s="549">
        <f t="shared" si="48"/>
        <v>-8.7527911095947441E-3</v>
      </c>
      <c r="H1051" s="556">
        <v>1466.78</v>
      </c>
      <c r="I1051" s="551">
        <f t="shared" si="49"/>
        <v>-3.830992134379417E-3</v>
      </c>
      <c r="L1051" s="556">
        <v>12472.26</v>
      </c>
      <c r="M1051" s="553">
        <f t="shared" si="50"/>
        <v>-1.9264224933721544E-3</v>
      </c>
    </row>
    <row r="1052" spans="5:13" ht="15.75" thickBot="1">
      <c r="E1052" s="557">
        <v>40347</v>
      </c>
      <c r="F1052" s="556">
        <v>2295</v>
      </c>
      <c r="G1052" s="549">
        <f t="shared" si="48"/>
        <v>0</v>
      </c>
      <c r="H1052" s="550">
        <v>1472.41</v>
      </c>
      <c r="I1052" s="551">
        <f t="shared" si="49"/>
        <v>8.0805903092567299E-3</v>
      </c>
      <c r="L1052" s="550">
        <v>12496.31</v>
      </c>
      <c r="M1052" s="553">
        <f t="shared" si="50"/>
        <v>7.2023935868532974E-3</v>
      </c>
    </row>
    <row r="1053" spans="5:13" ht="15.75" thickBot="1">
      <c r="E1053" s="552">
        <v>40346</v>
      </c>
      <c r="F1053" s="550">
        <v>2295</v>
      </c>
      <c r="G1053" s="549">
        <f t="shared" si="48"/>
        <v>1.7582870557866882E-2</v>
      </c>
      <c r="H1053" s="556">
        <v>1460.56</v>
      </c>
      <c r="I1053" s="551">
        <f t="shared" si="49"/>
        <v>-5.6811377492697835E-4</v>
      </c>
      <c r="L1053" s="556">
        <v>12406.63</v>
      </c>
      <c r="M1053" s="553">
        <f t="shared" si="50"/>
        <v>-5.4391599088091645E-4</v>
      </c>
    </row>
    <row r="1054" spans="5:13" ht="15.75" thickBot="1">
      <c r="E1054" s="557">
        <v>40345</v>
      </c>
      <c r="F1054" s="556">
        <v>2255</v>
      </c>
      <c r="G1054" s="549">
        <f t="shared" si="48"/>
        <v>6.6741070876932176E-3</v>
      </c>
      <c r="H1054" s="550">
        <v>1461.39</v>
      </c>
      <c r="I1054" s="551">
        <f t="shared" si="49"/>
        <v>7.3349458351224693E-3</v>
      </c>
      <c r="L1054" s="550">
        <v>12413.38</v>
      </c>
      <c r="M1054" s="553">
        <f t="shared" si="50"/>
        <v>6.0942343665290185E-3</v>
      </c>
    </row>
    <row r="1055" spans="5:13" ht="15.75" thickBot="1">
      <c r="E1055" s="552">
        <v>40344</v>
      </c>
      <c r="F1055" s="550">
        <v>2240</v>
      </c>
      <c r="G1055" s="549">
        <f t="shared" si="48"/>
        <v>0</v>
      </c>
      <c r="H1055" s="556">
        <v>1450.71</v>
      </c>
      <c r="I1055" s="551">
        <f t="shared" si="49"/>
        <v>1.8145507067617757E-3</v>
      </c>
      <c r="L1055" s="556">
        <v>12337.96</v>
      </c>
      <c r="M1055" s="553">
        <f t="shared" si="50"/>
        <v>2.6124306919047642E-3</v>
      </c>
    </row>
    <row r="1056" spans="5:13" ht="15.75" thickBot="1">
      <c r="E1056" s="557">
        <v>40340</v>
      </c>
      <c r="F1056" s="556">
        <v>2240</v>
      </c>
      <c r="G1056" s="549">
        <f t="shared" si="48"/>
        <v>0</v>
      </c>
      <c r="H1056" s="550">
        <v>1448.08</v>
      </c>
      <c r="I1056" s="551">
        <f t="shared" si="49"/>
        <v>1.202313561684857E-3</v>
      </c>
      <c r="L1056" s="550">
        <v>12305.77</v>
      </c>
      <c r="M1056" s="553">
        <f t="shared" si="50"/>
        <v>2.6502346569940373E-3</v>
      </c>
    </row>
    <row r="1057" spans="5:13" ht="15.75" thickBot="1">
      <c r="E1057" s="552">
        <v>40339</v>
      </c>
      <c r="F1057" s="550">
        <v>2240</v>
      </c>
      <c r="G1057" s="549">
        <f t="shared" si="48"/>
        <v>6.7189502487450094E-3</v>
      </c>
      <c r="H1057" s="556">
        <v>1446.34</v>
      </c>
      <c r="I1057" s="551">
        <f t="shared" si="49"/>
        <v>5.6019117123681686E-4</v>
      </c>
      <c r="L1057" s="556">
        <v>12273.2</v>
      </c>
      <c r="M1057" s="553">
        <f t="shared" si="50"/>
        <v>4.8572887178716367E-4</v>
      </c>
    </row>
    <row r="1058" spans="5:13" ht="15.75" thickBot="1">
      <c r="E1058" s="557">
        <v>40338</v>
      </c>
      <c r="F1058" s="556">
        <v>2225</v>
      </c>
      <c r="G1058" s="549">
        <f t="shared" si="48"/>
        <v>4.5045121211045079E-3</v>
      </c>
      <c r="H1058" s="550">
        <v>1445.53</v>
      </c>
      <c r="I1058" s="551">
        <f t="shared" si="49"/>
        <v>8.5174893145753272E-3</v>
      </c>
      <c r="L1058" s="550">
        <v>12267.24</v>
      </c>
      <c r="M1058" s="553">
        <f t="shared" si="50"/>
        <v>6.8932196234056508E-3</v>
      </c>
    </row>
    <row r="1059" spans="5:13" ht="15.75" thickBot="1">
      <c r="E1059" s="552">
        <v>40337</v>
      </c>
      <c r="F1059" s="550">
        <v>2215</v>
      </c>
      <c r="G1059" s="549">
        <f t="shared" si="48"/>
        <v>4.524894598289724E-3</v>
      </c>
      <c r="H1059" s="556">
        <v>1433.27</v>
      </c>
      <c r="I1059" s="551">
        <f t="shared" si="49"/>
        <v>2.0743345299459944E-3</v>
      </c>
      <c r="L1059" s="556">
        <v>12182.97</v>
      </c>
      <c r="M1059" s="553">
        <f t="shared" si="50"/>
        <v>-3.2517129221455053E-3</v>
      </c>
    </row>
    <row r="1060" spans="5:13" ht="15.75" thickBot="1">
      <c r="E1060" s="557">
        <v>40333</v>
      </c>
      <c r="F1060" s="556">
        <v>2205</v>
      </c>
      <c r="G1060" s="549">
        <f t="shared" si="48"/>
        <v>-1.1274076573218108E-2</v>
      </c>
      <c r="H1060" s="550">
        <v>1430.3</v>
      </c>
      <c r="I1060" s="551">
        <f t="shared" si="49"/>
        <v>-1.5993904669635121E-2</v>
      </c>
      <c r="L1060" s="550">
        <v>12222.65</v>
      </c>
      <c r="M1060" s="553">
        <f t="shared" si="50"/>
        <v>-8.969159413562619E-3</v>
      </c>
    </row>
    <row r="1061" spans="5:13" ht="15.75" thickBot="1">
      <c r="E1061" s="552">
        <v>40332</v>
      </c>
      <c r="F1061" s="550">
        <v>2230</v>
      </c>
      <c r="G1061" s="549">
        <f t="shared" si="48"/>
        <v>9.0090699423659108E-3</v>
      </c>
      <c r="H1061" s="556">
        <v>1453.36</v>
      </c>
      <c r="I1061" s="551">
        <f t="shared" si="49"/>
        <v>9.9818613787721971E-4</v>
      </c>
      <c r="L1061" s="556">
        <v>12332.77</v>
      </c>
      <c r="M1061" s="553">
        <f t="shared" si="50"/>
        <v>1.7448442264089937E-3</v>
      </c>
    </row>
    <row r="1062" spans="5:13" ht="15.75" thickBot="1">
      <c r="E1062" s="557">
        <v>40331</v>
      </c>
      <c r="F1062" s="556">
        <v>2210</v>
      </c>
      <c r="G1062" s="549">
        <f t="shared" si="48"/>
        <v>1.596385098901399E-2</v>
      </c>
      <c r="H1062" s="550">
        <v>1451.91</v>
      </c>
      <c r="I1062" s="551">
        <f t="shared" si="49"/>
        <v>3.2078174011252636E-3</v>
      </c>
      <c r="L1062" s="550">
        <v>12311.27</v>
      </c>
      <c r="M1062" s="553">
        <f t="shared" si="50"/>
        <v>2.3673000142424936E-3</v>
      </c>
    </row>
    <row r="1063" spans="5:13" ht="15.75" thickBot="1">
      <c r="E1063" s="552">
        <v>40330</v>
      </c>
      <c r="F1063" s="550">
        <v>2175</v>
      </c>
      <c r="G1063" s="549">
        <f t="shared" si="48"/>
        <v>9.2379409849363599E-3</v>
      </c>
      <c r="H1063" s="556">
        <v>1447.26</v>
      </c>
      <c r="I1063" s="551">
        <f t="shared" si="49"/>
        <v>1.8811818259478806E-3</v>
      </c>
      <c r="L1063" s="556">
        <v>12282.16</v>
      </c>
      <c r="M1063" s="553">
        <f t="shared" si="50"/>
        <v>3.7498488982120781E-3</v>
      </c>
    </row>
    <row r="1064" spans="5:13" ht="15.75" thickBot="1">
      <c r="E1064" s="557">
        <v>40329</v>
      </c>
      <c r="F1064" s="556">
        <v>2155</v>
      </c>
      <c r="G1064" s="549">
        <f t="shared" si="48"/>
        <v>2.3228814161397287E-3</v>
      </c>
      <c r="H1064" s="550">
        <v>1444.54</v>
      </c>
      <c r="I1064" s="551">
        <f t="shared" si="49"/>
        <v>-1.3420870773593371E-3</v>
      </c>
      <c r="L1064" s="550">
        <v>12236.19</v>
      </c>
      <c r="M1064" s="553">
        <f t="shared" si="50"/>
        <v>7.3497584796632554E-4</v>
      </c>
    </row>
    <row r="1065" spans="5:13" ht="15.75" thickBot="1">
      <c r="E1065" s="552">
        <v>40326</v>
      </c>
      <c r="F1065" s="550">
        <v>2150</v>
      </c>
      <c r="G1065" s="549">
        <f t="shared" si="48"/>
        <v>0</v>
      </c>
      <c r="H1065" s="556">
        <v>1446.48</v>
      </c>
      <c r="I1065" s="551">
        <f t="shared" si="49"/>
        <v>1.2529077442648218E-2</v>
      </c>
      <c r="L1065" s="556">
        <v>12227.2</v>
      </c>
      <c r="M1065" s="553">
        <f t="shared" si="50"/>
        <v>9.7990648147349667E-3</v>
      </c>
    </row>
    <row r="1066" spans="5:13" ht="15.75" thickBot="1">
      <c r="E1066" s="557">
        <v>40325</v>
      </c>
      <c r="F1066" s="556">
        <v>2150</v>
      </c>
      <c r="G1066" s="549">
        <f t="shared" si="48"/>
        <v>7.0011954589835612E-3</v>
      </c>
      <c r="H1066" s="550">
        <v>1428.47</v>
      </c>
      <c r="I1066" s="551">
        <f t="shared" si="49"/>
        <v>-3.0405889311307627E-3</v>
      </c>
      <c r="L1066" s="550">
        <v>12107.97</v>
      </c>
      <c r="M1066" s="553">
        <f t="shared" si="50"/>
        <v>5.2954354337224699E-4</v>
      </c>
    </row>
    <row r="1067" spans="5:13" ht="15.75" thickBot="1">
      <c r="E1067" s="552">
        <v>40324</v>
      </c>
      <c r="F1067" s="550">
        <v>2135</v>
      </c>
      <c r="G1067" s="549">
        <f t="shared" si="48"/>
        <v>1.4151179546243182E-2</v>
      </c>
      <c r="H1067" s="556">
        <v>1432.82</v>
      </c>
      <c r="I1067" s="551">
        <f t="shared" si="49"/>
        <v>2.3708151559911957E-2</v>
      </c>
      <c r="L1067" s="556">
        <v>12101.56</v>
      </c>
      <c r="M1067" s="553">
        <f t="shared" si="50"/>
        <v>2.0778680183366909E-2</v>
      </c>
    </row>
    <row r="1068" spans="5:13" ht="15.75" thickBot="1">
      <c r="E1068" s="557">
        <v>40323</v>
      </c>
      <c r="F1068" s="556">
        <v>2105</v>
      </c>
      <c r="G1068" s="549">
        <f t="shared" si="48"/>
        <v>-1.4151179546243151E-2</v>
      </c>
      <c r="H1068" s="550">
        <v>1399.25</v>
      </c>
      <c r="I1068" s="551">
        <f t="shared" si="49"/>
        <v>-8.3126826451901132E-3</v>
      </c>
      <c r="L1068" s="550">
        <v>11852.7</v>
      </c>
      <c r="M1068" s="553">
        <f t="shared" si="50"/>
        <v>-1.0390706683844274E-2</v>
      </c>
    </row>
    <row r="1069" spans="5:13" ht="15.75" thickBot="1">
      <c r="E1069" s="552">
        <v>40322</v>
      </c>
      <c r="F1069" s="550">
        <v>2135</v>
      </c>
      <c r="G1069" s="549">
        <f t="shared" si="48"/>
        <v>0</v>
      </c>
      <c r="H1069" s="556">
        <v>1410.93</v>
      </c>
      <c r="I1069" s="551">
        <f t="shared" si="49"/>
        <v>9.6428504710445156E-3</v>
      </c>
      <c r="L1069" s="556">
        <v>11976.5</v>
      </c>
      <c r="M1069" s="553">
        <f t="shared" si="50"/>
        <v>8.9532495126124299E-3</v>
      </c>
    </row>
    <row r="1070" spans="5:13" ht="15.75" thickBot="1">
      <c r="E1070" s="557">
        <v>40319</v>
      </c>
      <c r="F1070" s="556">
        <v>2135</v>
      </c>
      <c r="G1070" s="549">
        <f t="shared" si="48"/>
        <v>1.1778699192612705E-2</v>
      </c>
      <c r="H1070" s="550">
        <v>1397.39</v>
      </c>
      <c r="I1070" s="551">
        <f t="shared" si="49"/>
        <v>1.00236997273581E-3</v>
      </c>
      <c r="L1070" s="550">
        <v>11869.75</v>
      </c>
      <c r="M1070" s="553">
        <f t="shared" si="50"/>
        <v>1.2139044107949964E-3</v>
      </c>
    </row>
    <row r="1071" spans="5:13" ht="15.75" thickBot="1">
      <c r="E1071" s="552">
        <v>40318</v>
      </c>
      <c r="F1071" s="550">
        <v>2110</v>
      </c>
      <c r="G1071" s="549">
        <f t="shared" si="48"/>
        <v>-1.4117881545784932E-2</v>
      </c>
      <c r="H1071" s="556">
        <v>1395.99</v>
      </c>
      <c r="I1071" s="551">
        <f t="shared" si="49"/>
        <v>-7.4080756725029128E-3</v>
      </c>
      <c r="L1071" s="556">
        <v>11855.35</v>
      </c>
      <c r="M1071" s="553">
        <f t="shared" si="50"/>
        <v>-6.5208867595555981E-3</v>
      </c>
    </row>
    <row r="1072" spans="5:13" ht="15.75" thickBot="1">
      <c r="E1072" s="557">
        <v>40317</v>
      </c>
      <c r="F1072" s="556">
        <v>2140</v>
      </c>
      <c r="G1072" s="549">
        <f t="shared" si="48"/>
        <v>0</v>
      </c>
      <c r="H1072" s="550">
        <v>1406.37</v>
      </c>
      <c r="I1072" s="551">
        <f t="shared" si="49"/>
        <v>-1.6305820639560865E-2</v>
      </c>
      <c r="L1072" s="550">
        <v>11932.91</v>
      </c>
      <c r="M1072" s="553">
        <f t="shared" si="50"/>
        <v>-7.3940885535770948E-3</v>
      </c>
    </row>
    <row r="1073" spans="5:13" ht="15.75" thickBot="1">
      <c r="E1073" s="552">
        <v>40316</v>
      </c>
      <c r="F1073" s="550">
        <v>2140</v>
      </c>
      <c r="G1073" s="549">
        <f t="shared" si="48"/>
        <v>-4.7899692160457447E-2</v>
      </c>
      <c r="H1073" s="556">
        <v>1429.49</v>
      </c>
      <c r="I1073" s="551">
        <f t="shared" si="49"/>
        <v>-1.0286266298551783E-2</v>
      </c>
      <c r="L1073" s="556">
        <v>12021.47</v>
      </c>
      <c r="M1073" s="553">
        <f t="shared" si="50"/>
        <v>-1.6421469930918902E-2</v>
      </c>
    </row>
    <row r="1074" spans="5:13" ht="15.75" thickBot="1">
      <c r="E1074" s="557">
        <v>40312</v>
      </c>
      <c r="F1074" s="556">
        <v>2245</v>
      </c>
      <c r="G1074" s="549">
        <f t="shared" si="48"/>
        <v>-8.8692377407797729E-3</v>
      </c>
      <c r="H1074" s="550">
        <v>1444.27</v>
      </c>
      <c r="I1074" s="551">
        <f t="shared" si="49"/>
        <v>-7.3537858991412604E-3</v>
      </c>
      <c r="L1074" s="556">
        <v>12220.51</v>
      </c>
      <c r="M1074" s="553">
        <f t="shared" si="50"/>
        <v>-1.0340355337861202E-2</v>
      </c>
    </row>
    <row r="1075" spans="5:13" ht="15.75" thickBot="1">
      <c r="E1075" s="552">
        <v>40311</v>
      </c>
      <c r="F1075" s="550">
        <v>2265</v>
      </c>
      <c r="G1075" s="549">
        <f t="shared" si="48"/>
        <v>-1.0977058631150907E-2</v>
      </c>
      <c r="H1075" s="556">
        <v>1454.93</v>
      </c>
      <c r="I1075" s="551">
        <f t="shared" si="49"/>
        <v>2.6634656608115108E-3</v>
      </c>
      <c r="L1075" s="550">
        <v>12347.53</v>
      </c>
      <c r="M1075" s="553">
        <f t="shared" si="50"/>
        <v>5.2818029349464791E-4</v>
      </c>
    </row>
    <row r="1076" spans="5:13" ht="15.75" thickBot="1">
      <c r="E1076" s="557">
        <v>40310</v>
      </c>
      <c r="F1076" s="556">
        <v>2290</v>
      </c>
      <c r="G1076" s="549">
        <f t="shared" si="48"/>
        <v>0</v>
      </c>
      <c r="H1076" s="550">
        <v>1451.06</v>
      </c>
      <c r="I1076" s="551">
        <f t="shared" si="49"/>
        <v>5.8264871830937875E-3</v>
      </c>
      <c r="L1076" s="556">
        <v>12341.01</v>
      </c>
      <c r="M1076" s="553">
        <f t="shared" si="50"/>
        <v>4.1590264085190742E-3</v>
      </c>
    </row>
    <row r="1077" spans="5:13" ht="15.75" thickBot="1">
      <c r="E1077" s="552">
        <v>40309</v>
      </c>
      <c r="F1077" s="550">
        <v>2290</v>
      </c>
      <c r="G1077" s="549">
        <f t="shared" si="48"/>
        <v>4.3763745997987815E-3</v>
      </c>
      <c r="H1077" s="556">
        <v>1442.63</v>
      </c>
      <c r="I1077" s="551">
        <f t="shared" si="49"/>
        <v>3.089411338758482E-3</v>
      </c>
      <c r="L1077" s="550">
        <v>12289.79</v>
      </c>
      <c r="M1077" s="553">
        <f t="shared" si="50"/>
        <v>6.0271800563916882E-3</v>
      </c>
    </row>
    <row r="1078" spans="5:13" ht="15.75" thickBot="1">
      <c r="E1078" s="557">
        <v>40308</v>
      </c>
      <c r="F1078" s="556">
        <v>2280</v>
      </c>
      <c r="G1078" s="549">
        <f t="shared" si="48"/>
        <v>2.8923039469250449E-2</v>
      </c>
      <c r="H1078" s="550">
        <v>1438.18</v>
      </c>
      <c r="I1078" s="551">
        <f t="shared" si="49"/>
        <v>1.780487445027662E-2</v>
      </c>
      <c r="L1078" s="556">
        <v>12215.94</v>
      </c>
      <c r="M1078" s="553">
        <f t="shared" si="50"/>
        <v>1.7554212617879487E-2</v>
      </c>
    </row>
    <row r="1079" spans="5:13" ht="15.75" thickBot="1">
      <c r="E1079" s="552">
        <v>40305</v>
      </c>
      <c r="F1079" s="550">
        <v>2215</v>
      </c>
      <c r="G1079" s="549">
        <f t="shared" si="48"/>
        <v>-1.3453117697118639E-2</v>
      </c>
      <c r="H1079" s="556">
        <v>1412.8</v>
      </c>
      <c r="I1079" s="551">
        <f t="shared" si="49"/>
        <v>6.9179851591579583E-3</v>
      </c>
      <c r="L1079" s="550">
        <v>12003.37</v>
      </c>
      <c r="M1079" s="553">
        <f t="shared" si="50"/>
        <v>2.8549375070278482E-3</v>
      </c>
    </row>
    <row r="1080" spans="5:13" ht="15.75" thickBot="1">
      <c r="E1080" s="557">
        <v>40304</v>
      </c>
      <c r="F1080" s="556">
        <v>2245</v>
      </c>
      <c r="G1080" s="549">
        <f t="shared" si="48"/>
        <v>-2.2027322318290819E-2</v>
      </c>
      <c r="H1080" s="550">
        <v>1403.06</v>
      </c>
      <c r="I1080" s="551">
        <f t="shared" si="49"/>
        <v>-3.0525845322517123E-2</v>
      </c>
      <c r="L1080" s="556">
        <v>11969.15</v>
      </c>
      <c r="M1080" s="553">
        <f t="shared" si="50"/>
        <v>-2.885979557215446E-2</v>
      </c>
    </row>
    <row r="1081" spans="5:13" ht="15.75" thickBot="1">
      <c r="E1081" s="552">
        <v>40303</v>
      </c>
      <c r="F1081" s="550">
        <v>2295</v>
      </c>
      <c r="G1081" s="549">
        <f t="shared" si="48"/>
        <v>-1.0834342165710118E-2</v>
      </c>
      <c r="H1081" s="556">
        <v>1446.55</v>
      </c>
      <c r="I1081" s="551">
        <f t="shared" si="49"/>
        <v>-2.3961422053994274E-2</v>
      </c>
      <c r="L1081" s="550">
        <v>12319.61</v>
      </c>
      <c r="M1081" s="553">
        <f t="shared" si="50"/>
        <v>-2.1956743151577824E-2</v>
      </c>
    </row>
    <row r="1082" spans="5:13" ht="15.75" thickBot="1">
      <c r="E1082" s="557">
        <v>40302</v>
      </c>
      <c r="F1082" s="556">
        <v>2320</v>
      </c>
      <c r="G1082" s="549">
        <f t="shared" si="48"/>
        <v>-1.4973541790162481E-2</v>
      </c>
      <c r="H1082" s="550">
        <v>1481.63</v>
      </c>
      <c r="I1082" s="551">
        <f t="shared" si="49"/>
        <v>-5.7406636576982258E-3</v>
      </c>
      <c r="L1082" s="556">
        <v>12593.1</v>
      </c>
      <c r="M1082" s="553">
        <f t="shared" si="50"/>
        <v>-8.2718297895889789E-3</v>
      </c>
    </row>
    <row r="1083" spans="5:13" ht="15.75" thickBot="1">
      <c r="E1083" s="552">
        <v>40301</v>
      </c>
      <c r="F1083" s="550">
        <v>2355</v>
      </c>
      <c r="G1083" s="549">
        <f t="shared" si="48"/>
        <v>8.5288363475205017E-3</v>
      </c>
      <c r="H1083" s="556">
        <v>1490.16</v>
      </c>
      <c r="I1083" s="551">
        <f t="shared" si="49"/>
        <v>1.5486780838409044E-2</v>
      </c>
      <c r="L1083" s="550">
        <v>12697.7</v>
      </c>
      <c r="M1083" s="553">
        <f t="shared" si="50"/>
        <v>1.4683938889840219E-2</v>
      </c>
    </row>
    <row r="1084" spans="5:13" ht="15.75" thickBot="1">
      <c r="E1084" s="557">
        <v>40298</v>
      </c>
      <c r="F1084" s="556">
        <v>2335</v>
      </c>
      <c r="G1084" s="549">
        <f t="shared" si="48"/>
        <v>1.510276818575665E-2</v>
      </c>
      <c r="H1084" s="550">
        <v>1467.26</v>
      </c>
      <c r="I1084" s="551">
        <f t="shared" si="49"/>
        <v>-1.3349318170511049E-3</v>
      </c>
      <c r="L1084" s="556">
        <v>12512.61</v>
      </c>
      <c r="M1084" s="553">
        <f t="shared" si="50"/>
        <v>3.6763589345404638E-5</v>
      </c>
    </row>
    <row r="1085" spans="5:13" ht="15.75" thickBot="1">
      <c r="E1085" s="552">
        <v>40297</v>
      </c>
      <c r="F1085" s="550">
        <v>2300</v>
      </c>
      <c r="G1085" s="549">
        <f t="shared" si="48"/>
        <v>4.3573053689556262E-3</v>
      </c>
      <c r="H1085" s="556">
        <v>1469.22</v>
      </c>
      <c r="I1085" s="551">
        <f t="shared" si="49"/>
        <v>8.1599632680690905E-3</v>
      </c>
      <c r="L1085" s="550">
        <v>12512.15</v>
      </c>
      <c r="M1085" s="553">
        <f t="shared" si="50"/>
        <v>1.1497128202791978E-2</v>
      </c>
    </row>
    <row r="1086" spans="5:13" ht="15.75" thickBot="1">
      <c r="E1086" s="557">
        <v>40296</v>
      </c>
      <c r="F1086" s="556">
        <v>2290</v>
      </c>
      <c r="G1086" s="549">
        <f t="shared" si="48"/>
        <v>-4.3573053689557007E-3</v>
      </c>
      <c r="H1086" s="550">
        <v>1457.28</v>
      </c>
      <c r="I1086" s="551">
        <f t="shared" si="49"/>
        <v>-1.0125061322353539E-2</v>
      </c>
      <c r="L1086" s="556">
        <v>12369.12</v>
      </c>
      <c r="M1086" s="553">
        <f t="shared" si="50"/>
        <v>-8.0489358859771373E-3</v>
      </c>
    </row>
    <row r="1087" spans="5:13" ht="15.75" thickBot="1">
      <c r="E1087" s="552">
        <v>40295</v>
      </c>
      <c r="F1087" s="550">
        <v>2300</v>
      </c>
      <c r="G1087" s="549">
        <f t="shared" si="48"/>
        <v>0</v>
      </c>
      <c r="H1087" s="556">
        <v>1472.11</v>
      </c>
      <c r="I1087" s="551">
        <f t="shared" si="49"/>
        <v>-8.3408509802856325E-3</v>
      </c>
      <c r="L1087" s="550">
        <v>12469.08</v>
      </c>
      <c r="M1087" s="553">
        <f t="shared" si="50"/>
        <v>-9.3084743542055023E-3</v>
      </c>
    </row>
    <row r="1088" spans="5:13" ht="15.75" thickBot="1">
      <c r="E1088" s="557">
        <v>40294</v>
      </c>
      <c r="F1088" s="556">
        <v>2300</v>
      </c>
      <c r="G1088" s="549">
        <f t="shared" si="48"/>
        <v>-6.500564603093428E-3</v>
      </c>
      <c r="H1088" s="550">
        <v>1484.44</v>
      </c>
      <c r="I1088" s="551">
        <f t="shared" si="49"/>
        <v>-2.4289412410758724E-3</v>
      </c>
      <c r="L1088" s="556">
        <v>12585.69</v>
      </c>
      <c r="M1088" s="553">
        <f t="shared" si="50"/>
        <v>-2.3340548730161111E-3</v>
      </c>
    </row>
    <row r="1089" spans="5:13" ht="15.75" thickBot="1">
      <c r="E1089" s="552">
        <v>40291</v>
      </c>
      <c r="F1089" s="550">
        <v>2315</v>
      </c>
      <c r="G1089" s="549">
        <f t="shared" si="48"/>
        <v>0</v>
      </c>
      <c r="H1089" s="556">
        <v>1488.05</v>
      </c>
      <c r="I1089" s="551">
        <f t="shared" si="49"/>
        <v>6.4317140976075955E-3</v>
      </c>
      <c r="L1089" s="550">
        <v>12615.1</v>
      </c>
      <c r="M1089" s="553">
        <f t="shared" si="50"/>
        <v>8.0089343265466184E-3</v>
      </c>
    </row>
    <row r="1090" spans="5:13" ht="15.75" thickBot="1">
      <c r="E1090" s="557">
        <v>40290</v>
      </c>
      <c r="F1090" s="556">
        <v>2315</v>
      </c>
      <c r="G1090" s="549">
        <f t="shared" si="48"/>
        <v>-4.3103515011222119E-3</v>
      </c>
      <c r="H1090" s="550">
        <v>1478.51</v>
      </c>
      <c r="I1090" s="551">
        <f t="shared" si="49"/>
        <v>2.3361569687316793E-3</v>
      </c>
      <c r="L1090" s="556">
        <v>12514.47</v>
      </c>
      <c r="M1090" s="553">
        <f t="shared" si="50"/>
        <v>2.9938165404001971E-3</v>
      </c>
    </row>
    <row r="1091" spans="5:13" ht="15.75" thickBot="1">
      <c r="E1091" s="552">
        <v>40289</v>
      </c>
      <c r="F1091" s="550">
        <v>2325</v>
      </c>
      <c r="G1091" s="549">
        <f t="shared" ref="G1091:G1154" si="51">+LN(F1091/F1092)</f>
        <v>0</v>
      </c>
      <c r="H1091" s="556">
        <v>1475.06</v>
      </c>
      <c r="I1091" s="551">
        <f t="shared" ref="I1091:I1154" si="52">+LN(H1091/H1092)</f>
        <v>4.9612378422316788E-3</v>
      </c>
      <c r="L1091" s="550">
        <v>12477.06</v>
      </c>
      <c r="M1091" s="553">
        <f t="shared" ref="M1091:M1154" si="53">+LN(L1091/L1092)</f>
        <v>4.1522128595854677E-3</v>
      </c>
    </row>
    <row r="1092" spans="5:13" ht="15.75" thickBot="1">
      <c r="E1092" s="557">
        <v>40288</v>
      </c>
      <c r="F1092" s="556">
        <v>2325</v>
      </c>
      <c r="G1092" s="549">
        <f t="shared" si="51"/>
        <v>2.1528533611010927E-3</v>
      </c>
      <c r="H1092" s="550">
        <v>1467.76</v>
      </c>
      <c r="I1092" s="551">
        <f t="shared" si="52"/>
        <v>1.0010696767375347E-2</v>
      </c>
      <c r="L1092" s="556">
        <v>12425.36</v>
      </c>
      <c r="M1092" s="553">
        <f t="shared" si="53"/>
        <v>1.0980473287024803E-2</v>
      </c>
    </row>
    <row r="1093" spans="5:13" ht="15.75" thickBot="1">
      <c r="E1093" s="552">
        <v>40287</v>
      </c>
      <c r="F1093" s="550">
        <v>2320</v>
      </c>
      <c r="G1093" s="549">
        <f t="shared" si="51"/>
        <v>-1.0718216220024147E-2</v>
      </c>
      <c r="H1093" s="556">
        <v>1453.14</v>
      </c>
      <c r="I1093" s="551">
        <f t="shared" si="52"/>
        <v>-6.9469249791719364E-3</v>
      </c>
      <c r="L1093" s="550">
        <v>12289.67</v>
      </c>
      <c r="M1093" s="553">
        <f t="shared" si="53"/>
        <v>-5.8795040822742428E-3</v>
      </c>
    </row>
    <row r="1094" spans="5:13" ht="15.75" thickBot="1">
      <c r="E1094" s="557">
        <v>40284</v>
      </c>
      <c r="F1094" s="556">
        <v>2345</v>
      </c>
      <c r="G1094" s="549">
        <f t="shared" si="51"/>
        <v>-1.9007964045176632E-2</v>
      </c>
      <c r="H1094" s="550">
        <v>1463.27</v>
      </c>
      <c r="I1094" s="551">
        <f t="shared" si="52"/>
        <v>-1.2138404240275581E-2</v>
      </c>
      <c r="L1094" s="550">
        <v>12362.14</v>
      </c>
      <c r="M1094" s="553">
        <f t="shared" si="53"/>
        <v>-1.3238957589266142E-2</v>
      </c>
    </row>
    <row r="1095" spans="5:13" ht="15.75" thickBot="1">
      <c r="E1095" s="552">
        <v>40283</v>
      </c>
      <c r="F1095" s="550">
        <v>2390</v>
      </c>
      <c r="G1095" s="549">
        <f t="shared" si="51"/>
        <v>2.0942416031146851E-3</v>
      </c>
      <c r="H1095" s="556">
        <v>1481.14</v>
      </c>
      <c r="I1095" s="551">
        <f t="shared" si="52"/>
        <v>1.8516396351167465E-3</v>
      </c>
      <c r="L1095" s="556">
        <v>12526.89</v>
      </c>
      <c r="M1095" s="553">
        <f t="shared" si="53"/>
        <v>1.1374012090612268E-3</v>
      </c>
    </row>
    <row r="1096" spans="5:13" ht="15.75" thickBot="1">
      <c r="E1096" s="557">
        <v>40282</v>
      </c>
      <c r="F1096" s="556">
        <v>2385</v>
      </c>
      <c r="G1096" s="549">
        <f t="shared" si="51"/>
        <v>0</v>
      </c>
      <c r="H1096" s="550">
        <v>1478.4</v>
      </c>
      <c r="I1096" s="551">
        <f t="shared" si="52"/>
        <v>5.0791650265270194E-3</v>
      </c>
      <c r="L1096" s="550">
        <v>12512.65</v>
      </c>
      <c r="M1096" s="553">
        <f t="shared" si="53"/>
        <v>9.1460845705392466E-3</v>
      </c>
    </row>
    <row r="1097" spans="5:13" ht="15.75" thickBot="1">
      <c r="E1097" s="552">
        <v>40281</v>
      </c>
      <c r="F1097" s="550">
        <v>2385</v>
      </c>
      <c r="G1097" s="549">
        <f t="shared" si="51"/>
        <v>4.2016868536999766E-3</v>
      </c>
      <c r="H1097" s="556">
        <v>1470.91</v>
      </c>
      <c r="I1097" s="551">
        <f t="shared" si="52"/>
        <v>1.4277895462472072E-4</v>
      </c>
      <c r="L1097" s="556">
        <v>12398.73</v>
      </c>
      <c r="M1097" s="553">
        <f t="shared" si="53"/>
        <v>1.028052858540802E-3</v>
      </c>
    </row>
    <row r="1098" spans="5:13" ht="15.75" thickBot="1">
      <c r="E1098" s="557">
        <v>40280</v>
      </c>
      <c r="F1098" s="556">
        <v>2375</v>
      </c>
      <c r="G1098" s="549">
        <f t="shared" si="51"/>
        <v>1.0582109330537008E-2</v>
      </c>
      <c r="H1098" s="550">
        <v>1470.7</v>
      </c>
      <c r="I1098" s="551">
        <f t="shared" si="52"/>
        <v>1.1906180713549314E-3</v>
      </c>
      <c r="L1098" s="550">
        <v>12385.99</v>
      </c>
      <c r="M1098" s="553">
        <f t="shared" si="53"/>
        <v>1.3435481624455188E-3</v>
      </c>
    </row>
    <row r="1099" spans="5:13" ht="15.75" thickBot="1">
      <c r="E1099" s="552">
        <v>40277</v>
      </c>
      <c r="F1099" s="550">
        <v>2350</v>
      </c>
      <c r="G1099" s="549">
        <f t="shared" si="51"/>
        <v>6.4034370352070071E-3</v>
      </c>
      <c r="H1099" s="556">
        <v>1468.95</v>
      </c>
      <c r="I1099" s="551">
        <f t="shared" si="52"/>
        <v>-2.5903315625039379E-3</v>
      </c>
      <c r="L1099" s="556">
        <v>12369.36</v>
      </c>
      <c r="M1099" s="553">
        <f t="shared" si="53"/>
        <v>-2.2852981357144001E-3</v>
      </c>
    </row>
    <row r="1100" spans="5:13" ht="15.75" thickBot="1">
      <c r="E1100" s="557">
        <v>40276</v>
      </c>
      <c r="F1100" s="556">
        <v>2335</v>
      </c>
      <c r="G1100" s="549">
        <f t="shared" si="51"/>
        <v>-4.2735107773820497E-3</v>
      </c>
      <c r="H1100" s="550">
        <v>1472.76</v>
      </c>
      <c r="I1100" s="551">
        <f t="shared" si="52"/>
        <v>3.8710335124041183E-4</v>
      </c>
      <c r="L1100" s="550">
        <v>12397.66</v>
      </c>
      <c r="M1100" s="553">
        <f t="shared" si="53"/>
        <v>3.0107401958552964E-3</v>
      </c>
    </row>
    <row r="1101" spans="5:13" ht="15.75" thickBot="1">
      <c r="E1101" s="552">
        <v>40275</v>
      </c>
      <c r="F1101" s="550">
        <v>2345</v>
      </c>
      <c r="G1101" s="549">
        <f t="shared" si="51"/>
        <v>6.417134320633509E-3</v>
      </c>
      <c r="H1101" s="556">
        <v>1472.19</v>
      </c>
      <c r="I1101" s="551">
        <f t="shared" si="52"/>
        <v>8.1091939997510794E-3</v>
      </c>
      <c r="L1101" s="556">
        <v>12360.39</v>
      </c>
      <c r="M1101" s="553">
        <f t="shared" si="53"/>
        <v>7.5859052709976432E-3</v>
      </c>
    </row>
    <row r="1102" spans="5:13" ht="15.75" thickBot="1">
      <c r="E1102" s="557">
        <v>40274</v>
      </c>
      <c r="F1102" s="556">
        <v>2330</v>
      </c>
      <c r="G1102" s="549">
        <f t="shared" si="51"/>
        <v>2.3888215174695374E-2</v>
      </c>
      <c r="H1102" s="550">
        <v>1460.3</v>
      </c>
      <c r="I1102" s="551">
        <f t="shared" si="52"/>
        <v>6.4371639172653245E-3</v>
      </c>
      <c r="L1102" s="550">
        <v>12266.98</v>
      </c>
      <c r="M1102" s="553">
        <f t="shared" si="53"/>
        <v>6.2237887369528304E-3</v>
      </c>
    </row>
    <row r="1103" spans="5:13" ht="15.75" thickBot="1">
      <c r="E1103" s="552">
        <v>40273</v>
      </c>
      <c r="F1103" s="550">
        <v>2275</v>
      </c>
      <c r="G1103" s="549">
        <f t="shared" si="51"/>
        <v>-2.1953905634356152E-3</v>
      </c>
      <c r="H1103" s="556">
        <v>1450.93</v>
      </c>
      <c r="I1103" s="551">
        <f t="shared" si="52"/>
        <v>7.1589198745310905E-3</v>
      </c>
      <c r="L1103" s="556">
        <v>12190.87</v>
      </c>
      <c r="M1103" s="553">
        <f t="shared" si="53"/>
        <v>5.9697789470937561E-3</v>
      </c>
    </row>
    <row r="1104" spans="5:13" ht="15.75" thickBot="1">
      <c r="E1104" s="557">
        <v>40268</v>
      </c>
      <c r="F1104" s="556">
        <v>2280</v>
      </c>
      <c r="G1104" s="549">
        <f t="shared" si="51"/>
        <v>2.195390563435656E-3</v>
      </c>
      <c r="H1104" s="550">
        <v>1440.58</v>
      </c>
      <c r="I1104" s="551">
        <f t="shared" si="52"/>
        <v>6.8749857212502844E-3</v>
      </c>
      <c r="L1104" s="550">
        <v>12118.31</v>
      </c>
      <c r="M1104" s="553">
        <f t="shared" si="53"/>
        <v>6.3012149470291177E-3</v>
      </c>
    </row>
    <row r="1105" spans="5:13" ht="15.75" thickBot="1">
      <c r="E1105" s="552">
        <v>40267</v>
      </c>
      <c r="F1105" s="550">
        <v>2275</v>
      </c>
      <c r="G1105" s="549">
        <f t="shared" si="51"/>
        <v>-2.1953905634356152E-3</v>
      </c>
      <c r="H1105" s="556">
        <v>1430.71</v>
      </c>
      <c r="I1105" s="551">
        <f t="shared" si="52"/>
        <v>9.9300707460439619E-4</v>
      </c>
      <c r="L1105" s="556">
        <v>12042.19</v>
      </c>
      <c r="M1105" s="553">
        <f t="shared" si="53"/>
        <v>2.1439336119481534E-3</v>
      </c>
    </row>
    <row r="1106" spans="5:13" ht="15.75" thickBot="1">
      <c r="E1106" s="557">
        <v>40266</v>
      </c>
      <c r="F1106" s="556">
        <v>2280</v>
      </c>
      <c r="G1106" s="549">
        <f t="shared" si="51"/>
        <v>2.195390563435656E-3</v>
      </c>
      <c r="H1106" s="550">
        <v>1429.29</v>
      </c>
      <c r="I1106" s="551">
        <f t="shared" si="52"/>
        <v>4.3964436539164972E-3</v>
      </c>
      <c r="L1106" s="550">
        <v>12016.4</v>
      </c>
      <c r="M1106" s="553">
        <f t="shared" si="53"/>
        <v>4.2599177411191862E-3</v>
      </c>
    </row>
    <row r="1107" spans="5:13" ht="15.75" thickBot="1">
      <c r="E1107" s="552">
        <v>40263</v>
      </c>
      <c r="F1107" s="550">
        <v>2275</v>
      </c>
      <c r="G1107" s="549">
        <f t="shared" si="51"/>
        <v>-2.1953905634356152E-3</v>
      </c>
      <c r="H1107" s="556">
        <v>1423.02</v>
      </c>
      <c r="I1107" s="551">
        <f t="shared" si="52"/>
        <v>-2.961135533969996E-3</v>
      </c>
      <c r="L1107" s="556">
        <v>11965.32</v>
      </c>
      <c r="M1107" s="553">
        <f t="shared" si="53"/>
        <v>-3.4506958985895705E-3</v>
      </c>
    </row>
    <row r="1108" spans="5:13" ht="15.75" thickBot="1">
      <c r="E1108" s="557">
        <v>40262</v>
      </c>
      <c r="F1108" s="556">
        <v>2280</v>
      </c>
      <c r="G1108" s="549">
        <f t="shared" si="51"/>
        <v>8.8106296821549059E-3</v>
      </c>
      <c r="H1108" s="550">
        <v>1427.24</v>
      </c>
      <c r="I1108" s="551">
        <f t="shared" si="52"/>
        <v>3.1930635951422505E-3</v>
      </c>
      <c r="L1108" s="550">
        <v>12006.68</v>
      </c>
      <c r="M1108" s="553">
        <f t="shared" si="53"/>
        <v>2.3906928674143433E-3</v>
      </c>
    </row>
    <row r="1109" spans="5:13" ht="15.75" thickBot="1">
      <c r="E1109" s="552">
        <v>40261</v>
      </c>
      <c r="F1109" s="550">
        <v>2260</v>
      </c>
      <c r="G1109" s="549">
        <f t="shared" si="51"/>
        <v>-2.209945650802844E-3</v>
      </c>
      <c r="H1109" s="556">
        <v>1422.69</v>
      </c>
      <c r="I1109" s="551">
        <f t="shared" si="52"/>
        <v>-2.8426757121749659E-3</v>
      </c>
      <c r="L1109" s="556">
        <v>11978.01</v>
      </c>
      <c r="M1109" s="553">
        <f t="shared" si="53"/>
        <v>-2.5472601141992555E-3</v>
      </c>
    </row>
    <row r="1110" spans="5:13" ht="15.75" thickBot="1">
      <c r="E1110" s="557">
        <v>40260</v>
      </c>
      <c r="F1110" s="556">
        <v>2265</v>
      </c>
      <c r="G1110" s="549">
        <f t="shared" si="51"/>
        <v>0</v>
      </c>
      <c r="H1110" s="550">
        <v>1426.74</v>
      </c>
      <c r="I1110" s="551">
        <f t="shared" si="52"/>
        <v>8.8988351421300394E-3</v>
      </c>
      <c r="L1110" s="550">
        <v>12008.56</v>
      </c>
      <c r="M1110" s="553">
        <f t="shared" si="53"/>
        <v>7.3584439732671163E-3</v>
      </c>
    </row>
    <row r="1111" spans="5:13" ht="15.75" thickBot="1">
      <c r="E1111" s="552">
        <v>40256</v>
      </c>
      <c r="F1111" s="550">
        <v>2265</v>
      </c>
      <c r="G1111" s="549">
        <f t="shared" si="51"/>
        <v>-4.4052934679163795E-3</v>
      </c>
      <c r="H1111" s="556">
        <v>1414.1</v>
      </c>
      <c r="I1111" s="551">
        <f t="shared" si="52"/>
        <v>-1.278825747208868E-2</v>
      </c>
      <c r="L1111" s="556">
        <v>11920.52</v>
      </c>
      <c r="M1111" s="553">
        <f t="shared" si="53"/>
        <v>-1.216013062925287E-2</v>
      </c>
    </row>
    <row r="1112" spans="5:13" ht="15.75" thickBot="1">
      <c r="E1112" s="557">
        <v>40255</v>
      </c>
      <c r="F1112" s="556">
        <v>2275</v>
      </c>
      <c r="G1112" s="549">
        <f t="shared" si="51"/>
        <v>1.773882433738163E-2</v>
      </c>
      <c r="H1112" s="550">
        <v>1432.3</v>
      </c>
      <c r="I1112" s="551">
        <f t="shared" si="52"/>
        <v>2.0267679999408819E-3</v>
      </c>
      <c r="L1112" s="550">
        <v>12066.36</v>
      </c>
      <c r="M1112" s="553">
        <f t="shared" si="53"/>
        <v>1.6522348737268834E-3</v>
      </c>
    </row>
    <row r="1113" spans="5:13" ht="15.75" thickBot="1">
      <c r="E1113" s="552">
        <v>40254</v>
      </c>
      <c r="F1113" s="550">
        <v>2235</v>
      </c>
      <c r="G1113" s="549">
        <f t="shared" si="51"/>
        <v>1.1248712535870667E-2</v>
      </c>
      <c r="H1113" s="556">
        <v>1429.4</v>
      </c>
      <c r="I1113" s="551">
        <f t="shared" si="52"/>
        <v>1.2453040262812557E-2</v>
      </c>
      <c r="L1113" s="556">
        <v>12046.44</v>
      </c>
      <c r="M1113" s="553">
        <f t="shared" si="53"/>
        <v>1.3062218470576498E-2</v>
      </c>
    </row>
    <row r="1114" spans="5:13" ht="15.75" thickBot="1">
      <c r="E1114" s="557">
        <v>40253</v>
      </c>
      <c r="F1114" s="556">
        <v>2210</v>
      </c>
      <c r="G1114" s="549">
        <f t="shared" si="51"/>
        <v>0</v>
      </c>
      <c r="H1114" s="550">
        <v>1411.71</v>
      </c>
      <c r="I1114" s="551">
        <f t="shared" si="52"/>
        <v>5.1773293731978177E-3</v>
      </c>
      <c r="L1114" s="550">
        <v>11890.11</v>
      </c>
      <c r="M1114" s="553">
        <f t="shared" si="53"/>
        <v>5.3548848017233204E-3</v>
      </c>
    </row>
    <row r="1115" spans="5:13" ht="15.75" thickBot="1">
      <c r="E1115" s="552">
        <v>40252</v>
      </c>
      <c r="F1115" s="550">
        <v>2210</v>
      </c>
      <c r="G1115" s="549">
        <f t="shared" si="51"/>
        <v>-2.2598879674374786E-3</v>
      </c>
      <c r="H1115" s="556">
        <v>1404.42</v>
      </c>
      <c r="I1115" s="551">
        <f t="shared" si="52"/>
        <v>-1.4728329076301365E-3</v>
      </c>
      <c r="L1115" s="556">
        <v>11826.61</v>
      </c>
      <c r="M1115" s="553">
        <f t="shared" si="53"/>
        <v>-3.6840350112528316E-3</v>
      </c>
    </row>
    <row r="1116" spans="5:13" ht="15.75" thickBot="1">
      <c r="E1116" s="557">
        <v>40249</v>
      </c>
      <c r="F1116" s="556">
        <v>2215</v>
      </c>
      <c r="G1116" s="549">
        <f t="shared" si="51"/>
        <v>4.524894598289724E-3</v>
      </c>
      <c r="H1116" s="550">
        <v>1406.49</v>
      </c>
      <c r="I1116" s="551">
        <f t="shared" si="52"/>
        <v>8.7490002913400756E-4</v>
      </c>
      <c r="L1116" s="550">
        <v>11870.26</v>
      </c>
      <c r="M1116" s="553">
        <f t="shared" si="53"/>
        <v>1.779133348596279E-3</v>
      </c>
    </row>
    <row r="1117" spans="5:13" ht="15.75" thickBot="1">
      <c r="E1117" s="552">
        <v>40248</v>
      </c>
      <c r="F1117" s="550">
        <v>2205</v>
      </c>
      <c r="G1117" s="549">
        <f t="shared" si="51"/>
        <v>-2.2650066308521248E-3</v>
      </c>
      <c r="H1117" s="556">
        <v>1405.26</v>
      </c>
      <c r="I1117" s="551">
        <f t="shared" si="52"/>
        <v>1.0252467897930364E-3</v>
      </c>
      <c r="L1117" s="556">
        <v>11849.16</v>
      </c>
      <c r="M1117" s="553">
        <f t="shared" si="53"/>
        <v>1.0850535168384591E-3</v>
      </c>
    </row>
    <row r="1118" spans="5:13" ht="15.75" thickBot="1">
      <c r="E1118" s="557">
        <v>40247</v>
      </c>
      <c r="F1118" s="556">
        <v>2210</v>
      </c>
      <c r="G1118" s="549">
        <f t="shared" si="51"/>
        <v>2.2650066308520615E-3</v>
      </c>
      <c r="H1118" s="550">
        <v>1403.82</v>
      </c>
      <c r="I1118" s="551">
        <f t="shared" si="52"/>
        <v>4.6312955273653737E-4</v>
      </c>
      <c r="L1118" s="550">
        <v>11836.31</v>
      </c>
      <c r="M1118" s="553">
        <f t="shared" si="53"/>
        <v>-1.3407351566191326E-3</v>
      </c>
    </row>
    <row r="1119" spans="5:13" ht="15.75" thickBot="1">
      <c r="E1119" s="552">
        <v>40246</v>
      </c>
      <c r="F1119" s="550">
        <v>2205</v>
      </c>
      <c r="G1119" s="549">
        <f t="shared" si="51"/>
        <v>-4.5248945982896893E-3</v>
      </c>
      <c r="H1119" s="556">
        <v>1403.17</v>
      </c>
      <c r="I1119" s="551">
        <f t="shared" si="52"/>
        <v>-3.6848436868313584E-3</v>
      </c>
      <c r="L1119" s="556">
        <v>11852.19</v>
      </c>
      <c r="M1119" s="553">
        <f t="shared" si="53"/>
        <v>-4.0551508172372982E-3</v>
      </c>
    </row>
    <row r="1120" spans="5:13" ht="15.75" thickBot="1">
      <c r="E1120" s="557">
        <v>40245</v>
      </c>
      <c r="F1120" s="556">
        <v>2215</v>
      </c>
      <c r="G1120" s="549">
        <f t="shared" si="51"/>
        <v>6.7950431328288076E-3</v>
      </c>
      <c r="H1120" s="550">
        <v>1408.35</v>
      </c>
      <c r="I1120" s="551">
        <f t="shared" si="52"/>
        <v>6.2108904132255624E-3</v>
      </c>
      <c r="L1120" s="550">
        <v>11900.35</v>
      </c>
      <c r="M1120" s="553">
        <f t="shared" si="53"/>
        <v>7.1479655362163578E-3</v>
      </c>
    </row>
    <row r="1121" spans="5:13" ht="15.75" thickBot="1">
      <c r="E1121" s="552">
        <v>40242</v>
      </c>
      <c r="F1121" s="550">
        <v>2200</v>
      </c>
      <c r="G1121" s="549">
        <f t="shared" si="51"/>
        <v>-4.5351551653912622E-3</v>
      </c>
      <c r="H1121" s="556">
        <v>1399.63</v>
      </c>
      <c r="I1121" s="551">
        <f t="shared" si="52"/>
        <v>5.860408109294909E-4</v>
      </c>
      <c r="L1121" s="556">
        <v>11815.59</v>
      </c>
      <c r="M1121" s="553">
        <f t="shared" si="53"/>
        <v>3.6568549931226279E-4</v>
      </c>
    </row>
    <row r="1122" spans="5:13" ht="15.75" thickBot="1">
      <c r="E1122" s="557">
        <v>40241</v>
      </c>
      <c r="F1122" s="556">
        <v>2210</v>
      </c>
      <c r="G1122" s="549">
        <f t="shared" si="51"/>
        <v>-2.2598879674374786E-3</v>
      </c>
      <c r="H1122" s="550">
        <v>1398.81</v>
      </c>
      <c r="I1122" s="551">
        <f t="shared" si="52"/>
        <v>-1.9426218640522293E-3</v>
      </c>
      <c r="L1122" s="550">
        <v>11811.27</v>
      </c>
      <c r="M1122" s="553">
        <f t="shared" si="53"/>
        <v>-2.1414208030486174E-3</v>
      </c>
    </row>
    <row r="1123" spans="5:13" ht="15.75" thickBot="1">
      <c r="E1123" s="552">
        <v>40240</v>
      </c>
      <c r="F1123" s="550">
        <v>2215</v>
      </c>
      <c r="G1123" s="549">
        <f t="shared" si="51"/>
        <v>-2.2547923870890937E-3</v>
      </c>
      <c r="H1123" s="556">
        <v>1401.53</v>
      </c>
      <c r="I1123" s="551">
        <f t="shared" si="52"/>
        <v>7.2828109598281664E-3</v>
      </c>
      <c r="L1123" s="556">
        <v>11836.59</v>
      </c>
      <c r="M1123" s="553">
        <f t="shared" si="53"/>
        <v>8.4425200706322659E-3</v>
      </c>
    </row>
    <row r="1124" spans="5:13" ht="15.75" thickBot="1">
      <c r="E1124" s="557">
        <v>40239</v>
      </c>
      <c r="F1124" s="556">
        <v>2220</v>
      </c>
      <c r="G1124" s="549">
        <f t="shared" si="51"/>
        <v>-4.4943895878393264E-3</v>
      </c>
      <c r="H1124" s="550">
        <v>1391.36</v>
      </c>
      <c r="I1124" s="551">
        <f t="shared" si="52"/>
        <v>-1.113397881758834E-3</v>
      </c>
      <c r="L1124" s="550">
        <v>11737.08</v>
      </c>
      <c r="M1124" s="553">
        <f t="shared" si="53"/>
        <v>-1.3997090482222201E-3</v>
      </c>
    </row>
    <row r="1125" spans="5:13" ht="15.75" thickBot="1">
      <c r="E1125" s="552">
        <v>40238</v>
      </c>
      <c r="F1125" s="550">
        <v>2230</v>
      </c>
      <c r="G1125" s="549">
        <f t="shared" si="51"/>
        <v>2.2446698538239494E-3</v>
      </c>
      <c r="H1125" s="556">
        <v>1392.91</v>
      </c>
      <c r="I1125" s="551">
        <f t="shared" si="52"/>
        <v>1.35779296919642E-3</v>
      </c>
      <c r="L1125" s="556">
        <v>11753.52</v>
      </c>
      <c r="M1125" s="553">
        <f t="shared" si="53"/>
        <v>2.4703948667397554E-3</v>
      </c>
    </row>
    <row r="1126" spans="5:13" ht="15.75" thickBot="1">
      <c r="E1126" s="557">
        <v>40235</v>
      </c>
      <c r="F1126" s="556">
        <v>2225</v>
      </c>
      <c r="G1126" s="549">
        <f t="shared" si="51"/>
        <v>2.2497197340155461E-3</v>
      </c>
      <c r="H1126" s="550">
        <v>1391.02</v>
      </c>
      <c r="I1126" s="551">
        <f t="shared" si="52"/>
        <v>3.7236211804337542E-3</v>
      </c>
      <c r="L1126" s="550">
        <v>11724.52</v>
      </c>
      <c r="M1126" s="553">
        <f t="shared" si="53"/>
        <v>4.6583583387942639E-3</v>
      </c>
    </row>
    <row r="1127" spans="5:13" ht="15.75" thickBot="1">
      <c r="E1127" s="552">
        <v>40234</v>
      </c>
      <c r="F1127" s="550">
        <v>2220</v>
      </c>
      <c r="G1127" s="549">
        <f t="shared" si="51"/>
        <v>0</v>
      </c>
      <c r="H1127" s="556">
        <v>1385.85</v>
      </c>
      <c r="I1127" s="551">
        <f t="shared" si="52"/>
        <v>-9.0651120718250131E-3</v>
      </c>
      <c r="L1127" s="556">
        <v>11670.03</v>
      </c>
      <c r="M1127" s="553">
        <f t="shared" si="53"/>
        <v>-1.0879732606486087E-2</v>
      </c>
    </row>
    <row r="1128" spans="5:13" ht="15.75" thickBot="1">
      <c r="E1128" s="557">
        <v>40233</v>
      </c>
      <c r="F1128" s="556">
        <v>2220</v>
      </c>
      <c r="G1128" s="549">
        <f t="shared" si="51"/>
        <v>1.1325149357053503E-2</v>
      </c>
      <c r="H1128" s="550">
        <v>1398.47</v>
      </c>
      <c r="I1128" s="551">
        <f t="shared" si="52"/>
        <v>1.3476458537078092E-2</v>
      </c>
      <c r="L1128" s="550">
        <v>11797.69</v>
      </c>
      <c r="M1128" s="553">
        <f t="shared" si="53"/>
        <v>1.508650131634655E-2</v>
      </c>
    </row>
    <row r="1129" spans="5:13" ht="15.75" thickBot="1">
      <c r="E1129" s="552">
        <v>40232</v>
      </c>
      <c r="F1129" s="550">
        <v>2195</v>
      </c>
      <c r="G1129" s="549">
        <f t="shared" si="51"/>
        <v>-4.5454623716746105E-3</v>
      </c>
      <c r="H1129" s="556">
        <v>1379.75</v>
      </c>
      <c r="I1129" s="551">
        <f t="shared" si="52"/>
        <v>5.0207364812649945E-3</v>
      </c>
      <c r="L1129" s="556">
        <v>11621.04</v>
      </c>
      <c r="M1129" s="553">
        <f t="shared" si="53"/>
        <v>2.1078835470465145E-3</v>
      </c>
    </row>
    <row r="1130" spans="5:13" ht="15.75" thickBot="1">
      <c r="E1130" s="557">
        <v>40231</v>
      </c>
      <c r="F1130" s="556">
        <v>2205</v>
      </c>
      <c r="G1130" s="549">
        <f t="shared" si="51"/>
        <v>-2.2650066308521248E-3</v>
      </c>
      <c r="H1130" s="550">
        <v>1372.84</v>
      </c>
      <c r="I1130" s="551">
        <f t="shared" si="52"/>
        <v>2.4040650670353138E-4</v>
      </c>
      <c r="L1130" s="550">
        <v>11596.57</v>
      </c>
      <c r="M1130" s="553">
        <f t="shared" si="53"/>
        <v>7.3842186392473401E-4</v>
      </c>
    </row>
    <row r="1131" spans="5:13" ht="15.75" thickBot="1">
      <c r="E1131" s="552">
        <v>40228</v>
      </c>
      <c r="F1131" s="550">
        <v>2210</v>
      </c>
      <c r="G1131" s="549">
        <f t="shared" si="51"/>
        <v>4.5351551653913628E-3</v>
      </c>
      <c r="H1131" s="556">
        <v>1372.51</v>
      </c>
      <c r="I1131" s="551">
        <f t="shared" si="52"/>
        <v>9.4212215246832487E-3</v>
      </c>
      <c r="L1131" s="556">
        <v>11588.01</v>
      </c>
      <c r="M1131" s="553">
        <f t="shared" si="53"/>
        <v>1.0852592358044727E-2</v>
      </c>
    </row>
    <row r="1132" spans="5:13" ht="15.75" thickBot="1">
      <c r="E1132" s="557">
        <v>40227</v>
      </c>
      <c r="F1132" s="556">
        <v>2200</v>
      </c>
      <c r="G1132" s="549">
        <f t="shared" si="51"/>
        <v>-6.7950431328288015E-3</v>
      </c>
      <c r="H1132" s="550">
        <v>1359.64</v>
      </c>
      <c r="I1132" s="551">
        <f t="shared" si="52"/>
        <v>-4.7473261680282377E-3</v>
      </c>
      <c r="L1132" s="550">
        <v>11462.93</v>
      </c>
      <c r="M1132" s="553">
        <f t="shared" si="53"/>
        <v>-6.5648527872788284E-3</v>
      </c>
    </row>
    <row r="1133" spans="5:13" ht="15.75" thickBot="1">
      <c r="E1133" s="552">
        <v>40226</v>
      </c>
      <c r="F1133" s="550">
        <v>2215</v>
      </c>
      <c r="G1133" s="549">
        <f t="shared" si="51"/>
        <v>2.2598879674375042E-3</v>
      </c>
      <c r="H1133" s="556">
        <v>1366.11</v>
      </c>
      <c r="I1133" s="551">
        <f t="shared" si="52"/>
        <v>1.1572379927986423E-3</v>
      </c>
      <c r="L1133" s="556">
        <v>11538.43</v>
      </c>
      <c r="M1133" s="553">
        <f t="shared" si="53"/>
        <v>6.5368205638385304E-4</v>
      </c>
    </row>
    <row r="1134" spans="5:13" ht="15.75" thickBot="1">
      <c r="E1134" s="557">
        <v>40225</v>
      </c>
      <c r="F1134" s="556">
        <v>2210</v>
      </c>
      <c r="G1134" s="549">
        <f t="shared" si="51"/>
        <v>0</v>
      </c>
      <c r="H1134" s="550">
        <v>1364.53</v>
      </c>
      <c r="I1134" s="551">
        <f t="shared" si="52"/>
        <v>5.0989780291944972E-3</v>
      </c>
      <c r="L1134" s="550">
        <v>11530.89</v>
      </c>
      <c r="M1134" s="553">
        <f t="shared" si="53"/>
        <v>4.9337136369833915E-3</v>
      </c>
    </row>
    <row r="1135" spans="5:13" ht="15.75" thickBot="1">
      <c r="E1135" s="552">
        <v>40224</v>
      </c>
      <c r="F1135" s="550">
        <v>2210</v>
      </c>
      <c r="G1135" s="549">
        <f t="shared" si="51"/>
        <v>0</v>
      </c>
      <c r="H1135" s="556">
        <v>1357.59</v>
      </c>
      <c r="I1135" s="551">
        <f t="shared" si="52"/>
        <v>1.2898805147995678E-3</v>
      </c>
      <c r="L1135" s="556">
        <v>11474.14</v>
      </c>
      <c r="M1135" s="553">
        <f t="shared" si="53"/>
        <v>4.2103520362896037E-4</v>
      </c>
    </row>
    <row r="1136" spans="5:13" ht="15.75" thickBot="1">
      <c r="E1136" s="557">
        <v>40221</v>
      </c>
      <c r="F1136" s="556">
        <v>2210</v>
      </c>
      <c r="G1136" s="549">
        <f t="shared" si="51"/>
        <v>2.2650066308520615E-3</v>
      </c>
      <c r="H1136" s="550">
        <v>1355.84</v>
      </c>
      <c r="I1136" s="551">
        <f t="shared" si="52"/>
        <v>-1.7464679003000949E-3</v>
      </c>
      <c r="L1136" s="550">
        <v>11469.31</v>
      </c>
      <c r="M1136" s="553">
        <f t="shared" si="53"/>
        <v>-6.0491007511880739E-4</v>
      </c>
    </row>
    <row r="1137" spans="5:13" ht="15.75" thickBot="1">
      <c r="E1137" s="552">
        <v>40220</v>
      </c>
      <c r="F1137" s="550">
        <v>2205</v>
      </c>
      <c r="G1137" s="549">
        <f t="shared" si="51"/>
        <v>-2.2650066308521248E-3</v>
      </c>
      <c r="H1137" s="556">
        <v>1358.21</v>
      </c>
      <c r="I1137" s="551">
        <f t="shared" si="52"/>
        <v>3.3260721467539048E-3</v>
      </c>
      <c r="L1137" s="556">
        <v>11476.25</v>
      </c>
      <c r="M1137" s="553">
        <f t="shared" si="53"/>
        <v>2.9172234046123554E-3</v>
      </c>
    </row>
    <row r="1138" spans="5:13" ht="15.75" thickBot="1">
      <c r="E1138" s="557">
        <v>40219</v>
      </c>
      <c r="F1138" s="556">
        <v>2210</v>
      </c>
      <c r="G1138" s="549">
        <f t="shared" si="51"/>
        <v>0</v>
      </c>
      <c r="H1138" s="550">
        <v>1353.7</v>
      </c>
      <c r="I1138" s="551">
        <f t="shared" si="52"/>
        <v>6.0461647412890585E-3</v>
      </c>
      <c r="L1138" s="550">
        <v>11442.82</v>
      </c>
      <c r="M1138" s="553">
        <f t="shared" si="53"/>
        <v>5.74407475903133E-3</v>
      </c>
    </row>
    <row r="1139" spans="5:13" ht="15.75" thickBot="1">
      <c r="E1139" s="552">
        <v>40218</v>
      </c>
      <c r="F1139" s="550">
        <v>2210</v>
      </c>
      <c r="G1139" s="549">
        <f t="shared" si="51"/>
        <v>4.5351551653913628E-3</v>
      </c>
      <c r="H1139" s="556">
        <v>1345.54</v>
      </c>
      <c r="I1139" s="551">
        <f t="shared" si="52"/>
        <v>1.3852056988708126E-2</v>
      </c>
      <c r="L1139" s="556">
        <v>11377.28</v>
      </c>
      <c r="M1139" s="553">
        <f t="shared" si="53"/>
        <v>1.2653016849068553E-2</v>
      </c>
    </row>
    <row r="1140" spans="5:13" ht="15.75" thickBot="1">
      <c r="E1140" s="557">
        <v>40217</v>
      </c>
      <c r="F1140" s="556">
        <v>2200</v>
      </c>
      <c r="G1140" s="549">
        <f t="shared" si="51"/>
        <v>-4.5351551653912622E-3</v>
      </c>
      <c r="H1140" s="550">
        <v>1327.03</v>
      </c>
      <c r="I1140" s="551">
        <f t="shared" si="52"/>
        <v>7.161407107894016E-4</v>
      </c>
      <c r="L1140" s="550">
        <v>11234.23</v>
      </c>
      <c r="M1140" s="553">
        <f t="shared" si="53"/>
        <v>1.0313098726425661E-3</v>
      </c>
    </row>
    <row r="1141" spans="5:13" ht="15.75" thickBot="1">
      <c r="E1141" s="552">
        <v>40214</v>
      </c>
      <c r="F1141" s="550">
        <v>2210</v>
      </c>
      <c r="G1141" s="549">
        <f t="shared" si="51"/>
        <v>-9.009069942365968E-3</v>
      </c>
      <c r="H1141" s="556">
        <v>1326.08</v>
      </c>
      <c r="I1141" s="551">
        <f t="shared" si="52"/>
        <v>-6.5542461262647891E-3</v>
      </c>
      <c r="L1141" s="556">
        <v>11222.65</v>
      </c>
      <c r="M1141" s="553">
        <f t="shared" si="53"/>
        <v>-9.8721178555794108E-3</v>
      </c>
    </row>
    <row r="1142" spans="5:13" ht="15.75" thickBot="1">
      <c r="E1142" s="557">
        <v>40213</v>
      </c>
      <c r="F1142" s="556">
        <v>2230</v>
      </c>
      <c r="G1142" s="549">
        <f t="shared" si="51"/>
        <v>-2.2396425935047983E-3</v>
      </c>
      <c r="H1142" s="550">
        <v>1334.8</v>
      </c>
      <c r="I1142" s="551">
        <f t="shared" si="52"/>
        <v>-1.8284026351470542E-2</v>
      </c>
      <c r="L1142" s="550">
        <v>11333.99</v>
      </c>
      <c r="M1142" s="553">
        <f t="shared" si="53"/>
        <v>-1.4683458451206027E-2</v>
      </c>
    </row>
    <row r="1143" spans="5:13" ht="15.75" thickBot="1">
      <c r="E1143" s="552">
        <v>40212</v>
      </c>
      <c r="F1143" s="550">
        <v>2235</v>
      </c>
      <c r="G1143" s="549">
        <f t="shared" si="51"/>
        <v>-4.4642931286854931E-3</v>
      </c>
      <c r="H1143" s="556">
        <v>1359.43</v>
      </c>
      <c r="I1143" s="551">
        <f t="shared" si="52"/>
        <v>-3.2460884530131295E-3</v>
      </c>
      <c r="L1143" s="556">
        <v>11501.64</v>
      </c>
      <c r="M1143" s="553">
        <f t="shared" si="53"/>
        <v>-4.3680826019230189E-3</v>
      </c>
    </row>
    <row r="1144" spans="5:13" ht="15.75" thickBot="1">
      <c r="E1144" s="557">
        <v>40211</v>
      </c>
      <c r="F1144" s="556">
        <v>2245</v>
      </c>
      <c r="G1144" s="549">
        <f t="shared" si="51"/>
        <v>4.4642931286855278E-3</v>
      </c>
      <c r="H1144" s="550">
        <v>1363.85</v>
      </c>
      <c r="I1144" s="551">
        <f t="shared" si="52"/>
        <v>3.9377939023855623E-3</v>
      </c>
      <c r="L1144" s="550">
        <v>11551.99</v>
      </c>
      <c r="M1144" s="553">
        <f t="shared" si="53"/>
        <v>3.6414937653349733E-3</v>
      </c>
    </row>
    <row r="1145" spans="5:13" ht="15.75" thickBot="1">
      <c r="E1145" s="552">
        <v>40210</v>
      </c>
      <c r="F1145" s="550">
        <v>2235</v>
      </c>
      <c r="G1145" s="549">
        <f t="shared" si="51"/>
        <v>2.2396425935046599E-3</v>
      </c>
      <c r="H1145" s="556">
        <v>1358.49</v>
      </c>
      <c r="I1145" s="551">
        <f t="shared" si="52"/>
        <v>-3.8058058691089972E-3</v>
      </c>
      <c r="L1145" s="556">
        <v>11510</v>
      </c>
      <c r="M1145" s="553">
        <f t="shared" si="53"/>
        <v>-3.5947474799248439E-3</v>
      </c>
    </row>
    <row r="1146" spans="5:13" ht="15.75" thickBot="1">
      <c r="E1146" s="557">
        <v>40207</v>
      </c>
      <c r="F1146" s="556">
        <v>2230</v>
      </c>
      <c r="G1146" s="549">
        <f t="shared" si="51"/>
        <v>0</v>
      </c>
      <c r="H1146" s="550">
        <v>1363.67</v>
      </c>
      <c r="I1146" s="551">
        <f t="shared" si="52"/>
        <v>7.434048162640209E-3</v>
      </c>
      <c r="L1146" s="550">
        <v>11551.45</v>
      </c>
      <c r="M1146" s="553">
        <f t="shared" si="53"/>
        <v>7.0926041616860098E-3</v>
      </c>
    </row>
    <row r="1147" spans="5:13" ht="15.75" thickBot="1">
      <c r="E1147" s="552">
        <v>40206</v>
      </c>
      <c r="F1147" s="550">
        <v>2230</v>
      </c>
      <c r="G1147" s="549">
        <f t="shared" si="51"/>
        <v>0</v>
      </c>
      <c r="H1147" s="556">
        <v>1353.57</v>
      </c>
      <c r="I1147" s="551">
        <f t="shared" si="52"/>
        <v>-1.6461395110794351E-3</v>
      </c>
      <c r="L1147" s="556">
        <v>11469.81</v>
      </c>
      <c r="M1147" s="553">
        <f t="shared" si="53"/>
        <v>1.384590438767825E-3</v>
      </c>
    </row>
    <row r="1148" spans="5:13" ht="15.75" thickBot="1">
      <c r="E1148" s="557">
        <v>40205</v>
      </c>
      <c r="F1148" s="556">
        <v>2230</v>
      </c>
      <c r="G1148" s="549">
        <f t="shared" si="51"/>
        <v>2.2446698538239494E-3</v>
      </c>
      <c r="H1148" s="550">
        <v>1355.8</v>
      </c>
      <c r="I1148" s="551">
        <f t="shared" si="52"/>
        <v>-1.474056870681486E-3</v>
      </c>
      <c r="L1148" s="550">
        <v>11453.94</v>
      </c>
      <c r="M1148" s="553">
        <f t="shared" si="53"/>
        <v>-1.919765577577625E-3</v>
      </c>
    </row>
    <row r="1149" spans="5:13" ht="15.75" thickBot="1">
      <c r="E1149" s="552">
        <v>40204</v>
      </c>
      <c r="F1149" s="550">
        <v>2225</v>
      </c>
      <c r="G1149" s="549">
        <f t="shared" si="51"/>
        <v>4.5045121211045079E-3</v>
      </c>
      <c r="H1149" s="556">
        <v>1357.8</v>
      </c>
      <c r="I1149" s="551">
        <f t="shared" si="52"/>
        <v>9.3156081902284974E-3</v>
      </c>
      <c r="L1149" s="556">
        <v>11475.95</v>
      </c>
      <c r="M1149" s="553">
        <f t="shared" si="53"/>
        <v>8.49980855431888E-3</v>
      </c>
    </row>
    <row r="1150" spans="5:13" ht="15.75" thickBot="1">
      <c r="E1150" s="557">
        <v>40203</v>
      </c>
      <c r="F1150" s="556">
        <v>2215</v>
      </c>
      <c r="G1150" s="549">
        <f t="shared" si="51"/>
        <v>-1.3453117697118639E-2</v>
      </c>
      <c r="H1150" s="550">
        <v>1345.21</v>
      </c>
      <c r="I1150" s="551">
        <f t="shared" si="52"/>
        <v>-1.4113330948290615E-2</v>
      </c>
      <c r="L1150" s="550">
        <v>11378.82</v>
      </c>
      <c r="M1150" s="553">
        <f t="shared" si="53"/>
        <v>-1.3736184787687853E-2</v>
      </c>
    </row>
    <row r="1151" spans="5:13" ht="15.75" thickBot="1">
      <c r="E1151" s="552">
        <v>40200</v>
      </c>
      <c r="F1151" s="550">
        <v>2245</v>
      </c>
      <c r="G1151" s="549">
        <f t="shared" si="51"/>
        <v>6.7039357221901344E-3</v>
      </c>
      <c r="H1151" s="556">
        <v>1364.33</v>
      </c>
      <c r="I1151" s="551">
        <f t="shared" si="52"/>
        <v>6.6553905929176817E-3</v>
      </c>
      <c r="L1151" s="550">
        <v>11536.2</v>
      </c>
      <c r="M1151" s="553">
        <f t="shared" si="53"/>
        <v>5.7637047167501338E-3</v>
      </c>
    </row>
    <row r="1152" spans="5:13" ht="15.75" thickBot="1">
      <c r="E1152" s="557">
        <v>40199</v>
      </c>
      <c r="F1152" s="556">
        <v>2230</v>
      </c>
      <c r="G1152" s="549">
        <f t="shared" si="51"/>
        <v>-8.9286307443013184E-3</v>
      </c>
      <c r="H1152" s="550">
        <v>1355.28</v>
      </c>
      <c r="I1152" s="551">
        <f t="shared" si="52"/>
        <v>-1.9378922022003555E-2</v>
      </c>
      <c r="L1152" s="556">
        <v>11469.9</v>
      </c>
      <c r="M1152" s="553">
        <f t="shared" si="53"/>
        <v>-2.2430270054020589E-2</v>
      </c>
    </row>
    <row r="1153" spans="5:13" ht="15.75" thickBot="1">
      <c r="E1153" s="552">
        <v>40198</v>
      </c>
      <c r="F1153" s="550">
        <v>2250</v>
      </c>
      <c r="G1153" s="549">
        <f t="shared" si="51"/>
        <v>-6.6445427186686131E-3</v>
      </c>
      <c r="H1153" s="556">
        <v>1381.8</v>
      </c>
      <c r="I1153" s="551">
        <f t="shared" si="52"/>
        <v>-3.0421186763409736E-3</v>
      </c>
      <c r="L1153" s="550">
        <v>11730.08</v>
      </c>
      <c r="M1153" s="553">
        <f t="shared" si="53"/>
        <v>-4.3044187534953008E-3</v>
      </c>
    </row>
    <row r="1154" spans="5:13" ht="15.75" thickBot="1">
      <c r="E1154" s="557">
        <v>40197</v>
      </c>
      <c r="F1154" s="556">
        <v>2265</v>
      </c>
      <c r="G1154" s="549">
        <f t="shared" si="51"/>
        <v>4.4247859803556357E-3</v>
      </c>
      <c r="H1154" s="550">
        <v>1386.01</v>
      </c>
      <c r="I1154" s="551">
        <f t="shared" si="52"/>
        <v>2.8467404560491918E-3</v>
      </c>
      <c r="L1154" s="556">
        <v>11780.68</v>
      </c>
      <c r="M1154" s="553">
        <f t="shared" si="53"/>
        <v>5.405614100888999E-3</v>
      </c>
    </row>
    <row r="1155" spans="5:13" ht="15.75" thickBot="1">
      <c r="E1155" s="552">
        <v>40196</v>
      </c>
      <c r="F1155" s="550">
        <v>2255</v>
      </c>
      <c r="G1155" s="549">
        <f t="shared" ref="G1155:G1218" si="54">+LN(F1155/F1156)</f>
        <v>2.21975673831281E-3</v>
      </c>
      <c r="H1155" s="556">
        <v>1382.07</v>
      </c>
      <c r="I1155" s="551">
        <f t="shared" ref="I1155:I1218" si="55">+LN(H1155/H1156)</f>
        <v>-4.2680479392671401E-4</v>
      </c>
      <c r="L1155" s="550">
        <v>11717.17</v>
      </c>
      <c r="M1155" s="553">
        <f t="shared" ref="M1155:M1218" si="56">+LN(L1155/L1156)</f>
        <v>-1.3995574349151191E-4</v>
      </c>
    </row>
    <row r="1156" spans="5:13" ht="15.75" thickBot="1">
      <c r="E1156" s="557">
        <v>40193</v>
      </c>
      <c r="F1156" s="556">
        <v>2250</v>
      </c>
      <c r="G1156" s="549">
        <f t="shared" si="54"/>
        <v>-6.6445427186686131E-3</v>
      </c>
      <c r="H1156" s="550">
        <v>1382.66</v>
      </c>
      <c r="I1156" s="551">
        <f t="shared" si="55"/>
        <v>-3.0690708925680088E-3</v>
      </c>
      <c r="L1156" s="556">
        <v>11718.81</v>
      </c>
      <c r="M1156" s="553">
        <f t="shared" si="56"/>
        <v>7.5975131617141535E-4</v>
      </c>
    </row>
    <row r="1157" spans="5:13" ht="15.75" thickBot="1">
      <c r="E1157" s="552">
        <v>40192</v>
      </c>
      <c r="F1157" s="550">
        <v>2265</v>
      </c>
      <c r="G1157" s="549">
        <f t="shared" si="54"/>
        <v>1.7817843316793893E-2</v>
      </c>
      <c r="H1157" s="556">
        <v>1386.91</v>
      </c>
      <c r="I1157" s="551">
        <f t="shared" si="55"/>
        <v>5.0599713282814219E-3</v>
      </c>
      <c r="L1157" s="550">
        <v>11709.91</v>
      </c>
      <c r="M1157" s="553">
        <f t="shared" si="56"/>
        <v>6.0473296456602498E-3</v>
      </c>
    </row>
    <row r="1158" spans="5:13" ht="15.75" thickBot="1">
      <c r="E1158" s="557">
        <v>40191</v>
      </c>
      <c r="F1158" s="556">
        <v>2225</v>
      </c>
      <c r="G1158" s="549">
        <f t="shared" si="54"/>
        <v>6.7644000885420628E-3</v>
      </c>
      <c r="H1158" s="550">
        <v>1379.91</v>
      </c>
      <c r="I1158" s="551">
        <f t="shared" si="55"/>
        <v>7.550664364957058E-3</v>
      </c>
      <c r="L1158" s="556">
        <v>11639.31</v>
      </c>
      <c r="M1158" s="553">
        <f t="shared" si="56"/>
        <v>5.4628114664183767E-3</v>
      </c>
    </row>
    <row r="1159" spans="5:13" ht="15.75" thickBot="1">
      <c r="E1159" s="552">
        <v>40190</v>
      </c>
      <c r="F1159" s="550">
        <v>2210</v>
      </c>
      <c r="G1159" s="549">
        <f t="shared" si="54"/>
        <v>-2.2598879674374786E-3</v>
      </c>
      <c r="H1159" s="556">
        <v>1369.53</v>
      </c>
      <c r="I1159" s="551">
        <f t="shared" si="55"/>
        <v>-3.782458732093322E-3</v>
      </c>
      <c r="L1159" s="550">
        <v>11575.9</v>
      </c>
      <c r="M1159" s="553">
        <f t="shared" si="56"/>
        <v>-6.1413156227351461E-3</v>
      </c>
    </row>
    <row r="1160" spans="5:13" ht="15.75" thickBot="1">
      <c r="E1160" s="557">
        <v>40186</v>
      </c>
      <c r="F1160" s="556">
        <v>2215</v>
      </c>
      <c r="G1160" s="549">
        <f t="shared" si="54"/>
        <v>-2.2547923870890937E-3</v>
      </c>
      <c r="H1160" s="550">
        <v>1374.72</v>
      </c>
      <c r="I1160" s="551">
        <f t="shared" si="55"/>
        <v>4.235271290041206E-3</v>
      </c>
      <c r="L1160" s="556">
        <v>11647.21</v>
      </c>
      <c r="M1160" s="553">
        <f t="shared" si="56"/>
        <v>4.5021825373467265E-3</v>
      </c>
    </row>
    <row r="1161" spans="5:13" ht="15.75" thickBot="1">
      <c r="E1161" s="552">
        <v>40185</v>
      </c>
      <c r="F1161" s="550">
        <v>2220</v>
      </c>
      <c r="G1161" s="549">
        <f t="shared" si="54"/>
        <v>9.0498355199178562E-3</v>
      </c>
      <c r="H1161" s="556">
        <v>1368.91</v>
      </c>
      <c r="I1161" s="551">
        <f t="shared" si="55"/>
        <v>-9.0464791251911366E-3</v>
      </c>
      <c r="L1161" s="550">
        <v>11594.89</v>
      </c>
      <c r="M1161" s="553">
        <f t="shared" si="56"/>
        <v>-2.7302324995159603E-3</v>
      </c>
    </row>
    <row r="1162" spans="5:13" ht="15.75" thickBot="1">
      <c r="E1162" s="557">
        <v>40184</v>
      </c>
      <c r="F1162" s="556">
        <v>2200</v>
      </c>
      <c r="G1162" s="549">
        <f t="shared" si="54"/>
        <v>4.5558165358606613E-3</v>
      </c>
      <c r="H1162" s="550">
        <v>1381.35</v>
      </c>
      <c r="I1162" s="551">
        <f t="shared" si="55"/>
        <v>5.2860821587378572E-4</v>
      </c>
      <c r="L1162" s="556">
        <v>11626.59</v>
      </c>
      <c r="M1162" s="553">
        <f t="shared" si="56"/>
        <v>-3.5047687631181625E-3</v>
      </c>
    </row>
    <row r="1163" spans="5:13" ht="15.75" thickBot="1">
      <c r="E1163" s="552">
        <v>40183</v>
      </c>
      <c r="F1163" s="550">
        <v>2190</v>
      </c>
      <c r="G1163" s="549">
        <f t="shared" si="54"/>
        <v>-4.5558165358606907E-3</v>
      </c>
      <c r="H1163" s="556">
        <v>1380.62</v>
      </c>
      <c r="I1163" s="551">
        <f t="shared" si="55"/>
        <v>4.6027160279756398E-3</v>
      </c>
      <c r="L1163" s="550">
        <v>11667.41</v>
      </c>
      <c r="M1163" s="553">
        <f t="shared" si="56"/>
        <v>2.2343521053742313E-3</v>
      </c>
    </row>
    <row r="1164" spans="5:13" ht="15.75" thickBot="1">
      <c r="E1164" s="557">
        <v>40182</v>
      </c>
      <c r="F1164" s="556">
        <v>2200</v>
      </c>
      <c r="G1164" s="549">
        <f t="shared" si="54"/>
        <v>0</v>
      </c>
      <c r="H1164" s="550">
        <v>1374.28</v>
      </c>
      <c r="I1164" s="551">
        <f t="shared" si="55"/>
        <v>5.421135222699474E-3</v>
      </c>
      <c r="L1164" s="556">
        <v>11641.37</v>
      </c>
      <c r="M1164" s="553">
        <f t="shared" si="56"/>
        <v>3.3755691158870857E-3</v>
      </c>
    </row>
    <row r="1165" spans="5:13" ht="15.75" thickBot="1">
      <c r="E1165" s="552">
        <v>40177</v>
      </c>
      <c r="F1165" s="550">
        <v>2200</v>
      </c>
      <c r="G1165" s="549">
        <f t="shared" si="54"/>
        <v>9.1324835632724723E-3</v>
      </c>
      <c r="H1165" s="556">
        <v>1366.85</v>
      </c>
      <c r="I1165" s="551">
        <f t="shared" si="55"/>
        <v>3.65871510008403E-4</v>
      </c>
      <c r="L1165" s="550">
        <v>11602.14</v>
      </c>
      <c r="M1165" s="553">
        <f t="shared" si="56"/>
        <v>2.8691006361313215E-3</v>
      </c>
    </row>
    <row r="1166" spans="5:13" ht="15.75" thickBot="1">
      <c r="E1166" s="557">
        <v>40176</v>
      </c>
      <c r="F1166" s="556">
        <v>2180</v>
      </c>
      <c r="G1166" s="549">
        <f t="shared" si="54"/>
        <v>2.296212260350157E-3</v>
      </c>
      <c r="H1166" s="550">
        <v>1366.35</v>
      </c>
      <c r="I1166" s="551">
        <f t="shared" si="55"/>
        <v>9.4456716195090754E-4</v>
      </c>
      <c r="L1166" s="556">
        <v>11568.9</v>
      </c>
      <c r="M1166" s="553">
        <f t="shared" si="56"/>
        <v>5.6027932426790366E-4</v>
      </c>
    </row>
    <row r="1167" spans="5:13" ht="15.75" thickBot="1">
      <c r="E1167" s="552">
        <v>40175</v>
      </c>
      <c r="F1167" s="550">
        <v>2175</v>
      </c>
      <c r="G1167" s="549">
        <f t="shared" si="54"/>
        <v>-6.8728792877620643E-3</v>
      </c>
      <c r="H1167" s="556">
        <v>1365.06</v>
      </c>
      <c r="I1167" s="551">
        <f t="shared" si="55"/>
        <v>-5.5957892803881488E-3</v>
      </c>
      <c r="L1167" s="550">
        <v>11562.42</v>
      </c>
      <c r="M1167" s="553">
        <f t="shared" si="56"/>
        <v>-4.5208240353325803E-3</v>
      </c>
    </row>
    <row r="1168" spans="5:13" ht="15.75" thickBot="1">
      <c r="E1168" s="557">
        <v>40171</v>
      </c>
      <c r="F1168" s="556">
        <v>2190</v>
      </c>
      <c r="G1168" s="549">
        <f t="shared" si="54"/>
        <v>1.1481182373956232E-2</v>
      </c>
      <c r="H1168" s="550">
        <v>1372.72</v>
      </c>
      <c r="I1168" s="551">
        <f t="shared" si="55"/>
        <v>6.277310197580566E-3</v>
      </c>
      <c r="L1168" s="556">
        <v>11614.81</v>
      </c>
      <c r="M1168" s="553">
        <f t="shared" si="56"/>
        <v>8.9153610878933576E-3</v>
      </c>
    </row>
    <row r="1169" spans="5:13" ht="15.75" thickBot="1">
      <c r="E1169" s="552">
        <v>40170</v>
      </c>
      <c r="F1169" s="550">
        <v>2165</v>
      </c>
      <c r="G1169" s="549">
        <f t="shared" si="54"/>
        <v>-2.0572154075208317E-2</v>
      </c>
      <c r="H1169" s="556">
        <v>1364.13</v>
      </c>
      <c r="I1169" s="551">
        <f t="shared" si="55"/>
        <v>-8.0604981355133674E-4</v>
      </c>
      <c r="L1169" s="550">
        <v>11511.72</v>
      </c>
      <c r="M1169" s="553">
        <f t="shared" si="56"/>
        <v>1.2776156964870451E-2</v>
      </c>
    </row>
    <row r="1170" spans="5:13" ht="15.75" thickBot="1">
      <c r="E1170" s="557">
        <v>40169</v>
      </c>
      <c r="F1170" s="556">
        <v>2210</v>
      </c>
      <c r="G1170" s="549">
        <f t="shared" si="54"/>
        <v>2.2884293833587806E-2</v>
      </c>
      <c r="H1170" s="550">
        <v>1365.23</v>
      </c>
      <c r="I1170" s="551">
        <f t="shared" si="55"/>
        <v>-3.1666077601725504E-3</v>
      </c>
      <c r="L1170" s="556">
        <v>11365.58</v>
      </c>
      <c r="M1170" s="553">
        <f t="shared" si="56"/>
        <v>-1.8349682575018747E-2</v>
      </c>
    </row>
    <row r="1171" spans="5:13" ht="15.75" thickBot="1">
      <c r="E1171" s="552">
        <v>40168</v>
      </c>
      <c r="F1171" s="550">
        <v>2160</v>
      </c>
      <c r="G1171" s="549">
        <f t="shared" si="54"/>
        <v>0</v>
      </c>
      <c r="H1171" s="556">
        <v>1369.56</v>
      </c>
      <c r="I1171" s="551">
        <f t="shared" si="55"/>
        <v>-5.6936386077691234E-4</v>
      </c>
      <c r="L1171" s="550">
        <v>11576.06</v>
      </c>
      <c r="M1171" s="553">
        <f t="shared" si="56"/>
        <v>-1.5528630304357989E-3</v>
      </c>
    </row>
    <row r="1172" spans="5:13" ht="15.75" thickBot="1">
      <c r="E1172" s="557">
        <v>40165</v>
      </c>
      <c r="F1172" s="556">
        <v>2160</v>
      </c>
      <c r="G1172" s="549">
        <f t="shared" si="54"/>
        <v>0</v>
      </c>
      <c r="H1172" s="550">
        <v>1370.34</v>
      </c>
      <c r="I1172" s="551">
        <f t="shared" si="55"/>
        <v>-8.9285983111497165E-3</v>
      </c>
      <c r="L1172" s="556">
        <v>11594.05</v>
      </c>
      <c r="M1172" s="553">
        <f t="shared" si="56"/>
        <v>-9.3933435450702998E-3</v>
      </c>
    </row>
    <row r="1173" spans="5:13" ht="15.75" thickBot="1">
      <c r="E1173" s="552">
        <v>40164</v>
      </c>
      <c r="F1173" s="550">
        <v>2160</v>
      </c>
      <c r="G1173" s="549">
        <f t="shared" si="54"/>
        <v>-4.6189458562945285E-3</v>
      </c>
      <c r="H1173" s="556">
        <v>1382.63</v>
      </c>
      <c r="I1173" s="551">
        <f t="shared" si="55"/>
        <v>2.2083775234711042E-3</v>
      </c>
      <c r="L1173" s="550">
        <v>11703.47</v>
      </c>
      <c r="M1173" s="553">
        <f t="shared" si="56"/>
        <v>1.7137803560848216E-3</v>
      </c>
    </row>
    <row r="1174" spans="5:13" ht="15.75" thickBot="1">
      <c r="E1174" s="557">
        <v>40163</v>
      </c>
      <c r="F1174" s="556">
        <v>2170</v>
      </c>
      <c r="G1174" s="549">
        <f t="shared" si="54"/>
        <v>0</v>
      </c>
      <c r="H1174" s="550">
        <v>1379.58</v>
      </c>
      <c r="I1174" s="551">
        <f t="shared" si="55"/>
        <v>8.078470169493028E-3</v>
      </c>
      <c r="L1174" s="556">
        <v>11683.43</v>
      </c>
      <c r="M1174" s="553">
        <f t="shared" si="56"/>
        <v>7.7865203191171363E-3</v>
      </c>
    </row>
    <row r="1175" spans="5:13" ht="15.75" thickBot="1">
      <c r="E1175" s="552">
        <v>40162</v>
      </c>
      <c r="F1175" s="550">
        <v>2170</v>
      </c>
      <c r="G1175" s="549">
        <f t="shared" si="54"/>
        <v>-2.3014969882792745E-3</v>
      </c>
      <c r="H1175" s="556">
        <v>1368.48</v>
      </c>
      <c r="I1175" s="551">
        <f t="shared" si="55"/>
        <v>1.4771807552004517E-3</v>
      </c>
      <c r="L1175" s="550">
        <v>11592.81</v>
      </c>
      <c r="M1175" s="553">
        <f t="shared" si="56"/>
        <v>4.5502194749957921E-3</v>
      </c>
    </row>
    <row r="1176" spans="5:13" ht="15.75" thickBot="1">
      <c r="E1176" s="557">
        <v>40161</v>
      </c>
      <c r="F1176" s="556">
        <v>2175</v>
      </c>
      <c r="G1176" s="549">
        <f t="shared" si="54"/>
        <v>2.3014969882791674E-3</v>
      </c>
      <c r="H1176" s="550">
        <v>1366.46</v>
      </c>
      <c r="I1176" s="551">
        <f t="shared" si="55"/>
        <v>8.7822014108124256E-5</v>
      </c>
      <c r="L1176" s="556">
        <v>11540.18</v>
      </c>
      <c r="M1176" s="553">
        <f t="shared" si="56"/>
        <v>1.5512226308561175E-4</v>
      </c>
    </row>
    <row r="1177" spans="5:13" ht="15.75" thickBot="1">
      <c r="E1177" s="552">
        <v>40158</v>
      </c>
      <c r="F1177" s="550">
        <v>2170</v>
      </c>
      <c r="G1177" s="549">
        <f t="shared" si="54"/>
        <v>-4.5977092486294314E-3</v>
      </c>
      <c r="H1177" s="556">
        <v>1366.34</v>
      </c>
      <c r="I1177" s="551">
        <f t="shared" si="55"/>
        <v>1.1275769363539358E-2</v>
      </c>
      <c r="L1177" s="550">
        <v>11538.39</v>
      </c>
      <c r="M1177" s="553">
        <f t="shared" si="56"/>
        <v>5.1865925543772068E-3</v>
      </c>
    </row>
    <row r="1178" spans="5:13" ht="15.75" thickBot="1">
      <c r="E1178" s="557">
        <v>40157</v>
      </c>
      <c r="F1178" s="556">
        <v>2180</v>
      </c>
      <c r="G1178" s="549">
        <f t="shared" si="54"/>
        <v>-2.2676708671029701E-2</v>
      </c>
      <c r="H1178" s="550">
        <v>1351.02</v>
      </c>
      <c r="I1178" s="551">
        <f t="shared" si="55"/>
        <v>-4.9837853590973657E-3</v>
      </c>
      <c r="L1178" s="556">
        <v>11478.7</v>
      </c>
      <c r="M1178" s="553">
        <f t="shared" si="56"/>
        <v>-5.8052050108141117E-3</v>
      </c>
    </row>
    <row r="1179" spans="5:13" ht="15.75" thickBot="1">
      <c r="E1179" s="552">
        <v>40156</v>
      </c>
      <c r="F1179" s="550">
        <v>2230</v>
      </c>
      <c r="G1179" s="549">
        <f t="shared" si="54"/>
        <v>-4.4742803949210774E-3</v>
      </c>
      <c r="H1179" s="556">
        <v>1357.77</v>
      </c>
      <c r="I1179" s="551">
        <f t="shared" si="55"/>
        <v>-3.9763188647980695E-4</v>
      </c>
      <c r="L1179" s="550">
        <v>11545.53</v>
      </c>
      <c r="M1179" s="553">
        <f t="shared" si="56"/>
        <v>-1.511996074888954E-3</v>
      </c>
    </row>
    <row r="1180" spans="5:13" ht="15.75" thickBot="1">
      <c r="E1180" s="557">
        <v>40154</v>
      </c>
      <c r="F1180" s="556">
        <v>2240</v>
      </c>
      <c r="G1180" s="549">
        <f t="shared" si="54"/>
        <v>1.8018505502678212E-2</v>
      </c>
      <c r="H1180" s="550">
        <v>1358.31</v>
      </c>
      <c r="I1180" s="551">
        <f t="shared" si="55"/>
        <v>3.4883456161111204E-3</v>
      </c>
      <c r="L1180" s="556">
        <v>11563</v>
      </c>
      <c r="M1180" s="553">
        <f t="shared" si="56"/>
        <v>1.3751702227262746E-4</v>
      </c>
    </row>
    <row r="1181" spans="5:13" ht="15.75" thickBot="1">
      <c r="E1181" s="552">
        <v>40151</v>
      </c>
      <c r="F1181" s="550">
        <v>2200</v>
      </c>
      <c r="G1181" s="549">
        <f t="shared" si="54"/>
        <v>-4.5351551653912622E-3</v>
      </c>
      <c r="H1181" s="556">
        <v>1353.58</v>
      </c>
      <c r="I1181" s="551">
        <f t="shared" si="55"/>
        <v>-2.2065208295674972E-3</v>
      </c>
      <c r="L1181" s="550">
        <v>11561.41</v>
      </c>
      <c r="M1181" s="553">
        <f t="shared" si="56"/>
        <v>2.292370697623261E-4</v>
      </c>
    </row>
    <row r="1182" spans="5:13" ht="15.75" thickBot="1">
      <c r="E1182" s="557">
        <v>40150</v>
      </c>
      <c r="F1182" s="556">
        <v>2210</v>
      </c>
      <c r="G1182" s="549">
        <f t="shared" si="54"/>
        <v>4.5351551653913628E-3</v>
      </c>
      <c r="H1182" s="550">
        <v>1356.57</v>
      </c>
      <c r="I1182" s="551">
        <f t="shared" si="55"/>
        <v>1.4366623098777724E-2</v>
      </c>
      <c r="L1182" s="556">
        <v>11558.76</v>
      </c>
      <c r="M1182" s="553">
        <f t="shared" si="56"/>
        <v>1.1772704700829067E-2</v>
      </c>
    </row>
    <row r="1183" spans="5:13" ht="15.75" thickBot="1">
      <c r="E1183" s="552">
        <v>40149</v>
      </c>
      <c r="F1183" s="550">
        <v>2200</v>
      </c>
      <c r="G1183" s="549">
        <f t="shared" si="54"/>
        <v>-1.1299555253933394E-2</v>
      </c>
      <c r="H1183" s="556">
        <v>1337.22</v>
      </c>
      <c r="I1183" s="551">
        <f t="shared" si="55"/>
        <v>1.5042492256211312E-3</v>
      </c>
      <c r="L1183" s="550">
        <v>11423.48</v>
      </c>
      <c r="M1183" s="553">
        <f t="shared" si="56"/>
        <v>4.1606180847318141E-3</v>
      </c>
    </row>
    <row r="1184" spans="5:13" ht="15.75" thickBot="1">
      <c r="E1184" s="557">
        <v>40148</v>
      </c>
      <c r="F1184" s="556">
        <v>2225</v>
      </c>
      <c r="G1184" s="549">
        <f t="shared" si="54"/>
        <v>6.7644000885420628E-3</v>
      </c>
      <c r="H1184" s="550">
        <v>1335.21</v>
      </c>
      <c r="I1184" s="551">
        <f t="shared" si="55"/>
        <v>1.2935211224296606E-2</v>
      </c>
      <c r="L1184" s="556">
        <v>11376.05</v>
      </c>
      <c r="M1184" s="553">
        <f t="shared" si="56"/>
        <v>1.1585793574218909E-2</v>
      </c>
    </row>
    <row r="1185" spans="5:13" ht="15.75" thickBot="1">
      <c r="E1185" s="552">
        <v>40147</v>
      </c>
      <c r="F1185" s="550">
        <v>2210</v>
      </c>
      <c r="G1185" s="549">
        <f t="shared" si="54"/>
        <v>-2.2598879674374786E-3</v>
      </c>
      <c r="H1185" s="556">
        <v>1318.05</v>
      </c>
      <c r="I1185" s="551">
        <f t="shared" si="55"/>
        <v>-7.7540859199420418E-3</v>
      </c>
      <c r="L1185" s="550">
        <v>11245.01</v>
      </c>
      <c r="M1185" s="553">
        <f t="shared" si="56"/>
        <v>-9.1399535153902037E-3</v>
      </c>
    </row>
    <row r="1186" spans="5:13" ht="15.75" thickBot="1">
      <c r="E1186" s="557">
        <v>40144</v>
      </c>
      <c r="F1186" s="556">
        <v>2215</v>
      </c>
      <c r="G1186" s="549">
        <f t="shared" si="54"/>
        <v>1.3636574949545444E-2</v>
      </c>
      <c r="H1186" s="550">
        <v>1328.31</v>
      </c>
      <c r="I1186" s="551">
        <f t="shared" si="55"/>
        <v>9.1890514878444837E-3</v>
      </c>
      <c r="L1186" s="556">
        <v>11348.26</v>
      </c>
      <c r="M1186" s="553">
        <f t="shared" si="56"/>
        <v>8.8251967557464381E-3</v>
      </c>
    </row>
    <row r="1187" spans="5:13" ht="15.75" thickBot="1">
      <c r="E1187" s="552">
        <v>40143</v>
      </c>
      <c r="F1187" s="550">
        <v>2185</v>
      </c>
      <c r="G1187" s="549">
        <f t="shared" si="54"/>
        <v>-2.2857152808559511E-3</v>
      </c>
      <c r="H1187" s="556">
        <v>1316.16</v>
      </c>
      <c r="I1187" s="551">
        <f t="shared" si="55"/>
        <v>-8.3304496004015707E-3</v>
      </c>
      <c r="L1187" s="550">
        <v>11248.55</v>
      </c>
      <c r="M1187" s="553">
        <f t="shared" si="56"/>
        <v>-1.1854548923629178E-2</v>
      </c>
    </row>
    <row r="1188" spans="5:13" ht="15.75" thickBot="1">
      <c r="E1188" s="557">
        <v>40142</v>
      </c>
      <c r="F1188" s="556">
        <v>2190</v>
      </c>
      <c r="G1188" s="549">
        <f t="shared" si="54"/>
        <v>1.3793322132335769E-2</v>
      </c>
      <c r="H1188" s="550">
        <v>1327.17</v>
      </c>
      <c r="I1188" s="551">
        <f t="shared" si="55"/>
        <v>1.1298014039944928E-2</v>
      </c>
      <c r="L1188" s="556">
        <v>11382.69</v>
      </c>
      <c r="M1188" s="553">
        <f t="shared" si="56"/>
        <v>1.1901667217671079E-2</v>
      </c>
    </row>
    <row r="1189" spans="5:13" ht="15.75" thickBot="1">
      <c r="E1189" s="552">
        <v>40141</v>
      </c>
      <c r="F1189" s="550">
        <v>2160</v>
      </c>
      <c r="G1189" s="549">
        <f t="shared" si="54"/>
        <v>4.6403795565023009E-3</v>
      </c>
      <c r="H1189" s="556">
        <v>1312.26</v>
      </c>
      <c r="I1189" s="551">
        <f t="shared" si="55"/>
        <v>5.0498405573407906E-3</v>
      </c>
      <c r="L1189" s="550">
        <v>11248.02</v>
      </c>
      <c r="M1189" s="553">
        <f t="shared" si="56"/>
        <v>4.3336935346831411E-3</v>
      </c>
    </row>
    <row r="1190" spans="5:13" ht="15.75" thickBot="1">
      <c r="E1190" s="557">
        <v>40140</v>
      </c>
      <c r="F1190" s="556">
        <v>2150</v>
      </c>
      <c r="G1190" s="549">
        <f t="shared" si="54"/>
        <v>-2.3228814161396385E-3</v>
      </c>
      <c r="H1190" s="550">
        <v>1305.6500000000001</v>
      </c>
      <c r="I1190" s="551">
        <f t="shared" si="55"/>
        <v>2.9146712868118306E-3</v>
      </c>
      <c r="L1190" s="556">
        <v>11199.38</v>
      </c>
      <c r="M1190" s="553">
        <f t="shared" si="56"/>
        <v>2.4459813548404568E-3</v>
      </c>
    </row>
    <row r="1191" spans="5:13" ht="15.75" thickBot="1">
      <c r="E1191" s="552">
        <v>40137</v>
      </c>
      <c r="F1191" s="550">
        <v>2155</v>
      </c>
      <c r="G1191" s="549">
        <f t="shared" si="54"/>
        <v>-2.3174981403624789E-3</v>
      </c>
      <c r="H1191" s="556">
        <v>1301.8499999999999</v>
      </c>
      <c r="I1191" s="551">
        <f t="shared" si="55"/>
        <v>5.6089775843630191E-4</v>
      </c>
      <c r="L1191" s="550">
        <v>11172.02</v>
      </c>
      <c r="M1191" s="553">
        <f t="shared" si="56"/>
        <v>1.0236153318415795E-3</v>
      </c>
    </row>
    <row r="1192" spans="5:13" ht="15.75" thickBot="1">
      <c r="E1192" s="557">
        <v>40136</v>
      </c>
      <c r="F1192" s="556">
        <v>2160</v>
      </c>
      <c r="G1192" s="549">
        <f t="shared" si="54"/>
        <v>-6.9204428445737952E-3</v>
      </c>
      <c r="H1192" s="550">
        <v>1301.1199999999999</v>
      </c>
      <c r="I1192" s="551">
        <f t="shared" si="55"/>
        <v>1.3074209526925549E-3</v>
      </c>
      <c r="L1192" s="556">
        <v>11160.59</v>
      </c>
      <c r="M1192" s="553">
        <f t="shared" si="56"/>
        <v>2.5236578152960628E-3</v>
      </c>
    </row>
    <row r="1193" spans="5:13" ht="15.75" thickBot="1">
      <c r="E1193" s="552">
        <v>40135</v>
      </c>
      <c r="F1193" s="550">
        <v>2175</v>
      </c>
      <c r="G1193" s="549">
        <f t="shared" si="54"/>
        <v>-2.296212260350268E-3</v>
      </c>
      <c r="H1193" s="556">
        <v>1299.42</v>
      </c>
      <c r="I1193" s="551">
        <f t="shared" si="55"/>
        <v>-1.1774157433407668E-2</v>
      </c>
      <c r="L1193" s="550">
        <v>11132.46</v>
      </c>
      <c r="M1193" s="553">
        <f t="shared" si="56"/>
        <v>-1.0511852375861622E-2</v>
      </c>
    </row>
    <row r="1194" spans="5:13" ht="15.75" thickBot="1">
      <c r="E1194" s="557">
        <v>40134</v>
      </c>
      <c r="F1194" s="556">
        <v>2180</v>
      </c>
      <c r="G1194" s="549">
        <f t="shared" si="54"/>
        <v>-4.5766670274118666E-3</v>
      </c>
      <c r="H1194" s="550">
        <v>1314.81</v>
      </c>
      <c r="I1194" s="551">
        <f t="shared" si="55"/>
        <v>2.5740235973937846E-3</v>
      </c>
      <c r="L1194" s="556">
        <v>11250.1</v>
      </c>
      <c r="M1194" s="553">
        <f t="shared" si="56"/>
        <v>2.995566757064329E-3</v>
      </c>
    </row>
    <row r="1195" spans="5:13" ht="15.75" thickBot="1">
      <c r="E1195" s="552">
        <v>40130</v>
      </c>
      <c r="F1195" s="550">
        <v>2190</v>
      </c>
      <c r="G1195" s="549">
        <f t="shared" si="54"/>
        <v>2.2857152808560825E-3</v>
      </c>
      <c r="H1195" s="556">
        <v>1311.43</v>
      </c>
      <c r="I1195" s="551">
        <f t="shared" si="55"/>
        <v>2.2749143359109712E-3</v>
      </c>
      <c r="L1195" s="550">
        <v>11216.45</v>
      </c>
      <c r="M1195" s="553">
        <f t="shared" si="56"/>
        <v>2.2099121191428649E-3</v>
      </c>
    </row>
    <row r="1196" spans="5:13" ht="15.75" thickBot="1">
      <c r="E1196" s="557">
        <v>40129</v>
      </c>
      <c r="F1196" s="556">
        <v>2185</v>
      </c>
      <c r="G1196" s="549">
        <f t="shared" si="54"/>
        <v>2.2909517465557624E-3</v>
      </c>
      <c r="H1196" s="550">
        <v>1308.45</v>
      </c>
      <c r="I1196" s="551">
        <f t="shared" si="55"/>
        <v>3.514134787637355E-3</v>
      </c>
      <c r="L1196" s="556">
        <v>11191.69</v>
      </c>
      <c r="M1196" s="553">
        <f t="shared" si="56"/>
        <v>9.4217389967946649E-3</v>
      </c>
    </row>
    <row r="1197" spans="5:13" ht="15.75" thickBot="1">
      <c r="E1197" s="552">
        <v>40128</v>
      </c>
      <c r="F1197" s="550">
        <v>2180</v>
      </c>
      <c r="G1197" s="549">
        <f t="shared" si="54"/>
        <v>4.5977092486295494E-3</v>
      </c>
      <c r="H1197" s="556">
        <v>1303.8599999999999</v>
      </c>
      <c r="I1197" s="551">
        <f t="shared" si="55"/>
        <v>-1.5337893830494947E-4</v>
      </c>
      <c r="L1197" s="550">
        <v>11086.74</v>
      </c>
      <c r="M1197" s="553">
        <f t="shared" si="56"/>
        <v>-1.2356340644860753E-4</v>
      </c>
    </row>
    <row r="1198" spans="5:13" ht="15.75" thickBot="1">
      <c r="E1198" s="557">
        <v>40127</v>
      </c>
      <c r="F1198" s="556">
        <v>2170</v>
      </c>
      <c r="G1198" s="549">
        <f t="shared" si="54"/>
        <v>4.6189458562944583E-3</v>
      </c>
      <c r="H1198" s="550">
        <v>1304.06</v>
      </c>
      <c r="I1198" s="551">
        <f t="shared" si="55"/>
        <v>8.1317657315980888E-4</v>
      </c>
      <c r="L1198" s="556">
        <v>11088.11</v>
      </c>
      <c r="M1198" s="553">
        <f t="shared" si="56"/>
        <v>-4.048562973257777E-4</v>
      </c>
    </row>
    <row r="1199" spans="5:13" ht="15.75" thickBot="1">
      <c r="E1199" s="552">
        <v>40126</v>
      </c>
      <c r="F1199" s="550">
        <v>2160</v>
      </c>
      <c r="G1199" s="549">
        <f t="shared" si="54"/>
        <v>6.9686693160934355E-3</v>
      </c>
      <c r="H1199" s="556">
        <v>1303</v>
      </c>
      <c r="I1199" s="551">
        <f t="shared" si="55"/>
        <v>1.800455178715242E-2</v>
      </c>
      <c r="L1199" s="550">
        <v>11092.6</v>
      </c>
      <c r="M1199" s="553">
        <f t="shared" si="56"/>
        <v>1.5678586016871568E-2</v>
      </c>
    </row>
    <row r="1200" spans="5:13" ht="15.75" thickBot="1">
      <c r="E1200" s="557">
        <v>40123</v>
      </c>
      <c r="F1200" s="556">
        <v>2145</v>
      </c>
      <c r="G1200" s="549">
        <f t="shared" si="54"/>
        <v>-6.9686693160933158E-3</v>
      </c>
      <c r="H1200" s="550">
        <v>1279.75</v>
      </c>
      <c r="I1200" s="551">
        <f t="shared" si="55"/>
        <v>-5.0778275801546043E-4</v>
      </c>
      <c r="L1200" s="556">
        <v>10920.04</v>
      </c>
      <c r="M1200" s="553">
        <f t="shared" si="56"/>
        <v>-2.7726991206981216E-3</v>
      </c>
    </row>
    <row r="1201" spans="5:13" ht="15.75" thickBot="1">
      <c r="E1201" s="552">
        <v>40122</v>
      </c>
      <c r="F1201" s="550">
        <v>2160</v>
      </c>
      <c r="G1201" s="549">
        <f t="shared" si="54"/>
        <v>-2.3121397583795024E-3</v>
      </c>
      <c r="H1201" s="556">
        <v>1280.4000000000001</v>
      </c>
      <c r="I1201" s="551">
        <f t="shared" si="55"/>
        <v>1.4078646946193114E-2</v>
      </c>
      <c r="L1201" s="550">
        <v>10950.36</v>
      </c>
      <c r="M1201" s="553">
        <f t="shared" si="56"/>
        <v>1.6996960602964656E-2</v>
      </c>
    </row>
    <row r="1202" spans="5:13" ht="15.75" thickBot="1">
      <c r="E1202" s="557">
        <v>40121</v>
      </c>
      <c r="F1202" s="556">
        <v>2165</v>
      </c>
      <c r="G1202" s="549">
        <f t="shared" si="54"/>
        <v>3.765150620368838E-2</v>
      </c>
      <c r="H1202" s="550">
        <v>1262.5</v>
      </c>
      <c r="I1202" s="551">
        <f t="shared" si="55"/>
        <v>1.7216666845213304E-2</v>
      </c>
      <c r="L1202" s="556">
        <v>10765.81</v>
      </c>
      <c r="M1202" s="553">
        <f t="shared" si="56"/>
        <v>2.1507174473408632E-2</v>
      </c>
    </row>
    <row r="1203" spans="5:13" ht="15.75" thickBot="1">
      <c r="E1203" s="552">
        <v>40120</v>
      </c>
      <c r="F1203" s="550">
        <v>2085</v>
      </c>
      <c r="G1203" s="549">
        <f t="shared" si="54"/>
        <v>-4.7846981233362704E-3</v>
      </c>
      <c r="H1203" s="556">
        <v>1240.95</v>
      </c>
      <c r="I1203" s="551">
        <f t="shared" si="55"/>
        <v>-1.2985947782693574E-2</v>
      </c>
      <c r="L1203" s="550">
        <v>10536.74</v>
      </c>
      <c r="M1203" s="553">
        <f t="shared" si="56"/>
        <v>-1.4162659329654067E-2</v>
      </c>
    </row>
    <row r="1204" spans="5:13" ht="15.75" thickBot="1">
      <c r="E1204" s="557">
        <v>40116</v>
      </c>
      <c r="F1204" s="556">
        <v>2095</v>
      </c>
      <c r="G1204" s="549">
        <f t="shared" si="54"/>
        <v>-2.3837913552762504E-3</v>
      </c>
      <c r="H1204" s="550">
        <v>1257.17</v>
      </c>
      <c r="I1204" s="551">
        <f t="shared" si="55"/>
        <v>-2.575579918434848E-2</v>
      </c>
      <c r="L1204" s="556">
        <v>10687.03</v>
      </c>
      <c r="M1204" s="553">
        <f t="shared" si="56"/>
        <v>-2.1680491588158782E-2</v>
      </c>
    </row>
    <row r="1205" spans="5:13" ht="15.75" thickBot="1">
      <c r="E1205" s="552">
        <v>40115</v>
      </c>
      <c r="F1205" s="550">
        <v>2100</v>
      </c>
      <c r="G1205" s="549">
        <f t="shared" si="54"/>
        <v>7.168489478612497E-3</v>
      </c>
      <c r="H1205" s="556">
        <v>1289.97</v>
      </c>
      <c r="I1205" s="551">
        <f t="shared" si="55"/>
        <v>8.368445102088647E-3</v>
      </c>
      <c r="L1205" s="550">
        <v>10921.26</v>
      </c>
      <c r="M1205" s="553">
        <f t="shared" si="56"/>
        <v>8.9214370011038071E-3</v>
      </c>
    </row>
    <row r="1206" spans="5:13" ht="15.75" thickBot="1">
      <c r="E1206" s="557">
        <v>40114</v>
      </c>
      <c r="F1206" s="556">
        <v>2085</v>
      </c>
      <c r="G1206" s="549">
        <f t="shared" si="54"/>
        <v>-4.7846981233362704E-3</v>
      </c>
      <c r="H1206" s="550">
        <v>1279.22</v>
      </c>
      <c r="I1206" s="551">
        <f t="shared" si="55"/>
        <v>1.0245862467693127E-3</v>
      </c>
      <c r="L1206" s="556">
        <v>10824.26</v>
      </c>
      <c r="M1206" s="553">
        <f t="shared" si="56"/>
        <v>1.4857312006798414E-3</v>
      </c>
    </row>
    <row r="1207" spans="5:13" ht="15.75" thickBot="1">
      <c r="E1207" s="552">
        <v>40113</v>
      </c>
      <c r="F1207" s="550">
        <v>2095</v>
      </c>
      <c r="G1207" s="549">
        <f t="shared" si="54"/>
        <v>7.1856596608745327E-3</v>
      </c>
      <c r="H1207" s="556">
        <v>1277.9100000000001</v>
      </c>
      <c r="I1207" s="551">
        <f t="shared" si="55"/>
        <v>-8.4933810659805885E-3</v>
      </c>
      <c r="L1207" s="550">
        <v>10808.19</v>
      </c>
      <c r="M1207" s="553">
        <f t="shared" si="56"/>
        <v>-8.2640948315008851E-3</v>
      </c>
    </row>
    <row r="1208" spans="5:13" ht="15.75" thickBot="1">
      <c r="E1208" s="557">
        <v>40112</v>
      </c>
      <c r="F1208" s="556">
        <v>2080</v>
      </c>
      <c r="G1208" s="549">
        <f t="shared" si="54"/>
        <v>-1.4320053774748558E-2</v>
      </c>
      <c r="H1208" s="550">
        <v>1288.81</v>
      </c>
      <c r="I1208" s="551">
        <f t="shared" si="55"/>
        <v>-1.1172524688264244E-2</v>
      </c>
      <c r="L1208" s="556">
        <v>10897.88</v>
      </c>
      <c r="M1208" s="553">
        <f t="shared" si="56"/>
        <v>-1.0440922702677619E-2</v>
      </c>
    </row>
    <row r="1209" spans="5:13" ht="15.75" thickBot="1">
      <c r="E1209" s="552">
        <v>40109</v>
      </c>
      <c r="F1209" s="550">
        <v>2110</v>
      </c>
      <c r="G1209" s="549">
        <f t="shared" si="54"/>
        <v>7.1343941138741112E-3</v>
      </c>
      <c r="H1209" s="556">
        <v>1303.29</v>
      </c>
      <c r="I1209" s="551">
        <f t="shared" si="55"/>
        <v>-4.0965933099334851E-3</v>
      </c>
      <c r="L1209" s="550">
        <v>11012.26</v>
      </c>
      <c r="M1209" s="553">
        <f t="shared" si="56"/>
        <v>3.0697775197315741E-4</v>
      </c>
    </row>
    <row r="1210" spans="5:13" ht="15.75" thickBot="1">
      <c r="E1210" s="557">
        <v>40108</v>
      </c>
      <c r="F1210" s="556">
        <v>2095</v>
      </c>
      <c r="G1210" s="549">
        <f t="shared" si="54"/>
        <v>-7.1343941138740921E-3</v>
      </c>
      <c r="H1210" s="550">
        <v>1308.6400000000001</v>
      </c>
      <c r="I1210" s="551">
        <f t="shared" si="55"/>
        <v>-6.4211424451343759E-3</v>
      </c>
      <c r="L1210" s="556">
        <v>11008.88</v>
      </c>
      <c r="M1210" s="553">
        <f t="shared" si="56"/>
        <v>-6.5703193265941864E-3</v>
      </c>
    </row>
    <row r="1211" spans="5:13" ht="15.75" thickBot="1">
      <c r="E1211" s="552">
        <v>40107</v>
      </c>
      <c r="F1211" s="550">
        <v>2110</v>
      </c>
      <c r="G1211" s="549">
        <f t="shared" si="54"/>
        <v>9.523881511255541E-3</v>
      </c>
      <c r="H1211" s="556">
        <v>1317.07</v>
      </c>
      <c r="I1211" s="551">
        <f t="shared" si="55"/>
        <v>8.3553615896015949E-4</v>
      </c>
      <c r="L1211" s="550">
        <v>11081.45</v>
      </c>
      <c r="M1211" s="553">
        <f t="shared" si="56"/>
        <v>2.0207291886904974E-3</v>
      </c>
    </row>
    <row r="1212" spans="5:13" ht="15.75" thickBot="1">
      <c r="E1212" s="557">
        <v>40106</v>
      </c>
      <c r="F1212" s="556">
        <v>2090</v>
      </c>
      <c r="G1212" s="549">
        <f t="shared" si="54"/>
        <v>-9.5238815112554786E-3</v>
      </c>
      <c r="H1212" s="550">
        <v>1315.97</v>
      </c>
      <c r="I1212" s="551">
        <f t="shared" si="55"/>
        <v>-1.1206228871483447E-2</v>
      </c>
      <c r="L1212" s="556">
        <v>11059.08</v>
      </c>
      <c r="M1212" s="553">
        <f t="shared" si="56"/>
        <v>-8.9793027533493618E-3</v>
      </c>
    </row>
    <row r="1213" spans="5:13" ht="15.75" thickBot="1">
      <c r="E1213" s="552">
        <v>40105</v>
      </c>
      <c r="F1213" s="550">
        <v>2110</v>
      </c>
      <c r="G1213" s="549">
        <f t="shared" si="54"/>
        <v>-9.4340322333586416E-3</v>
      </c>
      <c r="H1213" s="556">
        <v>1330.8</v>
      </c>
      <c r="I1213" s="551">
        <f t="shared" si="55"/>
        <v>2.2116844963073427E-2</v>
      </c>
      <c r="L1213" s="550">
        <v>11158.83</v>
      </c>
      <c r="M1213" s="553">
        <f t="shared" si="56"/>
        <v>1.9576822664612435E-2</v>
      </c>
    </row>
    <row r="1214" spans="5:13" ht="15.75" thickBot="1">
      <c r="E1214" s="557">
        <v>40102</v>
      </c>
      <c r="F1214" s="556">
        <v>2130</v>
      </c>
      <c r="G1214" s="549">
        <f t="shared" si="54"/>
        <v>-2.3446669592541345E-3</v>
      </c>
      <c r="H1214" s="550">
        <v>1301.69</v>
      </c>
      <c r="I1214" s="551">
        <f t="shared" si="55"/>
        <v>5.8402200053792137E-3</v>
      </c>
      <c r="L1214" s="556">
        <v>10942.5</v>
      </c>
      <c r="M1214" s="553">
        <f t="shared" si="56"/>
        <v>7.2761213014817571E-3</v>
      </c>
    </row>
    <row r="1215" spans="5:13" ht="15.75" thickBot="1">
      <c r="E1215" s="552">
        <v>40101</v>
      </c>
      <c r="F1215" s="550">
        <v>2135</v>
      </c>
      <c r="G1215" s="549">
        <f t="shared" si="54"/>
        <v>0</v>
      </c>
      <c r="H1215" s="556">
        <v>1294.1099999999999</v>
      </c>
      <c r="I1215" s="551">
        <f t="shared" si="55"/>
        <v>-2.1634151137128223E-4</v>
      </c>
      <c r="L1215" s="550">
        <v>10863.17</v>
      </c>
      <c r="M1215" s="553">
        <f t="shared" si="56"/>
        <v>-3.3818681563008231E-3</v>
      </c>
    </row>
    <row r="1216" spans="5:13" ht="15.75" thickBot="1">
      <c r="E1216" s="557">
        <v>40100</v>
      </c>
      <c r="F1216" s="556">
        <v>2135</v>
      </c>
      <c r="G1216" s="549">
        <f t="shared" si="54"/>
        <v>-7.0011954589835881E-3</v>
      </c>
      <c r="H1216" s="550">
        <v>1294.3900000000001</v>
      </c>
      <c r="I1216" s="551">
        <f t="shared" si="55"/>
        <v>-6.6527799638124155E-3</v>
      </c>
      <c r="L1216" s="556">
        <v>10899.97</v>
      </c>
      <c r="M1216" s="553">
        <f t="shared" si="56"/>
        <v>-3.9691875091100223E-3</v>
      </c>
    </row>
    <row r="1217" spans="5:13" ht="15.75" thickBot="1">
      <c r="E1217" s="552">
        <v>40099</v>
      </c>
      <c r="F1217" s="550">
        <v>2150</v>
      </c>
      <c r="G1217" s="549">
        <f t="shared" si="54"/>
        <v>-6.9525193148817525E-3</v>
      </c>
      <c r="H1217" s="556">
        <v>1303.03</v>
      </c>
      <c r="I1217" s="551">
        <f t="shared" si="55"/>
        <v>-2.306974758303601E-2</v>
      </c>
      <c r="L1217" s="550">
        <v>10943.32</v>
      </c>
      <c r="M1217" s="553">
        <f t="shared" si="56"/>
        <v>-2.1526036417045574E-2</v>
      </c>
    </row>
    <row r="1218" spans="5:13" ht="15.75" thickBot="1">
      <c r="E1218" s="557">
        <v>40095</v>
      </c>
      <c r="F1218" s="556">
        <v>2165</v>
      </c>
      <c r="G1218" s="549">
        <f t="shared" si="54"/>
        <v>-1.376168507268149E-2</v>
      </c>
      <c r="H1218" s="550">
        <v>1333.44</v>
      </c>
      <c r="I1218" s="551">
        <f t="shared" si="55"/>
        <v>-9.9916138270210834E-3</v>
      </c>
      <c r="L1218" s="556">
        <v>11181.44</v>
      </c>
      <c r="M1218" s="553">
        <f t="shared" si="56"/>
        <v>-9.5115302292839241E-3</v>
      </c>
    </row>
    <row r="1219" spans="5:13" ht="15.75" thickBot="1">
      <c r="E1219" s="552">
        <v>40094</v>
      </c>
      <c r="F1219" s="550">
        <v>2195</v>
      </c>
      <c r="G1219" s="549">
        <f>+LN(F1219/F1220)</f>
        <v>-4.5454623716746105E-3</v>
      </c>
      <c r="H1219" s="556">
        <v>1346.83</v>
      </c>
      <c r="I1219" s="551">
        <f>+LN(H1219/H1220)</f>
        <v>-6.4609700071684662E-3</v>
      </c>
      <c r="L1219" s="550">
        <v>11288.3</v>
      </c>
      <c r="M1219" s="553">
        <f>+LN(L1219/L1220)</f>
        <v>-5.7522290319111354E-3</v>
      </c>
    </row>
    <row r="1220" spans="5:13" ht="15.75" thickBot="1">
      <c r="E1220" s="557">
        <v>40093</v>
      </c>
      <c r="F1220" s="556">
        <v>2205</v>
      </c>
      <c r="G1220" s="549">
        <f>+LN(F1220/F1221)</f>
        <v>-9.0294067193942649E-3</v>
      </c>
      <c r="H1220" s="550">
        <v>1355.56</v>
      </c>
      <c r="I1220" s="551">
        <f>+LN(H1220/H1221)</f>
        <v>-7.448020903790323E-4</v>
      </c>
      <c r="L1220" s="556">
        <v>11353.42</v>
      </c>
      <c r="M1220" s="553">
        <f>+LN(L1220/L1221)</f>
        <v>-2.0580529326674939E-3</v>
      </c>
    </row>
    <row r="1221" spans="5:13" ht="15.75" thickBot="1">
      <c r="E1221" s="552">
        <v>40092</v>
      </c>
      <c r="F1221" s="550">
        <v>2225</v>
      </c>
      <c r="G1221" s="549">
        <f>+LN(F1221/F1222)</f>
        <v>-2.2446698538238618E-3</v>
      </c>
      <c r="H1221" s="556">
        <v>1356.57</v>
      </c>
      <c r="I1221" s="551">
        <f>+LN(H1221/H1222)</f>
        <v>1.5661189468948171E-2</v>
      </c>
      <c r="L1221" s="550">
        <v>11376.81</v>
      </c>
      <c r="M1221" s="553">
        <f>+LN(L1221/L1222)</f>
        <v>1.0687302708235208E-2</v>
      </c>
    </row>
    <row r="1222" spans="5:13" ht="15.75" thickBot="1">
      <c r="E1222" s="557">
        <v>40091</v>
      </c>
      <c r="F1222" s="556">
        <v>2230</v>
      </c>
      <c r="G1222" s="549">
        <f>+LN(F1222/F1223)</f>
        <v>2.2446698538239494E-3</v>
      </c>
      <c r="H1222" s="550">
        <v>1335.49</v>
      </c>
      <c r="I1222" s="551">
        <f>+LN(H1222/H1223)</f>
        <v>1.2485045820899624E-2</v>
      </c>
      <c r="L1222" s="556">
        <v>11255.87</v>
      </c>
      <c r="M1222" s="553">
        <f>+LN(L1222/L1223)</f>
        <v>9.2224956958977134E-3</v>
      </c>
    </row>
    <row r="1223" spans="5:13" ht="15.75" thickBot="1">
      <c r="E1223" s="552">
        <v>40088</v>
      </c>
      <c r="F1223" s="550">
        <v>2225</v>
      </c>
      <c r="G1223" s="549">
        <f>+LN(F1223/F1224)</f>
        <v>-4.4843124473285759E-3</v>
      </c>
      <c r="H1223" s="556">
        <v>1318.92</v>
      </c>
      <c r="I1223" s="551">
        <f>+LN(H1223/H1224)</f>
        <v>2.8624923211895727E-3</v>
      </c>
      <c r="L1223" s="550">
        <v>11152.54</v>
      </c>
      <c r="M1223" s="553">
        <f>+LN(L1223/L1224)</f>
        <v>-8.7868498572177595E-5</v>
      </c>
    </row>
    <row r="1224" spans="5:13" ht="15.75" thickBot="1">
      <c r="E1224" s="557">
        <v>40087</v>
      </c>
      <c r="F1224" s="556">
        <v>2235</v>
      </c>
      <c r="G1224" s="556"/>
      <c r="H1224" s="550">
        <v>1315.15</v>
      </c>
      <c r="I1224" s="558"/>
      <c r="L1224" s="556">
        <v>11153.52</v>
      </c>
      <c r="M1224" s="553"/>
    </row>
    <row r="1225" spans="5:13">
      <c r="I1225" s="558"/>
      <c r="M1225" s="553"/>
    </row>
    <row r="1226" spans="5:13">
      <c r="I1226" s="558"/>
      <c r="M1226" s="553"/>
    </row>
    <row r="1227" spans="5:13">
      <c r="I1227" s="558"/>
      <c r="M1227" s="553"/>
    </row>
    <row r="1228" spans="5:13">
      <c r="I1228" s="558"/>
      <c r="M1228" s="553"/>
    </row>
    <row r="1229" spans="5:13">
      <c r="I1229" s="558"/>
      <c r="M1229" s="553"/>
    </row>
    <row r="1230" spans="5:13">
      <c r="I1230" s="558"/>
      <c r="M1230" s="553"/>
    </row>
    <row r="1231" spans="5:13">
      <c r="I1231" s="558"/>
      <c r="M1231" s="553"/>
    </row>
    <row r="1232" spans="5:13">
      <c r="M1232" s="553"/>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26</vt:i4>
      </vt:variant>
      <vt:variant>
        <vt:lpstr>Rangos con nombre</vt:lpstr>
      </vt:variant>
      <vt:variant>
        <vt:i4>73</vt:i4>
      </vt:variant>
    </vt:vector>
  </HeadingPairs>
  <TitlesOfParts>
    <vt:vector size="99" baseType="lpstr">
      <vt:lpstr>Convenciones</vt:lpstr>
      <vt:lpstr>Macroeconomicos</vt:lpstr>
      <vt:lpstr>Historicos</vt:lpstr>
      <vt:lpstr>Datos Generales</vt:lpstr>
      <vt:lpstr>Supuestos de Operacion</vt:lpstr>
      <vt:lpstr>Proyecto Sogamoso</vt:lpstr>
      <vt:lpstr>Operacion Comercial</vt:lpstr>
      <vt:lpstr>Otros Costos y Gastos</vt:lpstr>
      <vt:lpstr>Activos fijos</vt:lpstr>
      <vt:lpstr>Amortizaciones</vt:lpstr>
      <vt:lpstr>Financiacion</vt:lpstr>
      <vt:lpstr>Renta</vt:lpstr>
      <vt:lpstr>CREE</vt:lpstr>
      <vt:lpstr>P&amp;G</vt:lpstr>
      <vt:lpstr>Balance General</vt:lpstr>
      <vt:lpstr>Flujo de efectivo</vt:lpstr>
      <vt:lpstr>Capital Empleado</vt:lpstr>
      <vt:lpstr>WACC</vt:lpstr>
      <vt:lpstr>DCF Valuation Empresa</vt:lpstr>
      <vt:lpstr>MPODE Costo marginal</vt:lpstr>
      <vt:lpstr>Generacion Hidro por Planta</vt:lpstr>
      <vt:lpstr>Generacion Termica por Planta</vt:lpstr>
      <vt:lpstr>Proyeccion Jet A1</vt:lpstr>
      <vt:lpstr>Proyeccion Gas Cusiana</vt:lpstr>
      <vt:lpstr>Proyeccion Gas GNL</vt:lpstr>
      <vt:lpstr>Calculo Beta</vt:lpstr>
      <vt:lpstr>Anticipo_renta</vt:lpstr>
      <vt:lpstr>Año_2013</vt:lpstr>
      <vt:lpstr>Año_Inicio_Sogamoso</vt:lpstr>
      <vt:lpstr>Año_Perpetuidad</vt:lpstr>
      <vt:lpstr>APORTES</vt:lpstr>
      <vt:lpstr>APR</vt:lpstr>
      <vt:lpstr>Calderas_Cere</vt:lpstr>
      <vt:lpstr>'Datos Generales'!Capital</vt:lpstr>
      <vt:lpstr>Componente_Fijo_TGI</vt:lpstr>
      <vt:lpstr>Control</vt:lpstr>
      <vt:lpstr>Costo_marginal_maximo</vt:lpstr>
      <vt:lpstr>Costo_marginal_minimo</vt:lpstr>
      <vt:lpstr>Creditos</vt:lpstr>
      <vt:lpstr>Deficit_Caja</vt:lpstr>
      <vt:lpstr>Dep_contable_Equipos</vt:lpstr>
      <vt:lpstr>Deprec._Fiscal_Inmuebles</vt:lpstr>
      <vt:lpstr>Deprec_Contable_Inmuebles</vt:lpstr>
      <vt:lpstr>Deprec_Contable_Plantas_Generacion</vt:lpstr>
      <vt:lpstr>Deprec_Fiscal_Equipos</vt:lpstr>
      <vt:lpstr>Deprec_Fiscal_Plantas_Generacion</vt:lpstr>
      <vt:lpstr>Dias_año</vt:lpstr>
      <vt:lpstr>Dias_Caja</vt:lpstr>
      <vt:lpstr>Dias_CxC</vt:lpstr>
      <vt:lpstr>Dias_CxP</vt:lpstr>
      <vt:lpstr>Dias_Generacion_Niño_Gas</vt:lpstr>
      <vt:lpstr>Dias_Generacion_Niño_Jet_Fuel</vt:lpstr>
      <vt:lpstr>Dias_Importac_Jet</vt:lpstr>
      <vt:lpstr>Dias_mes</vt:lpstr>
      <vt:lpstr>Escenario_Combustible</vt:lpstr>
      <vt:lpstr>Estructura_Deuda_Sogamoso</vt:lpstr>
      <vt:lpstr>Estructura_Fra_Wacc</vt:lpstr>
      <vt:lpstr>Fecha_Final_Contrato_TGI</vt:lpstr>
      <vt:lpstr>Fecha_precio_accion</vt:lpstr>
      <vt:lpstr>G</vt:lpstr>
      <vt:lpstr>GMF</vt:lpstr>
      <vt:lpstr>GW_a_KW</vt:lpstr>
      <vt:lpstr>Horas_dia</vt:lpstr>
      <vt:lpstr>Horas_por_prueba</vt:lpstr>
      <vt:lpstr>Impto_Patrimonio</vt:lpstr>
      <vt:lpstr>Incremento_salarial</vt:lpstr>
      <vt:lpstr>Inventario_minimo</vt:lpstr>
      <vt:lpstr>Limite_reserva_legal</vt:lpstr>
      <vt:lpstr>M</vt:lpstr>
      <vt:lpstr>Mes_año</vt:lpstr>
      <vt:lpstr>Mes_inicio_Sogamoso</vt:lpstr>
      <vt:lpstr>Meses_Proyectados_Año_Base</vt:lpstr>
      <vt:lpstr>MW_a_KW</vt:lpstr>
      <vt:lpstr>Nombre_Empresa</vt:lpstr>
      <vt:lpstr>Opcion_Beta</vt:lpstr>
      <vt:lpstr>OYM_FIJO_REF_INTERNAL</vt:lpstr>
      <vt:lpstr>OYM_PROYECTADO</vt:lpstr>
      <vt:lpstr>OYM_VARIABLE_REF_INTERNAL</vt:lpstr>
      <vt:lpstr>Part_Mcdo_Regulado</vt:lpstr>
      <vt:lpstr>Payout_ratio</vt:lpstr>
      <vt:lpstr>PB_PE_en_Niño</vt:lpstr>
      <vt:lpstr>Periodo_Gracia_Deuda</vt:lpstr>
      <vt:lpstr>Perpetuidad_Termocentro</vt:lpstr>
      <vt:lpstr>Plazo_Creditos</vt:lpstr>
      <vt:lpstr>Pruebas_Termocentro</vt:lpstr>
      <vt:lpstr>PSS</vt:lpstr>
      <vt:lpstr>Reposicion_Activos</vt:lpstr>
      <vt:lpstr>Rescisión_contrato_TGI</vt:lpstr>
      <vt:lpstr>Reserva_legal</vt:lpstr>
      <vt:lpstr>Spread_colocacion</vt:lpstr>
      <vt:lpstr>Spread_deuda_CP</vt:lpstr>
      <vt:lpstr>Tasa_CREE</vt:lpstr>
      <vt:lpstr>Tasa_interes_creditos</vt:lpstr>
      <vt:lpstr>Tasa_renta</vt:lpstr>
      <vt:lpstr>Tasa_seguro_y_vigilancia</vt:lpstr>
      <vt:lpstr>Tipo_combustible</vt:lpstr>
      <vt:lpstr>TOP_Cusiana</vt:lpstr>
      <vt:lpstr>Vigencia_Contratato_Gas</vt:lpstr>
      <vt:lpstr>Δ_compra_bolsa</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JAPIN</dc:creator>
  <cp:lastModifiedBy>JAPIN</cp:lastModifiedBy>
  <cp:lastPrinted>2014-08-12T00:49:33Z</cp:lastPrinted>
  <dcterms:created xsi:type="dcterms:W3CDTF">2014-05-28T00:47:29Z</dcterms:created>
  <dcterms:modified xsi:type="dcterms:W3CDTF">2015-02-22T18:27:58Z</dcterms:modified>
</cp:coreProperties>
</file>